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andream\Dropbox (Cascadia)\KC 2015 GHG Inventory\Snohomish County Inventory\SC15-50-0_Waste\"/>
    </mc:Choice>
  </mc:AlternateContent>
  <bookViews>
    <workbookView xWindow="0" yWindow="0" windowWidth="16200" windowHeight="8750" tabRatio="810" activeTab="13"/>
  </bookViews>
  <sheets>
    <sheet name="User's Guide" sheetId="36" r:id="rId1"/>
    <sheet name="Analysis Inputs" sheetId="4" r:id="rId2"/>
    <sheet name="Summary Data" sheetId="5" r:id="rId3"/>
    <sheet name="Summary Data NRG" sheetId="32" state="hidden" r:id="rId4"/>
    <sheet name="Summary Report (MTCO2E)" sheetId="25" r:id="rId5"/>
    <sheet name="Analysis Results (MTCO2E)" sheetId="26" r:id="rId6"/>
    <sheet name="Summary Report (energy)" sheetId="33" r:id="rId7"/>
    <sheet name="Analysis Results (energy)" sheetId="34" r:id="rId8"/>
    <sheet name="Summary Report (MTCE)" sheetId="15" r:id="rId9"/>
    <sheet name="Analysis Results (MTCE)" sheetId="1" r:id="rId10"/>
    <sheet name="Material Definitions" sheetId="41" r:id="rId11"/>
    <sheet name="Avoided Utility" sheetId="38" state="hidden" r:id="rId12"/>
    <sheet name="Landfill Gas Collection" sheetId="39" r:id="rId13"/>
    <sheet name="Landfilling EFs" sheetId="40" r:id="rId14"/>
    <sheet name="Equivalencies" sheetId="37" state="hidden" r:id="rId15"/>
    <sheet name="Revisions" sheetId="13" state="hidden" r:id="rId16"/>
    <sheet name="EFs for web" sheetId="29" r:id="rId17"/>
    <sheet name="EFs for web (energy)" sheetId="35" state="hidden" r:id="rId18"/>
    <sheet name="Control" sheetId="30" state="hidden" r:id="rId19"/>
  </sheets>
  <externalReferences>
    <externalReference r:id="rId20"/>
    <externalReference r:id="rId21"/>
  </externalReferences>
  <definedNames>
    <definedName name="_Fill" hidden="1">#REF!</definedName>
    <definedName name="_xlnm._FilterDatabase" localSheetId="10" hidden="1">'Material Definitions'!$B$2:$H$79</definedName>
    <definedName name="_Order1" hidden="1">0</definedName>
    <definedName name="_Order2" hidden="1">0</definedName>
    <definedName name="_Sort" hidden="1">#REF!</definedName>
    <definedName name="Add_Wat">#REF!</definedName>
    <definedName name="Addl_Heat">#REF!</definedName>
    <definedName name="AddWat_Temp">#REF!</definedName>
    <definedName name="anscount" hidden="1">1</definedName>
    <definedName name="AvgNatGridEff">[1]Assumptions!$G$172</definedName>
    <definedName name="Avoided_Utility_Combustion">'Avoided Utility'!$C$25:$M$66</definedName>
    <definedName name="Avoided_utility_national">[1]Combustion!$H$9:$R$47</definedName>
    <definedName name="barrels_gal">[1]Assumptions!$B$372</definedName>
    <definedName name="btu_kwh">[1]Assumptions!$B$368</definedName>
    <definedName name="btu_MJ">[1]Assumptions!$B$367</definedName>
    <definedName name="btu_mmbtu">[1]Assumptions!$B$361</definedName>
    <definedName name="C_Hum_Store">#REF!</definedName>
    <definedName name="C_MW">#REF!</definedName>
    <definedName name="C_Soil_Store">#REF!</definedName>
    <definedName name="CE_CO2E">[1]Assumptions!$B$385</definedName>
    <definedName name="CH4_Combust">#REF!</definedName>
    <definedName name="CH4_Dens">#REF!</definedName>
    <definedName name="CH4_Flared">#REF!</definedName>
    <definedName name="CH4_Gen">#REF!</definedName>
    <definedName name="CH4_Leaked">#REF!</definedName>
    <definedName name="CH4_LHV">#REF!</definedName>
    <definedName name="CH4_MW">#REF!</definedName>
    <definedName name="CH4_VolGen">#REF!</definedName>
    <definedName name="COAL">'[1]Carbon Coefficients'!$F$16</definedName>
    <definedName name="Cure_Closs">#REF!</definedName>
    <definedName name="Cure_Nloss">#REF!</definedName>
    <definedName name="Cure_PerCH4">#REF!</definedName>
    <definedName name="Cure_PerN2O">#REF!</definedName>
    <definedName name="Cure_VSLossPerC">#REF!</definedName>
    <definedName name="DewaterElec">#REF!</definedName>
    <definedName name="DIESEL">'[1]Carbon Coefficients'!$F$9</definedName>
    <definedName name="Digest_Heat">#REF!</definedName>
    <definedName name="DIST_FUEL">'[1]Carbon Coefficients'!$F$7</definedName>
    <definedName name="DryMass_Compost">#REF!</definedName>
    <definedName name="DryMass_Digest">#REF!</definedName>
    <definedName name="DryMass_In">#REF!</definedName>
    <definedName name="drywall_retentionRate">'[1]Loss Rates'!$B$73</definedName>
    <definedName name="dsl_dig_sprd">#REF!</definedName>
    <definedName name="dsl_dig_trans">#REF!</definedName>
    <definedName name="Dsl_GHG_Intensity">#REF!</definedName>
    <definedName name="Dsl_tot">#REF!</definedName>
    <definedName name="ELEC">'[1]Carbon Coefficients'!$F$13</definedName>
    <definedName name="elec_GHG_Intensity">#REF!</definedName>
    <definedName name="ElecEff">#REF!</definedName>
    <definedName name="ElecGen">#REF!</definedName>
    <definedName name="ElecOff">#REF!</definedName>
    <definedName name="EnergyGen">#REF!</definedName>
    <definedName name="EnergyUse_Alternative">'Analysis Results (energy)'!$D$127:$S$180</definedName>
    <definedName name="EnergyUse_Baseline">'Analysis Results (energy)'!$D$69:$Q$122</definedName>
    <definedName name="Enrg_FW_Heat">#REF!</definedName>
    <definedName name="Enrg_Wat_Heat">#REF!</definedName>
    <definedName name="FC_MC">#REF!</definedName>
    <definedName name="Frac_FreshWat">#REF!</definedName>
    <definedName name="FW_CCont_Digest">#REF!</definedName>
    <definedName name="FW_L0">#REF!</definedName>
    <definedName name="FW_L0_Frac">#REF!</definedName>
    <definedName name="FW_Mass">#REF!</definedName>
    <definedName name="FW_MC">#REF!</definedName>
    <definedName name="FW_NCont_Digest">#REF!</definedName>
    <definedName name="FW_SH">#REF!</definedName>
    <definedName name="FW_Temp">#REF!</definedName>
    <definedName name="FW_VS">#REF!</definedName>
    <definedName name="gal_tonmile">[1]Assumptions!$B$375</definedName>
    <definedName name="GAS">'[1]Carbon Coefficients'!$F$5</definedName>
    <definedName name="GHGAlternative_MTCE">'Analysis Results (MTCE)'!$D$127:$S$180</definedName>
    <definedName name="GHGAlternative_MTCO2E">'Analysis Results (MTCO2E)'!$D$127:$S$180</definedName>
    <definedName name="GHGBaseline_MTCE">'Analysis Results (MTCE)'!$D$69:$Q$122</definedName>
    <definedName name="GHGBaseline_MTCO2E">'Analysis Results (MTCO2E)'!$D$69:$Q$122</definedName>
    <definedName name="Grid_Mix_EF">'Avoided Utility'!$C$73:$F$82</definedName>
    <definedName name="GWP_C2F6">[1]Assumptions!$B$60</definedName>
    <definedName name="GWP_CF4">[1]Assumptions!$B$59</definedName>
    <definedName name="GWP_CH4">[1]Assumptions!$B$58</definedName>
    <definedName name="GWP_N2O">[1]Assumptions!$B$61</definedName>
    <definedName name="HeatEx_eff">#REF!</definedName>
    <definedName name="House_Dsl">#REF!</definedName>
    <definedName name="IsCured">#REF!</definedName>
    <definedName name="KEROSENE">'[1]Carbon Coefficients'!$F$27</definedName>
    <definedName name="kg_lb">[1]Assumptions!$B$381</definedName>
    <definedName name="kg_m3">'[1]Wood Flooring'!$C$3</definedName>
    <definedName name="kg_metricton">[1]Assumptions!$B$383</definedName>
    <definedName name="kg_ton">[1]Assumptions!$B$378</definedName>
    <definedName name="kwh_btu">[1]Assumptions!$B$370</definedName>
    <definedName name="kwh_MJ">[1]Assumptions!$B$369</definedName>
    <definedName name="Last2Sheets">'Analysis Inputs'!#REF!</definedName>
    <definedName name="lbs_kg">[1]Assumptions!$B$371</definedName>
    <definedName name="lbs_ton">[1]Assumptions!$B$373</definedName>
    <definedName name="LF_Avoided_Utility_Ratio">'Avoided Utility'!$D$7:$E$16</definedName>
    <definedName name="LF_Collection_Scenario">'Landfill Gas Collection'!$B$11:$W$64</definedName>
    <definedName name="LPG">'[1]Carbon Coefficients'!$F$6</definedName>
    <definedName name="lumber_MJ_kWh">'[1]Wood Flooring'!$C$12</definedName>
    <definedName name="m3_MBF">'[1]Wood Flooring'!$C$4</definedName>
    <definedName name="Mass_C_Applied">#REF!</definedName>
    <definedName name="Mass_C_Compost">#REF!</definedName>
    <definedName name="Mass_C_CureLoss">#REF!</definedName>
    <definedName name="Mass_C_Digest">#REF!</definedName>
    <definedName name="Mass_C_Stored">#REF!</definedName>
    <definedName name="Mass_CH4_Cure">#REF!</definedName>
    <definedName name="Mass_CH4_Leak">#REF!</definedName>
    <definedName name="Mass_Compost">#REF!</definedName>
    <definedName name="Mass_CurSolLoss">#REF!</definedName>
    <definedName name="Mass_Dewater">#REF!</definedName>
    <definedName name="Mass_Digest">#REF!</definedName>
    <definedName name="Mass_FreshWat">#REF!</definedName>
    <definedName name="Mass_N_Applied">#REF!</definedName>
    <definedName name="Mass_N_Compost">#REF!</definedName>
    <definedName name="Mass_N_Cureloss">#REF!</definedName>
    <definedName name="Mass_N_Digest">#REF!</definedName>
    <definedName name="Mass_N_Offset">#REF!</definedName>
    <definedName name="Mass_N2O">#REF!</definedName>
    <definedName name="Mass_N2O_Cure">#REF!</definedName>
    <definedName name="Mass_N2O_Land">#REF!</definedName>
    <definedName name="Mass_Water_Removed">#REF!</definedName>
    <definedName name="MBTU_MJ">[1]Assumptions!$B$365</definedName>
    <definedName name="MC_Dewater">#REF!</definedName>
    <definedName name="MC_Digest">#REF!</definedName>
    <definedName name="MFE_N">#REF!</definedName>
    <definedName name="MixOrg_Mass">#REF!</definedName>
    <definedName name="MJ_GJ">[1]Assumptions!$B$376</definedName>
    <definedName name="MJsPerkWh">#REF!</definedName>
    <definedName name="Mol_Vol">#REF!</definedName>
    <definedName name="Mole_C_CureLoss">#REF!</definedName>
    <definedName name="MTCESheets">Control!$B$5:$B$6</definedName>
    <definedName name="MTCO2ESheets">Control!$D$5:$D$6</definedName>
    <definedName name="MXOR_Add_Wat">#REF!</definedName>
    <definedName name="MXOR_CCont_Digest">#REF!</definedName>
    <definedName name="MXOR_CH4_Combust">#REF!</definedName>
    <definedName name="MXOR_CH4_Flared">#REF!</definedName>
    <definedName name="MXOR_CH4_Gen">#REF!</definedName>
    <definedName name="MXOR_CH4_Leaked">#REF!</definedName>
    <definedName name="MXOR_CH4_VolGen">#REF!</definedName>
    <definedName name="MXOR_Digest_Heat_Avail">#REF!</definedName>
    <definedName name="MXOR_Digest_Heat_Req">#REF!</definedName>
    <definedName name="MXOR_DryMass_Compost">#REF!</definedName>
    <definedName name="MXOR_DryMass_Digest">#REF!</definedName>
    <definedName name="MXOR_DryMass_In">#REF!</definedName>
    <definedName name="MXOR_Dsl_tot">#REF!</definedName>
    <definedName name="MXOR_ElecGen">#REF!</definedName>
    <definedName name="MXOR_ElecOff">#REF!</definedName>
    <definedName name="MXOR_EnergyGen">#REF!</definedName>
    <definedName name="MXOR_Enrg_FW_Heat">#REF!</definedName>
    <definedName name="MXOR_Enrg_Wat_Heat">#REF!</definedName>
    <definedName name="MXOR_L0">#REF!</definedName>
    <definedName name="MXOR_L0_Frac">#REF!</definedName>
    <definedName name="MXOR_Mass">#REF!</definedName>
    <definedName name="MXOR_Mass_C_Applied">#REF!</definedName>
    <definedName name="MXOR_Mass_C_Compost">#REF!</definedName>
    <definedName name="MXOR_Mass_C_CureLoss">#REF!</definedName>
    <definedName name="MXOR_Mass_C_Digest">#REF!</definedName>
    <definedName name="MXOR_Mass_C_Stored">#REF!</definedName>
    <definedName name="MXOR_Mass_CH4_Cure">#REF!</definedName>
    <definedName name="MXOR_Mass_CH4_Leak">#REF!</definedName>
    <definedName name="MXOR_Mass_Compost">#REF!</definedName>
    <definedName name="MXOR_Mass_CurSolLoss">#REF!</definedName>
    <definedName name="MXOR_Mass_Dewater">#REF!</definedName>
    <definedName name="MXOR_Mass_FreshWat">#REF!</definedName>
    <definedName name="MXOR_Mass_N_Applied">#REF!</definedName>
    <definedName name="MXOR_Mass_N_Compost">#REF!</definedName>
    <definedName name="MXOR_Mass_N_Cureloss">#REF!</definedName>
    <definedName name="MXOR_Mass_N_Digest">#REF!</definedName>
    <definedName name="MXOR_Mass_N_Offset">#REF!</definedName>
    <definedName name="MXOR_Mass_N2O_Cure">#REF!</definedName>
    <definedName name="MXOR_Mass_N2O_Land">#REF!</definedName>
    <definedName name="MXOR_Mass_Water_Removed">#REF!</definedName>
    <definedName name="MXOR_MC">#REF!</definedName>
    <definedName name="MXOR_Mole_C_CureLoss">#REF!</definedName>
    <definedName name="MXOR_NCont_Digest">#REF!</definedName>
    <definedName name="MXOR_Total_Heat">#REF!</definedName>
    <definedName name="MXOR_TotMass_Digest">#REF!</definedName>
    <definedName name="MXOR_VS">#REF!</definedName>
    <definedName name="MXOR_VS_In">#REF!</definedName>
    <definedName name="MXOR_WatMass_Compost">#REF!</definedName>
    <definedName name="MXOR_WatMass_Digest">#REF!</definedName>
    <definedName name="MXOR_WatMass_FW">#REF!</definedName>
    <definedName name="N_N2O">#REF!</definedName>
    <definedName name="NAT_GAS">'[1]Carbon Coefficients'!$F$19</definedName>
    <definedName name="NFert_GHG">#REF!</definedName>
    <definedName name="OIL">'[1]Carbon Coefficients'!$F$10</definedName>
    <definedName name="OTH_FUEL">'[1]Carbon Coefficients'!$F$21</definedName>
    <definedName name="PerFlared">#REF!</definedName>
    <definedName name="PerLeaked">#REF!</definedName>
    <definedName name="PLA_Flow">[1]PLA!$B$168:$I$367</definedName>
    <definedName name="PostScreen_Elec">#REF!</definedName>
    <definedName name="PretElec">#REF!</definedName>
    <definedName name="_xlnm.Print_Area" localSheetId="1">'Analysis Inputs'!$C$2:$R$193</definedName>
    <definedName name="_xlnm.Print_Area" localSheetId="7">'Analysis Results (energy)'!$E$1:$Q$244</definedName>
    <definedName name="_xlnm.Print_Area" localSheetId="9">'Analysis Results (MTCE)'!$E$1:$Q$244</definedName>
    <definedName name="_xlnm.Print_Area" localSheetId="5">'Analysis Results (MTCO2E)'!$E$1:$U$245</definedName>
    <definedName name="_xlnm.Print_Area" localSheetId="6">'Summary Report (energy)'!$D$3:$L$123</definedName>
    <definedName name="_xlnm.Print_Area" localSheetId="8">'Summary Report (MTCE)'!$D$3:$M$126</definedName>
    <definedName name="_xlnm.Print_Area" localSheetId="4">'Summary Report (MTCO2E)'!$D$3:$L$125</definedName>
    <definedName name="_xlnm.Print_Titles" localSheetId="16">'EFs for web'!$A:$A</definedName>
    <definedName name="_xlnm.Print_Titles" localSheetId="17">'EFs for web (energy)'!$A:$A</definedName>
    <definedName name="_xlnm.Print_Titles" localSheetId="2">'Summary Data'!$A:$A</definedName>
    <definedName name="_xlnm.Print_Titles" localSheetId="3">'Summary Data NRG'!$A:$A</definedName>
    <definedName name="Reac_Temp">#REF!</definedName>
    <definedName name="RES_FUEL">'[1]Carbon Coefficients'!$F$8</definedName>
    <definedName name="sencount" hidden="1">2</definedName>
    <definedName name="ton_metric_ton">[1]Assumptions!$B$359</definedName>
    <definedName name="Tot_Mass">#REF!</definedName>
    <definedName name="Total_Heat">#REF!</definedName>
    <definedName name="TotMass_Digest">#REF!</definedName>
    <definedName name="UnitsControl">'Analysis Inputs'!#REF!</definedName>
    <definedName name="VS_In">#REF!</definedName>
    <definedName name="VS_loss">#REF!</definedName>
    <definedName name="Wat_SH">#REF!</definedName>
    <definedName name="WatMass_Compost">#REF!</definedName>
    <definedName name="WatMass_Digest">#REF!</definedName>
    <definedName name="WatMass_FW">#REF!</definedName>
    <definedName name="WindTurn_Fuel">#REF!</definedName>
  </definedNames>
  <calcPr calcId="152511"/>
</workbook>
</file>

<file path=xl/calcChain.xml><?xml version="1.0" encoding="utf-8"?>
<calcChain xmlns="http://schemas.openxmlformats.org/spreadsheetml/2006/main">
  <c r="BQ23" i="40" l="1"/>
  <c r="BT23" i="40" l="1"/>
  <c r="B52" i="32" l="1"/>
  <c r="F20" i="34" s="1"/>
  <c r="B55" i="32"/>
  <c r="F23" i="34"/>
  <c r="G39" i="26"/>
  <c r="G43" i="26"/>
  <c r="C30" i="5"/>
  <c r="G45" i="26"/>
  <c r="C31" i="5"/>
  <c r="C32" i="5"/>
  <c r="G47" i="26"/>
  <c r="C33" i="5"/>
  <c r="C34" i="5"/>
  <c r="G49" i="1"/>
  <c r="C35" i="5"/>
  <c r="G50" i="26"/>
  <c r="I165" i="26"/>
  <c r="G52" i="26"/>
  <c r="C38" i="5"/>
  <c r="G54" i="26"/>
  <c r="C39" i="5"/>
  <c r="G55" i="26"/>
  <c r="G56" i="26"/>
  <c r="C41" i="5"/>
  <c r="G57" i="26" s="1"/>
  <c r="G114" i="26"/>
  <c r="C42" i="5"/>
  <c r="G58" i="26"/>
  <c r="G115" i="26"/>
  <c r="C43" i="5"/>
  <c r="G59" i="1"/>
  <c r="C44" i="5"/>
  <c r="G60" i="26" s="1"/>
  <c r="C45" i="5"/>
  <c r="C46" i="5"/>
  <c r="G62" i="1"/>
  <c r="G63" i="26"/>
  <c r="G64" i="26"/>
  <c r="C50" i="5"/>
  <c r="G24" i="26"/>
  <c r="G20" i="26"/>
  <c r="C3" i="5"/>
  <c r="C4" i="5"/>
  <c r="C5" i="5"/>
  <c r="G16" i="1" s="1"/>
  <c r="C6" i="5"/>
  <c r="G17" i="26"/>
  <c r="I132" i="26"/>
  <c r="C8" i="5"/>
  <c r="C9" i="5"/>
  <c r="G25" i="1"/>
  <c r="C10" i="5"/>
  <c r="G26" i="1" s="1"/>
  <c r="H83" i="1" s="1"/>
  <c r="C11" i="5"/>
  <c r="G27" i="1"/>
  <c r="C12" i="5"/>
  <c r="C13" i="5"/>
  <c r="C14" i="5"/>
  <c r="G30" i="1"/>
  <c r="C15" i="5"/>
  <c r="G31" i="26" s="1"/>
  <c r="C16" i="5"/>
  <c r="G33" i="26"/>
  <c r="G35" i="26"/>
  <c r="C2" i="5"/>
  <c r="G12" i="1"/>
  <c r="B10" i="5"/>
  <c r="B11" i="5"/>
  <c r="F27" i="1" s="1"/>
  <c r="G142" i="1"/>
  <c r="F200" i="1" s="1"/>
  <c r="B12" i="5"/>
  <c r="F28" i="26" s="1"/>
  <c r="B13" i="5"/>
  <c r="F29" i="26"/>
  <c r="B14" i="5"/>
  <c r="B15" i="5"/>
  <c r="F31" i="26" s="1"/>
  <c r="G146" i="26"/>
  <c r="F204" i="26" s="1"/>
  <c r="B16" i="5"/>
  <c r="F32" i="26" s="1"/>
  <c r="B17" i="5"/>
  <c r="F51" i="1" s="1"/>
  <c r="B18" i="5"/>
  <c r="B19" i="5"/>
  <c r="F34" i="26"/>
  <c r="G149" i="26"/>
  <c r="B20" i="5"/>
  <c r="F35" i="1"/>
  <c r="G150" i="1"/>
  <c r="B21" i="5"/>
  <c r="F36" i="1" s="1"/>
  <c r="G151" i="1"/>
  <c r="B22" i="5"/>
  <c r="F37" i="1" s="1"/>
  <c r="B23" i="5"/>
  <c r="F38" i="1" s="1"/>
  <c r="B24" i="5"/>
  <c r="F39" i="1"/>
  <c r="B25" i="5"/>
  <c r="F40" i="1" s="1"/>
  <c r="B26" i="5"/>
  <c r="F41" i="26"/>
  <c r="B27" i="5"/>
  <c r="B28" i="5"/>
  <c r="B29" i="5"/>
  <c r="F44" i="26"/>
  <c r="B30" i="5"/>
  <c r="B31" i="5"/>
  <c r="B32" i="5"/>
  <c r="F47" i="1"/>
  <c r="B33" i="5"/>
  <c r="F48" i="26" s="1"/>
  <c r="B34" i="5"/>
  <c r="B35" i="5"/>
  <c r="F50" i="26" s="1"/>
  <c r="B36" i="5"/>
  <c r="F52" i="26" s="1"/>
  <c r="B37" i="5"/>
  <c r="F53" i="26" s="1"/>
  <c r="B38" i="5"/>
  <c r="F54" i="1" s="1"/>
  <c r="B39" i="5"/>
  <c r="B40" i="5"/>
  <c r="F56" i="1" s="1"/>
  <c r="G171" i="1"/>
  <c r="F229" i="1" s="1"/>
  <c r="B41" i="5"/>
  <c r="F57" i="26" s="1"/>
  <c r="B42" i="5"/>
  <c r="B43" i="5"/>
  <c r="F59" i="1"/>
  <c r="B44" i="5"/>
  <c r="F60" i="1" s="1"/>
  <c r="G175" i="1"/>
  <c r="F233" i="1" s="1"/>
  <c r="B45" i="5"/>
  <c r="F61" i="1"/>
  <c r="G176" i="1"/>
  <c r="B46" i="5"/>
  <c r="B47" i="5"/>
  <c r="F63" i="26"/>
  <c r="B48" i="5"/>
  <c r="F64" i="26" s="1"/>
  <c r="B49" i="5"/>
  <c r="F65" i="26"/>
  <c r="B50" i="5"/>
  <c r="B51" i="5"/>
  <c r="B52" i="5"/>
  <c r="F20" i="1"/>
  <c r="B53" i="5"/>
  <c r="F21" i="1" s="1"/>
  <c r="G136" i="1"/>
  <c r="B54" i="5"/>
  <c r="F22" i="1" s="1"/>
  <c r="B55" i="5"/>
  <c r="B3" i="5"/>
  <c r="F14" i="1"/>
  <c r="B4" i="5"/>
  <c r="F15" i="1" s="1"/>
  <c r="B5" i="5"/>
  <c r="F16" i="1" s="1"/>
  <c r="B6" i="5"/>
  <c r="F17" i="1" s="1"/>
  <c r="B7" i="5"/>
  <c r="F18" i="26" s="1"/>
  <c r="B8" i="5"/>
  <c r="F19" i="1" s="1"/>
  <c r="G134" i="1"/>
  <c r="F192" i="1" s="1"/>
  <c r="B9" i="5"/>
  <c r="F25" i="1" s="1"/>
  <c r="G140" i="1"/>
  <c r="B2" i="5"/>
  <c r="A69" i="40"/>
  <c r="GS69" i="40"/>
  <c r="A68" i="40"/>
  <c r="A67" i="40"/>
  <c r="GI67" i="40" s="1"/>
  <c r="GS67" i="40"/>
  <c r="GT67" i="40"/>
  <c r="A66" i="40"/>
  <c r="GS66" i="40"/>
  <c r="A65" i="40"/>
  <c r="FE65" i="40" s="1"/>
  <c r="GS65" i="40"/>
  <c r="A64" i="40"/>
  <c r="GS64" i="40"/>
  <c r="A63" i="40"/>
  <c r="FY63" i="40" s="1"/>
  <c r="GS63" i="40"/>
  <c r="A62" i="40"/>
  <c r="GS62" i="40"/>
  <c r="GT62" i="40"/>
  <c r="A61" i="40"/>
  <c r="GS60" i="40"/>
  <c r="A59" i="40"/>
  <c r="A58" i="40"/>
  <c r="FE58" i="40" s="1"/>
  <c r="FF58" i="40" s="1"/>
  <c r="GS58" i="40"/>
  <c r="A57" i="40"/>
  <c r="GS57" i="40"/>
  <c r="A56" i="40"/>
  <c r="FY56" i="40" s="1"/>
  <c r="GS56" i="40"/>
  <c r="A55" i="40"/>
  <c r="GS55" i="40"/>
  <c r="A54" i="40"/>
  <c r="GS54" i="40"/>
  <c r="GT54" i="40" s="1"/>
  <c r="A53" i="40"/>
  <c r="GI53" i="40" s="1"/>
  <c r="GJ53" i="40" s="1"/>
  <c r="GS53" i="40"/>
  <c r="A52" i="40"/>
  <c r="GS52" i="40" s="1"/>
  <c r="A51" i="40"/>
  <c r="GS51" i="40"/>
  <c r="A50" i="40"/>
  <c r="A49" i="40"/>
  <c r="GS49" i="40"/>
  <c r="A48" i="40"/>
  <c r="GS48" i="40" s="1"/>
  <c r="A47" i="40"/>
  <c r="GS47" i="40"/>
  <c r="GT47" i="40"/>
  <c r="A46" i="40"/>
  <c r="GS46" i="40"/>
  <c r="A45" i="40"/>
  <c r="FE45" i="40" s="1"/>
  <c r="GS45" i="40"/>
  <c r="A44" i="40"/>
  <c r="GS44" i="40"/>
  <c r="A43" i="40"/>
  <c r="FY43" i="40" s="1"/>
  <c r="GS43" i="40"/>
  <c r="A42" i="40"/>
  <c r="GS42" i="40"/>
  <c r="A41" i="40"/>
  <c r="FE41" i="40" s="1"/>
  <c r="GS41" i="40"/>
  <c r="A40" i="40"/>
  <c r="GS40" i="40"/>
  <c r="A39" i="40"/>
  <c r="FY39" i="40" s="1"/>
  <c r="GS39" i="40"/>
  <c r="A38" i="40"/>
  <c r="GS38" i="40"/>
  <c r="A37" i="40"/>
  <c r="FE37" i="40" s="1"/>
  <c r="GS37" i="40"/>
  <c r="A36" i="40"/>
  <c r="GS36" i="40"/>
  <c r="A35" i="40"/>
  <c r="FY35" i="40" s="1"/>
  <c r="GS35" i="40"/>
  <c r="A34" i="40"/>
  <c r="GS34" i="40"/>
  <c r="A33" i="40"/>
  <c r="FE33" i="40" s="1"/>
  <c r="GS33" i="40"/>
  <c r="A32" i="40"/>
  <c r="GS32" i="40"/>
  <c r="GS31" i="40"/>
  <c r="A30" i="40"/>
  <c r="GS29" i="40"/>
  <c r="A26" i="40"/>
  <c r="GS26" i="40" s="1"/>
  <c r="A28" i="40"/>
  <c r="A25" i="40"/>
  <c r="A27" i="40"/>
  <c r="FY27" i="40" s="1"/>
  <c r="GS27" i="40"/>
  <c r="GS25" i="40"/>
  <c r="A24" i="40"/>
  <c r="FO24" i="40" s="1"/>
  <c r="GS24" i="40"/>
  <c r="A23" i="40"/>
  <c r="GS23" i="40"/>
  <c r="A22" i="40"/>
  <c r="GI22" i="40" s="1"/>
  <c r="GS22" i="40"/>
  <c r="GT22" i="40" s="1"/>
  <c r="A21" i="40"/>
  <c r="GS21" i="40"/>
  <c r="A20" i="40"/>
  <c r="A19" i="40"/>
  <c r="GI19" i="40" s="1"/>
  <c r="GS19" i="40"/>
  <c r="A18" i="40"/>
  <c r="A17" i="40"/>
  <c r="FY17" i="40" s="1"/>
  <c r="GS17" i="40"/>
  <c r="A16" i="40"/>
  <c r="GS16" i="40"/>
  <c r="GI69" i="40"/>
  <c r="GI68" i="40"/>
  <c r="GI66" i="40"/>
  <c r="GI65" i="40"/>
  <c r="GI64" i="40"/>
  <c r="GJ64" i="40" s="1"/>
  <c r="GI62" i="40"/>
  <c r="GJ62" i="40"/>
  <c r="GI60" i="40"/>
  <c r="GI58" i="40"/>
  <c r="GJ58" i="40" s="1"/>
  <c r="GI57" i="40"/>
  <c r="GJ57" i="40"/>
  <c r="GI56" i="40"/>
  <c r="GJ56" i="40" s="1"/>
  <c r="GI55" i="40"/>
  <c r="GI54" i="40"/>
  <c r="GJ54" i="40"/>
  <c r="GI52" i="40"/>
  <c r="GI51" i="40"/>
  <c r="GI49" i="40"/>
  <c r="GI48" i="40"/>
  <c r="GI47" i="40"/>
  <c r="GI46" i="40"/>
  <c r="GI44" i="40"/>
  <c r="GI43" i="40"/>
  <c r="GI42" i="40"/>
  <c r="GI40" i="40"/>
  <c r="GI39" i="40"/>
  <c r="GI38" i="40"/>
  <c r="GI36" i="40"/>
  <c r="GI35" i="40"/>
  <c r="GI34" i="40"/>
  <c r="GI32" i="40"/>
  <c r="GI31" i="40"/>
  <c r="GI29" i="40"/>
  <c r="GI27" i="40"/>
  <c r="GI25" i="40"/>
  <c r="GI24" i="40"/>
  <c r="GI23" i="40"/>
  <c r="GI21" i="40"/>
  <c r="GI20" i="40"/>
  <c r="GJ20" i="40" s="1"/>
  <c r="GI17" i="40"/>
  <c r="GI16" i="40"/>
  <c r="FY69" i="40"/>
  <c r="FY67" i="40"/>
  <c r="FZ67" i="40" s="1"/>
  <c r="FY66" i="40"/>
  <c r="FZ66" i="40"/>
  <c r="FY65" i="40"/>
  <c r="FY64" i="40"/>
  <c r="FY62" i="40"/>
  <c r="FZ62" i="40"/>
  <c r="FY61" i="40"/>
  <c r="FY60" i="40"/>
  <c r="FY58" i="40"/>
  <c r="FY57" i="40"/>
  <c r="FY55" i="40"/>
  <c r="FZ55" i="40"/>
  <c r="FY54" i="40"/>
  <c r="FZ54" i="40" s="1"/>
  <c r="FY53" i="40"/>
  <c r="FY51" i="40"/>
  <c r="FY49" i="40"/>
  <c r="FY48" i="40"/>
  <c r="FY47" i="40"/>
  <c r="FZ47" i="40" s="1"/>
  <c r="FY46" i="40"/>
  <c r="FY45" i="40"/>
  <c r="FY44" i="40"/>
  <c r="FY42" i="40"/>
  <c r="FY41" i="40"/>
  <c r="FY40" i="40"/>
  <c r="FY38" i="40"/>
  <c r="FY37" i="40"/>
  <c r="FY36" i="40"/>
  <c r="FY34" i="40"/>
  <c r="FY33" i="40"/>
  <c r="FY32" i="40"/>
  <c r="FY31" i="40"/>
  <c r="FY29" i="40"/>
  <c r="FY28" i="40"/>
  <c r="FY25" i="40"/>
  <c r="FY24" i="40"/>
  <c r="FY23" i="40"/>
  <c r="FY21" i="40"/>
  <c r="FY19" i="40"/>
  <c r="FY16" i="40"/>
  <c r="FO69" i="40"/>
  <c r="FP69" i="40"/>
  <c r="FO67" i="40"/>
  <c r="FO66" i="40"/>
  <c r="FP66" i="40" s="1"/>
  <c r="FO64" i="40"/>
  <c r="FP64" i="40"/>
  <c r="FO62" i="40"/>
  <c r="FO61" i="40"/>
  <c r="FP61" i="40" s="1"/>
  <c r="FO60" i="40"/>
  <c r="FO58" i="40"/>
  <c r="FO57" i="40"/>
  <c r="FP57" i="40" s="1"/>
  <c r="FO55" i="40"/>
  <c r="FO54" i="40"/>
  <c r="FP54" i="40" s="1"/>
  <c r="FO53" i="40"/>
  <c r="FP53" i="40"/>
  <c r="FO51" i="40"/>
  <c r="FO49" i="40"/>
  <c r="FO48" i="40"/>
  <c r="FP48" i="40" s="1"/>
  <c r="FO47" i="40"/>
  <c r="FO46" i="40"/>
  <c r="FO45" i="40"/>
  <c r="FO44" i="40"/>
  <c r="FO42" i="40"/>
  <c r="FO41" i="40"/>
  <c r="FO40" i="40"/>
  <c r="FO38" i="40"/>
  <c r="FO37" i="40"/>
  <c r="FO36" i="40"/>
  <c r="FO34" i="40"/>
  <c r="FO33" i="40"/>
  <c r="FO32" i="40"/>
  <c r="FO31" i="40"/>
  <c r="FO30" i="40"/>
  <c r="FO29" i="40"/>
  <c r="FO26" i="40"/>
  <c r="FO25" i="40"/>
  <c r="FO23" i="40"/>
  <c r="FO22" i="40"/>
  <c r="FO21" i="40"/>
  <c r="FO19" i="40"/>
  <c r="FO18" i="40"/>
  <c r="FP18" i="40" s="1"/>
  <c r="FO16" i="40"/>
  <c r="FE69" i="40"/>
  <c r="FE68" i="40"/>
  <c r="FE67" i="40"/>
  <c r="FF67" i="40"/>
  <c r="FE66" i="40"/>
  <c r="FF66" i="40"/>
  <c r="FE64" i="40"/>
  <c r="FF64" i="40"/>
  <c r="FE63" i="40"/>
  <c r="FE62" i="40"/>
  <c r="FE60" i="40"/>
  <c r="FE59" i="40"/>
  <c r="FE57" i="40"/>
  <c r="FE56" i="40"/>
  <c r="FE55" i="40"/>
  <c r="FE54" i="40"/>
  <c r="FE53" i="40"/>
  <c r="FE52" i="40"/>
  <c r="FE51" i="40"/>
  <c r="FE49" i="40"/>
  <c r="FE48" i="40"/>
  <c r="FF48" i="40" s="1"/>
  <c r="FE47" i="40"/>
  <c r="FF47" i="40"/>
  <c r="FE46" i="40"/>
  <c r="FE44" i="40"/>
  <c r="FE43" i="40"/>
  <c r="FE42" i="40"/>
  <c r="FE40" i="40"/>
  <c r="FE39" i="40"/>
  <c r="FE38" i="40"/>
  <c r="FE36" i="40"/>
  <c r="FE35" i="40"/>
  <c r="FE34" i="40"/>
  <c r="FE32" i="40"/>
  <c r="FE31" i="40"/>
  <c r="FE30" i="40"/>
  <c r="FE29" i="40"/>
  <c r="FE27" i="40"/>
  <c r="FE26" i="40"/>
  <c r="FE25" i="40"/>
  <c r="FE23" i="40"/>
  <c r="FE22" i="40"/>
  <c r="FE21" i="40"/>
  <c r="FE19" i="40"/>
  <c r="FF19" i="40" s="1"/>
  <c r="FE17" i="40"/>
  <c r="FF17" i="40" s="1"/>
  <c r="FE16" i="40"/>
  <c r="ET69" i="40"/>
  <c r="ET68" i="40"/>
  <c r="ET67" i="40"/>
  <c r="EU67" i="40"/>
  <c r="ET66" i="40"/>
  <c r="ET65" i="40"/>
  <c r="ET64" i="40"/>
  <c r="ET63" i="40"/>
  <c r="ET62" i="40"/>
  <c r="EU62" i="40"/>
  <c r="ET60" i="40"/>
  <c r="ET59" i="40"/>
  <c r="EU59" i="40"/>
  <c r="ET57" i="40"/>
  <c r="ET56" i="40"/>
  <c r="ET55" i="40"/>
  <c r="EU55" i="40" s="1"/>
  <c r="ET54" i="40"/>
  <c r="ET53" i="40"/>
  <c r="ET51" i="40"/>
  <c r="ET49" i="40"/>
  <c r="ET48" i="40"/>
  <c r="ET47" i="40"/>
  <c r="EU47" i="40"/>
  <c r="ET46" i="40"/>
  <c r="ET45" i="40"/>
  <c r="ET44" i="40"/>
  <c r="ET43" i="40"/>
  <c r="ET42" i="40"/>
  <c r="ET41" i="40"/>
  <c r="ET40" i="40"/>
  <c r="ET39" i="40"/>
  <c r="ET38" i="40"/>
  <c r="ET37" i="40"/>
  <c r="ET36" i="40"/>
  <c r="ET35" i="40"/>
  <c r="ET34" i="40"/>
  <c r="ET33" i="40"/>
  <c r="ET32" i="40"/>
  <c r="ET31" i="40"/>
  <c r="ET30" i="40"/>
  <c r="ET29" i="40"/>
  <c r="ET26" i="40"/>
  <c r="ET25" i="40"/>
  <c r="ET23" i="40"/>
  <c r="ET22" i="40"/>
  <c r="EU22" i="40" s="1"/>
  <c r="ET21" i="40"/>
  <c r="ET19" i="40"/>
  <c r="EU19" i="40"/>
  <c r="ET17" i="40"/>
  <c r="ET16" i="40"/>
  <c r="EJ69" i="40"/>
  <c r="EJ67" i="40"/>
  <c r="EK67" i="40" s="1"/>
  <c r="EJ66" i="40"/>
  <c r="EK66" i="40"/>
  <c r="EJ65" i="40"/>
  <c r="EJ64" i="40"/>
  <c r="EJ63" i="40"/>
  <c r="EJ62" i="40"/>
  <c r="EK62" i="40"/>
  <c r="EJ61" i="40"/>
  <c r="EJ60" i="40"/>
  <c r="EJ58" i="40"/>
  <c r="EK58" i="40"/>
  <c r="EJ57" i="40"/>
  <c r="EJ56" i="40"/>
  <c r="EJ55" i="40"/>
  <c r="EJ54" i="40"/>
  <c r="EK54" i="40" s="1"/>
  <c r="EJ53" i="40"/>
  <c r="EJ51" i="40"/>
  <c r="EJ49" i="40"/>
  <c r="EJ48" i="40"/>
  <c r="EJ47" i="40"/>
  <c r="EK47" i="40"/>
  <c r="EJ46" i="40"/>
  <c r="EJ45" i="40"/>
  <c r="EJ44" i="40"/>
  <c r="EJ43" i="40"/>
  <c r="EJ42" i="40"/>
  <c r="EJ41" i="40"/>
  <c r="EJ40" i="40"/>
  <c r="EJ39" i="40"/>
  <c r="EJ38" i="40"/>
  <c r="EJ37" i="40"/>
  <c r="EJ36" i="40"/>
  <c r="EJ35" i="40"/>
  <c r="EJ34" i="40"/>
  <c r="EJ33" i="40"/>
  <c r="EJ32" i="40"/>
  <c r="EJ31" i="40"/>
  <c r="EJ30" i="40"/>
  <c r="EJ29" i="40"/>
  <c r="EJ27" i="40"/>
  <c r="EJ26" i="40"/>
  <c r="EJ25" i="40"/>
  <c r="EJ23" i="40"/>
  <c r="EJ22" i="40"/>
  <c r="EJ21" i="40"/>
  <c r="EJ19" i="40"/>
  <c r="EK19" i="40" s="1"/>
  <c r="EJ17" i="40"/>
  <c r="EJ16" i="40"/>
  <c r="DZ69" i="40"/>
  <c r="DZ67" i="40"/>
  <c r="DZ66" i="40"/>
  <c r="EA66" i="40" s="1"/>
  <c r="DZ65" i="40"/>
  <c r="DZ64" i="40"/>
  <c r="DZ63" i="40"/>
  <c r="DZ62" i="40"/>
  <c r="EA62" i="40" s="1"/>
  <c r="DZ61" i="40"/>
  <c r="DZ60" i="40"/>
  <c r="DZ59" i="40"/>
  <c r="EA59" i="40" s="1"/>
  <c r="DZ58" i="40"/>
  <c r="EA58" i="40"/>
  <c r="DZ57" i="40"/>
  <c r="EA57" i="40"/>
  <c r="DZ56" i="40"/>
  <c r="EA56" i="40"/>
  <c r="DZ55" i="40"/>
  <c r="DZ54" i="40"/>
  <c r="DZ53" i="40"/>
  <c r="DZ51" i="40"/>
  <c r="DZ50" i="40"/>
  <c r="DZ49" i="40"/>
  <c r="DZ48" i="40"/>
  <c r="DZ47" i="40"/>
  <c r="EA47" i="40"/>
  <c r="DZ46" i="40"/>
  <c r="DZ45" i="40"/>
  <c r="DZ44" i="40"/>
  <c r="DZ43" i="40"/>
  <c r="DZ42" i="40"/>
  <c r="DZ41" i="40"/>
  <c r="DZ40" i="40"/>
  <c r="DZ39" i="40"/>
  <c r="DZ38" i="40"/>
  <c r="DZ37" i="40"/>
  <c r="DZ36" i="40"/>
  <c r="DZ35" i="40"/>
  <c r="DZ34" i="40"/>
  <c r="DZ33" i="40"/>
  <c r="DZ32" i="40"/>
  <c r="DZ31" i="40"/>
  <c r="DZ29" i="40"/>
  <c r="DZ27" i="40"/>
  <c r="DZ26" i="40"/>
  <c r="DZ25" i="40"/>
  <c r="DZ24" i="40"/>
  <c r="DZ23" i="40"/>
  <c r="DZ22" i="40"/>
  <c r="EA22" i="40"/>
  <c r="DZ21" i="40"/>
  <c r="DZ20" i="40"/>
  <c r="DZ19" i="40"/>
  <c r="EA19" i="40"/>
  <c r="DZ17" i="40"/>
  <c r="DZ16" i="40"/>
  <c r="DP69" i="40"/>
  <c r="DP68" i="40"/>
  <c r="DQ68" i="40"/>
  <c r="DP67" i="40"/>
  <c r="DP66" i="40"/>
  <c r="DQ66" i="40" s="1"/>
  <c r="DP65" i="40"/>
  <c r="DP64" i="40"/>
  <c r="DQ64" i="40"/>
  <c r="DP63" i="40"/>
  <c r="DP62" i="40"/>
  <c r="DP60" i="40"/>
  <c r="DP59" i="40"/>
  <c r="DP58" i="40"/>
  <c r="DQ58" i="40" s="1"/>
  <c r="DP57" i="40"/>
  <c r="DQ57" i="40"/>
  <c r="DP56" i="40"/>
  <c r="DQ56" i="40" s="1"/>
  <c r="DP55" i="40"/>
  <c r="DP54" i="40"/>
  <c r="DQ54" i="40"/>
  <c r="DP53" i="40"/>
  <c r="DP51" i="40"/>
  <c r="DP50" i="40"/>
  <c r="DP49" i="40"/>
  <c r="DP48" i="40"/>
  <c r="DQ48" i="40"/>
  <c r="DP47" i="40"/>
  <c r="DQ47" i="40" s="1"/>
  <c r="DP46" i="40"/>
  <c r="DP45" i="40"/>
  <c r="DP44" i="40"/>
  <c r="DP43" i="40"/>
  <c r="DP42" i="40"/>
  <c r="DP41" i="40"/>
  <c r="DP40" i="40"/>
  <c r="DP39" i="40"/>
  <c r="DP38" i="40"/>
  <c r="DP37" i="40"/>
  <c r="DP36" i="40"/>
  <c r="DP35" i="40"/>
  <c r="DP34" i="40"/>
  <c r="DP33" i="40"/>
  <c r="DP32" i="40"/>
  <c r="DP31" i="40"/>
  <c r="DP30" i="40"/>
  <c r="DP29" i="40"/>
  <c r="DP27" i="40"/>
  <c r="DP26" i="40"/>
  <c r="DP25" i="40"/>
  <c r="DP24" i="40"/>
  <c r="DP23" i="40"/>
  <c r="DP22" i="40"/>
  <c r="DQ22" i="40"/>
  <c r="DP21" i="40"/>
  <c r="DP20" i="40"/>
  <c r="DQ20" i="40"/>
  <c r="DP19" i="40"/>
  <c r="DP17" i="40"/>
  <c r="DP16" i="40"/>
  <c r="DF69" i="40"/>
  <c r="DF68" i="40"/>
  <c r="DF67" i="40"/>
  <c r="DF66" i="40"/>
  <c r="DG66" i="40" s="1"/>
  <c r="DF65" i="40"/>
  <c r="DF64" i="40"/>
  <c r="DG64" i="40"/>
  <c r="DF63" i="40"/>
  <c r="DF62" i="40"/>
  <c r="DG62" i="40"/>
  <c r="DF61" i="40"/>
  <c r="DF60" i="40"/>
  <c r="DF59" i="40"/>
  <c r="DF58" i="40"/>
  <c r="DG58" i="40"/>
  <c r="DF57" i="40"/>
  <c r="DF56" i="40"/>
  <c r="DF55" i="40"/>
  <c r="DG55" i="40"/>
  <c r="DF54" i="40"/>
  <c r="DF53" i="40"/>
  <c r="DF51" i="40"/>
  <c r="DF50" i="40"/>
  <c r="DF49" i="40"/>
  <c r="DF48" i="40"/>
  <c r="DG48" i="40" s="1"/>
  <c r="DF47" i="40"/>
  <c r="DG47" i="40"/>
  <c r="DF46" i="40"/>
  <c r="DF45" i="40"/>
  <c r="DF44" i="40"/>
  <c r="DF43" i="40"/>
  <c r="DF42" i="40"/>
  <c r="DF41" i="40"/>
  <c r="DF40" i="40"/>
  <c r="DF39" i="40"/>
  <c r="DF38" i="40"/>
  <c r="DF37" i="40"/>
  <c r="DF36" i="40"/>
  <c r="DF35" i="40"/>
  <c r="DF34" i="40"/>
  <c r="DF33" i="40"/>
  <c r="DF32" i="40"/>
  <c r="DF31" i="40"/>
  <c r="DF30" i="40"/>
  <c r="DF29" i="40"/>
  <c r="DF27" i="40"/>
  <c r="DF26" i="40"/>
  <c r="DF25" i="40"/>
  <c r="DF24" i="40"/>
  <c r="DF23" i="40"/>
  <c r="DF22" i="40"/>
  <c r="DG22" i="40" s="1"/>
  <c r="DF21" i="40"/>
  <c r="DG21" i="40"/>
  <c r="DF20" i="40"/>
  <c r="DG20" i="40" s="1"/>
  <c r="DF19" i="40"/>
  <c r="DF17" i="40"/>
  <c r="DF16" i="40"/>
  <c r="CU69" i="40"/>
  <c r="CU68" i="40"/>
  <c r="CV68" i="40"/>
  <c r="CU67" i="40"/>
  <c r="CU66" i="40"/>
  <c r="CV66" i="40"/>
  <c r="CU65" i="40"/>
  <c r="CU64" i="40"/>
  <c r="CU63" i="40"/>
  <c r="CU62" i="40"/>
  <c r="CV62" i="40"/>
  <c r="CU61" i="40"/>
  <c r="CU60" i="40"/>
  <c r="CU59" i="40"/>
  <c r="CU58" i="40"/>
  <c r="CU57" i="40"/>
  <c r="CV57" i="40" s="1"/>
  <c r="CU56" i="40"/>
  <c r="CV56" i="40"/>
  <c r="CU55" i="40"/>
  <c r="CU54" i="40"/>
  <c r="CV54" i="40"/>
  <c r="CU53" i="40"/>
  <c r="CV53" i="40" s="1"/>
  <c r="CU52" i="40"/>
  <c r="CV52" i="40" s="1"/>
  <c r="CU51" i="40"/>
  <c r="CU50" i="40"/>
  <c r="CU49" i="40"/>
  <c r="CU48" i="40"/>
  <c r="CV48" i="40"/>
  <c r="CU47" i="40"/>
  <c r="CU46" i="40"/>
  <c r="CU45" i="40"/>
  <c r="CU44" i="40"/>
  <c r="CU43" i="40"/>
  <c r="CU42" i="40"/>
  <c r="CU41" i="40"/>
  <c r="CU40" i="40"/>
  <c r="CU39" i="40"/>
  <c r="CU38" i="40"/>
  <c r="CU37" i="40"/>
  <c r="CU36" i="40"/>
  <c r="CU35" i="40"/>
  <c r="CU34" i="40"/>
  <c r="CU33" i="40"/>
  <c r="CU32" i="40"/>
  <c r="CU31" i="40"/>
  <c r="CU30" i="40"/>
  <c r="CU29" i="40"/>
  <c r="CU27" i="40"/>
  <c r="CU26" i="40"/>
  <c r="CU25" i="40"/>
  <c r="CU24" i="40"/>
  <c r="CU23" i="40"/>
  <c r="CU22" i="40"/>
  <c r="CV22" i="40" s="1"/>
  <c r="CU21" i="40"/>
  <c r="CU20" i="40"/>
  <c r="CV20" i="40" s="1"/>
  <c r="CU19" i="40"/>
  <c r="CV19" i="40"/>
  <c r="CU18" i="40"/>
  <c r="CV18" i="40" s="1"/>
  <c r="CU17" i="40"/>
  <c r="CV17" i="40"/>
  <c r="CU16" i="40"/>
  <c r="CK69" i="40"/>
  <c r="CK68" i="40"/>
  <c r="CK67" i="40"/>
  <c r="CL67" i="40"/>
  <c r="CK66" i="40"/>
  <c r="CL66" i="40" s="1"/>
  <c r="CK65" i="40"/>
  <c r="CK64" i="40"/>
  <c r="CK63" i="40"/>
  <c r="CK62" i="40"/>
  <c r="CL62" i="40"/>
  <c r="CK61" i="40"/>
  <c r="CK60" i="40"/>
  <c r="CK59" i="40"/>
  <c r="CK58" i="40"/>
  <c r="CL58" i="40"/>
  <c r="CK57" i="40"/>
  <c r="CK56" i="40"/>
  <c r="CK55" i="40"/>
  <c r="CL55" i="40"/>
  <c r="CK54" i="40"/>
  <c r="CK53" i="40"/>
  <c r="CK51" i="40"/>
  <c r="CK50" i="40"/>
  <c r="CK49" i="40"/>
  <c r="CK48" i="40"/>
  <c r="CK47" i="40"/>
  <c r="CK46" i="40"/>
  <c r="CK45" i="40"/>
  <c r="CK44" i="40"/>
  <c r="CK43" i="40"/>
  <c r="CK42" i="40"/>
  <c r="CK41" i="40"/>
  <c r="CK40" i="40"/>
  <c r="CK39" i="40"/>
  <c r="CK38" i="40"/>
  <c r="CK37" i="40"/>
  <c r="CK36" i="40"/>
  <c r="CK35" i="40"/>
  <c r="CK34" i="40"/>
  <c r="CK33" i="40"/>
  <c r="CK32" i="40"/>
  <c r="CK31" i="40"/>
  <c r="CK30" i="40"/>
  <c r="CK29" i="40"/>
  <c r="CK28" i="40"/>
  <c r="CK27" i="40"/>
  <c r="CK26" i="40"/>
  <c r="CK25" i="40"/>
  <c r="CK24" i="40"/>
  <c r="CK23" i="40"/>
  <c r="CK22" i="40"/>
  <c r="CL22" i="40"/>
  <c r="CK21" i="40"/>
  <c r="CK20" i="40"/>
  <c r="CK19" i="40"/>
  <c r="CL19" i="40"/>
  <c r="CK18" i="40"/>
  <c r="CL18" i="40" s="1"/>
  <c r="CK17" i="40"/>
  <c r="CK16" i="40"/>
  <c r="CA69" i="40"/>
  <c r="CA68" i="40"/>
  <c r="CA67" i="40"/>
  <c r="CB67" i="40"/>
  <c r="CA66" i="40"/>
  <c r="CA65" i="40"/>
  <c r="CA64" i="40"/>
  <c r="CA63" i="40"/>
  <c r="CA62" i="40"/>
  <c r="CB62" i="40" s="1"/>
  <c r="CA61" i="40"/>
  <c r="CA60" i="40"/>
  <c r="CA59" i="40"/>
  <c r="CB59" i="40" s="1"/>
  <c r="CA58" i="40"/>
  <c r="CB58" i="40"/>
  <c r="CA57" i="40"/>
  <c r="CA56" i="40"/>
  <c r="CA55" i="40"/>
  <c r="CA54" i="40"/>
  <c r="CB54" i="40"/>
  <c r="CA53" i="40"/>
  <c r="CA51" i="40"/>
  <c r="CA50" i="40"/>
  <c r="CA49" i="40"/>
  <c r="CA48" i="40"/>
  <c r="CA47" i="40"/>
  <c r="CA46" i="40"/>
  <c r="CA45" i="40"/>
  <c r="CA44" i="40"/>
  <c r="CA43" i="40"/>
  <c r="CA42" i="40"/>
  <c r="CA41" i="40"/>
  <c r="CA40" i="40"/>
  <c r="CA39" i="40"/>
  <c r="CA38" i="40"/>
  <c r="CA37" i="40"/>
  <c r="CA36" i="40"/>
  <c r="CA35" i="40"/>
  <c r="CA34" i="40"/>
  <c r="CA33" i="40"/>
  <c r="CA32" i="40"/>
  <c r="CA31" i="40"/>
  <c r="CA30" i="40"/>
  <c r="CA29" i="40"/>
  <c r="CA27" i="40"/>
  <c r="CA26" i="40"/>
  <c r="CA25" i="40"/>
  <c r="CA24" i="40"/>
  <c r="CA23" i="40"/>
  <c r="CA22" i="40"/>
  <c r="CB22" i="40" s="1"/>
  <c r="CA21" i="40"/>
  <c r="CA20" i="40"/>
  <c r="CB20" i="40"/>
  <c r="CA19" i="40"/>
  <c r="CB19" i="40" s="1"/>
  <c r="CA17" i="40"/>
  <c r="CA16" i="40"/>
  <c r="BQ69" i="40"/>
  <c r="BQ68" i="40"/>
  <c r="BQ67" i="40"/>
  <c r="BR67" i="40" s="1"/>
  <c r="BQ66" i="40"/>
  <c r="BQ65" i="40"/>
  <c r="BQ64" i="40"/>
  <c r="BQ63" i="40"/>
  <c r="BQ62" i="40"/>
  <c r="BR62" i="40"/>
  <c r="BQ61" i="40"/>
  <c r="BQ60" i="40"/>
  <c r="BQ59" i="40"/>
  <c r="BQ58" i="40"/>
  <c r="BR58" i="40" s="1"/>
  <c r="BQ57" i="40"/>
  <c r="BQ56" i="40"/>
  <c r="BQ55" i="40"/>
  <c r="BR55" i="40" s="1"/>
  <c r="BQ54" i="40"/>
  <c r="BR54" i="40"/>
  <c r="BQ53" i="40"/>
  <c r="BQ52" i="40"/>
  <c r="BQ51" i="40"/>
  <c r="BQ50" i="40"/>
  <c r="BQ49" i="40"/>
  <c r="BQ48" i="40"/>
  <c r="BQ47" i="40"/>
  <c r="BQ46" i="40"/>
  <c r="BQ45" i="40"/>
  <c r="BQ44" i="40"/>
  <c r="BQ43" i="40"/>
  <c r="BQ42" i="40"/>
  <c r="BQ41" i="40"/>
  <c r="BQ40" i="40"/>
  <c r="BQ39" i="40"/>
  <c r="BQ38" i="40"/>
  <c r="BQ37" i="40"/>
  <c r="BQ36" i="40"/>
  <c r="BQ35" i="40"/>
  <c r="BQ34" i="40"/>
  <c r="BQ33" i="40"/>
  <c r="BQ32" i="40"/>
  <c r="BQ31" i="40"/>
  <c r="BQ30" i="40"/>
  <c r="BQ29" i="40"/>
  <c r="BQ28" i="40"/>
  <c r="BQ27" i="40"/>
  <c r="BQ26" i="40"/>
  <c r="BQ25" i="40"/>
  <c r="BQ24" i="40"/>
  <c r="BQ22" i="40"/>
  <c r="BR22" i="40"/>
  <c r="BQ21" i="40"/>
  <c r="BQ20" i="40"/>
  <c r="BR20" i="40"/>
  <c r="BQ19" i="40"/>
  <c r="BR19" i="40" s="1"/>
  <c r="BQ17" i="40"/>
  <c r="BQ16" i="40"/>
  <c r="BG69" i="40"/>
  <c r="BG68" i="40"/>
  <c r="BH68" i="40"/>
  <c r="BG67" i="40"/>
  <c r="BG66" i="40"/>
  <c r="BG65" i="40"/>
  <c r="BG64" i="40"/>
  <c r="BG63" i="40"/>
  <c r="BG62" i="40"/>
  <c r="BG61" i="40"/>
  <c r="BH61" i="40"/>
  <c r="BG60" i="40"/>
  <c r="BG59" i="40"/>
  <c r="BG58" i="40"/>
  <c r="BH58" i="40"/>
  <c r="BG57" i="40"/>
  <c r="BG56" i="40"/>
  <c r="BH56" i="40"/>
  <c r="BG55" i="40"/>
  <c r="BG54" i="40"/>
  <c r="BH54" i="40" s="1"/>
  <c r="BG53" i="40"/>
  <c r="BH53" i="40"/>
  <c r="BG52" i="40"/>
  <c r="BG51" i="40"/>
  <c r="BG50" i="40"/>
  <c r="BG49" i="40"/>
  <c r="BG48" i="40"/>
  <c r="BG47" i="40"/>
  <c r="BG46" i="40"/>
  <c r="BG45" i="40"/>
  <c r="BG44" i="40"/>
  <c r="BG43" i="40"/>
  <c r="BG42" i="40"/>
  <c r="BG41" i="40"/>
  <c r="BG40" i="40"/>
  <c r="BG39" i="40"/>
  <c r="BG38" i="40"/>
  <c r="BG37" i="40"/>
  <c r="BG36" i="40"/>
  <c r="BG35" i="40"/>
  <c r="BG34" i="40"/>
  <c r="BG33" i="40"/>
  <c r="BG32" i="40"/>
  <c r="BG31" i="40"/>
  <c r="BG30" i="40"/>
  <c r="BG29" i="40"/>
  <c r="BG28" i="40"/>
  <c r="BG27" i="40"/>
  <c r="BG26" i="40"/>
  <c r="BG25" i="40"/>
  <c r="BG24" i="40"/>
  <c r="BG23" i="40"/>
  <c r="BG22" i="40"/>
  <c r="BH22" i="40"/>
  <c r="BG21" i="40"/>
  <c r="BG20" i="40"/>
  <c r="BH20" i="40"/>
  <c r="BG19" i="40"/>
  <c r="BH19" i="40" s="1"/>
  <c r="BG17" i="40"/>
  <c r="BG16" i="40"/>
  <c r="AV69" i="40"/>
  <c r="AV68" i="40"/>
  <c r="AV67" i="40"/>
  <c r="AV66" i="40"/>
  <c r="AW66" i="40" s="1"/>
  <c r="D9" i="40"/>
  <c r="E9" i="40"/>
  <c r="F9" i="40" s="1"/>
  <c r="G9" i="40" s="1"/>
  <c r="H9" i="40" s="1"/>
  <c r="I9" i="40" s="1"/>
  <c r="J9" i="40" s="1"/>
  <c r="K9" i="40" s="1"/>
  <c r="L9" i="40" s="1"/>
  <c r="M9" i="40" s="1"/>
  <c r="N9" i="40" s="1"/>
  <c r="O9" i="40" s="1"/>
  <c r="P9" i="40" s="1"/>
  <c r="Q9" i="40" s="1"/>
  <c r="R9" i="40" s="1"/>
  <c r="S9" i="40" s="1"/>
  <c r="T9" i="40" s="1"/>
  <c r="U9" i="40" s="1"/>
  <c r="V9" i="40" s="1"/>
  <c r="W9" i="40" s="1"/>
  <c r="X9" i="40" s="1"/>
  <c r="Y9" i="40" s="1"/>
  <c r="Z9" i="40" s="1"/>
  <c r="AA9" i="40" s="1"/>
  <c r="AB9" i="40" s="1"/>
  <c r="AC9" i="40" s="1"/>
  <c r="AV65" i="40"/>
  <c r="AV64" i="40"/>
  <c r="AV63" i="40"/>
  <c r="AV62" i="40"/>
  <c r="AW62" i="40"/>
  <c r="AV61" i="40"/>
  <c r="AW61" i="40" s="1"/>
  <c r="E41" i="29" s="1"/>
  <c r="AV60" i="40"/>
  <c r="AV59" i="40"/>
  <c r="AW59" i="40" s="1"/>
  <c r="AV58" i="40"/>
  <c r="AV57" i="40"/>
  <c r="AW57" i="40"/>
  <c r="AV56" i="40"/>
  <c r="AV55" i="40"/>
  <c r="AW55" i="40"/>
  <c r="AV54" i="40"/>
  <c r="AW54" i="40" s="1"/>
  <c r="E34" i="29" s="1"/>
  <c r="AV53" i="40"/>
  <c r="AV52" i="40"/>
  <c r="AV51" i="40"/>
  <c r="AV50" i="40"/>
  <c r="AV49" i="40"/>
  <c r="AV48" i="40"/>
  <c r="AV47" i="40"/>
  <c r="AW47" i="40" s="1"/>
  <c r="AV46" i="40"/>
  <c r="AV45" i="40"/>
  <c r="AV44" i="40"/>
  <c r="AV43" i="40"/>
  <c r="AV42" i="40"/>
  <c r="AV41" i="40"/>
  <c r="AV40" i="40"/>
  <c r="AV39" i="40"/>
  <c r="AV38" i="40"/>
  <c r="AV37" i="40"/>
  <c r="AV36" i="40"/>
  <c r="AV35" i="40"/>
  <c r="AV34" i="40"/>
  <c r="AV33" i="40"/>
  <c r="AV32" i="40"/>
  <c r="AV31" i="40"/>
  <c r="AV30" i="40"/>
  <c r="AV29" i="40"/>
  <c r="AV28" i="40"/>
  <c r="AV27" i="40"/>
  <c r="AV26" i="40"/>
  <c r="AV25" i="40"/>
  <c r="AV24" i="40"/>
  <c r="AV23" i="40"/>
  <c r="AV22" i="40"/>
  <c r="AW22" i="40"/>
  <c r="AV21" i="40"/>
  <c r="AW21" i="40" s="1"/>
  <c r="E7" i="29" s="1"/>
  <c r="AV20" i="40"/>
  <c r="AV19" i="40"/>
  <c r="AW19" i="40"/>
  <c r="AV17" i="40"/>
  <c r="AV16" i="40"/>
  <c r="AL69" i="40"/>
  <c r="AL68" i="40"/>
  <c r="AM68" i="40"/>
  <c r="AL67" i="40"/>
  <c r="AM67" i="40" s="1"/>
  <c r="AL66" i="40"/>
  <c r="AL65" i="40"/>
  <c r="AL64" i="40"/>
  <c r="AM64" i="40" s="1"/>
  <c r="AL63" i="40"/>
  <c r="AL62" i="40"/>
  <c r="AL61" i="40"/>
  <c r="AM61" i="40" s="1"/>
  <c r="AL60" i="40"/>
  <c r="AL59" i="40"/>
  <c r="AM59" i="40"/>
  <c r="AL58" i="40"/>
  <c r="AL57" i="40"/>
  <c r="AM57" i="40"/>
  <c r="AL56" i="40"/>
  <c r="AL55" i="40"/>
  <c r="AM55" i="40"/>
  <c r="AL54" i="40"/>
  <c r="AM54" i="40"/>
  <c r="AL53" i="40"/>
  <c r="AL52" i="40"/>
  <c r="AL51" i="40"/>
  <c r="AL50" i="40"/>
  <c r="AL49" i="40"/>
  <c r="AL48" i="40"/>
  <c r="AL47" i="40"/>
  <c r="AM47" i="40"/>
  <c r="AL46" i="40"/>
  <c r="AL45" i="40"/>
  <c r="AL44" i="40"/>
  <c r="AL43" i="40"/>
  <c r="AL42" i="40"/>
  <c r="AL41" i="40"/>
  <c r="AL40" i="40"/>
  <c r="AL39" i="40"/>
  <c r="AL38" i="40"/>
  <c r="AL37" i="40"/>
  <c r="AL36" i="40"/>
  <c r="AL35" i="40"/>
  <c r="AL34" i="40"/>
  <c r="AL33" i="40"/>
  <c r="AL32" i="40"/>
  <c r="AL31" i="40"/>
  <c r="AL30" i="40"/>
  <c r="AL29" i="40"/>
  <c r="AL28" i="40"/>
  <c r="AL27" i="40"/>
  <c r="AL26" i="40"/>
  <c r="AL25" i="40"/>
  <c r="AL24" i="40"/>
  <c r="AL23" i="40"/>
  <c r="AL22" i="40"/>
  <c r="AM22" i="40"/>
  <c r="AL21" i="40"/>
  <c r="AL20" i="40"/>
  <c r="AM20" i="40" s="1"/>
  <c r="AL19" i="40"/>
  <c r="AL18" i="40"/>
  <c r="AM18" i="40"/>
  <c r="AL17" i="40"/>
  <c r="AM17" i="40"/>
  <c r="AL16" i="40"/>
  <c r="AB69" i="40"/>
  <c r="AB68" i="40"/>
  <c r="AB67" i="40"/>
  <c r="AC67" i="40"/>
  <c r="AB66" i="40"/>
  <c r="AC66" i="40" s="1"/>
  <c r="AB65" i="40"/>
  <c r="AB64" i="40"/>
  <c r="AB63" i="40"/>
  <c r="AB62" i="40"/>
  <c r="AC62" i="40"/>
  <c r="AB61" i="40"/>
  <c r="AB60" i="40"/>
  <c r="AB59" i="40"/>
  <c r="AC59" i="40"/>
  <c r="AB58" i="40"/>
  <c r="AC58" i="40" s="1"/>
  <c r="AB57" i="40"/>
  <c r="AB56" i="40"/>
  <c r="AB55" i="40"/>
  <c r="AC55" i="40" s="1"/>
  <c r="AB54" i="40"/>
  <c r="AC54" i="40"/>
  <c r="AB53" i="40"/>
  <c r="AB52" i="40"/>
  <c r="AC52" i="40" s="1"/>
  <c r="AB51" i="40"/>
  <c r="AB50" i="40"/>
  <c r="AB49" i="40"/>
  <c r="AB48" i="40"/>
  <c r="AC48" i="40"/>
  <c r="AB47" i="40"/>
  <c r="AB46" i="40"/>
  <c r="AB45" i="40"/>
  <c r="AB44" i="40"/>
  <c r="AB43" i="40"/>
  <c r="AB42" i="40"/>
  <c r="AB41" i="40"/>
  <c r="AB40" i="40"/>
  <c r="AB39" i="40"/>
  <c r="AB38" i="40"/>
  <c r="AB37" i="40"/>
  <c r="AB36" i="40"/>
  <c r="AB35" i="40"/>
  <c r="AB34" i="40"/>
  <c r="AB33" i="40"/>
  <c r="AB32" i="40"/>
  <c r="AB31" i="40"/>
  <c r="AB30" i="40"/>
  <c r="AB29" i="40"/>
  <c r="AB28" i="40"/>
  <c r="AB27" i="40"/>
  <c r="AB26" i="40"/>
  <c r="AB25" i="40"/>
  <c r="AB24" i="40"/>
  <c r="AB23" i="40"/>
  <c r="AB22" i="40"/>
  <c r="AC22" i="40" s="1"/>
  <c r="AB21" i="40"/>
  <c r="AB20" i="40"/>
  <c r="AB19" i="40"/>
  <c r="AC19" i="40" s="1"/>
  <c r="AB18" i="40"/>
  <c r="AC18" i="40"/>
  <c r="AB17" i="40"/>
  <c r="AC17" i="40" s="1"/>
  <c r="AB16" i="40"/>
  <c r="R69" i="40"/>
  <c r="R68" i="40"/>
  <c r="S68" i="40" s="1"/>
  <c r="R67" i="40"/>
  <c r="S67" i="40"/>
  <c r="R66" i="40"/>
  <c r="S66" i="40" s="1"/>
  <c r="R65" i="40"/>
  <c r="R64" i="40"/>
  <c r="R63" i="40"/>
  <c r="R62" i="40"/>
  <c r="S62" i="40"/>
  <c r="R61" i="40"/>
  <c r="R60" i="40"/>
  <c r="R59" i="40"/>
  <c r="S59" i="40"/>
  <c r="R58" i="40"/>
  <c r="R57" i="40"/>
  <c r="R56" i="40"/>
  <c r="R55" i="40"/>
  <c r="R54" i="40"/>
  <c r="S54" i="40"/>
  <c r="R53" i="40"/>
  <c r="R52" i="40"/>
  <c r="R51" i="40"/>
  <c r="R50" i="40"/>
  <c r="R49" i="40"/>
  <c r="R48" i="40"/>
  <c r="R47" i="40"/>
  <c r="S47" i="40"/>
  <c r="R46" i="40"/>
  <c r="R45" i="40"/>
  <c r="R44" i="40"/>
  <c r="R43" i="40"/>
  <c r="R42" i="40"/>
  <c r="R41" i="40"/>
  <c r="R40" i="40"/>
  <c r="R39" i="40"/>
  <c r="R38" i="40"/>
  <c r="R37" i="40"/>
  <c r="R36" i="40"/>
  <c r="R35" i="40"/>
  <c r="R34" i="40"/>
  <c r="R33" i="40"/>
  <c r="R32" i="40"/>
  <c r="R31" i="40"/>
  <c r="R30" i="40"/>
  <c r="R29" i="40"/>
  <c r="R28" i="40"/>
  <c r="R27" i="40"/>
  <c r="R26" i="40"/>
  <c r="R25" i="40"/>
  <c r="R24" i="40"/>
  <c r="R23" i="40"/>
  <c r="R22" i="40"/>
  <c r="S22" i="40"/>
  <c r="R21" i="40"/>
  <c r="R20" i="40"/>
  <c r="R19" i="40"/>
  <c r="S19" i="40"/>
  <c r="R18" i="40"/>
  <c r="R17" i="40"/>
  <c r="R16" i="40"/>
  <c r="H17" i="40"/>
  <c r="H18" i="40"/>
  <c r="H19" i="40"/>
  <c r="EV19" i="40" s="1"/>
  <c r="H20" i="40"/>
  <c r="GW20" i="40"/>
  <c r="H21" i="40"/>
  <c r="H22" i="40"/>
  <c r="H23" i="40"/>
  <c r="H24" i="40"/>
  <c r="H25" i="40"/>
  <c r="H26" i="40"/>
  <c r="H27" i="40"/>
  <c r="H28" i="40"/>
  <c r="H29" i="40"/>
  <c r="H30" i="40"/>
  <c r="H31" i="40"/>
  <c r="H32" i="40"/>
  <c r="H33" i="40"/>
  <c r="H34" i="40"/>
  <c r="H35" i="40"/>
  <c r="H36" i="40"/>
  <c r="H37" i="40"/>
  <c r="H38" i="40"/>
  <c r="H39" i="40"/>
  <c r="H40" i="40"/>
  <c r="H41" i="40"/>
  <c r="H42" i="40"/>
  <c r="H43" i="40"/>
  <c r="H44" i="40"/>
  <c r="H45" i="40"/>
  <c r="H46" i="40"/>
  <c r="H47" i="40"/>
  <c r="H48" i="40"/>
  <c r="H49" i="40"/>
  <c r="H50" i="40"/>
  <c r="H51" i="40"/>
  <c r="H52" i="40"/>
  <c r="BS52" i="40"/>
  <c r="H53" i="40"/>
  <c r="H54" i="40"/>
  <c r="AZ54" i="40"/>
  <c r="D34" i="29"/>
  <c r="G34" i="29"/>
  <c r="H55" i="40"/>
  <c r="H56" i="40"/>
  <c r="H57" i="40"/>
  <c r="H58" i="40"/>
  <c r="H59" i="40"/>
  <c r="H60" i="40"/>
  <c r="H61" i="40"/>
  <c r="H62" i="40"/>
  <c r="H63" i="40"/>
  <c r="H64" i="40"/>
  <c r="H65" i="40"/>
  <c r="H66" i="40"/>
  <c r="V66" i="40" s="1"/>
  <c r="H67" i="40"/>
  <c r="H68" i="40"/>
  <c r="AP68" i="40"/>
  <c r="H69" i="40"/>
  <c r="H16" i="40"/>
  <c r="E102" i="38"/>
  <c r="D102" i="38"/>
  <c r="E101" i="38"/>
  <c r="D101" i="38"/>
  <c r="E100" i="38"/>
  <c r="D100" i="38"/>
  <c r="E99" i="38"/>
  <c r="D99" i="38"/>
  <c r="E98" i="38"/>
  <c r="D98" i="38"/>
  <c r="E97" i="38"/>
  <c r="D97" i="38"/>
  <c r="E96" i="38"/>
  <c r="D96" i="38"/>
  <c r="E95" i="38"/>
  <c r="D95" i="38"/>
  <c r="E94" i="38"/>
  <c r="D94" i="38"/>
  <c r="G107" i="38"/>
  <c r="F107" i="38"/>
  <c r="G106" i="38"/>
  <c r="F106" i="38"/>
  <c r="G105" i="38"/>
  <c r="F105" i="38"/>
  <c r="G104" i="38"/>
  <c r="F104" i="38"/>
  <c r="G103" i="38"/>
  <c r="F103" i="38"/>
  <c r="G102" i="38"/>
  <c r="F102" i="38"/>
  <c r="G101" i="38"/>
  <c r="F101" i="38"/>
  <c r="G100" i="38"/>
  <c r="F100" i="38"/>
  <c r="G99" i="38"/>
  <c r="F99" i="38"/>
  <c r="G98" i="38"/>
  <c r="F98" i="38"/>
  <c r="G97" i="38"/>
  <c r="F97" i="38"/>
  <c r="G96" i="38"/>
  <c r="F96" i="38"/>
  <c r="G95" i="38"/>
  <c r="F95" i="38"/>
  <c r="G94" i="38"/>
  <c r="F94" i="38"/>
  <c r="G82" i="38"/>
  <c r="G81" i="38"/>
  <c r="G80" i="38"/>
  <c r="G79" i="38"/>
  <c r="G78" i="38"/>
  <c r="G77" i="38"/>
  <c r="G76" i="38"/>
  <c r="G75" i="38"/>
  <c r="G74" i="38"/>
  <c r="G73" i="38"/>
  <c r="GR65" i="40"/>
  <c r="GH65" i="40"/>
  <c r="GJ65" i="40"/>
  <c r="FX65" i="40"/>
  <c r="FN65" i="40"/>
  <c r="FD65" i="40"/>
  <c r="FF65" i="40"/>
  <c r="ES65" i="40"/>
  <c r="EU65" i="40"/>
  <c r="EI65" i="40"/>
  <c r="DY65" i="40"/>
  <c r="EA65" i="40" s="1"/>
  <c r="DO65" i="40"/>
  <c r="DE65" i="40"/>
  <c r="DG65" i="40"/>
  <c r="CT65" i="40"/>
  <c r="CJ65" i="40"/>
  <c r="CL65" i="40"/>
  <c r="BZ65" i="40"/>
  <c r="CB65" i="40" s="1"/>
  <c r="BP65" i="40"/>
  <c r="BF65" i="40"/>
  <c r="AU65" i="40"/>
  <c r="AW65" i="40" s="1"/>
  <c r="AK65" i="40"/>
  <c r="AA65" i="40"/>
  <c r="AC65" i="40"/>
  <c r="Q65" i="40"/>
  <c r="S65" i="40"/>
  <c r="G65" i="40"/>
  <c r="J51" i="32"/>
  <c r="J24" i="34" s="1"/>
  <c r="J36" i="32"/>
  <c r="J52" i="34"/>
  <c r="P167" i="34" s="1"/>
  <c r="J29" i="32"/>
  <c r="J28" i="32"/>
  <c r="J43" i="34"/>
  <c r="J27" i="32"/>
  <c r="J42" i="34"/>
  <c r="J26" i="32"/>
  <c r="J41" i="34"/>
  <c r="J25" i="32"/>
  <c r="J24" i="32"/>
  <c r="J23" i="32"/>
  <c r="J38" i="34"/>
  <c r="J22" i="32"/>
  <c r="J37" i="34"/>
  <c r="M94" i="34"/>
  <c r="J21" i="32"/>
  <c r="J20" i="32"/>
  <c r="J35" i="34"/>
  <c r="J19" i="32"/>
  <c r="J18" i="32"/>
  <c r="J33" i="34"/>
  <c r="J17" i="32"/>
  <c r="J51" i="34" s="1"/>
  <c r="GR63" i="40"/>
  <c r="GR60" i="40"/>
  <c r="GH63" i="40"/>
  <c r="GH60" i="40"/>
  <c r="FX63" i="40"/>
  <c r="FX60" i="40"/>
  <c r="FN63" i="40"/>
  <c r="FN60" i="40"/>
  <c r="FD63" i="40"/>
  <c r="FD60" i="40"/>
  <c r="ES63" i="40"/>
  <c r="ES60" i="40"/>
  <c r="EI63" i="40"/>
  <c r="EI60" i="40"/>
  <c r="DY63" i="40"/>
  <c r="DY60" i="40"/>
  <c r="DO63" i="40"/>
  <c r="DO60" i="40"/>
  <c r="DE63" i="40"/>
  <c r="DE60" i="40"/>
  <c r="CT63" i="40"/>
  <c r="CT60" i="40"/>
  <c r="CJ63" i="40"/>
  <c r="CJ60" i="40"/>
  <c r="BZ63" i="40"/>
  <c r="BZ60" i="40"/>
  <c r="BP63" i="40"/>
  <c r="BP60" i="40"/>
  <c r="BF63" i="40"/>
  <c r="BF60" i="40"/>
  <c r="AU63" i="40"/>
  <c r="AU60" i="40"/>
  <c r="AK63" i="40"/>
  <c r="AK60" i="40"/>
  <c r="AA63" i="40"/>
  <c r="AA60" i="40"/>
  <c r="Q63" i="40"/>
  <c r="Q60" i="40"/>
  <c r="G63" i="40"/>
  <c r="G60" i="40"/>
  <c r="GR51" i="40"/>
  <c r="GH51" i="40"/>
  <c r="FX51" i="40"/>
  <c r="FN51" i="40"/>
  <c r="FD51" i="40"/>
  <c r="ES51" i="40"/>
  <c r="EI51" i="40"/>
  <c r="DY51" i="40"/>
  <c r="DO51" i="40"/>
  <c r="DE51" i="40"/>
  <c r="CT51" i="40"/>
  <c r="CJ51" i="40"/>
  <c r="BZ51" i="40"/>
  <c r="BP51" i="40"/>
  <c r="BF51" i="40"/>
  <c r="AU51" i="40"/>
  <c r="AK51" i="40"/>
  <c r="AA51" i="40"/>
  <c r="Q51" i="40"/>
  <c r="G51" i="40"/>
  <c r="GR43" i="40"/>
  <c r="GR42" i="40"/>
  <c r="GR41" i="40"/>
  <c r="GR40" i="40"/>
  <c r="GR39" i="40"/>
  <c r="GR38" i="40"/>
  <c r="GR37" i="40"/>
  <c r="GR36" i="40"/>
  <c r="GR35" i="40"/>
  <c r="GR34" i="40"/>
  <c r="GR33" i="40"/>
  <c r="GR32" i="40"/>
  <c r="GR31" i="40"/>
  <c r="GR30" i="40"/>
  <c r="GR29" i="40"/>
  <c r="GR28" i="40"/>
  <c r="GR27" i="40"/>
  <c r="GR26" i="40"/>
  <c r="GR25" i="40"/>
  <c r="GR24" i="40"/>
  <c r="GR23" i="40"/>
  <c r="GH43" i="40"/>
  <c r="GH42" i="40"/>
  <c r="GH41" i="40"/>
  <c r="GH40" i="40"/>
  <c r="GH39" i="40"/>
  <c r="GH38" i="40"/>
  <c r="GH37" i="40"/>
  <c r="GH36" i="40"/>
  <c r="GH35" i="40"/>
  <c r="GH34" i="40"/>
  <c r="GH33" i="40"/>
  <c r="GH32" i="40"/>
  <c r="GH31" i="40"/>
  <c r="GH30" i="40"/>
  <c r="GH29" i="40"/>
  <c r="GH28" i="40"/>
  <c r="GH27" i="40"/>
  <c r="GH26" i="40"/>
  <c r="GH25" i="40"/>
  <c r="GH24" i="40"/>
  <c r="GH23" i="40"/>
  <c r="FX43" i="40"/>
  <c r="FX42" i="40"/>
  <c r="FX41" i="40"/>
  <c r="FX40" i="40"/>
  <c r="FX39" i="40"/>
  <c r="FX38" i="40"/>
  <c r="FX37" i="40"/>
  <c r="FX36" i="40"/>
  <c r="FX35" i="40"/>
  <c r="FX34" i="40"/>
  <c r="FX33" i="40"/>
  <c r="FX50" i="40"/>
  <c r="FX32" i="40"/>
  <c r="FX31" i="40"/>
  <c r="FX30" i="40"/>
  <c r="FX29" i="40"/>
  <c r="FX28" i="40"/>
  <c r="FX27" i="40"/>
  <c r="FX26" i="40"/>
  <c r="FX25" i="40"/>
  <c r="FX24" i="40"/>
  <c r="FX23" i="40"/>
  <c r="FN43" i="40"/>
  <c r="FN42" i="40"/>
  <c r="FN41" i="40"/>
  <c r="FN40" i="40"/>
  <c r="FN39" i="40"/>
  <c r="FN38" i="40"/>
  <c r="FN37" i="40"/>
  <c r="FN36" i="40"/>
  <c r="FN35" i="40"/>
  <c r="FN34" i="40"/>
  <c r="FN33" i="40"/>
  <c r="FN50" i="40" s="1"/>
  <c r="FN32" i="40"/>
  <c r="FN31" i="40"/>
  <c r="FN30" i="40"/>
  <c r="FN29" i="40"/>
  <c r="FN28" i="40"/>
  <c r="FN27" i="40"/>
  <c r="FN26" i="40"/>
  <c r="FN25" i="40"/>
  <c r="FN24" i="40"/>
  <c r="FN23" i="40"/>
  <c r="FD43" i="40"/>
  <c r="FD42" i="40"/>
  <c r="FD41" i="40"/>
  <c r="FD40" i="40"/>
  <c r="FD39" i="40"/>
  <c r="FD38" i="40"/>
  <c r="FD37" i="40"/>
  <c r="FD36" i="40"/>
  <c r="FD35" i="40"/>
  <c r="FD34" i="40"/>
  <c r="FD33" i="40"/>
  <c r="FD50" i="40"/>
  <c r="EZ50" i="40"/>
  <c r="FD32" i="40"/>
  <c r="FD31" i="40"/>
  <c r="FD30" i="40"/>
  <c r="FD29" i="40"/>
  <c r="FD28" i="40"/>
  <c r="FD27" i="40"/>
  <c r="FD26" i="40"/>
  <c r="FD25" i="40"/>
  <c r="FD24" i="40"/>
  <c r="FD23" i="40"/>
  <c r="ES43" i="40"/>
  <c r="ES42" i="40"/>
  <c r="ES41" i="40"/>
  <c r="ES40" i="40"/>
  <c r="ES39" i="40"/>
  <c r="ES38" i="40"/>
  <c r="ES37" i="40"/>
  <c r="ES36" i="40"/>
  <c r="ES35" i="40"/>
  <c r="ES34" i="40"/>
  <c r="ES33" i="40"/>
  <c r="ES50" i="40"/>
  <c r="ES32" i="40"/>
  <c r="ES31" i="40"/>
  <c r="ES30" i="40"/>
  <c r="ES29" i="40"/>
  <c r="ES28" i="40"/>
  <c r="ES27" i="40"/>
  <c r="ES26" i="40"/>
  <c r="ES25" i="40"/>
  <c r="ES24" i="40"/>
  <c r="ES23" i="40"/>
  <c r="EI43" i="40"/>
  <c r="EI42" i="40"/>
  <c r="EI41" i="40"/>
  <c r="EI40" i="40"/>
  <c r="EI39" i="40"/>
  <c r="EI38" i="40"/>
  <c r="EI37" i="40"/>
  <c r="EI36" i="40"/>
  <c r="EI35" i="40"/>
  <c r="EI34" i="40"/>
  <c r="EI33" i="40"/>
  <c r="EI50" i="40" s="1"/>
  <c r="EI32" i="40"/>
  <c r="EI31" i="40"/>
  <c r="EI30" i="40"/>
  <c r="EI29" i="40"/>
  <c r="EI28" i="40"/>
  <c r="EI27" i="40"/>
  <c r="EI26" i="40"/>
  <c r="EI25" i="40"/>
  <c r="EI24" i="40"/>
  <c r="EI23" i="40"/>
  <c r="DY43" i="40"/>
  <c r="DY42" i="40"/>
  <c r="DY41" i="40"/>
  <c r="DY40" i="40"/>
  <c r="DY39" i="40"/>
  <c r="DY38" i="40"/>
  <c r="DY37" i="40"/>
  <c r="DY36" i="40"/>
  <c r="DY35" i="40"/>
  <c r="DY34" i="40"/>
  <c r="DY33" i="40"/>
  <c r="DY50" i="40"/>
  <c r="DY32" i="40"/>
  <c r="DY31" i="40"/>
  <c r="DY30" i="40"/>
  <c r="DY29" i="40"/>
  <c r="DY28" i="40"/>
  <c r="DY27" i="40"/>
  <c r="DY26" i="40"/>
  <c r="DY25" i="40"/>
  <c r="DY24" i="40"/>
  <c r="DY23" i="40"/>
  <c r="DO43" i="40"/>
  <c r="DO42" i="40"/>
  <c r="DO41" i="40"/>
  <c r="DO40" i="40"/>
  <c r="DO39" i="40"/>
  <c r="DO38" i="40"/>
  <c r="DO37" i="40"/>
  <c r="DO36" i="40"/>
  <c r="DO35" i="40"/>
  <c r="DO34" i="40"/>
  <c r="DO33" i="40"/>
  <c r="DO50" i="40" s="1"/>
  <c r="DO32" i="40"/>
  <c r="DO31" i="40"/>
  <c r="DO30" i="40"/>
  <c r="DO29" i="40"/>
  <c r="DO28" i="40"/>
  <c r="DO27" i="40"/>
  <c r="DO26" i="40"/>
  <c r="DO25" i="40"/>
  <c r="DO24" i="40"/>
  <c r="DO23" i="40"/>
  <c r="DE43" i="40"/>
  <c r="DE42" i="40"/>
  <c r="DE41" i="40"/>
  <c r="DE40" i="40"/>
  <c r="DE39" i="40"/>
  <c r="DE38" i="40"/>
  <c r="DE37" i="40"/>
  <c r="DE36" i="40"/>
  <c r="DE35" i="40"/>
  <c r="DE34" i="40"/>
  <c r="DE33" i="40"/>
  <c r="DE32" i="40"/>
  <c r="DE31" i="40"/>
  <c r="DE30" i="40"/>
  <c r="DE29" i="40"/>
  <c r="DE28" i="40"/>
  <c r="DE27" i="40"/>
  <c r="DE26" i="40"/>
  <c r="DE25" i="40"/>
  <c r="DE24" i="40"/>
  <c r="DE23" i="40"/>
  <c r="CT43" i="40"/>
  <c r="CT42" i="40"/>
  <c r="CT41" i="40"/>
  <c r="CT40" i="40"/>
  <c r="CT39" i="40"/>
  <c r="CT38" i="40"/>
  <c r="CT37" i="40"/>
  <c r="CT36" i="40"/>
  <c r="CT35" i="40"/>
  <c r="CT34" i="40"/>
  <c r="CT33" i="40"/>
  <c r="CT32" i="40"/>
  <c r="CT31" i="40"/>
  <c r="CT30" i="40"/>
  <c r="CT29" i="40"/>
  <c r="CT28" i="40"/>
  <c r="CT27" i="40"/>
  <c r="CT26" i="40"/>
  <c r="CT25" i="40"/>
  <c r="CT24" i="40"/>
  <c r="CT23" i="40"/>
  <c r="CJ43" i="40"/>
  <c r="CJ42" i="40"/>
  <c r="CJ41" i="40"/>
  <c r="CJ40" i="40"/>
  <c r="CJ39" i="40"/>
  <c r="CJ38" i="40"/>
  <c r="CJ37" i="40"/>
  <c r="CJ36" i="40"/>
  <c r="CJ35" i="40"/>
  <c r="CJ34" i="40"/>
  <c r="CJ33" i="40"/>
  <c r="CJ50" i="40" s="1"/>
  <c r="CJ32" i="40"/>
  <c r="CJ31" i="40"/>
  <c r="CJ30" i="40"/>
  <c r="CJ29" i="40"/>
  <c r="CJ28" i="40"/>
  <c r="CJ27" i="40"/>
  <c r="CJ26" i="40"/>
  <c r="CJ25" i="40"/>
  <c r="CJ24" i="40"/>
  <c r="CJ23" i="40"/>
  <c r="BZ43" i="40"/>
  <c r="BZ42" i="40"/>
  <c r="BZ41" i="40"/>
  <c r="BZ40" i="40"/>
  <c r="BZ39" i="40"/>
  <c r="BZ38" i="40"/>
  <c r="BZ37" i="40"/>
  <c r="BZ36" i="40"/>
  <c r="BZ35" i="40"/>
  <c r="BZ34" i="40"/>
  <c r="BZ33" i="40"/>
  <c r="BZ32" i="40"/>
  <c r="BZ31" i="40"/>
  <c r="BZ30" i="40"/>
  <c r="BZ29" i="40"/>
  <c r="BZ28" i="40"/>
  <c r="BZ27" i="40"/>
  <c r="BZ26" i="40"/>
  <c r="BZ25" i="40"/>
  <c r="BZ24" i="40"/>
  <c r="BZ23" i="40"/>
  <c r="BP43" i="40"/>
  <c r="BP42" i="40"/>
  <c r="BP41" i="40"/>
  <c r="BP40" i="40"/>
  <c r="BP39" i="40"/>
  <c r="BP38" i="40"/>
  <c r="BP37" i="40"/>
  <c r="BP36" i="40"/>
  <c r="BP35" i="40"/>
  <c r="BP34" i="40"/>
  <c r="BP33" i="40"/>
  <c r="BP50" i="40" s="1"/>
  <c r="BP32" i="40"/>
  <c r="BP31" i="40"/>
  <c r="BP30" i="40"/>
  <c r="BP29" i="40"/>
  <c r="BP28" i="40"/>
  <c r="BP27" i="40"/>
  <c r="BP26" i="40"/>
  <c r="BP25" i="40"/>
  <c r="BP24" i="40"/>
  <c r="BP23" i="40"/>
  <c r="BF43" i="40"/>
  <c r="BF42" i="40"/>
  <c r="BF41" i="40"/>
  <c r="BF40" i="40"/>
  <c r="BF39" i="40"/>
  <c r="BF38" i="40"/>
  <c r="BF37" i="40"/>
  <c r="BF36" i="40"/>
  <c r="BF35" i="40"/>
  <c r="BF34" i="40"/>
  <c r="BF33" i="40"/>
  <c r="BF32" i="40"/>
  <c r="BF31" i="40"/>
  <c r="BF30" i="40"/>
  <c r="BF29" i="40"/>
  <c r="BF28" i="40"/>
  <c r="BF27" i="40"/>
  <c r="BF26" i="40"/>
  <c r="BF25" i="40"/>
  <c r="BF24" i="40"/>
  <c r="BF23" i="40"/>
  <c r="AU43" i="40"/>
  <c r="AU42" i="40"/>
  <c r="AU41" i="40"/>
  <c r="AU40" i="40"/>
  <c r="AU39" i="40"/>
  <c r="AU38" i="40"/>
  <c r="AU37" i="40"/>
  <c r="AU36" i="40"/>
  <c r="AU35" i="40"/>
  <c r="AU34" i="40"/>
  <c r="AU33" i="40"/>
  <c r="AU50" i="40"/>
  <c r="AU32" i="40"/>
  <c r="AU31" i="40"/>
  <c r="AU30" i="40"/>
  <c r="AU29" i="40"/>
  <c r="AU28" i="40"/>
  <c r="AU27" i="40"/>
  <c r="AU26" i="40"/>
  <c r="AU25" i="40"/>
  <c r="AU24" i="40"/>
  <c r="AU23" i="40"/>
  <c r="AK43" i="40"/>
  <c r="AK42" i="40"/>
  <c r="AK41" i="40"/>
  <c r="AK40" i="40"/>
  <c r="AK39" i="40"/>
  <c r="AK38" i="40"/>
  <c r="AK37" i="40"/>
  <c r="AK36" i="40"/>
  <c r="AK35" i="40"/>
  <c r="AK34" i="40"/>
  <c r="AK33" i="40"/>
  <c r="AK50" i="40"/>
  <c r="AK32" i="40"/>
  <c r="AK31" i="40"/>
  <c r="AK30" i="40"/>
  <c r="AK29" i="40"/>
  <c r="AK28" i="40"/>
  <c r="AK27" i="40"/>
  <c r="AK26" i="40"/>
  <c r="AK25" i="40"/>
  <c r="AK24" i="40"/>
  <c r="AK23" i="40"/>
  <c r="AA43" i="40"/>
  <c r="AA42" i="40"/>
  <c r="AA41" i="40"/>
  <c r="AA40" i="40"/>
  <c r="AA39" i="40"/>
  <c r="AA38" i="40"/>
  <c r="AA37" i="40"/>
  <c r="AA36" i="40"/>
  <c r="AA35" i="40"/>
  <c r="AA34" i="40"/>
  <c r="AA33" i="40"/>
  <c r="AA32" i="40"/>
  <c r="AA31" i="40"/>
  <c r="AA30" i="40"/>
  <c r="AA29" i="40"/>
  <c r="AA28" i="40"/>
  <c r="AA27" i="40"/>
  <c r="AA26" i="40"/>
  <c r="AA25" i="40"/>
  <c r="AA24" i="40"/>
  <c r="AA23" i="40"/>
  <c r="Q43" i="40"/>
  <c r="Q42" i="40"/>
  <c r="Q41" i="40"/>
  <c r="Q40" i="40"/>
  <c r="Q39" i="40"/>
  <c r="Q38" i="40"/>
  <c r="Q37" i="40"/>
  <c r="Q36" i="40"/>
  <c r="Q35" i="40"/>
  <c r="Q34" i="40"/>
  <c r="Q33" i="40"/>
  <c r="Q50" i="40" s="1"/>
  <c r="Q32" i="40"/>
  <c r="Q31" i="40"/>
  <c r="Q30" i="40"/>
  <c r="Q29" i="40"/>
  <c r="Q28" i="40"/>
  <c r="Q27" i="40"/>
  <c r="Q26" i="40"/>
  <c r="Q25" i="40"/>
  <c r="Q24" i="40"/>
  <c r="Q23" i="40"/>
  <c r="G43" i="40"/>
  <c r="G42" i="40"/>
  <c r="G41" i="40"/>
  <c r="G40" i="40"/>
  <c r="G39" i="40"/>
  <c r="G38" i="40"/>
  <c r="G37" i="40"/>
  <c r="G36" i="40"/>
  <c r="G35" i="40"/>
  <c r="G34" i="40"/>
  <c r="G33" i="40"/>
  <c r="G32" i="40"/>
  <c r="G31" i="40"/>
  <c r="G30" i="40"/>
  <c r="G29" i="40"/>
  <c r="G28" i="40"/>
  <c r="G27" i="40"/>
  <c r="G26" i="40"/>
  <c r="G25" i="40"/>
  <c r="G24" i="40"/>
  <c r="G23" i="40"/>
  <c r="E56" i="35"/>
  <c r="D56" i="35"/>
  <c r="C56" i="35"/>
  <c r="E55" i="35"/>
  <c r="D55" i="35"/>
  <c r="C55" i="35"/>
  <c r="N54" i="35"/>
  <c r="M54" i="35"/>
  <c r="L54" i="35"/>
  <c r="I54" i="35"/>
  <c r="H54" i="35"/>
  <c r="G54" i="35"/>
  <c r="E54" i="35"/>
  <c r="D54" i="35"/>
  <c r="C54" i="35"/>
  <c r="GT66" i="40"/>
  <c r="GT57" i="40"/>
  <c r="GT53" i="40"/>
  <c r="GJ69" i="40"/>
  <c r="GJ47" i="40"/>
  <c r="GJ21" i="40"/>
  <c r="GJ17" i="40"/>
  <c r="FZ58" i="40"/>
  <c r="FZ19" i="40"/>
  <c r="FF62" i="40"/>
  <c r="FF57" i="40"/>
  <c r="FF54" i="40"/>
  <c r="FF53" i="40"/>
  <c r="EU57" i="40"/>
  <c r="EU56" i="40"/>
  <c r="EU48" i="40"/>
  <c r="EU21" i="40"/>
  <c r="EK56" i="40"/>
  <c r="EK48" i="40"/>
  <c r="EK22" i="40"/>
  <c r="EA69" i="40"/>
  <c r="EA61" i="40"/>
  <c r="EA53" i="40"/>
  <c r="DQ69" i="40"/>
  <c r="DQ53" i="40"/>
  <c r="DG69" i="40"/>
  <c r="DG68" i="40"/>
  <c r="DG57" i="40"/>
  <c r="DG56" i="40"/>
  <c r="DG19" i="40"/>
  <c r="CV61" i="40"/>
  <c r="CV21" i="40"/>
  <c r="CL68" i="40"/>
  <c r="CL56" i="40"/>
  <c r="CL17" i="40"/>
  <c r="CB68" i="40"/>
  <c r="CB64" i="40"/>
  <c r="CB56" i="40"/>
  <c r="CB48" i="40"/>
  <c r="CB21" i="40"/>
  <c r="CB17" i="40"/>
  <c r="BR66" i="40"/>
  <c r="BR47" i="40"/>
  <c r="BH69" i="40"/>
  <c r="BH65" i="40"/>
  <c r="BH62" i="40"/>
  <c r="BH57" i="40"/>
  <c r="BH17" i="40"/>
  <c r="AW69" i="40"/>
  <c r="AW68" i="40"/>
  <c r="AW67" i="40"/>
  <c r="AW58" i="40"/>
  <c r="E38" i="29"/>
  <c r="AW53" i="40"/>
  <c r="AW52" i="40"/>
  <c r="AM69" i="40"/>
  <c r="AM66" i="40"/>
  <c r="AM56" i="40"/>
  <c r="AM53" i="40"/>
  <c r="AM52" i="40"/>
  <c r="AC68" i="40"/>
  <c r="AC64" i="40"/>
  <c r="AC56" i="40"/>
  <c r="AC21" i="40"/>
  <c r="S64" i="40"/>
  <c r="S56" i="40"/>
  <c r="S52" i="40"/>
  <c r="S48" i="40"/>
  <c r="S20" i="40"/>
  <c r="FH47" i="40"/>
  <c r="C75" i="32"/>
  <c r="C61" i="32"/>
  <c r="C60" i="32"/>
  <c r="H59" i="32"/>
  <c r="E59" i="32"/>
  <c r="C59" i="32"/>
  <c r="Q59" i="5"/>
  <c r="N54" i="29"/>
  <c r="P59" i="5"/>
  <c r="M54" i="29" s="1"/>
  <c r="O59" i="5"/>
  <c r="E61" i="5"/>
  <c r="D61" i="5"/>
  <c r="C61" i="5"/>
  <c r="C56" i="29" s="1"/>
  <c r="E60" i="5"/>
  <c r="E55" i="29"/>
  <c r="D60" i="5"/>
  <c r="C60" i="5"/>
  <c r="I59" i="5"/>
  <c r="I54" i="29"/>
  <c r="H59" i="5"/>
  <c r="G59" i="5"/>
  <c r="E59" i="5"/>
  <c r="E54" i="29"/>
  <c r="D59" i="5"/>
  <c r="D54" i="29" s="1"/>
  <c r="C59" i="5"/>
  <c r="C54" i="29"/>
  <c r="J66" i="5"/>
  <c r="O66" i="5" s="1"/>
  <c r="I66" i="5"/>
  <c r="G66" i="5"/>
  <c r="E66" i="5"/>
  <c r="C49" i="29"/>
  <c r="B49" i="29"/>
  <c r="C48" i="29"/>
  <c r="B48" i="29"/>
  <c r="C47" i="29"/>
  <c r="B47" i="29"/>
  <c r="C46" i="29"/>
  <c r="B46" i="29"/>
  <c r="C45" i="29"/>
  <c r="B45" i="29"/>
  <c r="C44" i="29"/>
  <c r="B44" i="29"/>
  <c r="C43" i="29"/>
  <c r="B43" i="29"/>
  <c r="C42" i="29"/>
  <c r="B42" i="29"/>
  <c r="C41" i="29"/>
  <c r="B41" i="29"/>
  <c r="C40" i="29"/>
  <c r="B40" i="29"/>
  <c r="C39" i="29"/>
  <c r="B39" i="29"/>
  <c r="C38" i="29"/>
  <c r="B38" i="29"/>
  <c r="C37" i="29"/>
  <c r="B37" i="29"/>
  <c r="C36" i="29"/>
  <c r="B36" i="29"/>
  <c r="C35" i="29"/>
  <c r="B35" i="29"/>
  <c r="C34" i="29"/>
  <c r="B34" i="29"/>
  <c r="C33" i="29"/>
  <c r="B33" i="29"/>
  <c r="C32" i="29"/>
  <c r="B32" i="29"/>
  <c r="C31" i="29"/>
  <c r="B31" i="29"/>
  <c r="C30" i="29"/>
  <c r="B30" i="29"/>
  <c r="C29" i="29"/>
  <c r="B29" i="29"/>
  <c r="C28" i="29"/>
  <c r="B28" i="29"/>
  <c r="C27" i="29"/>
  <c r="B27" i="29"/>
  <c r="C26" i="29"/>
  <c r="B26" i="29"/>
  <c r="C25" i="29"/>
  <c r="B25" i="29"/>
  <c r="C24" i="29"/>
  <c r="B24" i="29"/>
  <c r="C23" i="29"/>
  <c r="B23" i="29"/>
  <c r="C22" i="29"/>
  <c r="B22" i="29"/>
  <c r="C21" i="29"/>
  <c r="B21" i="29"/>
  <c r="C20" i="29"/>
  <c r="B20" i="29"/>
  <c r="C19" i="29"/>
  <c r="B19" i="29"/>
  <c r="C18" i="29"/>
  <c r="B18" i="29"/>
  <c r="C17" i="29"/>
  <c r="B17" i="29"/>
  <c r="C16" i="29"/>
  <c r="B16" i="29"/>
  <c r="C15" i="29"/>
  <c r="B15" i="29"/>
  <c r="C14" i="29"/>
  <c r="B14" i="29"/>
  <c r="C13" i="29"/>
  <c r="B13" i="29"/>
  <c r="C12" i="29"/>
  <c r="B12" i="29"/>
  <c r="C11" i="29"/>
  <c r="B11" i="29"/>
  <c r="C10" i="29"/>
  <c r="B10" i="29"/>
  <c r="C9" i="29"/>
  <c r="B9" i="29"/>
  <c r="C8" i="29"/>
  <c r="B8" i="29"/>
  <c r="C7" i="29"/>
  <c r="B7" i="29"/>
  <c r="C6" i="29"/>
  <c r="B6" i="29"/>
  <c r="C5" i="29"/>
  <c r="B5" i="29"/>
  <c r="C4" i="29"/>
  <c r="B4" i="29"/>
  <c r="C3" i="29"/>
  <c r="B3" i="29"/>
  <c r="C2" i="29"/>
  <c r="B2" i="29"/>
  <c r="GQ63" i="40"/>
  <c r="GP63" i="40"/>
  <c r="GO63" i="40"/>
  <c r="GU63" i="40" s="1"/>
  <c r="GN63" i="40"/>
  <c r="GQ60" i="40"/>
  <c r="GP60" i="40"/>
  <c r="GO60" i="40"/>
  <c r="GN60" i="40"/>
  <c r="GG63" i="40"/>
  <c r="GM63" i="40"/>
  <c r="GF63" i="40"/>
  <c r="GE63" i="40"/>
  <c r="GD63" i="40"/>
  <c r="GG60" i="40"/>
  <c r="GF60" i="40"/>
  <c r="GE60" i="40"/>
  <c r="GK60" i="40"/>
  <c r="GD60" i="40"/>
  <c r="FW63" i="40"/>
  <c r="FV63" i="40"/>
  <c r="FU63" i="40"/>
  <c r="GA63" i="40" s="1"/>
  <c r="FT63" i="40"/>
  <c r="FW60" i="40"/>
  <c r="FV60" i="40"/>
  <c r="FU60" i="40"/>
  <c r="FT60" i="40"/>
  <c r="FM63" i="40"/>
  <c r="FL63" i="40"/>
  <c r="FK63" i="40"/>
  <c r="FQ63" i="40" s="1"/>
  <c r="FJ63" i="40"/>
  <c r="FM60" i="40"/>
  <c r="FL60" i="40"/>
  <c r="FR60" i="40"/>
  <c r="FK60" i="40"/>
  <c r="FJ60" i="40"/>
  <c r="FP60" i="40" s="1"/>
  <c r="FC63" i="40"/>
  <c r="FB63" i="40"/>
  <c r="FH63" i="40"/>
  <c r="FA63" i="40"/>
  <c r="FG63" i="40"/>
  <c r="EZ63" i="40"/>
  <c r="FC60" i="40"/>
  <c r="FB60" i="40"/>
  <c r="FH60" i="40"/>
  <c r="FA60" i="40"/>
  <c r="EZ60" i="40"/>
  <c r="FF60" i="40" s="1"/>
  <c r="ER63" i="40"/>
  <c r="EQ63" i="40"/>
  <c r="EP63" i="40"/>
  <c r="EV63" i="40" s="1"/>
  <c r="EO63" i="40"/>
  <c r="ER60" i="40"/>
  <c r="EQ60" i="40"/>
  <c r="EW60" i="40" s="1"/>
  <c r="EP60" i="40"/>
  <c r="EO60" i="40"/>
  <c r="EU60" i="40"/>
  <c r="EH63" i="40"/>
  <c r="EG63" i="40"/>
  <c r="EM63" i="40"/>
  <c r="EF63" i="40"/>
  <c r="EE63" i="40"/>
  <c r="EK63" i="40"/>
  <c r="EH60" i="40"/>
  <c r="EG60" i="40"/>
  <c r="EF60" i="40"/>
  <c r="EE60" i="40"/>
  <c r="DX63" i="40"/>
  <c r="DW63" i="40"/>
  <c r="DV63" i="40"/>
  <c r="EB63" i="40"/>
  <c r="DU63" i="40"/>
  <c r="DX60" i="40"/>
  <c r="DW60" i="40"/>
  <c r="DV60" i="40"/>
  <c r="DU60" i="40"/>
  <c r="EA60" i="40"/>
  <c r="DN63" i="40"/>
  <c r="DM63" i="40"/>
  <c r="DS63" i="40"/>
  <c r="DL63" i="40"/>
  <c r="DR63" i="40" s="1"/>
  <c r="DK63" i="40"/>
  <c r="DQ63" i="40"/>
  <c r="DN60" i="40"/>
  <c r="DM60" i="40"/>
  <c r="DL60" i="40"/>
  <c r="DK60" i="40"/>
  <c r="DQ60" i="40"/>
  <c r="DD63" i="40"/>
  <c r="DC63" i="40"/>
  <c r="DB63" i="40"/>
  <c r="DH63" i="40"/>
  <c r="DA63" i="40"/>
  <c r="DD60" i="40"/>
  <c r="DC60" i="40"/>
  <c r="DB60" i="40"/>
  <c r="DA60" i="40"/>
  <c r="DG60" i="40"/>
  <c r="CS63" i="40"/>
  <c r="CR63" i="40"/>
  <c r="CQ63" i="40"/>
  <c r="CW63" i="40"/>
  <c r="CP63" i="40"/>
  <c r="CS60" i="40"/>
  <c r="CR60" i="40"/>
  <c r="CQ60" i="40"/>
  <c r="CP60" i="40"/>
  <c r="CI63" i="40"/>
  <c r="CH63" i="40"/>
  <c r="CN63" i="40"/>
  <c r="CG63" i="40"/>
  <c r="CM63" i="40"/>
  <c r="CF63" i="40"/>
  <c r="CI60" i="40"/>
  <c r="CH60" i="40"/>
  <c r="CG60" i="40"/>
  <c r="CF60" i="40"/>
  <c r="CL60" i="40"/>
  <c r="BY63" i="40"/>
  <c r="BX63" i="40"/>
  <c r="CD63" i="40" s="1"/>
  <c r="BW63" i="40"/>
  <c r="BV63" i="40"/>
  <c r="CB63" i="40"/>
  <c r="BY60" i="40"/>
  <c r="BX60" i="40"/>
  <c r="BW60" i="40"/>
  <c r="BV60" i="40"/>
  <c r="BO63" i="40"/>
  <c r="BN63" i="40"/>
  <c r="BM63" i="40"/>
  <c r="BS63" i="40"/>
  <c r="BL63" i="40"/>
  <c r="BO60" i="40"/>
  <c r="BN60" i="40"/>
  <c r="BM60" i="40"/>
  <c r="BL60" i="40"/>
  <c r="BR60" i="40"/>
  <c r="BE63" i="40"/>
  <c r="BD63" i="40"/>
  <c r="BC63" i="40"/>
  <c r="BI63" i="40"/>
  <c r="BB63" i="40"/>
  <c r="BH63" i="40"/>
  <c r="BE60" i="40"/>
  <c r="BD60" i="40"/>
  <c r="BC60" i="40"/>
  <c r="BB60" i="40"/>
  <c r="AT63" i="40"/>
  <c r="AS63" i="40"/>
  <c r="AR63" i="40"/>
  <c r="AX63" i="40"/>
  <c r="C8" i="40"/>
  <c r="D8" i="40"/>
  <c r="E8" i="40" s="1"/>
  <c r="F8" i="40" s="1"/>
  <c r="G8" i="40" s="1"/>
  <c r="H8" i="40" s="1"/>
  <c r="I8" i="40" s="1"/>
  <c r="J8" i="40" s="1"/>
  <c r="K8" i="40" s="1"/>
  <c r="L8" i="40" s="1"/>
  <c r="M8" i="40" s="1"/>
  <c r="N8" i="40" s="1"/>
  <c r="O8" i="40" s="1"/>
  <c r="P8" i="40" s="1"/>
  <c r="Q8" i="40" s="1"/>
  <c r="R8" i="40" s="1"/>
  <c r="S8" i="40" s="1"/>
  <c r="T8" i="40" s="1"/>
  <c r="U8" i="40" s="1"/>
  <c r="V8" i="40" s="1"/>
  <c r="W8" i="40" s="1"/>
  <c r="X8" i="40" s="1"/>
  <c r="Y8" i="40" s="1"/>
  <c r="Z8" i="40" s="1"/>
  <c r="AA8" i="40" s="1"/>
  <c r="AB8" i="40" s="1"/>
  <c r="AC8" i="40" s="1"/>
  <c r="AQ63" i="40"/>
  <c r="AW63" i="40"/>
  <c r="E43" i="29"/>
  <c r="AT60" i="40"/>
  <c r="AS60" i="40"/>
  <c r="AR60" i="40"/>
  <c r="AQ60" i="40"/>
  <c r="AW60" i="40" s="1"/>
  <c r="AJ63" i="40"/>
  <c r="AI63" i="40"/>
  <c r="AH63" i="40"/>
  <c r="AN63" i="40" s="1"/>
  <c r="AG63" i="40"/>
  <c r="AM63" i="40"/>
  <c r="AJ60" i="40"/>
  <c r="AI60" i="40"/>
  <c r="AO60" i="40"/>
  <c r="AH60" i="40"/>
  <c r="AG60" i="40"/>
  <c r="Z63" i="40"/>
  <c r="Y63" i="40"/>
  <c r="AE63" i="40"/>
  <c r="X63" i="40"/>
  <c r="AD63" i="40" s="1"/>
  <c r="W63" i="40"/>
  <c r="Z60" i="40"/>
  <c r="Y60" i="40"/>
  <c r="AE60" i="40" s="1"/>
  <c r="X60" i="40"/>
  <c r="W60" i="40"/>
  <c r="P63" i="40"/>
  <c r="O63" i="40"/>
  <c r="U63" i="40"/>
  <c r="N63" i="40"/>
  <c r="T63" i="40"/>
  <c r="M63" i="40"/>
  <c r="S63" i="40"/>
  <c r="P60" i="40"/>
  <c r="V60" i="40"/>
  <c r="O60" i="40"/>
  <c r="N60" i="40"/>
  <c r="M60" i="40"/>
  <c r="F63" i="40"/>
  <c r="L63" i="40" s="1"/>
  <c r="E63" i="40"/>
  <c r="D63" i="40"/>
  <c r="J63" i="40"/>
  <c r="C63" i="40"/>
  <c r="F60" i="40"/>
  <c r="E60" i="40"/>
  <c r="D60" i="40"/>
  <c r="C60" i="40"/>
  <c r="GQ51" i="40"/>
  <c r="GP51" i="40"/>
  <c r="GO51" i="40"/>
  <c r="GN51" i="40"/>
  <c r="GQ50" i="40"/>
  <c r="GP50" i="40"/>
  <c r="GO50" i="40"/>
  <c r="GN50" i="40"/>
  <c r="GQ49" i="40"/>
  <c r="GP49" i="40"/>
  <c r="GO49" i="40"/>
  <c r="GN49" i="40"/>
  <c r="GQ46" i="40"/>
  <c r="GP46" i="40"/>
  <c r="GO46" i="40"/>
  <c r="GN46" i="40"/>
  <c r="GQ45" i="40"/>
  <c r="GP45" i="40"/>
  <c r="GO45" i="40"/>
  <c r="GN45" i="40"/>
  <c r="GQ44" i="40"/>
  <c r="GP44" i="40"/>
  <c r="GO44" i="40"/>
  <c r="GN44" i="40"/>
  <c r="GQ43" i="40"/>
  <c r="GW43" i="40"/>
  <c r="GP43" i="40"/>
  <c r="GO43" i="40"/>
  <c r="GN43" i="40"/>
  <c r="GQ42" i="40"/>
  <c r="GW42" i="40"/>
  <c r="GP42" i="40"/>
  <c r="GO42" i="40"/>
  <c r="GU42" i="40"/>
  <c r="GN42" i="40"/>
  <c r="GQ41" i="40"/>
  <c r="GP41" i="40"/>
  <c r="GO41" i="40"/>
  <c r="GN41" i="40"/>
  <c r="GT41" i="40" s="1"/>
  <c r="GQ40" i="40"/>
  <c r="GP40" i="40"/>
  <c r="GO40" i="40"/>
  <c r="GN40" i="40"/>
  <c r="GQ39" i="40"/>
  <c r="GP39" i="40"/>
  <c r="GO39" i="40"/>
  <c r="GU39" i="40" s="1"/>
  <c r="GN39" i="40"/>
  <c r="GT39" i="40"/>
  <c r="GQ38" i="40"/>
  <c r="GP38" i="40"/>
  <c r="GO38" i="40"/>
  <c r="GU38" i="40"/>
  <c r="GN38" i="40"/>
  <c r="GT38" i="40" s="1"/>
  <c r="GQ37" i="40"/>
  <c r="GP37" i="40"/>
  <c r="GO37" i="40"/>
  <c r="GN37" i="40"/>
  <c r="GQ36" i="40"/>
  <c r="GP36" i="40"/>
  <c r="GO36" i="40"/>
  <c r="GN36" i="40"/>
  <c r="GQ35" i="40"/>
  <c r="GP35" i="40"/>
  <c r="GO35" i="40"/>
  <c r="GN35" i="40"/>
  <c r="GT35" i="40"/>
  <c r="GQ34" i="40"/>
  <c r="GP34" i="40"/>
  <c r="GO34" i="40"/>
  <c r="GN34" i="40"/>
  <c r="GQ33" i="40"/>
  <c r="GP33" i="40"/>
  <c r="GO33" i="40"/>
  <c r="GN33" i="40"/>
  <c r="GT33" i="40"/>
  <c r="GQ32" i="40"/>
  <c r="GP32" i="40"/>
  <c r="GO32" i="40"/>
  <c r="GU32" i="40"/>
  <c r="GN32" i="40"/>
  <c r="GT32" i="40" s="1"/>
  <c r="GQ31" i="40"/>
  <c r="GP31" i="40"/>
  <c r="GO31" i="40"/>
  <c r="GN31" i="40"/>
  <c r="GT31" i="40"/>
  <c r="GQ30" i="40"/>
  <c r="GW30" i="40"/>
  <c r="GP30" i="40"/>
  <c r="GO30" i="40"/>
  <c r="GU30" i="40"/>
  <c r="GN30" i="40"/>
  <c r="GQ29" i="40"/>
  <c r="GP29" i="40"/>
  <c r="GO29" i="40"/>
  <c r="GN29" i="40"/>
  <c r="GT29" i="40"/>
  <c r="GQ28" i="40"/>
  <c r="GP28" i="40"/>
  <c r="GO28" i="40"/>
  <c r="GN28" i="40"/>
  <c r="GQ27" i="40"/>
  <c r="GP27" i="40"/>
  <c r="GV27" i="40"/>
  <c r="GO27" i="40"/>
  <c r="GU27" i="40"/>
  <c r="GN27" i="40"/>
  <c r="GT27" i="40"/>
  <c r="GQ26" i="40"/>
  <c r="GW26" i="40"/>
  <c r="GP26" i="40"/>
  <c r="GO26" i="40"/>
  <c r="GU26" i="40"/>
  <c r="GN26" i="40"/>
  <c r="GT26" i="40" s="1"/>
  <c r="GQ25" i="40"/>
  <c r="GP25" i="40"/>
  <c r="GO25" i="40"/>
  <c r="GN25" i="40"/>
  <c r="GQ24" i="40"/>
  <c r="GP24" i="40"/>
  <c r="GO24" i="40"/>
  <c r="GN24" i="40"/>
  <c r="GQ23" i="40"/>
  <c r="GP23" i="40"/>
  <c r="GO23" i="40"/>
  <c r="GU23" i="40" s="1"/>
  <c r="GN23" i="40"/>
  <c r="GG51" i="40"/>
  <c r="GF51" i="40"/>
  <c r="GE51" i="40"/>
  <c r="GD51" i="40"/>
  <c r="GJ51" i="40"/>
  <c r="GG50" i="40"/>
  <c r="GF50" i="40"/>
  <c r="GE50" i="40"/>
  <c r="GD50" i="40"/>
  <c r="GG49" i="40"/>
  <c r="GF49" i="40"/>
  <c r="GE49" i="40"/>
  <c r="GD49" i="40"/>
  <c r="GG46" i="40"/>
  <c r="GF46" i="40"/>
  <c r="GE46" i="40"/>
  <c r="GD46" i="40"/>
  <c r="GG45" i="40"/>
  <c r="GF45" i="40"/>
  <c r="GE45" i="40"/>
  <c r="GD45" i="40"/>
  <c r="GG44" i="40"/>
  <c r="GF44" i="40"/>
  <c r="GE44" i="40"/>
  <c r="GD44" i="40"/>
  <c r="GG43" i="40"/>
  <c r="GF43" i="40"/>
  <c r="GE43" i="40"/>
  <c r="GK43" i="40"/>
  <c r="GD43" i="40"/>
  <c r="GG42" i="40"/>
  <c r="GF42" i="40"/>
  <c r="GL42" i="40"/>
  <c r="GE42" i="40"/>
  <c r="GD42" i="40"/>
  <c r="GJ42" i="40"/>
  <c r="GG41" i="40"/>
  <c r="GF41" i="40"/>
  <c r="GE41" i="40"/>
  <c r="GD41" i="40"/>
  <c r="GG40" i="40"/>
  <c r="GF40" i="40"/>
  <c r="GL40" i="40"/>
  <c r="GE40" i="40"/>
  <c r="GD40" i="40"/>
  <c r="GJ40" i="40" s="1"/>
  <c r="GG39" i="40"/>
  <c r="GF39" i="40"/>
  <c r="GE39" i="40"/>
  <c r="GK39" i="40" s="1"/>
  <c r="GD39" i="40"/>
  <c r="GJ39" i="40"/>
  <c r="GG38" i="40"/>
  <c r="GM38" i="40" s="1"/>
  <c r="GF38" i="40"/>
  <c r="GE38" i="40"/>
  <c r="GD38" i="40"/>
  <c r="GJ38" i="40" s="1"/>
  <c r="GG37" i="40"/>
  <c r="GF37" i="40"/>
  <c r="GE37" i="40"/>
  <c r="GD37" i="40"/>
  <c r="GG36" i="40"/>
  <c r="GF36" i="40"/>
  <c r="GE36" i="40"/>
  <c r="GD36" i="40"/>
  <c r="GG35" i="40"/>
  <c r="GF35" i="40"/>
  <c r="GE35" i="40"/>
  <c r="GD35" i="40"/>
  <c r="GJ35" i="40"/>
  <c r="GG34" i="40"/>
  <c r="GF34" i="40"/>
  <c r="GL34" i="40"/>
  <c r="GE34" i="40"/>
  <c r="GD34" i="40"/>
  <c r="GG33" i="40"/>
  <c r="GF33" i="40"/>
  <c r="GE33" i="40"/>
  <c r="GD33" i="40"/>
  <c r="GG32" i="40"/>
  <c r="GF32" i="40"/>
  <c r="GE32" i="40"/>
  <c r="GD32" i="40"/>
  <c r="GG31" i="40"/>
  <c r="GF31" i="40"/>
  <c r="GE31" i="40"/>
  <c r="GK31" i="40"/>
  <c r="GD31" i="40"/>
  <c r="GG30" i="40"/>
  <c r="GF30" i="40"/>
  <c r="GL30" i="40"/>
  <c r="GE30" i="40"/>
  <c r="GK30" i="40"/>
  <c r="GD30" i="40"/>
  <c r="GG29" i="40"/>
  <c r="GF29" i="40"/>
  <c r="GE29" i="40"/>
  <c r="GD29" i="40"/>
  <c r="GG28" i="40"/>
  <c r="GF28" i="40"/>
  <c r="GE28" i="40"/>
  <c r="GD28" i="40"/>
  <c r="GG27" i="40"/>
  <c r="GF27" i="40"/>
  <c r="GE27" i="40"/>
  <c r="GK27" i="40"/>
  <c r="GD27" i="40"/>
  <c r="GJ27" i="40"/>
  <c r="GG26" i="40"/>
  <c r="GM26" i="40"/>
  <c r="GF26" i="40"/>
  <c r="GE26" i="40"/>
  <c r="GD26" i="40"/>
  <c r="GG25" i="40"/>
  <c r="GF25" i="40"/>
  <c r="GE25" i="40"/>
  <c r="GD25" i="40"/>
  <c r="GJ25" i="40"/>
  <c r="GG24" i="40"/>
  <c r="GF24" i="40"/>
  <c r="GE24" i="40"/>
  <c r="GK24" i="40"/>
  <c r="GD24" i="40"/>
  <c r="GJ24" i="40"/>
  <c r="GG23" i="40"/>
  <c r="GF23" i="40"/>
  <c r="GE23" i="40"/>
  <c r="GK23" i="40"/>
  <c r="GD23" i="40"/>
  <c r="FW51" i="40"/>
  <c r="FV51" i="40"/>
  <c r="FU51" i="40"/>
  <c r="FT51" i="40"/>
  <c r="FZ51" i="40"/>
  <c r="FW50" i="40"/>
  <c r="FV50" i="40"/>
  <c r="FU50" i="40"/>
  <c r="FT50" i="40"/>
  <c r="FW49" i="40"/>
  <c r="FV49" i="40"/>
  <c r="FU49" i="40"/>
  <c r="FT49" i="40"/>
  <c r="FW46" i="40"/>
  <c r="FV46" i="40"/>
  <c r="FU46" i="40"/>
  <c r="FT46" i="40"/>
  <c r="FW45" i="40"/>
  <c r="FV45" i="40"/>
  <c r="FU45" i="40"/>
  <c r="FT45" i="40"/>
  <c r="FW44" i="40"/>
  <c r="FV44" i="40"/>
  <c r="FU44" i="40"/>
  <c r="FT44" i="40"/>
  <c r="FW43" i="40"/>
  <c r="FV43" i="40"/>
  <c r="FU43" i="40"/>
  <c r="GA43" i="40"/>
  <c r="FT43" i="40"/>
  <c r="FW42" i="40"/>
  <c r="FV42" i="40"/>
  <c r="FU42" i="40"/>
  <c r="GA42" i="40" s="1"/>
  <c r="FT42" i="40"/>
  <c r="FW41" i="40"/>
  <c r="FV41" i="40"/>
  <c r="FU41" i="40"/>
  <c r="FT41" i="40"/>
  <c r="FZ41" i="40"/>
  <c r="FW40" i="40"/>
  <c r="FV40" i="40"/>
  <c r="FU40" i="40"/>
  <c r="FT40" i="40"/>
  <c r="FZ40" i="40"/>
  <c r="FW39" i="40"/>
  <c r="FV39" i="40"/>
  <c r="FU39" i="40"/>
  <c r="GA39" i="40"/>
  <c r="FT39" i="40"/>
  <c r="FZ39" i="40"/>
  <c r="FW38" i="40"/>
  <c r="FV38" i="40"/>
  <c r="FU38" i="40"/>
  <c r="GA38" i="40"/>
  <c r="FT38" i="40"/>
  <c r="FZ38" i="40"/>
  <c r="FW37" i="40"/>
  <c r="FV37" i="40"/>
  <c r="FU37" i="40"/>
  <c r="FT37" i="40"/>
  <c r="FZ37" i="40" s="1"/>
  <c r="FW36" i="40"/>
  <c r="FV36" i="40"/>
  <c r="FU36" i="40"/>
  <c r="FT36" i="40"/>
  <c r="FZ36" i="40"/>
  <c r="FW35" i="40"/>
  <c r="FV35" i="40"/>
  <c r="GB35" i="40" s="1"/>
  <c r="FU35" i="40"/>
  <c r="FT35" i="40"/>
  <c r="FZ35" i="40"/>
  <c r="FW34" i="40"/>
  <c r="GC34" i="40"/>
  <c r="FV34" i="40"/>
  <c r="FU34" i="40"/>
  <c r="GA34" i="40" s="1"/>
  <c r="FT34" i="40"/>
  <c r="FW33" i="40"/>
  <c r="FV33" i="40"/>
  <c r="FU33" i="40"/>
  <c r="FT33" i="40"/>
  <c r="FZ33" i="40"/>
  <c r="FW32" i="40"/>
  <c r="FV32" i="40"/>
  <c r="FU32" i="40"/>
  <c r="FT32" i="40"/>
  <c r="FZ32" i="40"/>
  <c r="FW31" i="40"/>
  <c r="FV31" i="40"/>
  <c r="GB31" i="40"/>
  <c r="FU31" i="40"/>
  <c r="FT31" i="40"/>
  <c r="FW30" i="40"/>
  <c r="GC30" i="40"/>
  <c r="FV30" i="40"/>
  <c r="FU30" i="40"/>
  <c r="FT30" i="40"/>
  <c r="FW29" i="40"/>
  <c r="FV29" i="40"/>
  <c r="FU29" i="40"/>
  <c r="FT29" i="40"/>
  <c r="FZ29" i="40"/>
  <c r="FW28" i="40"/>
  <c r="FV28" i="40"/>
  <c r="FU28" i="40"/>
  <c r="FT28" i="40"/>
  <c r="FW27" i="40"/>
  <c r="FV27" i="40"/>
  <c r="GB27" i="40"/>
  <c r="FU27" i="40"/>
  <c r="GA27" i="40"/>
  <c r="FT27" i="40"/>
  <c r="FZ27" i="40"/>
  <c r="FW26" i="40"/>
  <c r="GC26" i="40"/>
  <c r="FV26" i="40"/>
  <c r="GB26" i="40"/>
  <c r="FU26" i="40"/>
  <c r="GA26" i="40"/>
  <c r="FT26" i="40"/>
  <c r="FW25" i="40"/>
  <c r="FV25" i="40"/>
  <c r="FU25" i="40"/>
  <c r="FT25" i="40"/>
  <c r="FZ25" i="40"/>
  <c r="FW24" i="40"/>
  <c r="FV24" i="40"/>
  <c r="FU24" i="40"/>
  <c r="FT24" i="40"/>
  <c r="FZ24" i="40"/>
  <c r="FW23" i="40"/>
  <c r="FV23" i="40"/>
  <c r="FU23" i="40"/>
  <c r="GA23" i="40"/>
  <c r="FT23" i="40"/>
  <c r="FM51" i="40"/>
  <c r="FL51" i="40"/>
  <c r="FK51" i="40"/>
  <c r="FJ51" i="40"/>
  <c r="FP51" i="40"/>
  <c r="FM50" i="40"/>
  <c r="FL50" i="40"/>
  <c r="FK50" i="40"/>
  <c r="FJ50" i="40"/>
  <c r="FM49" i="40"/>
  <c r="FL49" i="40"/>
  <c r="FK49" i="40"/>
  <c r="FJ49" i="40"/>
  <c r="FM46" i="40"/>
  <c r="FL46" i="40"/>
  <c r="FK46" i="40"/>
  <c r="FJ46" i="40"/>
  <c r="FM45" i="40"/>
  <c r="FL45" i="40"/>
  <c r="FK45" i="40"/>
  <c r="FJ45" i="40"/>
  <c r="FM44" i="40"/>
  <c r="FL44" i="40"/>
  <c r="FK44" i="40"/>
  <c r="FJ44" i="40"/>
  <c r="FM43" i="40"/>
  <c r="FL43" i="40"/>
  <c r="FK43" i="40"/>
  <c r="FJ43" i="40"/>
  <c r="FM42" i="40"/>
  <c r="FL42" i="40"/>
  <c r="FK42" i="40"/>
  <c r="FQ42" i="40"/>
  <c r="FJ42" i="40"/>
  <c r="FP42" i="40"/>
  <c r="FM41" i="40"/>
  <c r="FL41" i="40"/>
  <c r="FK41" i="40"/>
  <c r="FJ41" i="40"/>
  <c r="FP41" i="40" s="1"/>
  <c r="FM40" i="40"/>
  <c r="FL40" i="40"/>
  <c r="FK40" i="40"/>
  <c r="FJ40" i="40"/>
  <c r="FP40" i="40"/>
  <c r="FM39" i="40"/>
  <c r="FL39" i="40"/>
  <c r="FK39" i="40"/>
  <c r="FQ39" i="40"/>
  <c r="FJ39" i="40"/>
  <c r="FM38" i="40"/>
  <c r="FL38" i="40"/>
  <c r="FR38" i="40"/>
  <c r="FK38" i="40"/>
  <c r="FQ38" i="40"/>
  <c r="FJ38" i="40"/>
  <c r="FM37" i="40"/>
  <c r="FL37" i="40"/>
  <c r="FK37" i="40"/>
  <c r="FJ37" i="40"/>
  <c r="FM36" i="40"/>
  <c r="FL36" i="40"/>
  <c r="FK36" i="40"/>
  <c r="FJ36" i="40"/>
  <c r="FM35" i="40"/>
  <c r="FL35" i="40"/>
  <c r="FK35" i="40"/>
  <c r="FJ35" i="40"/>
  <c r="FM34" i="40"/>
  <c r="FL34" i="40"/>
  <c r="FK34" i="40"/>
  <c r="FJ34" i="40"/>
  <c r="FM33" i="40"/>
  <c r="FL33" i="40"/>
  <c r="FK33" i="40"/>
  <c r="FJ33" i="40"/>
  <c r="FP33" i="40"/>
  <c r="FM32" i="40"/>
  <c r="FL32" i="40"/>
  <c r="FK32" i="40"/>
  <c r="FJ32" i="40"/>
  <c r="FP32" i="40"/>
  <c r="FM31" i="40"/>
  <c r="FS31" i="40"/>
  <c r="FL31" i="40"/>
  <c r="FK31" i="40"/>
  <c r="FJ31" i="40"/>
  <c r="FP31" i="40"/>
  <c r="FM30" i="40"/>
  <c r="FS30" i="40"/>
  <c r="FL30" i="40"/>
  <c r="FK30" i="40"/>
  <c r="FJ30" i="40"/>
  <c r="FM29" i="40"/>
  <c r="FL29" i="40"/>
  <c r="FK29" i="40"/>
  <c r="FJ29" i="40"/>
  <c r="FP29" i="40"/>
  <c r="FM28" i="40"/>
  <c r="FL28" i="40"/>
  <c r="FK28" i="40"/>
  <c r="FJ28" i="40"/>
  <c r="FM27" i="40"/>
  <c r="FL27" i="40"/>
  <c r="FK27" i="40"/>
  <c r="FQ27" i="40"/>
  <c r="FJ27" i="40"/>
  <c r="FM26" i="40"/>
  <c r="FL26" i="40"/>
  <c r="FK26" i="40"/>
  <c r="FQ26" i="40" s="1"/>
  <c r="FJ26" i="40"/>
  <c r="FP26" i="40"/>
  <c r="FM25" i="40"/>
  <c r="FL25" i="40"/>
  <c r="FK25" i="40"/>
  <c r="FJ25" i="40"/>
  <c r="FP25" i="40"/>
  <c r="FM24" i="40"/>
  <c r="FL24" i="40"/>
  <c r="FK24" i="40"/>
  <c r="FQ24" i="40"/>
  <c r="FJ24" i="40"/>
  <c r="FP24" i="40"/>
  <c r="FM23" i="40"/>
  <c r="FL23" i="40"/>
  <c r="FK23" i="40"/>
  <c r="FQ23" i="40"/>
  <c r="FJ23" i="40"/>
  <c r="FC51" i="40"/>
  <c r="FB51" i="40"/>
  <c r="FA51" i="40"/>
  <c r="EZ51" i="40"/>
  <c r="FC50" i="40"/>
  <c r="FB50" i="40"/>
  <c r="FA50" i="40"/>
  <c r="FC49" i="40"/>
  <c r="FB49" i="40"/>
  <c r="FA49" i="40"/>
  <c r="EZ49" i="40"/>
  <c r="FC46" i="40"/>
  <c r="FB46" i="40"/>
  <c r="FA46" i="40"/>
  <c r="EZ46" i="40"/>
  <c r="FC45" i="40"/>
  <c r="FB45" i="40"/>
  <c r="FA45" i="40"/>
  <c r="EZ45" i="40"/>
  <c r="FC44" i="40"/>
  <c r="FB44" i="40"/>
  <c r="FA44" i="40"/>
  <c r="EZ44" i="40"/>
  <c r="FC43" i="40"/>
  <c r="FB43" i="40"/>
  <c r="FA43" i="40"/>
  <c r="FG43" i="40"/>
  <c r="EZ43" i="40"/>
  <c r="FF43" i="40"/>
  <c r="FC42" i="40"/>
  <c r="FB42" i="40"/>
  <c r="FH42" i="40"/>
  <c r="FA42" i="40"/>
  <c r="FG42" i="40" s="1"/>
  <c r="EZ42" i="40"/>
  <c r="FC41" i="40"/>
  <c r="FB41" i="40"/>
  <c r="FA41" i="40"/>
  <c r="EZ41" i="40"/>
  <c r="FF41" i="40"/>
  <c r="FC40" i="40"/>
  <c r="FB40" i="40"/>
  <c r="FA40" i="40"/>
  <c r="EZ40" i="40"/>
  <c r="FC39" i="40"/>
  <c r="FB39" i="40"/>
  <c r="FA39" i="40"/>
  <c r="EZ39" i="40"/>
  <c r="FF39" i="40"/>
  <c r="FC38" i="40"/>
  <c r="FI38" i="40"/>
  <c r="FB38" i="40"/>
  <c r="FA38" i="40"/>
  <c r="EZ38" i="40"/>
  <c r="FF38" i="40"/>
  <c r="FC37" i="40"/>
  <c r="FB37" i="40"/>
  <c r="FA37" i="40"/>
  <c r="EZ37" i="40"/>
  <c r="FF37" i="40"/>
  <c r="FC36" i="40"/>
  <c r="FB36" i="40"/>
  <c r="FA36" i="40"/>
  <c r="EZ36" i="40"/>
  <c r="FF36" i="40"/>
  <c r="FC35" i="40"/>
  <c r="FB35" i="40"/>
  <c r="FA35" i="40"/>
  <c r="FG35" i="40"/>
  <c r="EZ35" i="40"/>
  <c r="FF35" i="40"/>
  <c r="FC34" i="40"/>
  <c r="FI34" i="40"/>
  <c r="FB34" i="40"/>
  <c r="FH34" i="40"/>
  <c r="FA34" i="40"/>
  <c r="EZ34" i="40"/>
  <c r="FC33" i="40"/>
  <c r="FB33" i="40"/>
  <c r="FA33" i="40"/>
  <c r="EZ33" i="40"/>
  <c r="FF33" i="40" s="1"/>
  <c r="FC32" i="40"/>
  <c r="FB32" i="40"/>
  <c r="FA32" i="40"/>
  <c r="EZ32" i="40"/>
  <c r="FC31" i="40"/>
  <c r="FB31" i="40"/>
  <c r="FA31" i="40"/>
  <c r="EZ31" i="40"/>
  <c r="FF31" i="40"/>
  <c r="FC30" i="40"/>
  <c r="FI30" i="40"/>
  <c r="FB30" i="40"/>
  <c r="FH30" i="40"/>
  <c r="FA30" i="40"/>
  <c r="EZ30" i="40"/>
  <c r="FF30" i="40" s="1"/>
  <c r="FC29" i="40"/>
  <c r="FB29" i="40"/>
  <c r="FA29" i="40"/>
  <c r="EZ29" i="40"/>
  <c r="FF29" i="40"/>
  <c r="FC28" i="40"/>
  <c r="FB28" i="40"/>
  <c r="FA28" i="40"/>
  <c r="EZ28" i="40"/>
  <c r="FC27" i="40"/>
  <c r="FB27" i="40"/>
  <c r="FA27" i="40"/>
  <c r="FG27" i="40"/>
  <c r="EZ27" i="40"/>
  <c r="FF27" i="40"/>
  <c r="FC26" i="40"/>
  <c r="FB26" i="40"/>
  <c r="FA26" i="40"/>
  <c r="FG26" i="40"/>
  <c r="EZ26" i="40"/>
  <c r="FF26" i="40"/>
  <c r="FC25" i="40"/>
  <c r="FB25" i="40"/>
  <c r="FA25" i="40"/>
  <c r="EZ25" i="40"/>
  <c r="FF25" i="40"/>
  <c r="FC24" i="40"/>
  <c r="FB24" i="40"/>
  <c r="FH24" i="40"/>
  <c r="FA24" i="40"/>
  <c r="EZ24" i="40"/>
  <c r="FC23" i="40"/>
  <c r="FB23" i="40"/>
  <c r="FH23" i="40"/>
  <c r="FA23" i="40"/>
  <c r="FG23" i="40"/>
  <c r="EZ23" i="40"/>
  <c r="ER51" i="40"/>
  <c r="EQ51" i="40"/>
  <c r="EP51" i="40"/>
  <c r="EO51" i="40"/>
  <c r="EU51" i="40"/>
  <c r="ER50" i="40"/>
  <c r="EQ50" i="40"/>
  <c r="EP50" i="40"/>
  <c r="EO50" i="40"/>
  <c r="ER49" i="40"/>
  <c r="EQ49" i="40"/>
  <c r="EP49" i="40"/>
  <c r="EO49" i="40"/>
  <c r="ER46" i="40"/>
  <c r="EQ46" i="40"/>
  <c r="EP46" i="40"/>
  <c r="EO46" i="40"/>
  <c r="ER45" i="40"/>
  <c r="EQ45" i="40"/>
  <c r="EP45" i="40"/>
  <c r="EO45" i="40"/>
  <c r="ER44" i="40"/>
  <c r="EQ44" i="40"/>
  <c r="EP44" i="40"/>
  <c r="EO44" i="40"/>
  <c r="ER43" i="40"/>
  <c r="EQ43" i="40"/>
  <c r="EP43" i="40"/>
  <c r="EO43" i="40"/>
  <c r="EU43" i="40" s="1"/>
  <c r="ER42" i="40"/>
  <c r="EQ42" i="40"/>
  <c r="EP42" i="40"/>
  <c r="EV42" i="40" s="1"/>
  <c r="EO42" i="40"/>
  <c r="EU42" i="40" s="1"/>
  <c r="ER41" i="40"/>
  <c r="EQ41" i="40"/>
  <c r="EP41" i="40"/>
  <c r="EO41" i="40"/>
  <c r="ER40" i="40"/>
  <c r="EQ40" i="40"/>
  <c r="EP40" i="40"/>
  <c r="EO40" i="40"/>
  <c r="ER39" i="40"/>
  <c r="EQ39" i="40"/>
  <c r="EP39" i="40"/>
  <c r="EO39" i="40"/>
  <c r="EU39" i="40"/>
  <c r="ER38" i="40"/>
  <c r="EX38" i="40"/>
  <c r="EQ38" i="40"/>
  <c r="EP38" i="40"/>
  <c r="EO38" i="40"/>
  <c r="EU38" i="40"/>
  <c r="ER37" i="40"/>
  <c r="EQ37" i="40"/>
  <c r="EP37" i="40"/>
  <c r="EO37" i="40"/>
  <c r="EU37" i="40" s="1"/>
  <c r="ER36" i="40"/>
  <c r="EQ36" i="40"/>
  <c r="EP36" i="40"/>
  <c r="EV36" i="40" s="1"/>
  <c r="EO36" i="40"/>
  <c r="ER35" i="40"/>
  <c r="EQ35" i="40"/>
  <c r="EP35" i="40"/>
  <c r="EO35" i="40"/>
  <c r="ER34" i="40"/>
  <c r="EQ34" i="40"/>
  <c r="EP34" i="40"/>
  <c r="EO34" i="40"/>
  <c r="ER33" i="40"/>
  <c r="EQ33" i="40"/>
  <c r="EP33" i="40"/>
  <c r="EO33" i="40"/>
  <c r="ER32" i="40"/>
  <c r="EQ32" i="40"/>
  <c r="EP32" i="40"/>
  <c r="EO32" i="40"/>
  <c r="ER31" i="40"/>
  <c r="EQ31" i="40"/>
  <c r="EP31" i="40"/>
  <c r="EO31" i="40"/>
  <c r="EU31" i="40" s="1"/>
  <c r="ER30" i="40"/>
  <c r="EX30" i="40" s="1"/>
  <c r="EQ30" i="40"/>
  <c r="EP30" i="40"/>
  <c r="EV30" i="40"/>
  <c r="EO30" i="40"/>
  <c r="ER29" i="40"/>
  <c r="EQ29" i="40"/>
  <c r="EP29" i="40"/>
  <c r="EO29" i="40"/>
  <c r="ER28" i="40"/>
  <c r="EQ28" i="40"/>
  <c r="EP28" i="40"/>
  <c r="EV28" i="40" s="1"/>
  <c r="EO28" i="40"/>
  <c r="ER27" i="40"/>
  <c r="EQ27" i="40"/>
  <c r="EP27" i="40"/>
  <c r="EV27" i="40" s="1"/>
  <c r="EO27" i="40"/>
  <c r="ER26" i="40"/>
  <c r="EQ26" i="40"/>
  <c r="EP26" i="40"/>
  <c r="EO26" i="40"/>
  <c r="ER25" i="40"/>
  <c r="EQ25" i="40"/>
  <c r="EP25" i="40"/>
  <c r="EO25" i="40"/>
  <c r="EU25" i="40"/>
  <c r="ER24" i="40"/>
  <c r="EQ24" i="40"/>
  <c r="EP24" i="40"/>
  <c r="EO24" i="40"/>
  <c r="ER23" i="40"/>
  <c r="EQ23" i="40"/>
  <c r="EP23" i="40"/>
  <c r="EV23" i="40" s="1"/>
  <c r="EO23" i="40"/>
  <c r="EH51" i="40"/>
  <c r="EN51" i="40"/>
  <c r="EG51" i="40"/>
  <c r="EF51" i="40"/>
  <c r="EE51" i="40"/>
  <c r="EH50" i="40"/>
  <c r="EG50" i="40"/>
  <c r="EF50" i="40"/>
  <c r="EE50" i="40"/>
  <c r="EH49" i="40"/>
  <c r="EG49" i="40"/>
  <c r="EF49" i="40"/>
  <c r="EE49" i="40"/>
  <c r="EH46" i="40"/>
  <c r="EG46" i="40"/>
  <c r="EF46" i="40"/>
  <c r="EE46" i="40"/>
  <c r="EH45" i="40"/>
  <c r="EG45" i="40"/>
  <c r="EF45" i="40"/>
  <c r="EE45" i="40"/>
  <c r="EH44" i="40"/>
  <c r="EG44" i="40"/>
  <c r="EF44" i="40"/>
  <c r="EE44" i="40"/>
  <c r="EH43" i="40"/>
  <c r="EG43" i="40"/>
  <c r="EF43" i="40"/>
  <c r="EL43" i="40" s="1"/>
  <c r="EE43" i="40"/>
  <c r="EK43" i="40" s="1"/>
  <c r="EH42" i="40"/>
  <c r="EG42" i="40"/>
  <c r="EM42" i="40"/>
  <c r="EF42" i="40"/>
  <c r="EL42" i="40"/>
  <c r="EE42" i="40"/>
  <c r="EK42" i="40"/>
  <c r="EH41" i="40"/>
  <c r="EG41" i="40"/>
  <c r="EF41" i="40"/>
  <c r="EL41" i="40"/>
  <c r="EE41" i="40"/>
  <c r="EH40" i="40"/>
  <c r="EG40" i="40"/>
  <c r="EF40" i="40"/>
  <c r="EL40" i="40" s="1"/>
  <c r="EE40" i="40"/>
  <c r="EH39" i="40"/>
  <c r="EG39" i="40"/>
  <c r="EF39" i="40"/>
  <c r="EL39" i="40"/>
  <c r="EE39" i="40"/>
  <c r="EK39" i="40"/>
  <c r="EH38" i="40"/>
  <c r="EG38" i="40"/>
  <c r="EF38" i="40"/>
  <c r="EE38" i="40"/>
  <c r="EK38" i="40" s="1"/>
  <c r="EH37" i="40"/>
  <c r="EG37" i="40"/>
  <c r="EF37" i="40"/>
  <c r="EE37" i="40"/>
  <c r="EK37" i="40"/>
  <c r="EH36" i="40"/>
  <c r="EG36" i="40"/>
  <c r="EF36" i="40"/>
  <c r="EL36" i="40"/>
  <c r="EE36" i="40"/>
  <c r="EH35" i="40"/>
  <c r="EG35" i="40"/>
  <c r="EF35" i="40"/>
  <c r="EE35" i="40"/>
  <c r="EK35" i="40"/>
  <c r="EH34" i="40"/>
  <c r="EG34" i="40"/>
  <c r="EM34" i="40" s="1"/>
  <c r="EF34" i="40"/>
  <c r="EL34" i="40" s="1"/>
  <c r="EE34" i="40"/>
  <c r="EK34" i="40" s="1"/>
  <c r="EH33" i="40"/>
  <c r="EG33" i="40"/>
  <c r="EF33" i="40"/>
  <c r="EE33" i="40"/>
  <c r="EH32" i="40"/>
  <c r="EG32" i="40"/>
  <c r="EM32" i="40"/>
  <c r="EF32" i="40"/>
  <c r="EE32" i="40"/>
  <c r="EH31" i="40"/>
  <c r="EG31" i="40"/>
  <c r="EF31" i="40"/>
  <c r="EE31" i="40"/>
  <c r="EH30" i="40"/>
  <c r="EG30" i="40"/>
  <c r="EM30" i="40" s="1"/>
  <c r="EF30" i="40"/>
  <c r="EE30" i="40"/>
  <c r="EH29" i="40"/>
  <c r="EN29" i="40" s="1"/>
  <c r="EG29" i="40"/>
  <c r="EF29" i="40"/>
  <c r="EE29" i="40"/>
  <c r="EK29" i="40" s="1"/>
  <c r="EH28" i="40"/>
  <c r="EG28" i="40"/>
  <c r="EF28" i="40"/>
  <c r="EE28" i="40"/>
  <c r="EH27" i="40"/>
  <c r="EG27" i="40"/>
  <c r="EF27" i="40"/>
  <c r="EL27" i="40"/>
  <c r="EE27" i="40"/>
  <c r="EH26" i="40"/>
  <c r="EG26" i="40"/>
  <c r="EF26" i="40"/>
  <c r="EL26" i="40" s="1"/>
  <c r="EE26" i="40"/>
  <c r="EK26" i="40" s="1"/>
  <c r="EH25" i="40"/>
  <c r="EG25" i="40"/>
  <c r="EM25" i="40"/>
  <c r="EF25" i="40"/>
  <c r="EE25" i="40"/>
  <c r="EK25" i="40" s="1"/>
  <c r="EH24" i="40"/>
  <c r="EN24" i="40" s="1"/>
  <c r="EG24" i="40"/>
  <c r="EF24" i="40"/>
  <c r="EE24" i="40"/>
  <c r="EH23" i="40"/>
  <c r="EN23" i="40"/>
  <c r="EG23" i="40"/>
  <c r="EF23" i="40"/>
  <c r="EE23" i="40"/>
  <c r="EK23" i="40"/>
  <c r="DX51" i="40"/>
  <c r="DW51" i="40"/>
  <c r="DV51" i="40"/>
  <c r="DU51" i="40"/>
  <c r="EA51" i="40" s="1"/>
  <c r="DX50" i="40"/>
  <c r="DW50" i="40"/>
  <c r="DV50" i="40"/>
  <c r="DU50" i="40"/>
  <c r="EA50" i="40"/>
  <c r="DX49" i="40"/>
  <c r="DW49" i="40"/>
  <c r="DV49" i="40"/>
  <c r="DU49" i="40"/>
  <c r="DX46" i="40"/>
  <c r="DW46" i="40"/>
  <c r="DV46" i="40"/>
  <c r="DU46" i="40"/>
  <c r="DX45" i="40"/>
  <c r="DW45" i="40"/>
  <c r="DV45" i="40"/>
  <c r="DU45" i="40"/>
  <c r="DX44" i="40"/>
  <c r="DW44" i="40"/>
  <c r="DV44" i="40"/>
  <c r="DU44" i="40"/>
  <c r="DX43" i="40"/>
  <c r="DW43" i="40"/>
  <c r="DV43" i="40"/>
  <c r="DU43" i="40"/>
  <c r="DX42" i="40"/>
  <c r="DW42" i="40"/>
  <c r="DV42" i="40"/>
  <c r="EB42" i="40"/>
  <c r="DU42" i="40"/>
  <c r="EA42" i="40"/>
  <c r="DX41" i="40"/>
  <c r="DW41" i="40"/>
  <c r="DV41" i="40"/>
  <c r="DU41" i="40"/>
  <c r="EA41" i="40" s="1"/>
  <c r="DX40" i="40"/>
  <c r="DW40" i="40"/>
  <c r="DV40" i="40"/>
  <c r="DU40" i="40"/>
  <c r="EA40" i="40"/>
  <c r="DX39" i="40"/>
  <c r="DW39" i="40"/>
  <c r="EC39" i="40" s="1"/>
  <c r="DV39" i="40"/>
  <c r="DU39" i="40"/>
  <c r="DX38" i="40"/>
  <c r="DW38" i="40"/>
  <c r="EC38" i="40"/>
  <c r="DV38" i="40"/>
  <c r="DU38" i="40"/>
  <c r="DX37" i="40"/>
  <c r="DW37" i="40"/>
  <c r="DV37" i="40"/>
  <c r="DU37" i="40"/>
  <c r="EA37" i="40" s="1"/>
  <c r="DX36" i="40"/>
  <c r="DW36" i="40"/>
  <c r="DV36" i="40"/>
  <c r="DU36" i="40"/>
  <c r="EA36" i="40"/>
  <c r="DX35" i="40"/>
  <c r="DW35" i="40"/>
  <c r="DV35" i="40"/>
  <c r="DU35" i="40"/>
  <c r="EA35" i="40" s="1"/>
  <c r="DX34" i="40"/>
  <c r="DW34" i="40"/>
  <c r="DV34" i="40"/>
  <c r="EB34" i="40" s="1"/>
  <c r="DU34" i="40"/>
  <c r="DX33" i="40"/>
  <c r="ED33" i="40"/>
  <c r="DW33" i="40"/>
  <c r="DV33" i="40"/>
  <c r="DU33" i="40"/>
  <c r="DX32" i="40"/>
  <c r="ED32" i="40" s="1"/>
  <c r="DW32" i="40"/>
  <c r="DV32" i="40"/>
  <c r="EB32" i="40"/>
  <c r="DU32" i="40"/>
  <c r="EA32" i="40"/>
  <c r="DX31" i="40"/>
  <c r="DW31" i="40"/>
  <c r="EC31" i="40" s="1"/>
  <c r="DV31" i="40"/>
  <c r="DU31" i="40"/>
  <c r="EA31" i="40"/>
  <c r="DX30" i="40"/>
  <c r="DW30" i="40"/>
  <c r="EC30" i="40" s="1"/>
  <c r="DV30" i="40"/>
  <c r="EB30" i="40" s="1"/>
  <c r="DU30" i="40"/>
  <c r="DX29" i="40"/>
  <c r="DW29" i="40"/>
  <c r="DV29" i="40"/>
  <c r="DU29" i="40"/>
  <c r="EA29" i="40"/>
  <c r="DX28" i="40"/>
  <c r="DW28" i="40"/>
  <c r="EC28" i="40" s="1"/>
  <c r="DV28" i="40"/>
  <c r="DU28" i="40"/>
  <c r="DX27" i="40"/>
  <c r="DW27" i="40"/>
  <c r="DV27" i="40"/>
  <c r="DU27" i="40"/>
  <c r="DX26" i="40"/>
  <c r="DW26" i="40"/>
  <c r="DV26" i="40"/>
  <c r="DU26" i="40"/>
  <c r="EA26" i="40" s="1"/>
  <c r="DX25" i="40"/>
  <c r="DW25" i="40"/>
  <c r="DV25" i="40"/>
  <c r="DU25" i="40"/>
  <c r="EA25" i="40"/>
  <c r="DX24" i="40"/>
  <c r="ED24" i="40"/>
  <c r="DW24" i="40"/>
  <c r="DV24" i="40"/>
  <c r="DU24" i="40"/>
  <c r="DX23" i="40"/>
  <c r="ED23" i="40" s="1"/>
  <c r="DW23" i="40"/>
  <c r="DV23" i="40"/>
  <c r="DU23" i="40"/>
  <c r="EA23" i="40" s="1"/>
  <c r="DN51" i="40"/>
  <c r="DM51" i="40"/>
  <c r="DL51" i="40"/>
  <c r="DK51" i="40"/>
  <c r="DQ51" i="40"/>
  <c r="DN50" i="40"/>
  <c r="DM50" i="40"/>
  <c r="DL50" i="40"/>
  <c r="DK50" i="40"/>
  <c r="DQ50" i="40" s="1"/>
  <c r="DN49" i="40"/>
  <c r="DM49" i="40"/>
  <c r="DL49" i="40"/>
  <c r="DK49" i="40"/>
  <c r="DN46" i="40"/>
  <c r="DM46" i="40"/>
  <c r="DL46" i="40"/>
  <c r="DK46" i="40"/>
  <c r="DN45" i="40"/>
  <c r="DM45" i="40"/>
  <c r="DL45" i="40"/>
  <c r="DK45" i="40"/>
  <c r="DN44" i="40"/>
  <c r="DM44" i="40"/>
  <c r="DL44" i="40"/>
  <c r="DK44" i="40"/>
  <c r="DN43" i="40"/>
  <c r="DM43" i="40"/>
  <c r="DL43" i="40"/>
  <c r="DK43" i="40"/>
  <c r="DN42" i="40"/>
  <c r="DM42" i="40"/>
  <c r="DL42" i="40"/>
  <c r="DK42" i="40"/>
  <c r="DN41" i="40"/>
  <c r="DM41" i="40"/>
  <c r="DL41" i="40"/>
  <c r="DK41" i="40"/>
  <c r="DN40" i="40"/>
  <c r="DM40" i="40"/>
  <c r="DL40" i="40"/>
  <c r="DK40" i="40"/>
  <c r="DQ40" i="40"/>
  <c r="DN39" i="40"/>
  <c r="DM39" i="40"/>
  <c r="DL39" i="40"/>
  <c r="DK39" i="40"/>
  <c r="DQ39" i="40" s="1"/>
  <c r="DN38" i="40"/>
  <c r="DM38" i="40"/>
  <c r="DS38" i="40"/>
  <c r="DL38" i="40"/>
  <c r="DK38" i="40"/>
  <c r="DN37" i="40"/>
  <c r="DM37" i="40"/>
  <c r="DL37" i="40"/>
  <c r="DK37" i="40"/>
  <c r="DN36" i="40"/>
  <c r="DM36" i="40"/>
  <c r="DL36" i="40"/>
  <c r="DK36" i="40"/>
  <c r="DQ36" i="40" s="1"/>
  <c r="DN35" i="40"/>
  <c r="DM35" i="40"/>
  <c r="DL35" i="40"/>
  <c r="DK35" i="40"/>
  <c r="DQ35" i="40"/>
  <c r="DN34" i="40"/>
  <c r="DT34" i="40"/>
  <c r="DM34" i="40"/>
  <c r="DL34" i="40"/>
  <c r="DR34" i="40" s="1"/>
  <c r="DK34" i="40"/>
  <c r="DQ34" i="40" s="1"/>
  <c r="DN33" i="40"/>
  <c r="DM33" i="40"/>
  <c r="DL33" i="40"/>
  <c r="DK33" i="40"/>
  <c r="DQ33" i="40"/>
  <c r="DN32" i="40"/>
  <c r="DM32" i="40"/>
  <c r="DL32" i="40"/>
  <c r="DR32" i="40"/>
  <c r="DK32" i="40"/>
  <c r="DQ32" i="40"/>
  <c r="DN31" i="40"/>
  <c r="DM31" i="40"/>
  <c r="DL31" i="40"/>
  <c r="DR31" i="40"/>
  <c r="DK31" i="40"/>
  <c r="DQ31" i="40"/>
  <c r="DN30" i="40"/>
  <c r="DM30" i="40"/>
  <c r="DS30" i="40" s="1"/>
  <c r="DL30" i="40"/>
  <c r="DR30" i="40" s="1"/>
  <c r="DK30" i="40"/>
  <c r="DQ30" i="40" s="1"/>
  <c r="DN29" i="40"/>
  <c r="DM29" i="40"/>
  <c r="DL29" i="40"/>
  <c r="DK29" i="40"/>
  <c r="DQ29" i="40"/>
  <c r="DN28" i="40"/>
  <c r="DM28" i="40"/>
  <c r="DL28" i="40"/>
  <c r="DK28" i="40"/>
  <c r="DN27" i="40"/>
  <c r="DM27" i="40"/>
  <c r="DL27" i="40"/>
  <c r="DK27" i="40"/>
  <c r="DQ27" i="40"/>
  <c r="DN26" i="40"/>
  <c r="DM26" i="40"/>
  <c r="DS26" i="40" s="1"/>
  <c r="DL26" i="40"/>
  <c r="DR26" i="40" s="1"/>
  <c r="DK26" i="40"/>
  <c r="DN25" i="40"/>
  <c r="DM25" i="40"/>
  <c r="DL25" i="40"/>
  <c r="DK25" i="40"/>
  <c r="DQ25" i="40" s="1"/>
  <c r="DN24" i="40"/>
  <c r="DM24" i="40"/>
  <c r="DL24" i="40"/>
  <c r="DK24" i="40"/>
  <c r="DQ24" i="40"/>
  <c r="DN23" i="40"/>
  <c r="DM23" i="40"/>
  <c r="DL23" i="40"/>
  <c r="DK23" i="40"/>
  <c r="DQ23" i="40" s="1"/>
  <c r="DD51" i="40"/>
  <c r="DC51" i="40"/>
  <c r="DB51" i="40"/>
  <c r="DA51" i="40"/>
  <c r="DD50" i="40"/>
  <c r="DC50" i="40"/>
  <c r="DB50" i="40"/>
  <c r="DA50" i="40"/>
  <c r="DD49" i="40"/>
  <c r="DC49" i="40"/>
  <c r="DB49" i="40"/>
  <c r="DA49" i="40"/>
  <c r="DD46" i="40"/>
  <c r="DC46" i="40"/>
  <c r="DB46" i="40"/>
  <c r="DA46" i="40"/>
  <c r="DD45" i="40"/>
  <c r="DC45" i="40"/>
  <c r="DB45" i="40"/>
  <c r="DA45" i="40"/>
  <c r="DD44" i="40"/>
  <c r="DC44" i="40"/>
  <c r="DB44" i="40"/>
  <c r="DA44" i="40"/>
  <c r="DD43" i="40"/>
  <c r="DC43" i="40"/>
  <c r="DI43" i="40"/>
  <c r="DB43" i="40"/>
  <c r="DA43" i="40"/>
  <c r="DD42" i="40"/>
  <c r="DC42" i="40"/>
  <c r="DB42" i="40"/>
  <c r="DH42" i="40"/>
  <c r="DA42" i="40"/>
  <c r="DD41" i="40"/>
  <c r="DC41" i="40"/>
  <c r="DB41" i="40"/>
  <c r="DA41" i="40"/>
  <c r="DD40" i="40"/>
  <c r="DC40" i="40"/>
  <c r="DB40" i="40"/>
  <c r="DH40" i="40" s="1"/>
  <c r="DA40" i="40"/>
  <c r="DD39" i="40"/>
  <c r="DC39" i="40"/>
  <c r="DB39" i="40"/>
  <c r="DH39" i="40"/>
  <c r="DA39" i="40"/>
  <c r="DD38" i="40"/>
  <c r="DC38" i="40"/>
  <c r="DB38" i="40"/>
  <c r="DH38" i="40" s="1"/>
  <c r="DA38" i="40"/>
  <c r="DG38" i="40" s="1"/>
  <c r="DD37" i="40"/>
  <c r="DC37" i="40"/>
  <c r="DB37" i="40"/>
  <c r="DA37" i="40"/>
  <c r="DG37" i="40"/>
  <c r="DD36" i="40"/>
  <c r="DC36" i="40"/>
  <c r="DB36" i="40"/>
  <c r="DH36" i="40"/>
  <c r="DA36" i="40"/>
  <c r="DG36" i="40"/>
  <c r="DD35" i="40"/>
  <c r="DC35" i="40"/>
  <c r="DB35" i="40"/>
  <c r="DA35" i="40"/>
  <c r="DD34" i="40"/>
  <c r="DC34" i="40"/>
  <c r="DB34" i="40"/>
  <c r="DA34" i="40"/>
  <c r="DG34" i="40" s="1"/>
  <c r="DD33" i="40"/>
  <c r="DC33" i="40"/>
  <c r="DB33" i="40"/>
  <c r="DA33" i="40"/>
  <c r="DD32" i="40"/>
  <c r="DC32" i="40"/>
  <c r="DB32" i="40"/>
  <c r="DA32" i="40"/>
  <c r="DG32" i="40"/>
  <c r="DD31" i="40"/>
  <c r="DJ31" i="40"/>
  <c r="DC31" i="40"/>
  <c r="DB31" i="40"/>
  <c r="DA31" i="40"/>
  <c r="DG31" i="40"/>
  <c r="DD30" i="40"/>
  <c r="DJ30" i="40"/>
  <c r="DC30" i="40"/>
  <c r="DB30" i="40"/>
  <c r="DA30" i="40"/>
  <c r="DG30" i="40"/>
  <c r="DD29" i="40"/>
  <c r="DC29" i="40"/>
  <c r="DB29" i="40"/>
  <c r="DA29" i="40"/>
  <c r="DD28" i="40"/>
  <c r="DC28" i="40"/>
  <c r="DB28" i="40"/>
  <c r="DA28" i="40"/>
  <c r="DD27" i="40"/>
  <c r="DC27" i="40"/>
  <c r="DB27" i="40"/>
  <c r="DA27" i="40"/>
  <c r="DG27" i="40"/>
  <c r="DD26" i="40"/>
  <c r="DJ26" i="40"/>
  <c r="DC26" i="40"/>
  <c r="DB26" i="40"/>
  <c r="DH26" i="40" s="1"/>
  <c r="DA26" i="40"/>
  <c r="DD25" i="40"/>
  <c r="DC25" i="40"/>
  <c r="DB25" i="40"/>
  <c r="DA25" i="40"/>
  <c r="DD24" i="40"/>
  <c r="DC24" i="40"/>
  <c r="DB24" i="40"/>
  <c r="DA24" i="40"/>
  <c r="DG24" i="40" s="1"/>
  <c r="DD23" i="40"/>
  <c r="DC23" i="40"/>
  <c r="DB23" i="40"/>
  <c r="DA23" i="40"/>
  <c r="CS51" i="40"/>
  <c r="CR51" i="40"/>
  <c r="CQ51" i="40"/>
  <c r="CP51" i="40"/>
  <c r="CV51" i="40"/>
  <c r="CS50" i="40"/>
  <c r="CR50" i="40"/>
  <c r="CQ50" i="40"/>
  <c r="CP50" i="40"/>
  <c r="CS49" i="40"/>
  <c r="CR49" i="40"/>
  <c r="CQ49" i="40"/>
  <c r="CP49" i="40"/>
  <c r="CS46" i="40"/>
  <c r="CR46" i="40"/>
  <c r="CQ46" i="40"/>
  <c r="CP46" i="40"/>
  <c r="CS45" i="40"/>
  <c r="CR45" i="40"/>
  <c r="CQ45" i="40"/>
  <c r="CP45" i="40"/>
  <c r="CS44" i="40"/>
  <c r="CR44" i="40"/>
  <c r="CQ44" i="40"/>
  <c r="CP44" i="40"/>
  <c r="CS43" i="40"/>
  <c r="CR43" i="40"/>
  <c r="CQ43" i="40"/>
  <c r="CP43" i="40"/>
  <c r="CS42" i="40"/>
  <c r="CY42" i="40"/>
  <c r="CR42" i="40"/>
  <c r="CX42" i="40"/>
  <c r="CQ42" i="40"/>
  <c r="CP42" i="40"/>
  <c r="CS41" i="40"/>
  <c r="CR41" i="40"/>
  <c r="CQ41" i="40"/>
  <c r="CP41" i="40"/>
  <c r="CV41" i="40" s="1"/>
  <c r="CS40" i="40"/>
  <c r="CR40" i="40"/>
  <c r="CQ40" i="40"/>
  <c r="CP40" i="40"/>
  <c r="CS39" i="40"/>
  <c r="CR39" i="40"/>
  <c r="CQ39" i="40"/>
  <c r="CP39" i="40"/>
  <c r="CS38" i="40"/>
  <c r="CR38" i="40"/>
  <c r="CQ38" i="40"/>
  <c r="CP38" i="40"/>
  <c r="CV38" i="40"/>
  <c r="CS37" i="40"/>
  <c r="CR37" i="40"/>
  <c r="CQ37" i="40"/>
  <c r="CP37" i="40"/>
  <c r="CV37" i="40" s="1"/>
  <c r="CS36" i="40"/>
  <c r="CR36" i="40"/>
  <c r="CQ36" i="40"/>
  <c r="CP36" i="40"/>
  <c r="CV36" i="40"/>
  <c r="CS35" i="40"/>
  <c r="CR35" i="40"/>
  <c r="CQ35" i="40"/>
  <c r="CP35" i="40"/>
  <c r="CS34" i="40"/>
  <c r="CY34" i="40"/>
  <c r="CR34" i="40"/>
  <c r="CX34" i="40"/>
  <c r="CQ34" i="40"/>
  <c r="CP34" i="40"/>
  <c r="CV34" i="40" s="1"/>
  <c r="CS33" i="40"/>
  <c r="CR33" i="40"/>
  <c r="CQ33" i="40"/>
  <c r="CP33" i="40"/>
  <c r="CV33" i="40"/>
  <c r="CS32" i="40"/>
  <c r="CR32" i="40"/>
  <c r="CQ32" i="40"/>
  <c r="CP32" i="40"/>
  <c r="CV32" i="40" s="1"/>
  <c r="CS31" i="40"/>
  <c r="CR31" i="40"/>
  <c r="CQ31" i="40"/>
  <c r="CP31" i="40"/>
  <c r="CV31" i="40"/>
  <c r="CS30" i="40"/>
  <c r="CR30" i="40"/>
  <c r="CQ30" i="40"/>
  <c r="CP30" i="40"/>
  <c r="CV30" i="40" s="1"/>
  <c r="CS29" i="40"/>
  <c r="CR29" i="40"/>
  <c r="CQ29" i="40"/>
  <c r="CP29" i="40"/>
  <c r="CS28" i="40"/>
  <c r="CR28" i="40"/>
  <c r="CQ28" i="40"/>
  <c r="CP28" i="40"/>
  <c r="CS27" i="40"/>
  <c r="CR27" i="40"/>
  <c r="CQ27" i="40"/>
  <c r="CP27" i="40"/>
  <c r="CV27" i="40" s="1"/>
  <c r="CS26" i="40"/>
  <c r="CY26" i="40" s="1"/>
  <c r="CR26" i="40"/>
  <c r="CX26" i="40" s="1"/>
  <c r="CQ26" i="40"/>
  <c r="CW26" i="40" s="1"/>
  <c r="CP26" i="40"/>
  <c r="CS25" i="40"/>
  <c r="CR25" i="40"/>
  <c r="CQ25" i="40"/>
  <c r="CW25" i="40"/>
  <c r="CP25" i="40"/>
  <c r="CS24" i="40"/>
  <c r="CR24" i="40"/>
  <c r="CQ24" i="40"/>
  <c r="CW24" i="40" s="1"/>
  <c r="CP24" i="40"/>
  <c r="CV24" i="40" s="1"/>
  <c r="CS23" i="40"/>
  <c r="CR23" i="40"/>
  <c r="CQ23" i="40"/>
  <c r="CP23" i="40"/>
  <c r="CI51" i="40"/>
  <c r="CH51" i="40"/>
  <c r="CG51" i="40"/>
  <c r="CM51" i="40" s="1"/>
  <c r="CF51" i="40"/>
  <c r="CL51" i="40" s="1"/>
  <c r="CI50" i="40"/>
  <c r="CH50" i="40"/>
  <c r="CG50" i="40"/>
  <c r="CF50" i="40"/>
  <c r="CI49" i="40"/>
  <c r="CH49" i="40"/>
  <c r="CG49" i="40"/>
  <c r="CF49" i="40"/>
  <c r="CI46" i="40"/>
  <c r="CH46" i="40"/>
  <c r="CG46" i="40"/>
  <c r="CF46" i="40"/>
  <c r="CI45" i="40"/>
  <c r="CH45" i="40"/>
  <c r="CG45" i="40"/>
  <c r="CF45" i="40"/>
  <c r="CI44" i="40"/>
  <c r="CH44" i="40"/>
  <c r="CG44" i="40"/>
  <c r="CF44" i="40"/>
  <c r="CI43" i="40"/>
  <c r="CH43" i="40"/>
  <c r="CG43" i="40"/>
  <c r="CM43" i="40" s="1"/>
  <c r="CF43" i="40"/>
  <c r="CI42" i="40"/>
  <c r="CO42" i="40"/>
  <c r="CH42" i="40"/>
  <c r="CN42" i="40"/>
  <c r="CG42" i="40"/>
  <c r="CF42" i="40"/>
  <c r="CL42" i="40" s="1"/>
  <c r="CI41" i="40"/>
  <c r="CO41" i="40" s="1"/>
  <c r="CH41" i="40"/>
  <c r="CG41" i="40"/>
  <c r="CF41" i="40"/>
  <c r="CL41" i="40" s="1"/>
  <c r="CI40" i="40"/>
  <c r="CH40" i="40"/>
  <c r="CG40" i="40"/>
  <c r="CF40" i="40"/>
  <c r="CL40" i="40"/>
  <c r="CI39" i="40"/>
  <c r="CH39" i="40"/>
  <c r="CG39" i="40"/>
  <c r="CF39" i="40"/>
  <c r="CL39" i="40" s="1"/>
  <c r="CI38" i="40"/>
  <c r="CH38" i="40"/>
  <c r="CG38" i="40"/>
  <c r="CF38" i="40"/>
  <c r="CL38" i="40"/>
  <c r="CI37" i="40"/>
  <c r="CH37" i="40"/>
  <c r="CG37" i="40"/>
  <c r="CF37" i="40"/>
  <c r="CL37" i="40" s="1"/>
  <c r="CI36" i="40"/>
  <c r="CH36" i="40"/>
  <c r="CG36" i="40"/>
  <c r="CF36" i="40"/>
  <c r="CL36" i="40"/>
  <c r="CI35" i="40"/>
  <c r="CH35" i="40"/>
  <c r="CG35" i="40"/>
  <c r="CF35" i="40"/>
  <c r="CI34" i="40"/>
  <c r="CH34" i="40"/>
  <c r="CG34" i="40"/>
  <c r="CF34" i="40"/>
  <c r="CI33" i="40"/>
  <c r="CH33" i="40"/>
  <c r="CG33" i="40"/>
  <c r="CF33" i="40"/>
  <c r="CI32" i="40"/>
  <c r="CH32" i="40"/>
  <c r="CN32" i="40" s="1"/>
  <c r="CG32" i="40"/>
  <c r="CF32" i="40"/>
  <c r="CL32" i="40"/>
  <c r="CI31" i="40"/>
  <c r="CH31" i="40"/>
  <c r="CG31" i="40"/>
  <c r="CF31" i="40"/>
  <c r="CI30" i="40"/>
  <c r="CO30" i="40"/>
  <c r="CH30" i="40"/>
  <c r="CG30" i="40"/>
  <c r="CF30" i="40"/>
  <c r="CI29" i="40"/>
  <c r="CH29" i="40"/>
  <c r="CG29" i="40"/>
  <c r="CF29" i="40"/>
  <c r="CL29" i="40"/>
  <c r="CI28" i="40"/>
  <c r="CH28" i="40"/>
  <c r="CG28" i="40"/>
  <c r="CF28" i="40"/>
  <c r="CL28" i="40" s="1"/>
  <c r="CI27" i="40"/>
  <c r="CH27" i="40"/>
  <c r="CG27" i="40"/>
  <c r="CF27" i="40"/>
  <c r="CI26" i="40"/>
  <c r="CH26" i="40"/>
  <c r="CG26" i="40"/>
  <c r="CF26" i="40"/>
  <c r="CI25" i="40"/>
  <c r="CH25" i="40"/>
  <c r="CG25" i="40"/>
  <c r="CF25" i="40"/>
  <c r="CL25" i="40"/>
  <c r="CI24" i="40"/>
  <c r="CO24" i="40"/>
  <c r="CH24" i="40"/>
  <c r="CG24" i="40"/>
  <c r="CF24" i="40"/>
  <c r="CL24" i="40"/>
  <c r="CI23" i="40"/>
  <c r="CH23" i="40"/>
  <c r="CG23" i="40"/>
  <c r="CM23" i="40"/>
  <c r="CF23" i="40"/>
  <c r="BY51" i="40"/>
  <c r="BX51" i="40"/>
  <c r="BW51" i="40"/>
  <c r="CC51" i="40" s="1"/>
  <c r="BV51" i="40"/>
  <c r="CB51" i="40" s="1"/>
  <c r="BY50" i="40"/>
  <c r="BX50" i="40"/>
  <c r="BW50" i="40"/>
  <c r="BV50" i="40"/>
  <c r="BY49" i="40"/>
  <c r="BX49" i="40"/>
  <c r="BW49" i="40"/>
  <c r="BV49" i="40"/>
  <c r="BY46" i="40"/>
  <c r="BX46" i="40"/>
  <c r="BW46" i="40"/>
  <c r="BV46" i="40"/>
  <c r="BY45" i="40"/>
  <c r="BX45" i="40"/>
  <c r="BW45" i="40"/>
  <c r="BV45" i="40"/>
  <c r="BY44" i="40"/>
  <c r="BX44" i="40"/>
  <c r="BW44" i="40"/>
  <c r="BV44" i="40"/>
  <c r="BY43" i="40"/>
  <c r="BX43" i="40"/>
  <c r="BW43" i="40"/>
  <c r="CC43" i="40" s="1"/>
  <c r="BV43" i="40"/>
  <c r="CB43" i="40" s="1"/>
  <c r="BY42" i="40"/>
  <c r="BX42" i="40"/>
  <c r="CD42" i="40"/>
  <c r="BW42" i="40"/>
  <c r="CC42" i="40"/>
  <c r="BV42" i="40"/>
  <c r="CB42" i="40"/>
  <c r="BY41" i="40"/>
  <c r="BX41" i="40"/>
  <c r="BW41" i="40"/>
  <c r="BV41" i="40"/>
  <c r="BY40" i="40"/>
  <c r="BX40" i="40"/>
  <c r="BW40" i="40"/>
  <c r="BV40" i="40"/>
  <c r="BY39" i="40"/>
  <c r="BX39" i="40"/>
  <c r="BW39" i="40"/>
  <c r="BV39" i="40"/>
  <c r="CB39" i="40" s="1"/>
  <c r="BY38" i="40"/>
  <c r="BX38" i="40"/>
  <c r="CD38" i="40"/>
  <c r="BW38" i="40"/>
  <c r="CC38" i="40"/>
  <c r="BV38" i="40"/>
  <c r="BY37" i="40"/>
  <c r="BX37" i="40"/>
  <c r="BW37" i="40"/>
  <c r="CC37" i="40" s="1"/>
  <c r="BV37" i="40"/>
  <c r="BY36" i="40"/>
  <c r="BX36" i="40"/>
  <c r="BW36" i="40"/>
  <c r="CC36" i="40"/>
  <c r="BV36" i="40"/>
  <c r="BY35" i="40"/>
  <c r="BX35" i="40"/>
  <c r="BW35" i="40"/>
  <c r="CC35" i="40" s="1"/>
  <c r="BV35" i="40"/>
  <c r="CB35" i="40" s="1"/>
  <c r="BY34" i="40"/>
  <c r="BX34" i="40"/>
  <c r="BW34" i="40"/>
  <c r="CC34" i="40" s="1"/>
  <c r="BV34" i="40"/>
  <c r="CB34" i="40" s="1"/>
  <c r="BY33" i="40"/>
  <c r="BX33" i="40"/>
  <c r="BW33" i="40"/>
  <c r="BV33" i="40"/>
  <c r="CB33" i="40"/>
  <c r="BY32" i="40"/>
  <c r="BX32" i="40"/>
  <c r="BW32" i="40"/>
  <c r="BV32" i="40"/>
  <c r="BY31" i="40"/>
  <c r="BX31" i="40"/>
  <c r="BW31" i="40"/>
  <c r="BV31" i="40"/>
  <c r="BY30" i="40"/>
  <c r="BX30" i="40"/>
  <c r="BW30" i="40"/>
  <c r="CC30" i="40"/>
  <c r="BV30" i="40"/>
  <c r="CB30" i="40"/>
  <c r="BY29" i="40"/>
  <c r="BX29" i="40"/>
  <c r="BW29" i="40"/>
  <c r="BV29" i="40"/>
  <c r="BY28" i="40"/>
  <c r="BX28" i="40"/>
  <c r="BW28" i="40"/>
  <c r="BV28" i="40"/>
  <c r="BY27" i="40"/>
  <c r="BX27" i="40"/>
  <c r="BW27" i="40"/>
  <c r="BV27" i="40"/>
  <c r="CB27" i="40"/>
  <c r="BY26" i="40"/>
  <c r="BX26" i="40"/>
  <c r="CD26" i="40" s="1"/>
  <c r="BW26" i="40"/>
  <c r="CC26" i="40" s="1"/>
  <c r="BV26" i="40"/>
  <c r="CB26" i="40" s="1"/>
  <c r="BY25" i="40"/>
  <c r="BX25" i="40"/>
  <c r="BW25" i="40"/>
  <c r="CC25" i="40" s="1"/>
  <c r="BV25" i="40"/>
  <c r="BY24" i="40"/>
  <c r="BX24" i="40"/>
  <c r="BW24" i="40"/>
  <c r="CC24" i="40"/>
  <c r="BV24" i="40"/>
  <c r="BY23" i="40"/>
  <c r="BX23" i="40"/>
  <c r="BW23" i="40"/>
  <c r="CC23" i="40" s="1"/>
  <c r="BV23" i="40"/>
  <c r="BO51" i="40"/>
  <c r="BN51" i="40"/>
  <c r="BM51" i="40"/>
  <c r="BL51" i="40"/>
  <c r="BO50" i="40"/>
  <c r="BN50" i="40"/>
  <c r="BM50" i="40"/>
  <c r="BL50" i="40"/>
  <c r="BO49" i="40"/>
  <c r="BN49" i="40"/>
  <c r="BM49" i="40"/>
  <c r="BL49" i="40"/>
  <c r="BO46" i="40"/>
  <c r="BN46" i="40"/>
  <c r="BM46" i="40"/>
  <c r="BL46" i="40"/>
  <c r="BO45" i="40"/>
  <c r="BN45" i="40"/>
  <c r="BM45" i="40"/>
  <c r="BL45" i="40"/>
  <c r="BO44" i="40"/>
  <c r="BN44" i="40"/>
  <c r="BM44" i="40"/>
  <c r="BL44" i="40"/>
  <c r="BO43" i="40"/>
  <c r="BN43" i="40"/>
  <c r="BM43" i="40"/>
  <c r="BL43" i="40"/>
  <c r="BO42" i="40"/>
  <c r="BN42" i="40"/>
  <c r="BM42" i="40"/>
  <c r="BL42" i="40"/>
  <c r="BR42" i="40" s="1"/>
  <c r="BO41" i="40"/>
  <c r="BN41" i="40"/>
  <c r="BM41" i="40"/>
  <c r="BL41" i="40"/>
  <c r="BO40" i="40"/>
  <c r="BN40" i="40"/>
  <c r="BM40" i="40"/>
  <c r="BL40" i="40"/>
  <c r="BR40" i="40"/>
  <c r="BO39" i="40"/>
  <c r="BU39" i="40"/>
  <c r="BN39" i="40"/>
  <c r="BM39" i="40"/>
  <c r="BL39" i="40"/>
  <c r="BO38" i="40"/>
  <c r="BN38" i="40"/>
  <c r="BM38" i="40"/>
  <c r="BL38" i="40"/>
  <c r="BO37" i="40"/>
  <c r="BN37" i="40"/>
  <c r="BM37" i="40"/>
  <c r="BL37" i="40"/>
  <c r="BO36" i="40"/>
  <c r="BN36" i="40"/>
  <c r="BM36" i="40"/>
  <c r="BL36" i="40"/>
  <c r="BR36" i="40"/>
  <c r="BO35" i="40"/>
  <c r="BN35" i="40"/>
  <c r="BM35" i="40"/>
  <c r="BL35" i="40"/>
  <c r="BO34" i="40"/>
  <c r="BN34" i="40"/>
  <c r="BT34" i="40" s="1"/>
  <c r="BM34" i="40"/>
  <c r="BL34" i="40"/>
  <c r="BO33" i="40"/>
  <c r="BN33" i="40"/>
  <c r="BM33" i="40"/>
  <c r="BL33" i="40"/>
  <c r="BR33" i="40"/>
  <c r="BO32" i="40"/>
  <c r="BN32" i="40"/>
  <c r="BM32" i="40"/>
  <c r="BL32" i="40"/>
  <c r="BR32" i="40" s="1"/>
  <c r="BO31" i="40"/>
  <c r="BN31" i="40"/>
  <c r="BM31" i="40"/>
  <c r="BL31" i="40"/>
  <c r="BO30" i="40"/>
  <c r="BN30" i="40"/>
  <c r="BM30" i="40"/>
  <c r="BL30" i="40"/>
  <c r="BR30" i="40"/>
  <c r="BO29" i="40"/>
  <c r="BN29" i="40"/>
  <c r="BM29" i="40"/>
  <c r="BL29" i="40"/>
  <c r="BO28" i="40"/>
  <c r="BN28" i="40"/>
  <c r="BM28" i="40"/>
  <c r="BL28" i="40"/>
  <c r="BO27" i="40"/>
  <c r="BU27" i="40"/>
  <c r="BN27" i="40"/>
  <c r="BM27" i="40"/>
  <c r="BL27" i="40"/>
  <c r="BO26" i="40"/>
  <c r="BU26" i="40" s="1"/>
  <c r="BN26" i="40"/>
  <c r="BM26" i="40"/>
  <c r="BS26" i="40"/>
  <c r="BL26" i="40"/>
  <c r="BR26" i="40"/>
  <c r="BO25" i="40"/>
  <c r="BN25" i="40"/>
  <c r="BM25" i="40"/>
  <c r="BL25" i="40"/>
  <c r="BR25" i="40" s="1"/>
  <c r="BO24" i="40"/>
  <c r="BN24" i="40"/>
  <c r="BM24" i="40"/>
  <c r="BL24" i="40"/>
  <c r="BO23" i="40"/>
  <c r="BN23" i="40"/>
  <c r="BM23" i="40"/>
  <c r="BL23" i="40"/>
  <c r="BR23" i="40"/>
  <c r="BE51" i="40"/>
  <c r="BD51" i="40"/>
  <c r="BC51" i="40"/>
  <c r="BB51" i="40"/>
  <c r="BH51" i="40" s="1"/>
  <c r="BE50" i="40"/>
  <c r="BD50" i="40"/>
  <c r="BC50" i="40"/>
  <c r="BB50" i="40"/>
  <c r="BE49" i="40"/>
  <c r="BD49" i="40"/>
  <c r="BC49" i="40"/>
  <c r="BB49" i="40"/>
  <c r="BE46" i="40"/>
  <c r="BD46" i="40"/>
  <c r="BC46" i="40"/>
  <c r="BB46" i="40"/>
  <c r="BE45" i="40"/>
  <c r="BD45" i="40"/>
  <c r="BC45" i="40"/>
  <c r="BB45" i="40"/>
  <c r="BE44" i="40"/>
  <c r="BD44" i="40"/>
  <c r="BC44" i="40"/>
  <c r="BB44" i="40"/>
  <c r="BE43" i="40"/>
  <c r="BD43" i="40"/>
  <c r="BC43" i="40"/>
  <c r="BI43" i="40" s="1"/>
  <c r="BB43" i="40"/>
  <c r="BH43" i="40" s="1"/>
  <c r="BE42" i="40"/>
  <c r="BD42" i="40"/>
  <c r="BC42" i="40"/>
  <c r="BI42" i="40" s="1"/>
  <c r="BB42" i="40"/>
  <c r="BE41" i="40"/>
  <c r="BD41" i="40"/>
  <c r="BC41" i="40"/>
  <c r="BB41" i="40"/>
  <c r="BH41" i="40" s="1"/>
  <c r="BE40" i="40"/>
  <c r="BD40" i="40"/>
  <c r="BC40" i="40"/>
  <c r="BB40" i="40"/>
  <c r="BH40" i="40"/>
  <c r="BE39" i="40"/>
  <c r="BD39" i="40"/>
  <c r="BC39" i="40"/>
  <c r="BB39" i="40"/>
  <c r="BH39" i="40" s="1"/>
  <c r="BE38" i="40"/>
  <c r="BK38" i="40" s="1"/>
  <c r="BD38" i="40"/>
  <c r="BJ38" i="40" s="1"/>
  <c r="BC38" i="40"/>
  <c r="BB38" i="40"/>
  <c r="BH38" i="40"/>
  <c r="BE37" i="40"/>
  <c r="BD37" i="40"/>
  <c r="BC37" i="40"/>
  <c r="BB37" i="40"/>
  <c r="BH37" i="40" s="1"/>
  <c r="BE36" i="40"/>
  <c r="BK36" i="40" s="1"/>
  <c r="BD36" i="40"/>
  <c r="BC36" i="40"/>
  <c r="BB36" i="40"/>
  <c r="BH36" i="40" s="1"/>
  <c r="BE35" i="40"/>
  <c r="BD35" i="40"/>
  <c r="BC35" i="40"/>
  <c r="BB35" i="40"/>
  <c r="BH35" i="40"/>
  <c r="BE34" i="40"/>
  <c r="BD34" i="40"/>
  <c r="BJ34" i="40" s="1"/>
  <c r="BC34" i="40"/>
  <c r="BI34" i="40" s="1"/>
  <c r="BB34" i="40"/>
  <c r="BE33" i="40"/>
  <c r="BD33" i="40"/>
  <c r="BC33" i="40"/>
  <c r="BI33" i="40"/>
  <c r="BB33" i="40"/>
  <c r="BE32" i="40"/>
  <c r="BD32" i="40"/>
  <c r="BC32" i="40"/>
  <c r="BI32" i="40" s="1"/>
  <c r="BB32" i="40"/>
  <c r="BE31" i="40"/>
  <c r="BD31" i="40"/>
  <c r="BC31" i="40"/>
  <c r="BI31" i="40"/>
  <c r="BB31" i="40"/>
  <c r="BE30" i="40"/>
  <c r="BK30" i="40" s="1"/>
  <c r="BD30" i="40"/>
  <c r="BJ30" i="40" s="1"/>
  <c r="BC30" i="40"/>
  <c r="BB30" i="40"/>
  <c r="BH30" i="40"/>
  <c r="BE29" i="40"/>
  <c r="BD29" i="40"/>
  <c r="BC29" i="40"/>
  <c r="BB29" i="40"/>
  <c r="BE28" i="40"/>
  <c r="BK28" i="40"/>
  <c r="BD28" i="40"/>
  <c r="BC28" i="40"/>
  <c r="BB28" i="40"/>
  <c r="BE27" i="40"/>
  <c r="BK27" i="40" s="1"/>
  <c r="BD27" i="40"/>
  <c r="BC27" i="40"/>
  <c r="BB27" i="40"/>
  <c r="BH27" i="40" s="1"/>
  <c r="BE26" i="40"/>
  <c r="BD26" i="40"/>
  <c r="BJ26" i="40"/>
  <c r="BC26" i="40"/>
  <c r="BI26" i="40"/>
  <c r="BB26" i="40"/>
  <c r="BE25" i="40"/>
  <c r="BD25" i="40"/>
  <c r="BC25" i="40"/>
  <c r="BB25" i="40"/>
  <c r="BH25" i="40"/>
  <c r="BE24" i="40"/>
  <c r="BD24" i="40"/>
  <c r="BC24" i="40"/>
  <c r="BB24" i="40"/>
  <c r="BE23" i="40"/>
  <c r="BK23" i="40"/>
  <c r="BD23" i="40"/>
  <c r="BC23" i="40"/>
  <c r="BI23" i="40" s="1"/>
  <c r="BB23" i="40"/>
  <c r="BH23" i="40" s="1"/>
  <c r="AT51" i="40"/>
  <c r="AS51" i="40"/>
  <c r="AR51" i="40"/>
  <c r="AQ51" i="40"/>
  <c r="AW51" i="40"/>
  <c r="AT50" i="40"/>
  <c r="AS50" i="40"/>
  <c r="AR50" i="40"/>
  <c r="AQ50" i="40"/>
  <c r="AT49" i="40"/>
  <c r="AS49" i="40"/>
  <c r="AR49" i="40"/>
  <c r="AQ49" i="40"/>
  <c r="AT46" i="40"/>
  <c r="AS46" i="40"/>
  <c r="AR46" i="40"/>
  <c r="AQ46" i="40"/>
  <c r="AT45" i="40"/>
  <c r="AS45" i="40"/>
  <c r="AR45" i="40"/>
  <c r="AQ45" i="40"/>
  <c r="AT44" i="40"/>
  <c r="AS44" i="40"/>
  <c r="AR44" i="40"/>
  <c r="AQ44" i="40"/>
  <c r="AT43" i="40"/>
  <c r="AS43" i="40"/>
  <c r="AY43" i="40" s="1"/>
  <c r="AR43" i="40"/>
  <c r="AQ43" i="40"/>
  <c r="AW43" i="40"/>
  <c r="E23" i="29" s="1"/>
  <c r="AT42" i="40"/>
  <c r="AS42" i="40"/>
  <c r="AY42" i="40"/>
  <c r="AR42" i="40"/>
  <c r="AX42" i="40"/>
  <c r="AQ42" i="40"/>
  <c r="AT41" i="40"/>
  <c r="AS41" i="40"/>
  <c r="AR41" i="40"/>
  <c r="AQ41" i="40"/>
  <c r="AT40" i="40"/>
  <c r="AS40" i="40"/>
  <c r="AR40" i="40"/>
  <c r="AX40" i="40" s="1"/>
  <c r="AQ40" i="40"/>
  <c r="AW40" i="40" s="1"/>
  <c r="E20" i="29" s="1"/>
  <c r="AT39" i="40"/>
  <c r="AS39" i="40"/>
  <c r="AR39" i="40"/>
  <c r="AQ39" i="40"/>
  <c r="AT38" i="40"/>
  <c r="AS38" i="40"/>
  <c r="AR38" i="40"/>
  <c r="AQ38" i="40"/>
  <c r="AT37" i="40"/>
  <c r="AS37" i="40"/>
  <c r="AR37" i="40"/>
  <c r="AQ37" i="40"/>
  <c r="AT36" i="40"/>
  <c r="AS36" i="40"/>
  <c r="AR36" i="40"/>
  <c r="AQ36" i="40"/>
  <c r="AW36" i="40" s="1"/>
  <c r="AT35" i="40"/>
  <c r="AS35" i="40"/>
  <c r="AR35" i="40"/>
  <c r="AQ35" i="40"/>
  <c r="AW35" i="40"/>
  <c r="AT34" i="40"/>
  <c r="AS34" i="40"/>
  <c r="AR34" i="40"/>
  <c r="AQ34" i="40"/>
  <c r="AT33" i="40"/>
  <c r="AS33" i="40"/>
  <c r="AR33" i="40"/>
  <c r="AQ33" i="40"/>
  <c r="AT32" i="40"/>
  <c r="AS32" i="40"/>
  <c r="AR32" i="40"/>
  <c r="AQ32" i="40"/>
  <c r="AW32" i="40" s="1"/>
  <c r="AT31" i="40"/>
  <c r="AS31" i="40"/>
  <c r="AR31" i="40"/>
  <c r="AQ31" i="40"/>
  <c r="AW31" i="40"/>
  <c r="E17" i="29" s="1"/>
  <c r="AT30" i="40"/>
  <c r="AS30" i="40"/>
  <c r="AY30" i="40"/>
  <c r="AR30" i="40"/>
  <c r="AQ30" i="40"/>
  <c r="AT29" i="40"/>
  <c r="AS29" i="40"/>
  <c r="AR29" i="40"/>
  <c r="AQ29" i="40"/>
  <c r="AW29" i="40" s="1"/>
  <c r="AT28" i="40"/>
  <c r="AS28" i="40"/>
  <c r="AR28" i="40"/>
  <c r="AQ28" i="40"/>
  <c r="AT27" i="40"/>
  <c r="AS27" i="40"/>
  <c r="AR27" i="40"/>
  <c r="AQ27" i="40"/>
  <c r="AT26" i="40"/>
  <c r="AS26" i="40"/>
  <c r="AR26" i="40"/>
  <c r="AQ26" i="40"/>
  <c r="AW26" i="40"/>
  <c r="AT25" i="40"/>
  <c r="AS25" i="40"/>
  <c r="AR25" i="40"/>
  <c r="AQ25" i="40"/>
  <c r="AT24" i="40"/>
  <c r="AS24" i="40"/>
  <c r="AR24" i="40"/>
  <c r="AQ24" i="40"/>
  <c r="AT23" i="40"/>
  <c r="AS23" i="40"/>
  <c r="AR23" i="40"/>
  <c r="AQ23" i="40"/>
  <c r="AW23" i="40" s="1"/>
  <c r="AJ51" i="40"/>
  <c r="AI51" i="40"/>
  <c r="AH51" i="40"/>
  <c r="AG51" i="40"/>
  <c r="AM51" i="40"/>
  <c r="AJ50" i="40"/>
  <c r="AI50" i="40"/>
  <c r="AH50" i="40"/>
  <c r="AG50" i="40"/>
  <c r="AM50" i="40" s="1"/>
  <c r="AJ49" i="40"/>
  <c r="AI49" i="40"/>
  <c r="AH49" i="40"/>
  <c r="AG49" i="40"/>
  <c r="AJ46" i="40"/>
  <c r="AI46" i="40"/>
  <c r="AH46" i="40"/>
  <c r="AG46" i="40"/>
  <c r="AJ45" i="40"/>
  <c r="AI45" i="40"/>
  <c r="AH45" i="40"/>
  <c r="AG45" i="40"/>
  <c r="AJ44" i="40"/>
  <c r="AI44" i="40"/>
  <c r="AH44" i="40"/>
  <c r="AG44" i="40"/>
  <c r="AJ43" i="40"/>
  <c r="AI43" i="40"/>
  <c r="AH43" i="40"/>
  <c r="AG43" i="40"/>
  <c r="AM43" i="40"/>
  <c r="AJ42" i="40"/>
  <c r="AI42" i="40"/>
  <c r="AH42" i="40"/>
  <c r="AG42" i="40"/>
  <c r="AM42" i="40" s="1"/>
  <c r="AJ41" i="40"/>
  <c r="AI41" i="40"/>
  <c r="AH41" i="40"/>
  <c r="AG41" i="40"/>
  <c r="AM41" i="40"/>
  <c r="AJ40" i="40"/>
  <c r="AI40" i="40"/>
  <c r="AH40" i="40"/>
  <c r="AG40" i="40"/>
  <c r="AJ39" i="40"/>
  <c r="AI39" i="40"/>
  <c r="AH39" i="40"/>
  <c r="AG39" i="40"/>
  <c r="AJ38" i="40"/>
  <c r="AI38" i="40"/>
  <c r="AH38" i="40"/>
  <c r="AG38" i="40"/>
  <c r="AJ37" i="40"/>
  <c r="AI37" i="40"/>
  <c r="AH37" i="40"/>
  <c r="AG37" i="40"/>
  <c r="AM37" i="40" s="1"/>
  <c r="AJ36" i="40"/>
  <c r="AI36" i="40"/>
  <c r="AH36" i="40"/>
  <c r="AG36" i="40"/>
  <c r="AM36" i="40"/>
  <c r="AJ35" i="40"/>
  <c r="AI35" i="40"/>
  <c r="AH35" i="40"/>
  <c r="AG35" i="40"/>
  <c r="AM35" i="40" s="1"/>
  <c r="AJ34" i="40"/>
  <c r="AI34" i="40"/>
  <c r="AH34" i="40"/>
  <c r="AG34" i="40"/>
  <c r="AM34" i="40"/>
  <c r="AJ33" i="40"/>
  <c r="AI33" i="40"/>
  <c r="AH33" i="40"/>
  <c r="AG33" i="40"/>
  <c r="AM33" i="40" s="1"/>
  <c r="AJ32" i="40"/>
  <c r="AI32" i="40"/>
  <c r="AH32" i="40"/>
  <c r="AG32" i="40"/>
  <c r="AM32" i="40"/>
  <c r="AJ31" i="40"/>
  <c r="AP31" i="40"/>
  <c r="AI31" i="40"/>
  <c r="AH31" i="40"/>
  <c r="AG31" i="40"/>
  <c r="AM31" i="40"/>
  <c r="AJ30" i="40"/>
  <c r="AP30" i="40"/>
  <c r="AI30" i="40"/>
  <c r="AH30" i="40"/>
  <c r="AN30" i="40" s="1"/>
  <c r="AG30" i="40"/>
  <c r="AJ29" i="40"/>
  <c r="AI29" i="40"/>
  <c r="AH29" i="40"/>
  <c r="AG29" i="40"/>
  <c r="AJ28" i="40"/>
  <c r="AI28" i="40"/>
  <c r="AH28" i="40"/>
  <c r="AG28" i="40"/>
  <c r="AJ27" i="40"/>
  <c r="AI27" i="40"/>
  <c r="AH27" i="40"/>
  <c r="AG27" i="40"/>
  <c r="AM27" i="40" s="1"/>
  <c r="AJ26" i="40"/>
  <c r="AI26" i="40"/>
  <c r="AO26" i="40" s="1"/>
  <c r="AH26" i="40"/>
  <c r="AG26" i="40"/>
  <c r="AJ25" i="40"/>
  <c r="AI25" i="40"/>
  <c r="AH25" i="40"/>
  <c r="AG25" i="40"/>
  <c r="AJ24" i="40"/>
  <c r="AI24" i="40"/>
  <c r="AH24" i="40"/>
  <c r="AG24" i="40"/>
  <c r="AM24" i="40" s="1"/>
  <c r="AJ23" i="40"/>
  <c r="AP23" i="40" s="1"/>
  <c r="AI23" i="40"/>
  <c r="AH23" i="40"/>
  <c r="AG23" i="40"/>
  <c r="Z51" i="40"/>
  <c r="Y51" i="40"/>
  <c r="X51" i="40"/>
  <c r="W51" i="40"/>
  <c r="Z50" i="40"/>
  <c r="Y50" i="40"/>
  <c r="X50" i="40"/>
  <c r="W50" i="40"/>
  <c r="Z49" i="40"/>
  <c r="Y49" i="40"/>
  <c r="X49" i="40"/>
  <c r="W49" i="40"/>
  <c r="Z46" i="40"/>
  <c r="Y46" i="40"/>
  <c r="X46" i="40"/>
  <c r="W46" i="40"/>
  <c r="Z45" i="40"/>
  <c r="Y45" i="40"/>
  <c r="X45" i="40"/>
  <c r="W45" i="40"/>
  <c r="Z44" i="40"/>
  <c r="Y44" i="40"/>
  <c r="X44" i="40"/>
  <c r="W44" i="40"/>
  <c r="Z43" i="40"/>
  <c r="Y43" i="40"/>
  <c r="X43" i="40"/>
  <c r="W43" i="40"/>
  <c r="AC43" i="40" s="1"/>
  <c r="Z42" i="40"/>
  <c r="Y42" i="40"/>
  <c r="AE42" i="40"/>
  <c r="X42" i="40"/>
  <c r="W42" i="40"/>
  <c r="Z41" i="40"/>
  <c r="Y41" i="40"/>
  <c r="X41" i="40"/>
  <c r="W41" i="40"/>
  <c r="AC41" i="40"/>
  <c r="Z40" i="40"/>
  <c r="Y40" i="40"/>
  <c r="X40" i="40"/>
  <c r="W40" i="40"/>
  <c r="AC40" i="40"/>
  <c r="Z39" i="40"/>
  <c r="AF39" i="40"/>
  <c r="Y39" i="40"/>
  <c r="X39" i="40"/>
  <c r="W39" i="40"/>
  <c r="AC39" i="40"/>
  <c r="Z38" i="40"/>
  <c r="Y38" i="40"/>
  <c r="AE38" i="40" s="1"/>
  <c r="X38" i="40"/>
  <c r="AD38" i="40" s="1"/>
  <c r="W38" i="40"/>
  <c r="AC38" i="40" s="1"/>
  <c r="Z37" i="40"/>
  <c r="Y37" i="40"/>
  <c r="X37" i="40"/>
  <c r="W37" i="40"/>
  <c r="AC37" i="40"/>
  <c r="Z36" i="40"/>
  <c r="Y36" i="40"/>
  <c r="X36" i="40"/>
  <c r="W36" i="40"/>
  <c r="Z35" i="40"/>
  <c r="Y35" i="40"/>
  <c r="X35" i="40"/>
  <c r="W35" i="40"/>
  <c r="Z34" i="40"/>
  <c r="Y34" i="40"/>
  <c r="X34" i="40"/>
  <c r="W34" i="40"/>
  <c r="AC34" i="40" s="1"/>
  <c r="Z33" i="40"/>
  <c r="Y33" i="40"/>
  <c r="X33" i="40"/>
  <c r="W33" i="40"/>
  <c r="Z32" i="40"/>
  <c r="Y32" i="40"/>
  <c r="X32" i="40"/>
  <c r="AD32" i="40" s="1"/>
  <c r="W32" i="40"/>
  <c r="AC32" i="40" s="1"/>
  <c r="Z31" i="40"/>
  <c r="Y31" i="40"/>
  <c r="AE31" i="40" s="1"/>
  <c r="X31" i="40"/>
  <c r="W31" i="40"/>
  <c r="AC31" i="40"/>
  <c r="Z30" i="40"/>
  <c r="Y30" i="40"/>
  <c r="X30" i="40"/>
  <c r="AD30" i="40"/>
  <c r="W30" i="40"/>
  <c r="AC30" i="40" s="1"/>
  <c r="Z29" i="40"/>
  <c r="Y29" i="40"/>
  <c r="X29" i="40"/>
  <c r="W29" i="40"/>
  <c r="AC29" i="40"/>
  <c r="Z28" i="40"/>
  <c r="Y28" i="40"/>
  <c r="X28" i="40"/>
  <c r="W28" i="40"/>
  <c r="AC28" i="40"/>
  <c r="Z27" i="40"/>
  <c r="AF27" i="40" s="1"/>
  <c r="Y27" i="40"/>
  <c r="X27" i="40"/>
  <c r="W27" i="40"/>
  <c r="AC27" i="40" s="1"/>
  <c r="Z26" i="40"/>
  <c r="AF26" i="40" s="1"/>
  <c r="Y26" i="40"/>
  <c r="X26" i="40"/>
  <c r="W26" i="40"/>
  <c r="Z25" i="40"/>
  <c r="Y25" i="40"/>
  <c r="X25" i="40"/>
  <c r="W25" i="40"/>
  <c r="AC25" i="40" s="1"/>
  <c r="Z24" i="40"/>
  <c r="Y24" i="40"/>
  <c r="X24" i="40"/>
  <c r="W24" i="40"/>
  <c r="AC24" i="40" s="1"/>
  <c r="Z23" i="40"/>
  <c r="Y23" i="40"/>
  <c r="X23" i="40"/>
  <c r="AD23" i="40" s="1"/>
  <c r="W23" i="40"/>
  <c r="P51" i="40"/>
  <c r="O51" i="40"/>
  <c r="N51" i="40"/>
  <c r="M51" i="40"/>
  <c r="P50" i="40"/>
  <c r="O50" i="40"/>
  <c r="N50" i="40"/>
  <c r="M50" i="40"/>
  <c r="P49" i="40"/>
  <c r="O49" i="40"/>
  <c r="N49" i="40"/>
  <c r="M49" i="40"/>
  <c r="P46" i="40"/>
  <c r="O46" i="40"/>
  <c r="N46" i="40"/>
  <c r="M46" i="40"/>
  <c r="P45" i="40"/>
  <c r="O45" i="40"/>
  <c r="N45" i="40"/>
  <c r="M45" i="40"/>
  <c r="P44" i="40"/>
  <c r="O44" i="40"/>
  <c r="N44" i="40"/>
  <c r="M44" i="40"/>
  <c r="P43" i="40"/>
  <c r="O43" i="40"/>
  <c r="N43" i="40"/>
  <c r="M43" i="40"/>
  <c r="S43" i="40"/>
  <c r="P42" i="40"/>
  <c r="V42" i="40" s="1"/>
  <c r="O42" i="40"/>
  <c r="U42" i="40"/>
  <c r="N42" i="40"/>
  <c r="T42" i="40" s="1"/>
  <c r="M42" i="40"/>
  <c r="S42" i="40"/>
  <c r="P41" i="40"/>
  <c r="O41" i="40"/>
  <c r="N41" i="40"/>
  <c r="M41" i="40"/>
  <c r="S41" i="40" s="1"/>
  <c r="P40" i="40"/>
  <c r="O40" i="40"/>
  <c r="N40" i="40"/>
  <c r="M40" i="40"/>
  <c r="S40" i="40" s="1"/>
  <c r="P39" i="40"/>
  <c r="O39" i="40"/>
  <c r="N39" i="40"/>
  <c r="M39" i="40"/>
  <c r="S39" i="40" s="1"/>
  <c r="P38" i="40"/>
  <c r="V38" i="40"/>
  <c r="O38" i="40"/>
  <c r="N38" i="40"/>
  <c r="T38" i="40"/>
  <c r="M38" i="40"/>
  <c r="S38" i="40" s="1"/>
  <c r="P37" i="40"/>
  <c r="O37" i="40"/>
  <c r="N37" i="40"/>
  <c r="M37" i="40"/>
  <c r="S37" i="40" s="1"/>
  <c r="P36" i="40"/>
  <c r="O36" i="40"/>
  <c r="N36" i="40"/>
  <c r="M36" i="40"/>
  <c r="S36" i="40"/>
  <c r="P35" i="40"/>
  <c r="O35" i="40"/>
  <c r="N35" i="40"/>
  <c r="M35" i="40"/>
  <c r="P34" i="40"/>
  <c r="O34" i="40"/>
  <c r="U34" i="40" s="1"/>
  <c r="N34" i="40"/>
  <c r="T34" i="40" s="1"/>
  <c r="M34" i="40"/>
  <c r="S34" i="40" s="1"/>
  <c r="P33" i="40"/>
  <c r="O33" i="40"/>
  <c r="N33" i="40"/>
  <c r="M33" i="40"/>
  <c r="P32" i="40"/>
  <c r="O32" i="40"/>
  <c r="N32" i="40"/>
  <c r="M32" i="40"/>
  <c r="P31" i="40"/>
  <c r="O31" i="40"/>
  <c r="N31" i="40"/>
  <c r="M31" i="40"/>
  <c r="S31" i="40"/>
  <c r="P30" i="40"/>
  <c r="O30" i="40"/>
  <c r="U30" i="40" s="1"/>
  <c r="N30" i="40"/>
  <c r="M30" i="40"/>
  <c r="P29" i="40"/>
  <c r="O29" i="40"/>
  <c r="N29" i="40"/>
  <c r="M29" i="40"/>
  <c r="P28" i="40"/>
  <c r="V28" i="40" s="1"/>
  <c r="O28" i="40"/>
  <c r="N28" i="40"/>
  <c r="M28" i="40"/>
  <c r="S28" i="40" s="1"/>
  <c r="P27" i="40"/>
  <c r="V27" i="40" s="1"/>
  <c r="O27" i="40"/>
  <c r="N27" i="40"/>
  <c r="M27" i="40"/>
  <c r="P26" i="40"/>
  <c r="V26" i="40"/>
  <c r="O26" i="40"/>
  <c r="N26" i="40"/>
  <c r="M26" i="40"/>
  <c r="P25" i="40"/>
  <c r="O25" i="40"/>
  <c r="N25" i="40"/>
  <c r="M25" i="40"/>
  <c r="P24" i="40"/>
  <c r="V24" i="40" s="1"/>
  <c r="O24" i="40"/>
  <c r="N24" i="40"/>
  <c r="M24" i="40"/>
  <c r="P23" i="40"/>
  <c r="V23" i="40"/>
  <c r="O23" i="40"/>
  <c r="N23" i="40"/>
  <c r="M23" i="40"/>
  <c r="S23" i="40"/>
  <c r="F51" i="40"/>
  <c r="E51" i="40"/>
  <c r="D51" i="40"/>
  <c r="C51" i="40"/>
  <c r="F50" i="40"/>
  <c r="E50" i="40"/>
  <c r="D50" i="40"/>
  <c r="C50" i="40"/>
  <c r="F49" i="40"/>
  <c r="E49" i="40"/>
  <c r="D49" i="40"/>
  <c r="C49" i="40"/>
  <c r="F46" i="40"/>
  <c r="E46" i="40"/>
  <c r="D46" i="40"/>
  <c r="C46" i="40"/>
  <c r="F45" i="40"/>
  <c r="E45" i="40"/>
  <c r="D45" i="40"/>
  <c r="C45" i="40"/>
  <c r="F44" i="40"/>
  <c r="E44" i="40"/>
  <c r="D44" i="40"/>
  <c r="C44" i="40"/>
  <c r="F43" i="40"/>
  <c r="L43" i="40" s="1"/>
  <c r="E43" i="40"/>
  <c r="D43" i="40"/>
  <c r="C43" i="40"/>
  <c r="F42" i="40"/>
  <c r="E42" i="40"/>
  <c r="D42" i="40"/>
  <c r="C42" i="40"/>
  <c r="F41" i="40"/>
  <c r="E41" i="40"/>
  <c r="D41" i="40"/>
  <c r="C41" i="40"/>
  <c r="F40" i="40"/>
  <c r="E40" i="40"/>
  <c r="D40" i="40"/>
  <c r="C40" i="40"/>
  <c r="F39" i="40"/>
  <c r="E39" i="40"/>
  <c r="D39" i="40"/>
  <c r="C39" i="40"/>
  <c r="I39" i="40" s="1"/>
  <c r="F38" i="40"/>
  <c r="E38" i="40"/>
  <c r="D38" i="40"/>
  <c r="C38" i="40"/>
  <c r="I38" i="40" s="1"/>
  <c r="F37" i="40"/>
  <c r="E37" i="40"/>
  <c r="D37" i="40"/>
  <c r="C37" i="40"/>
  <c r="F36" i="40"/>
  <c r="E36" i="40"/>
  <c r="D36" i="40"/>
  <c r="J36" i="40" s="1"/>
  <c r="C36" i="40"/>
  <c r="F35" i="40"/>
  <c r="E35" i="40"/>
  <c r="D35" i="40"/>
  <c r="J35" i="40"/>
  <c r="C35" i="40"/>
  <c r="F34" i="40"/>
  <c r="E34" i="40"/>
  <c r="D34" i="40"/>
  <c r="C34" i="40"/>
  <c r="F33" i="40"/>
  <c r="E33" i="40"/>
  <c r="D33" i="40"/>
  <c r="C33" i="40"/>
  <c r="F32" i="40"/>
  <c r="E32" i="40"/>
  <c r="D32" i="40"/>
  <c r="C32" i="40"/>
  <c r="F31" i="40"/>
  <c r="E31" i="40"/>
  <c r="D31" i="40"/>
  <c r="C31" i="40"/>
  <c r="F30" i="40"/>
  <c r="E30" i="40"/>
  <c r="K30" i="40"/>
  <c r="D30" i="40"/>
  <c r="C30" i="40"/>
  <c r="F29" i="40"/>
  <c r="E29" i="40"/>
  <c r="D29" i="40"/>
  <c r="C29" i="40"/>
  <c r="F28" i="40"/>
  <c r="E28" i="40"/>
  <c r="D28" i="40"/>
  <c r="C28" i="40"/>
  <c r="F27" i="40"/>
  <c r="E27" i="40"/>
  <c r="D27" i="40"/>
  <c r="J27" i="40"/>
  <c r="C27" i="40"/>
  <c r="F26" i="40"/>
  <c r="E26" i="40"/>
  <c r="D26" i="40"/>
  <c r="J26" i="40" s="1"/>
  <c r="C26" i="40"/>
  <c r="I26" i="40" s="1"/>
  <c r="F25" i="40"/>
  <c r="E25" i="40"/>
  <c r="D25" i="40"/>
  <c r="C25" i="40"/>
  <c r="F24" i="40"/>
  <c r="E24" i="40"/>
  <c r="D24" i="40"/>
  <c r="C24" i="40"/>
  <c r="F23" i="40"/>
  <c r="E23" i="40"/>
  <c r="K23" i="40"/>
  <c r="D23" i="40"/>
  <c r="C23" i="40"/>
  <c r="W64" i="39"/>
  <c r="V64" i="39"/>
  <c r="U64" i="39"/>
  <c r="T64" i="39"/>
  <c r="S64" i="39"/>
  <c r="R64" i="39"/>
  <c r="Q64" i="39"/>
  <c r="P64" i="39"/>
  <c r="O64" i="39"/>
  <c r="N64" i="39"/>
  <c r="M64" i="39"/>
  <c r="L64" i="39"/>
  <c r="K64" i="39"/>
  <c r="J64" i="39"/>
  <c r="I64" i="39"/>
  <c r="H64" i="39"/>
  <c r="G64" i="39"/>
  <c r="F64" i="39"/>
  <c r="E64" i="39"/>
  <c r="D64" i="39"/>
  <c r="W63" i="39"/>
  <c r="V63" i="39"/>
  <c r="U63" i="39"/>
  <c r="T63" i="39"/>
  <c r="S63" i="39"/>
  <c r="R63" i="39"/>
  <c r="Q63" i="39"/>
  <c r="P63" i="39"/>
  <c r="O63" i="39"/>
  <c r="N63" i="39"/>
  <c r="M63" i="39"/>
  <c r="L63" i="39"/>
  <c r="K63" i="39"/>
  <c r="J63" i="39"/>
  <c r="I63" i="39"/>
  <c r="H63" i="39"/>
  <c r="G63" i="39"/>
  <c r="F63" i="39"/>
  <c r="E63" i="39"/>
  <c r="D63" i="39"/>
  <c r="W62" i="39"/>
  <c r="V62" i="39"/>
  <c r="U62" i="39"/>
  <c r="T62" i="39"/>
  <c r="S62" i="39"/>
  <c r="R62" i="39"/>
  <c r="Q62" i="39"/>
  <c r="P62" i="39"/>
  <c r="O62" i="39"/>
  <c r="N62" i="39"/>
  <c r="M62" i="39"/>
  <c r="L62" i="39"/>
  <c r="K62" i="39"/>
  <c r="J62" i="39"/>
  <c r="I62" i="39"/>
  <c r="H62" i="39"/>
  <c r="G62" i="39"/>
  <c r="F62" i="39"/>
  <c r="E62" i="39"/>
  <c r="D62" i="39"/>
  <c r="W61" i="39"/>
  <c r="V61" i="39"/>
  <c r="U61" i="39"/>
  <c r="T61" i="39"/>
  <c r="S61" i="39"/>
  <c r="R61" i="39"/>
  <c r="Q61" i="39"/>
  <c r="P61" i="39"/>
  <c r="O61" i="39"/>
  <c r="N61" i="39"/>
  <c r="M61" i="39"/>
  <c r="L61" i="39"/>
  <c r="K61" i="39"/>
  <c r="J61" i="39"/>
  <c r="I61" i="39"/>
  <c r="H61" i="39"/>
  <c r="G61" i="39"/>
  <c r="F61" i="39"/>
  <c r="E61" i="39"/>
  <c r="D61" i="39"/>
  <c r="W60" i="39"/>
  <c r="V60" i="39"/>
  <c r="U60" i="39"/>
  <c r="T60" i="39"/>
  <c r="S60" i="39"/>
  <c r="R60" i="39"/>
  <c r="Q60" i="39"/>
  <c r="P60" i="39"/>
  <c r="O60" i="39"/>
  <c r="N60" i="39"/>
  <c r="M60" i="39"/>
  <c r="L60" i="39"/>
  <c r="K60" i="39"/>
  <c r="J60" i="39"/>
  <c r="I60" i="39"/>
  <c r="H60" i="39"/>
  <c r="G60" i="39"/>
  <c r="F60" i="39"/>
  <c r="E60" i="39"/>
  <c r="D60" i="39"/>
  <c r="W59" i="39"/>
  <c r="V59" i="39"/>
  <c r="U59" i="39"/>
  <c r="T59" i="39"/>
  <c r="S59" i="39"/>
  <c r="R59" i="39"/>
  <c r="Q59" i="39"/>
  <c r="P59" i="39"/>
  <c r="O59" i="39"/>
  <c r="N59" i="39"/>
  <c r="M59" i="39"/>
  <c r="L59" i="39"/>
  <c r="K59" i="39"/>
  <c r="J59" i="39"/>
  <c r="I59" i="39"/>
  <c r="H59" i="39"/>
  <c r="G59" i="39"/>
  <c r="F59" i="39"/>
  <c r="E59" i="39"/>
  <c r="D59" i="39"/>
  <c r="W58" i="39"/>
  <c r="V58" i="39"/>
  <c r="U58" i="39"/>
  <c r="T58" i="39"/>
  <c r="S58" i="39"/>
  <c r="R58" i="39"/>
  <c r="Q58" i="39"/>
  <c r="P58" i="39"/>
  <c r="O58" i="39"/>
  <c r="N58" i="39"/>
  <c r="M58" i="39"/>
  <c r="L58" i="39"/>
  <c r="K58" i="39"/>
  <c r="J58" i="39"/>
  <c r="I58" i="39"/>
  <c r="H58" i="39"/>
  <c r="G58" i="39"/>
  <c r="F58" i="39"/>
  <c r="E58" i="39"/>
  <c r="D58" i="39"/>
  <c r="W57" i="39"/>
  <c r="V57" i="39"/>
  <c r="U57" i="39"/>
  <c r="T57" i="39"/>
  <c r="S57" i="39"/>
  <c r="R57" i="39"/>
  <c r="Q57" i="39"/>
  <c r="P57" i="39"/>
  <c r="O57" i="39"/>
  <c r="N57" i="39"/>
  <c r="M57" i="39"/>
  <c r="L57" i="39"/>
  <c r="K57" i="39"/>
  <c r="J57" i="39"/>
  <c r="I57" i="39"/>
  <c r="H57" i="39"/>
  <c r="G57" i="39"/>
  <c r="F57" i="39"/>
  <c r="E57" i="39"/>
  <c r="D57" i="39"/>
  <c r="W56" i="39"/>
  <c r="V56" i="39"/>
  <c r="U56" i="39"/>
  <c r="T56" i="39"/>
  <c r="S56" i="39"/>
  <c r="R56" i="39"/>
  <c r="Q56" i="39"/>
  <c r="P56" i="39"/>
  <c r="O56" i="39"/>
  <c r="N56" i="39"/>
  <c r="M56" i="39"/>
  <c r="L56" i="39"/>
  <c r="K56" i="39"/>
  <c r="J56" i="39"/>
  <c r="I56" i="39"/>
  <c r="H56" i="39"/>
  <c r="G56" i="39"/>
  <c r="F56" i="39"/>
  <c r="E56" i="39"/>
  <c r="D56" i="39"/>
  <c r="W55" i="39"/>
  <c r="V55" i="39"/>
  <c r="U55" i="39"/>
  <c r="T55" i="39"/>
  <c r="S55" i="39"/>
  <c r="R55" i="39"/>
  <c r="Q55" i="39"/>
  <c r="P55" i="39"/>
  <c r="O55" i="39"/>
  <c r="N55" i="39"/>
  <c r="M55" i="39"/>
  <c r="L55" i="39"/>
  <c r="K55" i="39"/>
  <c r="J55" i="39"/>
  <c r="I55" i="39"/>
  <c r="H55" i="39"/>
  <c r="G55" i="39"/>
  <c r="F55" i="39"/>
  <c r="E55" i="39"/>
  <c r="D55" i="39"/>
  <c r="W54" i="39"/>
  <c r="V54" i="39"/>
  <c r="U54" i="39"/>
  <c r="T54" i="39"/>
  <c r="S54" i="39"/>
  <c r="R54" i="39"/>
  <c r="Q54" i="39"/>
  <c r="P54" i="39"/>
  <c r="O54" i="39"/>
  <c r="N54" i="39"/>
  <c r="M54" i="39"/>
  <c r="L54" i="39"/>
  <c r="K54" i="39"/>
  <c r="J54" i="39"/>
  <c r="I54" i="39"/>
  <c r="H54" i="39"/>
  <c r="G54" i="39"/>
  <c r="F54" i="39"/>
  <c r="E54" i="39"/>
  <c r="D54" i="39"/>
  <c r="W53" i="39"/>
  <c r="V53" i="39"/>
  <c r="U53" i="39"/>
  <c r="T53" i="39"/>
  <c r="S53" i="39"/>
  <c r="R53" i="39"/>
  <c r="Q53" i="39"/>
  <c r="P53" i="39"/>
  <c r="O53" i="39"/>
  <c r="N53" i="39"/>
  <c r="M53" i="39"/>
  <c r="L53" i="39"/>
  <c r="K53" i="39"/>
  <c r="J53" i="39"/>
  <c r="I53" i="39"/>
  <c r="H53" i="39"/>
  <c r="G53" i="39"/>
  <c r="F53" i="39"/>
  <c r="E53" i="39"/>
  <c r="D53" i="39"/>
  <c r="W52" i="39"/>
  <c r="V52" i="39"/>
  <c r="U52" i="39"/>
  <c r="T52" i="39"/>
  <c r="S52" i="39"/>
  <c r="R52" i="39"/>
  <c r="Q52" i="39"/>
  <c r="P52" i="39"/>
  <c r="O52" i="39"/>
  <c r="N52" i="39"/>
  <c r="M52" i="39"/>
  <c r="L52" i="39"/>
  <c r="K52" i="39"/>
  <c r="J52" i="39"/>
  <c r="I52" i="39"/>
  <c r="H52" i="39"/>
  <c r="G52" i="39"/>
  <c r="F52" i="39"/>
  <c r="E52" i="39"/>
  <c r="D52" i="39"/>
  <c r="W51" i="39"/>
  <c r="V51" i="39"/>
  <c r="U51" i="39"/>
  <c r="T51" i="39"/>
  <c r="S51" i="39"/>
  <c r="R51" i="39"/>
  <c r="Q51" i="39"/>
  <c r="P51" i="39"/>
  <c r="O51" i="39"/>
  <c r="N51" i="39"/>
  <c r="M51" i="39"/>
  <c r="L51" i="39"/>
  <c r="K51" i="39"/>
  <c r="J51" i="39"/>
  <c r="I51" i="39"/>
  <c r="H51" i="39"/>
  <c r="G51" i="39"/>
  <c r="F51" i="39"/>
  <c r="E51" i="39"/>
  <c r="D51" i="39"/>
  <c r="W50" i="39"/>
  <c r="V50" i="39"/>
  <c r="U50" i="39"/>
  <c r="T50" i="39"/>
  <c r="S50" i="39"/>
  <c r="R50" i="39"/>
  <c r="Q50" i="39"/>
  <c r="P50" i="39"/>
  <c r="O50" i="39"/>
  <c r="N50" i="39"/>
  <c r="M50" i="39"/>
  <c r="L50" i="39"/>
  <c r="K50" i="39"/>
  <c r="J50" i="39"/>
  <c r="I50" i="39"/>
  <c r="H50" i="39"/>
  <c r="G50" i="39"/>
  <c r="F50" i="39"/>
  <c r="E50" i="39"/>
  <c r="D50" i="39"/>
  <c r="W49" i="39"/>
  <c r="V49" i="39"/>
  <c r="U49" i="39"/>
  <c r="T49" i="39"/>
  <c r="S49" i="39"/>
  <c r="R49" i="39"/>
  <c r="Q49" i="39"/>
  <c r="P49" i="39"/>
  <c r="O49" i="39"/>
  <c r="N49" i="39"/>
  <c r="M49" i="39"/>
  <c r="L49" i="39"/>
  <c r="K49" i="39"/>
  <c r="J49" i="39"/>
  <c r="I49" i="39"/>
  <c r="H49" i="39"/>
  <c r="G49" i="39"/>
  <c r="F49" i="39"/>
  <c r="E49" i="39"/>
  <c r="D49" i="39"/>
  <c r="W48" i="39"/>
  <c r="V48" i="39"/>
  <c r="U48" i="39"/>
  <c r="T48" i="39"/>
  <c r="S48" i="39"/>
  <c r="R48" i="39"/>
  <c r="Q48" i="39"/>
  <c r="P48" i="39"/>
  <c r="O48" i="39"/>
  <c r="N48" i="39"/>
  <c r="M48" i="39"/>
  <c r="L48" i="39"/>
  <c r="K48" i="39"/>
  <c r="J48" i="39"/>
  <c r="I48" i="39"/>
  <c r="H48" i="39"/>
  <c r="G48" i="39"/>
  <c r="F48" i="39"/>
  <c r="E48" i="39"/>
  <c r="D48" i="39"/>
  <c r="W47" i="39"/>
  <c r="V47" i="39"/>
  <c r="U47" i="39"/>
  <c r="T47" i="39"/>
  <c r="S47" i="39"/>
  <c r="R47" i="39"/>
  <c r="Q47" i="39"/>
  <c r="P47" i="39"/>
  <c r="O47" i="39"/>
  <c r="N47" i="39"/>
  <c r="M47" i="39"/>
  <c r="L47" i="39"/>
  <c r="K47" i="39"/>
  <c r="J47" i="39"/>
  <c r="I47" i="39"/>
  <c r="H47" i="39"/>
  <c r="G47" i="39"/>
  <c r="F47" i="39"/>
  <c r="E47" i="39"/>
  <c r="D47" i="39"/>
  <c r="W46" i="39"/>
  <c r="V46" i="39"/>
  <c r="U46" i="39"/>
  <c r="T46" i="39"/>
  <c r="S46" i="39"/>
  <c r="R46" i="39"/>
  <c r="Q46" i="39"/>
  <c r="P46" i="39"/>
  <c r="O46" i="39"/>
  <c r="N46" i="39"/>
  <c r="M46" i="39"/>
  <c r="L46" i="39"/>
  <c r="K46" i="39"/>
  <c r="J46" i="39"/>
  <c r="I46" i="39"/>
  <c r="H46" i="39"/>
  <c r="G46" i="39"/>
  <c r="F46" i="39"/>
  <c r="E46" i="39"/>
  <c r="D46" i="39"/>
  <c r="W45" i="39"/>
  <c r="V45" i="39"/>
  <c r="U45" i="39"/>
  <c r="T45" i="39"/>
  <c r="S45" i="39"/>
  <c r="R45" i="39"/>
  <c r="Q45" i="39"/>
  <c r="P45" i="39"/>
  <c r="O45" i="39"/>
  <c r="N45" i="39"/>
  <c r="M45" i="39"/>
  <c r="L45" i="39"/>
  <c r="K45" i="39"/>
  <c r="J45" i="39"/>
  <c r="I45" i="39"/>
  <c r="H45" i="39"/>
  <c r="G45" i="39"/>
  <c r="F45" i="39"/>
  <c r="E45" i="39"/>
  <c r="D45" i="39"/>
  <c r="W44" i="39"/>
  <c r="V44" i="39"/>
  <c r="U44" i="39"/>
  <c r="T44" i="39"/>
  <c r="S44" i="39"/>
  <c r="R44" i="39"/>
  <c r="Q44" i="39"/>
  <c r="P44" i="39"/>
  <c r="O44" i="39"/>
  <c r="N44" i="39"/>
  <c r="M44" i="39"/>
  <c r="L44" i="39"/>
  <c r="K44" i="39"/>
  <c r="J44" i="39"/>
  <c r="I44" i="39"/>
  <c r="H44" i="39"/>
  <c r="G44" i="39"/>
  <c r="F44" i="39"/>
  <c r="E44" i="39"/>
  <c r="D44" i="39"/>
  <c r="W43" i="39"/>
  <c r="V43" i="39"/>
  <c r="U43" i="39"/>
  <c r="T43" i="39"/>
  <c r="S43" i="39"/>
  <c r="R43" i="39"/>
  <c r="Q43" i="39"/>
  <c r="P43" i="39"/>
  <c r="O43" i="39"/>
  <c r="N43" i="39"/>
  <c r="M43" i="39"/>
  <c r="L43" i="39"/>
  <c r="K43" i="39"/>
  <c r="J43" i="39"/>
  <c r="I43" i="39"/>
  <c r="H43" i="39"/>
  <c r="G43" i="39"/>
  <c r="F43" i="39"/>
  <c r="E43" i="39"/>
  <c r="D43" i="39"/>
  <c r="W42" i="39"/>
  <c r="V42" i="39"/>
  <c r="U42" i="39"/>
  <c r="T42" i="39"/>
  <c r="S42" i="39"/>
  <c r="R42" i="39"/>
  <c r="Q42" i="39"/>
  <c r="P42" i="39"/>
  <c r="O42" i="39"/>
  <c r="N42" i="39"/>
  <c r="M42" i="39"/>
  <c r="L42" i="39"/>
  <c r="K42" i="39"/>
  <c r="J42" i="39"/>
  <c r="I42" i="39"/>
  <c r="H42" i="39"/>
  <c r="G42" i="39"/>
  <c r="F42" i="39"/>
  <c r="E42" i="39"/>
  <c r="D42" i="39"/>
  <c r="W41" i="39"/>
  <c r="V41" i="39"/>
  <c r="U41" i="39"/>
  <c r="T41" i="39"/>
  <c r="S41" i="39"/>
  <c r="R41" i="39"/>
  <c r="Q41" i="39"/>
  <c r="P41" i="39"/>
  <c r="O41" i="39"/>
  <c r="N41" i="39"/>
  <c r="M41" i="39"/>
  <c r="L41" i="39"/>
  <c r="K41" i="39"/>
  <c r="J41" i="39"/>
  <c r="I41" i="39"/>
  <c r="H41" i="39"/>
  <c r="G41" i="39"/>
  <c r="F41" i="39"/>
  <c r="E41" i="39"/>
  <c r="D41" i="39"/>
  <c r="W40" i="39"/>
  <c r="V40" i="39"/>
  <c r="U40" i="39"/>
  <c r="T40" i="39"/>
  <c r="S40" i="39"/>
  <c r="R40" i="39"/>
  <c r="Q40" i="39"/>
  <c r="P40" i="39"/>
  <c r="O40" i="39"/>
  <c r="N40" i="39"/>
  <c r="M40" i="39"/>
  <c r="L40" i="39"/>
  <c r="K40" i="39"/>
  <c r="J40" i="39"/>
  <c r="I40" i="39"/>
  <c r="H40" i="39"/>
  <c r="G40" i="39"/>
  <c r="F40" i="39"/>
  <c r="E40" i="39"/>
  <c r="D40" i="39"/>
  <c r="W39" i="39"/>
  <c r="V39" i="39"/>
  <c r="U39" i="39"/>
  <c r="T39" i="39"/>
  <c r="S39" i="39"/>
  <c r="R39" i="39"/>
  <c r="Q39" i="39"/>
  <c r="P39" i="39"/>
  <c r="O39" i="39"/>
  <c r="N39" i="39"/>
  <c r="M39" i="39"/>
  <c r="L39" i="39"/>
  <c r="K39" i="39"/>
  <c r="J39" i="39"/>
  <c r="I39" i="39"/>
  <c r="H39" i="39"/>
  <c r="G39" i="39"/>
  <c r="F39" i="39"/>
  <c r="E39" i="39"/>
  <c r="D39" i="39"/>
  <c r="W38" i="39"/>
  <c r="V38" i="39"/>
  <c r="U38" i="39"/>
  <c r="T38" i="39"/>
  <c r="S38" i="39"/>
  <c r="R38" i="39"/>
  <c r="Q38" i="39"/>
  <c r="P38" i="39"/>
  <c r="O38" i="39"/>
  <c r="N38" i="39"/>
  <c r="M38" i="39"/>
  <c r="L38" i="39"/>
  <c r="K38" i="39"/>
  <c r="J38" i="39"/>
  <c r="I38" i="39"/>
  <c r="H38" i="39"/>
  <c r="G38" i="39"/>
  <c r="F38" i="39"/>
  <c r="E38" i="39"/>
  <c r="D38" i="39"/>
  <c r="W37" i="39"/>
  <c r="V37" i="39"/>
  <c r="U37" i="39"/>
  <c r="T37" i="39"/>
  <c r="S37" i="39"/>
  <c r="R37" i="39"/>
  <c r="Q37" i="39"/>
  <c r="P37" i="39"/>
  <c r="O37" i="39"/>
  <c r="N37" i="39"/>
  <c r="M37" i="39"/>
  <c r="L37" i="39"/>
  <c r="K37" i="39"/>
  <c r="J37" i="39"/>
  <c r="I37" i="39"/>
  <c r="H37" i="39"/>
  <c r="G37" i="39"/>
  <c r="F37" i="39"/>
  <c r="E37" i="39"/>
  <c r="D37" i="39"/>
  <c r="W36" i="39"/>
  <c r="V36" i="39"/>
  <c r="U36" i="39"/>
  <c r="T36" i="39"/>
  <c r="S36" i="39"/>
  <c r="R36" i="39"/>
  <c r="Q36" i="39"/>
  <c r="P36" i="39"/>
  <c r="O36" i="39"/>
  <c r="N36" i="39"/>
  <c r="M36" i="39"/>
  <c r="L36" i="39"/>
  <c r="K36" i="39"/>
  <c r="J36" i="39"/>
  <c r="I36" i="39"/>
  <c r="H36" i="39"/>
  <c r="G36" i="39"/>
  <c r="F36" i="39"/>
  <c r="E36" i="39"/>
  <c r="D36" i="39"/>
  <c r="W35" i="39"/>
  <c r="V35" i="39"/>
  <c r="U35" i="39"/>
  <c r="T35" i="39"/>
  <c r="S35" i="39"/>
  <c r="R35" i="39"/>
  <c r="Q35" i="39"/>
  <c r="P35" i="39"/>
  <c r="O35" i="39"/>
  <c r="N35" i="39"/>
  <c r="M35" i="39"/>
  <c r="L35" i="39"/>
  <c r="K35" i="39"/>
  <c r="J35" i="39"/>
  <c r="I35" i="39"/>
  <c r="H35" i="39"/>
  <c r="G35" i="39"/>
  <c r="F35" i="39"/>
  <c r="E35" i="39"/>
  <c r="D35" i="39"/>
  <c r="W34" i="39"/>
  <c r="V34" i="39"/>
  <c r="U34" i="39"/>
  <c r="T34" i="39"/>
  <c r="S34" i="39"/>
  <c r="R34" i="39"/>
  <c r="Q34" i="39"/>
  <c r="P34" i="39"/>
  <c r="O34" i="39"/>
  <c r="N34" i="39"/>
  <c r="M34" i="39"/>
  <c r="L34" i="39"/>
  <c r="K34" i="39"/>
  <c r="J34" i="39"/>
  <c r="I34" i="39"/>
  <c r="H34" i="39"/>
  <c r="G34" i="39"/>
  <c r="F34" i="39"/>
  <c r="E34" i="39"/>
  <c r="D34" i="39"/>
  <c r="W33" i="39"/>
  <c r="V33" i="39"/>
  <c r="U33" i="39"/>
  <c r="T33" i="39"/>
  <c r="S33" i="39"/>
  <c r="R33" i="39"/>
  <c r="Q33" i="39"/>
  <c r="P33" i="39"/>
  <c r="O33" i="39"/>
  <c r="N33" i="39"/>
  <c r="M33" i="39"/>
  <c r="L33" i="39"/>
  <c r="K33" i="39"/>
  <c r="J33" i="39"/>
  <c r="I33" i="39"/>
  <c r="H33" i="39"/>
  <c r="G33" i="39"/>
  <c r="F33" i="39"/>
  <c r="E33" i="39"/>
  <c r="D33" i="39"/>
  <c r="W32" i="39"/>
  <c r="V32" i="39"/>
  <c r="U32" i="39"/>
  <c r="T32" i="39"/>
  <c r="S32" i="39"/>
  <c r="R32" i="39"/>
  <c r="Q32" i="39"/>
  <c r="P32" i="39"/>
  <c r="O32" i="39"/>
  <c r="N32" i="39"/>
  <c r="M32" i="39"/>
  <c r="L32" i="39"/>
  <c r="K32" i="39"/>
  <c r="J32" i="39"/>
  <c r="I32" i="39"/>
  <c r="H32" i="39"/>
  <c r="G32" i="39"/>
  <c r="F32" i="39"/>
  <c r="E32" i="39"/>
  <c r="D32" i="39"/>
  <c r="W31" i="39"/>
  <c r="V31" i="39"/>
  <c r="U31" i="39"/>
  <c r="T31" i="39"/>
  <c r="S31" i="39"/>
  <c r="R31" i="39"/>
  <c r="Q31" i="39"/>
  <c r="P31" i="39"/>
  <c r="O31" i="39"/>
  <c r="N31" i="39"/>
  <c r="M31" i="39"/>
  <c r="L31" i="39"/>
  <c r="K31" i="39"/>
  <c r="J31" i="39"/>
  <c r="I31" i="39"/>
  <c r="H31" i="39"/>
  <c r="G31" i="39"/>
  <c r="F31" i="39"/>
  <c r="E31" i="39"/>
  <c r="D31" i="39"/>
  <c r="W30" i="39"/>
  <c r="V30" i="39"/>
  <c r="U30" i="39"/>
  <c r="T30" i="39"/>
  <c r="S30" i="39"/>
  <c r="R30" i="39"/>
  <c r="Q30" i="39"/>
  <c r="P30" i="39"/>
  <c r="O30" i="39"/>
  <c r="N30" i="39"/>
  <c r="M30" i="39"/>
  <c r="L30" i="39"/>
  <c r="K30" i="39"/>
  <c r="J30" i="39"/>
  <c r="I30" i="39"/>
  <c r="H30" i="39"/>
  <c r="G30" i="39"/>
  <c r="F30" i="39"/>
  <c r="E30" i="39"/>
  <c r="D30" i="39"/>
  <c r="W29" i="39"/>
  <c r="V29" i="39"/>
  <c r="U29" i="39"/>
  <c r="T29" i="39"/>
  <c r="S29" i="39"/>
  <c r="R29" i="39"/>
  <c r="Q29" i="39"/>
  <c r="P29" i="39"/>
  <c r="O29" i="39"/>
  <c r="N29" i="39"/>
  <c r="M29" i="39"/>
  <c r="L29" i="39"/>
  <c r="K29" i="39"/>
  <c r="J29" i="39"/>
  <c r="I29" i="39"/>
  <c r="H29" i="39"/>
  <c r="G29" i="39"/>
  <c r="F29" i="39"/>
  <c r="E29" i="39"/>
  <c r="D29" i="39"/>
  <c r="W28" i="39"/>
  <c r="V28" i="39"/>
  <c r="U28" i="39"/>
  <c r="T28" i="39"/>
  <c r="S28" i="39"/>
  <c r="R28" i="39"/>
  <c r="Q28" i="39"/>
  <c r="P28" i="39"/>
  <c r="O28" i="39"/>
  <c r="N28" i="39"/>
  <c r="M28" i="39"/>
  <c r="L28" i="39"/>
  <c r="K28" i="39"/>
  <c r="J28" i="39"/>
  <c r="I28" i="39"/>
  <c r="H28" i="39"/>
  <c r="G28" i="39"/>
  <c r="F28" i="39"/>
  <c r="E28" i="39"/>
  <c r="D28" i="39"/>
  <c r="W27" i="39"/>
  <c r="V27" i="39"/>
  <c r="U27" i="39"/>
  <c r="T27" i="39"/>
  <c r="S27" i="39"/>
  <c r="R27" i="39"/>
  <c r="Q27" i="39"/>
  <c r="P27" i="39"/>
  <c r="O27" i="39"/>
  <c r="N27" i="39"/>
  <c r="M27" i="39"/>
  <c r="L27" i="39"/>
  <c r="K27" i="39"/>
  <c r="J27" i="39"/>
  <c r="I27" i="39"/>
  <c r="H27" i="39"/>
  <c r="G27" i="39"/>
  <c r="F27" i="39"/>
  <c r="E27" i="39"/>
  <c r="D27" i="39"/>
  <c r="W26" i="39"/>
  <c r="V26" i="39"/>
  <c r="U26" i="39"/>
  <c r="T26" i="39"/>
  <c r="S26" i="39"/>
  <c r="R26" i="39"/>
  <c r="Q26" i="39"/>
  <c r="P26" i="39"/>
  <c r="O26" i="39"/>
  <c r="N26" i="39"/>
  <c r="M26" i="39"/>
  <c r="L26" i="39"/>
  <c r="K26" i="39"/>
  <c r="J26" i="39"/>
  <c r="I26" i="39"/>
  <c r="H26" i="39"/>
  <c r="G26" i="39"/>
  <c r="F26" i="39"/>
  <c r="E26" i="39"/>
  <c r="D26" i="39"/>
  <c r="W25" i="39"/>
  <c r="V25" i="39"/>
  <c r="U25" i="39"/>
  <c r="T25" i="39"/>
  <c r="S25" i="39"/>
  <c r="R25" i="39"/>
  <c r="Q25" i="39"/>
  <c r="P25" i="39"/>
  <c r="O25" i="39"/>
  <c r="N25" i="39"/>
  <c r="M25" i="39"/>
  <c r="L25" i="39"/>
  <c r="K25" i="39"/>
  <c r="J25" i="39"/>
  <c r="I25" i="39"/>
  <c r="H25" i="39"/>
  <c r="G25" i="39"/>
  <c r="F25" i="39"/>
  <c r="E25" i="39"/>
  <c r="D25" i="39"/>
  <c r="W24" i="39"/>
  <c r="V24" i="39"/>
  <c r="U24" i="39"/>
  <c r="T24" i="39"/>
  <c r="S24" i="39"/>
  <c r="R24" i="39"/>
  <c r="Q24" i="39"/>
  <c r="P24" i="39"/>
  <c r="O24" i="39"/>
  <c r="N24" i="39"/>
  <c r="M24" i="39"/>
  <c r="L24" i="39"/>
  <c r="K24" i="39"/>
  <c r="J24" i="39"/>
  <c r="I24" i="39"/>
  <c r="H24" i="39"/>
  <c r="G24" i="39"/>
  <c r="F24" i="39"/>
  <c r="E24" i="39"/>
  <c r="D24" i="39"/>
  <c r="W23" i="39"/>
  <c r="V23" i="39"/>
  <c r="U23" i="39"/>
  <c r="T23" i="39"/>
  <c r="S23" i="39"/>
  <c r="R23" i="39"/>
  <c r="Q23" i="39"/>
  <c r="P23" i="39"/>
  <c r="O23" i="39"/>
  <c r="N23" i="39"/>
  <c r="M23" i="39"/>
  <c r="L23" i="39"/>
  <c r="K23" i="39"/>
  <c r="J23" i="39"/>
  <c r="I23" i="39"/>
  <c r="H23" i="39"/>
  <c r="G23" i="39"/>
  <c r="F23" i="39"/>
  <c r="E23" i="39"/>
  <c r="D23" i="39"/>
  <c r="W22" i="39"/>
  <c r="V22" i="39"/>
  <c r="U22" i="39"/>
  <c r="T22" i="39"/>
  <c r="S22" i="39"/>
  <c r="R22" i="39"/>
  <c r="Q22" i="39"/>
  <c r="P22" i="39"/>
  <c r="O22" i="39"/>
  <c r="N22" i="39"/>
  <c r="M22" i="39"/>
  <c r="L22" i="39"/>
  <c r="K22" i="39"/>
  <c r="J22" i="39"/>
  <c r="I22" i="39"/>
  <c r="H22" i="39"/>
  <c r="G22" i="39"/>
  <c r="F22" i="39"/>
  <c r="E22" i="39"/>
  <c r="D22" i="39"/>
  <c r="W21" i="39"/>
  <c r="V21" i="39"/>
  <c r="U21" i="39"/>
  <c r="T21" i="39"/>
  <c r="S21" i="39"/>
  <c r="R21" i="39"/>
  <c r="Q21" i="39"/>
  <c r="P21" i="39"/>
  <c r="O21" i="39"/>
  <c r="N21" i="39"/>
  <c r="M21" i="39"/>
  <c r="L21" i="39"/>
  <c r="K21" i="39"/>
  <c r="J21" i="39"/>
  <c r="I21" i="39"/>
  <c r="H21" i="39"/>
  <c r="G21" i="39"/>
  <c r="F21" i="39"/>
  <c r="E21" i="39"/>
  <c r="D21" i="39"/>
  <c r="W20" i="39"/>
  <c r="V20" i="39"/>
  <c r="U20" i="39"/>
  <c r="T20" i="39"/>
  <c r="S20" i="39"/>
  <c r="R20" i="39"/>
  <c r="Q20" i="39"/>
  <c r="P20" i="39"/>
  <c r="O20" i="39"/>
  <c r="N20" i="39"/>
  <c r="M20" i="39"/>
  <c r="L20" i="39"/>
  <c r="K20" i="39"/>
  <c r="J20" i="39"/>
  <c r="I20" i="39"/>
  <c r="H20" i="39"/>
  <c r="G20" i="39"/>
  <c r="F20" i="39"/>
  <c r="E20" i="39"/>
  <c r="D20" i="39"/>
  <c r="W19" i="39"/>
  <c r="V19" i="39"/>
  <c r="U19" i="39"/>
  <c r="T19" i="39"/>
  <c r="S19" i="39"/>
  <c r="R19" i="39"/>
  <c r="Q19" i="39"/>
  <c r="P19" i="39"/>
  <c r="O19" i="39"/>
  <c r="N19" i="39"/>
  <c r="M19" i="39"/>
  <c r="L19" i="39"/>
  <c r="K19" i="39"/>
  <c r="J19" i="39"/>
  <c r="I19" i="39"/>
  <c r="H19" i="39"/>
  <c r="G19" i="39"/>
  <c r="F19" i="39"/>
  <c r="E19" i="39"/>
  <c r="D19" i="39"/>
  <c r="W18" i="39"/>
  <c r="V18" i="39"/>
  <c r="U18" i="39"/>
  <c r="T18" i="39"/>
  <c r="S18" i="39"/>
  <c r="R18" i="39"/>
  <c r="Q18" i="39"/>
  <c r="P18" i="39"/>
  <c r="O18" i="39"/>
  <c r="N18" i="39"/>
  <c r="M18" i="39"/>
  <c r="L18" i="39"/>
  <c r="K18" i="39"/>
  <c r="J18" i="39"/>
  <c r="I18" i="39"/>
  <c r="H18" i="39"/>
  <c r="G18" i="39"/>
  <c r="F18" i="39"/>
  <c r="E18" i="39"/>
  <c r="D18" i="39"/>
  <c r="W17" i="39"/>
  <c r="V17" i="39"/>
  <c r="U17" i="39"/>
  <c r="T17" i="39"/>
  <c r="S17" i="39"/>
  <c r="R17" i="39"/>
  <c r="Q17" i="39"/>
  <c r="P17" i="39"/>
  <c r="O17" i="39"/>
  <c r="N17" i="39"/>
  <c r="M17" i="39"/>
  <c r="L17" i="39"/>
  <c r="K17" i="39"/>
  <c r="J17" i="39"/>
  <c r="I17" i="39"/>
  <c r="H17" i="39"/>
  <c r="G17" i="39"/>
  <c r="F17" i="39"/>
  <c r="E17" i="39"/>
  <c r="D17" i="39"/>
  <c r="W16" i="39"/>
  <c r="V16" i="39"/>
  <c r="U16" i="39"/>
  <c r="T16" i="39"/>
  <c r="S16" i="39"/>
  <c r="R16" i="39"/>
  <c r="Q16" i="39"/>
  <c r="P16" i="39"/>
  <c r="O16" i="39"/>
  <c r="N16" i="39"/>
  <c r="M16" i="39"/>
  <c r="L16" i="39"/>
  <c r="K16" i="39"/>
  <c r="J16" i="39"/>
  <c r="I16" i="39"/>
  <c r="H16" i="39"/>
  <c r="G16" i="39"/>
  <c r="F16" i="39"/>
  <c r="E16" i="39"/>
  <c r="D16" i="39"/>
  <c r="W15" i="39"/>
  <c r="V15" i="39"/>
  <c r="U15" i="39"/>
  <c r="T15" i="39"/>
  <c r="S15" i="39"/>
  <c r="R15" i="39"/>
  <c r="Q15" i="39"/>
  <c r="P15" i="39"/>
  <c r="O15" i="39"/>
  <c r="N15" i="39"/>
  <c r="M15" i="39"/>
  <c r="L15" i="39"/>
  <c r="K15" i="39"/>
  <c r="J15" i="39"/>
  <c r="I15" i="39"/>
  <c r="H15" i="39"/>
  <c r="G15" i="39"/>
  <c r="F15" i="39"/>
  <c r="E15" i="39"/>
  <c r="D15" i="39"/>
  <c r="W14" i="39"/>
  <c r="V14" i="39"/>
  <c r="U14" i="39"/>
  <c r="T14" i="39"/>
  <c r="S14" i="39"/>
  <c r="R14" i="39"/>
  <c r="Q14" i="39"/>
  <c r="P14" i="39"/>
  <c r="O14" i="39"/>
  <c r="N14" i="39"/>
  <c r="M14" i="39"/>
  <c r="L14" i="39"/>
  <c r="K14" i="39"/>
  <c r="J14" i="39"/>
  <c r="I14" i="39"/>
  <c r="H14" i="39"/>
  <c r="G14" i="39"/>
  <c r="F14" i="39"/>
  <c r="E14" i="39"/>
  <c r="D14" i="39"/>
  <c r="W13" i="39"/>
  <c r="V13" i="39"/>
  <c r="U13" i="39"/>
  <c r="T13" i="39"/>
  <c r="S13" i="39"/>
  <c r="R13" i="39"/>
  <c r="Q13" i="39"/>
  <c r="P13" i="39"/>
  <c r="O13" i="39"/>
  <c r="N13" i="39"/>
  <c r="M13" i="39"/>
  <c r="L13" i="39"/>
  <c r="K13" i="39"/>
  <c r="J13" i="39"/>
  <c r="I13" i="39"/>
  <c r="H13" i="39"/>
  <c r="G13" i="39"/>
  <c r="F13" i="39"/>
  <c r="E13" i="39"/>
  <c r="D13" i="39"/>
  <c r="W12" i="39"/>
  <c r="V12" i="39"/>
  <c r="U12" i="39"/>
  <c r="T12" i="39"/>
  <c r="S12" i="39"/>
  <c r="R12" i="39"/>
  <c r="Q12" i="39"/>
  <c r="P12" i="39"/>
  <c r="O12" i="39"/>
  <c r="N12" i="39"/>
  <c r="M12" i="39"/>
  <c r="L12" i="39"/>
  <c r="K12" i="39"/>
  <c r="J12" i="39"/>
  <c r="I12" i="39"/>
  <c r="H12" i="39"/>
  <c r="G12" i="39"/>
  <c r="F12" i="39"/>
  <c r="E12" i="39"/>
  <c r="D12" i="39"/>
  <c r="W11" i="39"/>
  <c r="V11" i="39"/>
  <c r="U11" i="39"/>
  <c r="T11" i="39"/>
  <c r="S11" i="39"/>
  <c r="R11" i="39"/>
  <c r="Q11" i="39"/>
  <c r="P11" i="39"/>
  <c r="O11" i="39"/>
  <c r="N11" i="39"/>
  <c r="M11" i="39"/>
  <c r="L11" i="39"/>
  <c r="K11" i="39"/>
  <c r="J11" i="39"/>
  <c r="I11" i="39"/>
  <c r="H11" i="39"/>
  <c r="G11" i="39"/>
  <c r="F11" i="39"/>
  <c r="E11" i="39"/>
  <c r="D11" i="39"/>
  <c r="F82" i="38"/>
  <c r="E82" i="38"/>
  <c r="D82" i="38"/>
  <c r="F81" i="38"/>
  <c r="E81" i="38"/>
  <c r="D81" i="38"/>
  <c r="F80" i="38"/>
  <c r="E80" i="38"/>
  <c r="D80" i="38"/>
  <c r="F79" i="38"/>
  <c r="E79" i="38"/>
  <c r="D79" i="38"/>
  <c r="F78" i="38"/>
  <c r="E78" i="38"/>
  <c r="D78" i="38"/>
  <c r="F77" i="38"/>
  <c r="E77" i="38"/>
  <c r="D77" i="38"/>
  <c r="F76" i="38"/>
  <c r="E76" i="38"/>
  <c r="D76" i="38"/>
  <c r="F75" i="38"/>
  <c r="E75" i="38"/>
  <c r="D75" i="38"/>
  <c r="F74" i="38"/>
  <c r="E74" i="38"/>
  <c r="D74" i="38"/>
  <c r="F73" i="38"/>
  <c r="E73" i="38"/>
  <c r="H78" i="4"/>
  <c r="D73" i="38"/>
  <c r="M66" i="38"/>
  <c r="L66" i="38"/>
  <c r="K66" i="38"/>
  <c r="J66" i="38"/>
  <c r="I66" i="38"/>
  <c r="H66" i="38"/>
  <c r="G66" i="38"/>
  <c r="F66" i="38"/>
  <c r="E66" i="38"/>
  <c r="D66" i="38"/>
  <c r="K80" i="1"/>
  <c r="M65" i="38"/>
  <c r="L65" i="38"/>
  <c r="K65" i="38"/>
  <c r="J65" i="38"/>
  <c r="I65" i="38"/>
  <c r="H65" i="38"/>
  <c r="G65" i="38"/>
  <c r="F65" i="38"/>
  <c r="E65" i="38"/>
  <c r="D65" i="38"/>
  <c r="M64" i="38"/>
  <c r="L64" i="38"/>
  <c r="K64" i="38"/>
  <c r="J64" i="38"/>
  <c r="I64" i="38"/>
  <c r="H64" i="38"/>
  <c r="G64" i="38"/>
  <c r="F64" i="38"/>
  <c r="E64" i="38"/>
  <c r="D64" i="38"/>
  <c r="M136" i="1"/>
  <c r="M63" i="38"/>
  <c r="L63" i="38"/>
  <c r="K63" i="38"/>
  <c r="J63" i="38"/>
  <c r="I63" i="38"/>
  <c r="H63" i="38"/>
  <c r="G63" i="38"/>
  <c r="F63" i="38"/>
  <c r="E63" i="38"/>
  <c r="D63" i="38"/>
  <c r="M62" i="38"/>
  <c r="L62" i="38"/>
  <c r="K62" i="38"/>
  <c r="J62" i="38"/>
  <c r="I62" i="38"/>
  <c r="H62" i="38"/>
  <c r="G62" i="38"/>
  <c r="F62" i="38"/>
  <c r="E62" i="38"/>
  <c r="D62" i="38"/>
  <c r="M139" i="1"/>
  <c r="M61" i="38"/>
  <c r="L61" i="38"/>
  <c r="K61" i="38"/>
  <c r="J61" i="38"/>
  <c r="I61" i="38"/>
  <c r="H61" i="38"/>
  <c r="G61" i="38"/>
  <c r="F61" i="38"/>
  <c r="E61" i="38"/>
  <c r="D61" i="38"/>
  <c r="M60" i="38"/>
  <c r="L60" i="38"/>
  <c r="K60" i="38"/>
  <c r="J60" i="38"/>
  <c r="I60" i="38"/>
  <c r="H60" i="38"/>
  <c r="G60" i="38"/>
  <c r="F60" i="38"/>
  <c r="E60" i="38"/>
  <c r="D60" i="38"/>
  <c r="M59" i="38"/>
  <c r="L59" i="38"/>
  <c r="K59" i="38"/>
  <c r="J59" i="38"/>
  <c r="I59" i="38"/>
  <c r="H59" i="38"/>
  <c r="G59" i="38"/>
  <c r="F59" i="38"/>
  <c r="E59" i="38"/>
  <c r="D59" i="38"/>
  <c r="M58" i="38"/>
  <c r="L58" i="38"/>
  <c r="K58" i="38"/>
  <c r="J58" i="38"/>
  <c r="I58" i="38"/>
  <c r="H58" i="38"/>
  <c r="G58" i="38"/>
  <c r="F58" i="38"/>
  <c r="E58" i="38"/>
  <c r="D58" i="38"/>
  <c r="M57" i="38"/>
  <c r="L57" i="38"/>
  <c r="K57" i="38"/>
  <c r="J57" i="38"/>
  <c r="I57" i="38"/>
  <c r="H57" i="38"/>
  <c r="G57" i="38"/>
  <c r="F57" i="38"/>
  <c r="E57" i="38"/>
  <c r="D57" i="38"/>
  <c r="M56" i="38"/>
  <c r="L56" i="38"/>
  <c r="K56" i="38"/>
  <c r="J56" i="38"/>
  <c r="I56" i="38"/>
  <c r="H56" i="38"/>
  <c r="G56" i="38"/>
  <c r="F56" i="38"/>
  <c r="E56" i="38"/>
  <c r="D56" i="38"/>
  <c r="M55" i="38"/>
  <c r="L55" i="38"/>
  <c r="K55" i="38"/>
  <c r="J55" i="38"/>
  <c r="I55" i="38"/>
  <c r="H55" i="38"/>
  <c r="G55" i="38"/>
  <c r="F55" i="38"/>
  <c r="E55" i="38"/>
  <c r="D55" i="38"/>
  <c r="M54" i="38"/>
  <c r="L54" i="38"/>
  <c r="K54" i="38"/>
  <c r="J54" i="38"/>
  <c r="I54" i="38"/>
  <c r="H54" i="38"/>
  <c r="G54" i="38"/>
  <c r="F54" i="38"/>
  <c r="E54" i="38"/>
  <c r="D54" i="38"/>
  <c r="K116" i="1"/>
  <c r="M53" i="38"/>
  <c r="L53" i="38"/>
  <c r="K53" i="38"/>
  <c r="J53" i="38"/>
  <c r="I53" i="38"/>
  <c r="H53" i="38"/>
  <c r="G53" i="38"/>
  <c r="F53" i="38"/>
  <c r="E53" i="38"/>
  <c r="D53" i="38"/>
  <c r="M52" i="38"/>
  <c r="L52" i="38"/>
  <c r="K52" i="38"/>
  <c r="J52" i="38"/>
  <c r="I52" i="38"/>
  <c r="H52" i="38"/>
  <c r="G52" i="38"/>
  <c r="F52" i="38"/>
  <c r="E52" i="38"/>
  <c r="D52" i="38"/>
  <c r="M169" i="1"/>
  <c r="M51" i="38"/>
  <c r="L51" i="38"/>
  <c r="K51" i="38"/>
  <c r="J51" i="38"/>
  <c r="I51" i="38"/>
  <c r="H51" i="38"/>
  <c r="G51" i="38"/>
  <c r="F51" i="38"/>
  <c r="E51" i="38"/>
  <c r="D51" i="38"/>
  <c r="M50" i="38"/>
  <c r="L50" i="38"/>
  <c r="K50" i="38"/>
  <c r="J50" i="38"/>
  <c r="I50" i="38"/>
  <c r="H50" i="38"/>
  <c r="G50" i="38"/>
  <c r="F50" i="38"/>
  <c r="E50" i="38"/>
  <c r="D50" i="38"/>
  <c r="M49" i="38"/>
  <c r="L49" i="38"/>
  <c r="K49" i="38"/>
  <c r="J49" i="38"/>
  <c r="I49" i="38"/>
  <c r="H49" i="38"/>
  <c r="G49" i="38"/>
  <c r="F49" i="38"/>
  <c r="E49" i="38"/>
  <c r="D49" i="38"/>
  <c r="M48" i="38"/>
  <c r="L48" i="38"/>
  <c r="K48" i="38"/>
  <c r="J48" i="38"/>
  <c r="I48" i="38"/>
  <c r="H48" i="38"/>
  <c r="G48" i="38"/>
  <c r="F48" i="38"/>
  <c r="E48" i="38"/>
  <c r="D48" i="38"/>
  <c r="M47" i="38"/>
  <c r="L47" i="38"/>
  <c r="K47" i="38"/>
  <c r="J47" i="38"/>
  <c r="I47" i="38"/>
  <c r="H47" i="38"/>
  <c r="G47" i="38"/>
  <c r="F47" i="38"/>
  <c r="E47" i="38"/>
  <c r="D47" i="38"/>
  <c r="M153" i="26"/>
  <c r="M46" i="38"/>
  <c r="L46" i="38"/>
  <c r="K46" i="38"/>
  <c r="J46" i="38"/>
  <c r="I46" i="38"/>
  <c r="H46" i="38"/>
  <c r="G46" i="38"/>
  <c r="F46" i="38"/>
  <c r="E46" i="38"/>
  <c r="D46" i="38"/>
  <c r="M45" i="38"/>
  <c r="L45" i="38"/>
  <c r="K45" i="38"/>
  <c r="J45" i="38"/>
  <c r="I45" i="38"/>
  <c r="H45" i="38"/>
  <c r="G45" i="38"/>
  <c r="F45" i="38"/>
  <c r="E45" i="38"/>
  <c r="D45" i="38"/>
  <c r="K93" i="26"/>
  <c r="M44" i="38"/>
  <c r="L44" i="38"/>
  <c r="K44" i="38"/>
  <c r="J44" i="38"/>
  <c r="I44" i="38"/>
  <c r="H44" i="38"/>
  <c r="G44" i="38"/>
  <c r="F44" i="38"/>
  <c r="E44" i="38"/>
  <c r="D44" i="38"/>
  <c r="M43" i="38"/>
  <c r="L43" i="38"/>
  <c r="K43" i="38"/>
  <c r="J43" i="38"/>
  <c r="I43" i="38"/>
  <c r="H43" i="38"/>
  <c r="G43" i="38"/>
  <c r="F43" i="38"/>
  <c r="E43" i="38"/>
  <c r="D43" i="38"/>
  <c r="M42" i="38"/>
  <c r="L42" i="38"/>
  <c r="K42" i="38"/>
  <c r="J42" i="38"/>
  <c r="I42" i="38"/>
  <c r="H42" i="38"/>
  <c r="G42" i="38"/>
  <c r="F42" i="38"/>
  <c r="E42" i="38"/>
  <c r="D42" i="38"/>
  <c r="M41" i="38"/>
  <c r="L41" i="38"/>
  <c r="K41" i="38"/>
  <c r="J41" i="38"/>
  <c r="I41" i="38"/>
  <c r="H41" i="38"/>
  <c r="G41" i="38"/>
  <c r="F41" i="38"/>
  <c r="E41" i="38"/>
  <c r="D41" i="38"/>
  <c r="M40" i="38"/>
  <c r="L40" i="38"/>
  <c r="K40" i="38"/>
  <c r="J40" i="38"/>
  <c r="I40" i="38"/>
  <c r="H40" i="38"/>
  <c r="G40" i="38"/>
  <c r="F40" i="38"/>
  <c r="E40" i="38"/>
  <c r="D40" i="38"/>
  <c r="M39" i="38"/>
  <c r="L39" i="38"/>
  <c r="K39" i="38"/>
  <c r="J39" i="38"/>
  <c r="I39" i="38"/>
  <c r="H39" i="38"/>
  <c r="G39" i="38"/>
  <c r="F39" i="38"/>
  <c r="E39" i="38"/>
  <c r="D39" i="38"/>
  <c r="M38" i="38"/>
  <c r="L38" i="38"/>
  <c r="K38" i="38"/>
  <c r="J38" i="38"/>
  <c r="I38" i="38"/>
  <c r="H38" i="38"/>
  <c r="G38" i="38"/>
  <c r="F38" i="38"/>
  <c r="E38" i="38"/>
  <c r="D38" i="38"/>
  <c r="M37" i="38"/>
  <c r="L37" i="38"/>
  <c r="K37" i="38"/>
  <c r="J37" i="38"/>
  <c r="I37" i="38"/>
  <c r="H37" i="38"/>
  <c r="G37" i="38"/>
  <c r="F37" i="38"/>
  <c r="E37" i="38"/>
  <c r="D37" i="38"/>
  <c r="M36" i="38"/>
  <c r="L36" i="38"/>
  <c r="K36" i="38"/>
  <c r="J36" i="38"/>
  <c r="I36" i="38"/>
  <c r="H36" i="38"/>
  <c r="G36" i="38"/>
  <c r="F36" i="38"/>
  <c r="E36" i="38"/>
  <c r="D36" i="38"/>
  <c r="M35" i="38"/>
  <c r="L35" i="38"/>
  <c r="K35" i="38"/>
  <c r="J35" i="38"/>
  <c r="I35" i="38"/>
  <c r="H35" i="38"/>
  <c r="G35" i="38"/>
  <c r="F35" i="38"/>
  <c r="E35" i="38"/>
  <c r="D35" i="38"/>
  <c r="M34" i="38"/>
  <c r="L34" i="38"/>
  <c r="K34" i="38"/>
  <c r="J34" i="38"/>
  <c r="I34" i="38"/>
  <c r="H34" i="38"/>
  <c r="G34" i="38"/>
  <c r="F34" i="38"/>
  <c r="E34" i="38"/>
  <c r="D34" i="38"/>
  <c r="M141" i="26"/>
  <c r="M33" i="38"/>
  <c r="L33" i="38"/>
  <c r="K33" i="38"/>
  <c r="J33" i="38"/>
  <c r="I33" i="38"/>
  <c r="H33" i="38"/>
  <c r="G33" i="38"/>
  <c r="F33" i="38"/>
  <c r="E33" i="38"/>
  <c r="D33" i="38"/>
  <c r="M32" i="38"/>
  <c r="L32" i="38"/>
  <c r="K32" i="38"/>
  <c r="J32" i="38"/>
  <c r="I32" i="38"/>
  <c r="H32" i="38"/>
  <c r="G32" i="38"/>
  <c r="F32" i="38"/>
  <c r="E32" i="38"/>
  <c r="D32" i="38"/>
  <c r="M31" i="38"/>
  <c r="L31" i="38"/>
  <c r="K31" i="38"/>
  <c r="J31" i="38"/>
  <c r="I31" i="38"/>
  <c r="H31" i="38"/>
  <c r="G31" i="38"/>
  <c r="F31" i="38"/>
  <c r="E31" i="38"/>
  <c r="D31" i="38"/>
  <c r="M30" i="38"/>
  <c r="L30" i="38"/>
  <c r="K30" i="38"/>
  <c r="J30" i="38"/>
  <c r="I30" i="38"/>
  <c r="H30" i="38"/>
  <c r="G30" i="38"/>
  <c r="F30" i="38"/>
  <c r="E30" i="38"/>
  <c r="D30" i="38"/>
  <c r="M29" i="38"/>
  <c r="L29" i="38"/>
  <c r="K29" i="38"/>
  <c r="J29" i="38"/>
  <c r="I29" i="38"/>
  <c r="H29" i="38"/>
  <c r="G29" i="38"/>
  <c r="F29" i="38"/>
  <c r="E29" i="38"/>
  <c r="D29" i="38"/>
  <c r="M28" i="38"/>
  <c r="L28" i="38"/>
  <c r="K28" i="38"/>
  <c r="J28" i="38"/>
  <c r="I28" i="38"/>
  <c r="H28" i="38"/>
  <c r="G28" i="38"/>
  <c r="F28" i="38"/>
  <c r="E28" i="38"/>
  <c r="D28" i="38"/>
  <c r="M27" i="38"/>
  <c r="L27" i="38"/>
  <c r="K27" i="38"/>
  <c r="J27" i="38"/>
  <c r="I27" i="38"/>
  <c r="H27" i="38"/>
  <c r="G27" i="38"/>
  <c r="F27" i="38"/>
  <c r="E27" i="38"/>
  <c r="D27" i="38"/>
  <c r="M26" i="38"/>
  <c r="L26" i="38"/>
  <c r="K26" i="38"/>
  <c r="J26" i="38"/>
  <c r="I26" i="38"/>
  <c r="H26" i="38"/>
  <c r="G26" i="38"/>
  <c r="F26" i="38"/>
  <c r="E26" i="38"/>
  <c r="D26" i="38"/>
  <c r="E16" i="38"/>
  <c r="E15" i="38"/>
  <c r="E14" i="38"/>
  <c r="E13" i="38"/>
  <c r="E12" i="38"/>
  <c r="E11" i="38"/>
  <c r="E10" i="38"/>
  <c r="E9" i="38"/>
  <c r="E8" i="38"/>
  <c r="E7" i="38"/>
  <c r="P45" i="32"/>
  <c r="I45" i="32"/>
  <c r="I61" i="34" s="1"/>
  <c r="P43" i="32"/>
  <c r="I43" i="32"/>
  <c r="I59" i="34"/>
  <c r="F66" i="5"/>
  <c r="I49" i="29"/>
  <c r="H49" i="29"/>
  <c r="I48" i="29"/>
  <c r="H48" i="29"/>
  <c r="I47" i="29"/>
  <c r="H47" i="29"/>
  <c r="I46" i="29"/>
  <c r="H46" i="29"/>
  <c r="I45" i="29"/>
  <c r="H45" i="29"/>
  <c r="I44" i="29"/>
  <c r="H44" i="29"/>
  <c r="I43" i="29"/>
  <c r="H43" i="29"/>
  <c r="I42" i="29"/>
  <c r="H42" i="29"/>
  <c r="I41" i="29"/>
  <c r="H41" i="29"/>
  <c r="I40" i="29"/>
  <c r="H40" i="29"/>
  <c r="I39" i="29"/>
  <c r="H39" i="29"/>
  <c r="I38" i="29"/>
  <c r="H38" i="29"/>
  <c r="I37" i="29"/>
  <c r="H37" i="29"/>
  <c r="I36" i="29"/>
  <c r="H36" i="29"/>
  <c r="I35" i="29"/>
  <c r="H35" i="29"/>
  <c r="I34" i="29"/>
  <c r="H34" i="29"/>
  <c r="I33" i="29"/>
  <c r="H33" i="29"/>
  <c r="I32" i="29"/>
  <c r="H32" i="29"/>
  <c r="I31" i="29"/>
  <c r="H31" i="29"/>
  <c r="I30" i="29"/>
  <c r="H30" i="29"/>
  <c r="I29" i="29"/>
  <c r="H29" i="29"/>
  <c r="I28" i="29"/>
  <c r="H28" i="29"/>
  <c r="I27" i="29"/>
  <c r="H27" i="29"/>
  <c r="I26" i="29"/>
  <c r="H26" i="29"/>
  <c r="I25" i="29"/>
  <c r="H25" i="29"/>
  <c r="I24" i="29"/>
  <c r="H24" i="29"/>
  <c r="I23" i="29"/>
  <c r="H23" i="29"/>
  <c r="I22" i="29"/>
  <c r="H22" i="29"/>
  <c r="I21" i="29"/>
  <c r="H21" i="29"/>
  <c r="I20" i="29"/>
  <c r="H20" i="29"/>
  <c r="I19" i="29"/>
  <c r="H19" i="29"/>
  <c r="I18" i="29"/>
  <c r="H18" i="29"/>
  <c r="I17" i="29"/>
  <c r="H17" i="29"/>
  <c r="I16" i="29"/>
  <c r="H16" i="29"/>
  <c r="I15" i="29"/>
  <c r="H15" i="29"/>
  <c r="I14" i="29"/>
  <c r="H14" i="29"/>
  <c r="I13" i="29"/>
  <c r="H13" i="29"/>
  <c r="I12" i="29"/>
  <c r="H12" i="29"/>
  <c r="I11" i="29"/>
  <c r="H11" i="29"/>
  <c r="I10" i="29"/>
  <c r="H10" i="29"/>
  <c r="I9" i="29"/>
  <c r="H9" i="29"/>
  <c r="I8" i="29"/>
  <c r="H8" i="29"/>
  <c r="I7" i="29"/>
  <c r="H7" i="29"/>
  <c r="I6" i="29"/>
  <c r="H6" i="29"/>
  <c r="I5" i="29"/>
  <c r="H5" i="29"/>
  <c r="I4" i="29"/>
  <c r="H4" i="29"/>
  <c r="I3" i="29"/>
  <c r="H3" i="29"/>
  <c r="I2" i="29"/>
  <c r="H2" i="29"/>
  <c r="J51" i="5"/>
  <c r="J36" i="5"/>
  <c r="J52" i="1"/>
  <c r="J29" i="5"/>
  <c r="J44" i="1" s="1"/>
  <c r="N101" i="1" s="1"/>
  <c r="J28" i="5"/>
  <c r="J43" i="1"/>
  <c r="N100" i="1" s="1"/>
  <c r="J27" i="5"/>
  <c r="J42" i="1" s="1"/>
  <c r="N99" i="1" s="1"/>
  <c r="J26" i="5"/>
  <c r="J41" i="26"/>
  <c r="J25" i="5"/>
  <c r="J40" i="26" s="1"/>
  <c r="O155" i="26"/>
  <c r="J24" i="5"/>
  <c r="J39" i="26" s="1"/>
  <c r="O154" i="26"/>
  <c r="J23" i="5"/>
  <c r="J38" i="1"/>
  <c r="N95" i="1" s="1"/>
  <c r="J22" i="5"/>
  <c r="J37" i="26" s="1"/>
  <c r="P152" i="26" s="1"/>
  <c r="M94" i="26"/>
  <c r="J21" i="5"/>
  <c r="J36" i="1" s="1"/>
  <c r="J20" i="5"/>
  <c r="J35" i="26"/>
  <c r="M92" i="26"/>
  <c r="J19" i="5"/>
  <c r="J34" i="1" s="1"/>
  <c r="N91" i="1" s="1"/>
  <c r="O149" i="1"/>
  <c r="J18" i="5"/>
  <c r="J33" i="26"/>
  <c r="O148" i="26"/>
  <c r="J17" i="5"/>
  <c r="J51" i="1"/>
  <c r="O166" i="1"/>
  <c r="F23" i="1"/>
  <c r="G138" i="1"/>
  <c r="F196" i="1" s="1"/>
  <c r="F58" i="26"/>
  <c r="F55" i="1"/>
  <c r="G169" i="26"/>
  <c r="F227" i="26" s="1"/>
  <c r="G50" i="1"/>
  <c r="I165" i="1"/>
  <c r="F42" i="26"/>
  <c r="G152" i="1"/>
  <c r="F210" i="1" s="1"/>
  <c r="F33" i="26"/>
  <c r="F30" i="26"/>
  <c r="G145" i="26"/>
  <c r="F203" i="26" s="1"/>
  <c r="F26" i="1"/>
  <c r="G141" i="1"/>
  <c r="F199" i="1" s="1"/>
  <c r="F16" i="26"/>
  <c r="G14" i="1"/>
  <c r="I129" i="1"/>
  <c r="B36" i="35"/>
  <c r="B35" i="35"/>
  <c r="B31" i="35"/>
  <c r="B30" i="35"/>
  <c r="B29" i="35"/>
  <c r="B23" i="35"/>
  <c r="B22" i="35"/>
  <c r="B21" i="35"/>
  <c r="B20" i="35"/>
  <c r="C49" i="35"/>
  <c r="C48" i="35"/>
  <c r="C47" i="35"/>
  <c r="C46" i="35"/>
  <c r="C43" i="35"/>
  <c r="C42" i="35"/>
  <c r="C41" i="35"/>
  <c r="C34" i="35"/>
  <c r="D38" i="35"/>
  <c r="G38" i="35" s="1"/>
  <c r="E49" i="35"/>
  <c r="E46" i="35"/>
  <c r="E30" i="35"/>
  <c r="E14" i="35"/>
  <c r="H41" i="35"/>
  <c r="H40" i="35"/>
  <c r="H38" i="35"/>
  <c r="H36" i="35"/>
  <c r="H35" i="35"/>
  <c r="H34" i="35"/>
  <c r="F40" i="35"/>
  <c r="F24" i="35"/>
  <c r="C7" i="35"/>
  <c r="D4" i="35"/>
  <c r="B66" i="5"/>
  <c r="N148" i="4"/>
  <c r="N150" i="4"/>
  <c r="M43" i="4"/>
  <c r="Q148" i="1"/>
  <c r="O90" i="1"/>
  <c r="Q149" i="1"/>
  <c r="O91" i="1"/>
  <c r="Q150" i="1"/>
  <c r="O92" i="1"/>
  <c r="Q151" i="1"/>
  <c r="O93" i="1"/>
  <c r="Q152" i="1"/>
  <c r="O94" i="1"/>
  <c r="Q153" i="1"/>
  <c r="O95" i="1"/>
  <c r="Q154" i="1"/>
  <c r="O96" i="1"/>
  <c r="Q155" i="1"/>
  <c r="O97" i="1"/>
  <c r="Q156" i="1"/>
  <c r="O98" i="1"/>
  <c r="Q157" i="1"/>
  <c r="O99" i="1"/>
  <c r="Q158" i="1"/>
  <c r="O100" i="1"/>
  <c r="Q159" i="1"/>
  <c r="O101" i="1"/>
  <c r="Q166" i="1"/>
  <c r="O108" i="1"/>
  <c r="Q167" i="1"/>
  <c r="O109" i="1"/>
  <c r="P225" i="1" s="1"/>
  <c r="G127" i="1"/>
  <c r="F185" i="1" s="1"/>
  <c r="G128" i="1"/>
  <c r="F186" i="1" s="1"/>
  <c r="G129" i="1"/>
  <c r="F187" i="1" s="1"/>
  <c r="G130" i="1"/>
  <c r="F188" i="1" s="1"/>
  <c r="G131" i="1"/>
  <c r="F189" i="1" s="1"/>
  <c r="G132" i="1"/>
  <c r="G133" i="1"/>
  <c r="F191" i="1" s="1"/>
  <c r="G135" i="1"/>
  <c r="G137" i="1"/>
  <c r="F195" i="1" s="1"/>
  <c r="G139" i="1"/>
  <c r="F197" i="1" s="1"/>
  <c r="G143" i="1"/>
  <c r="G144" i="1"/>
  <c r="F202" i="1" s="1"/>
  <c r="G145" i="1"/>
  <c r="F203" i="1" s="1"/>
  <c r="G146" i="1"/>
  <c r="G147" i="1"/>
  <c r="G148" i="1"/>
  <c r="F206" i="1" s="1"/>
  <c r="G149" i="1"/>
  <c r="F207" i="1" s="1"/>
  <c r="G153" i="1"/>
  <c r="G154" i="1"/>
  <c r="G155" i="1"/>
  <c r="G160" i="1"/>
  <c r="F218" i="1" s="1"/>
  <c r="G161" i="1"/>
  <c r="G162" i="1"/>
  <c r="G163" i="1"/>
  <c r="G164" i="1"/>
  <c r="F222" i="1" s="1"/>
  <c r="G166" i="1"/>
  <c r="I166" i="1"/>
  <c r="K166" i="1"/>
  <c r="M166" i="1"/>
  <c r="G169" i="1"/>
  <c r="G170" i="1"/>
  <c r="G174" i="1"/>
  <c r="F232" i="1" s="1"/>
  <c r="G177" i="1"/>
  <c r="F235" i="1" s="1"/>
  <c r="G178" i="1"/>
  <c r="F236" i="1" s="1"/>
  <c r="G179" i="1"/>
  <c r="F237" i="1" s="1"/>
  <c r="G180" i="1"/>
  <c r="F238" i="1" s="1"/>
  <c r="I127" i="1"/>
  <c r="G69" i="1"/>
  <c r="I128" i="1"/>
  <c r="G70" i="1"/>
  <c r="G71" i="1"/>
  <c r="I130" i="1"/>
  <c r="G72" i="1"/>
  <c r="I131" i="1"/>
  <c r="H189" i="1" s="1"/>
  <c r="G73" i="1"/>
  <c r="I132" i="1"/>
  <c r="G74" i="1"/>
  <c r="I134" i="1"/>
  <c r="H192" i="1" s="1"/>
  <c r="G76" i="1"/>
  <c r="I140" i="1"/>
  <c r="G82" i="1"/>
  <c r="I141" i="1"/>
  <c r="H199" i="1" s="1"/>
  <c r="G83" i="1"/>
  <c r="I142" i="1"/>
  <c r="G84" i="1"/>
  <c r="I143" i="1"/>
  <c r="H201" i="1" s="1"/>
  <c r="G85" i="1"/>
  <c r="I144" i="1"/>
  <c r="G86" i="1"/>
  <c r="I145" i="1"/>
  <c r="H203" i="1" s="1"/>
  <c r="G87" i="1"/>
  <c r="I146" i="1"/>
  <c r="G88" i="1"/>
  <c r="I147" i="1"/>
  <c r="H205" i="1" s="1"/>
  <c r="G89" i="1"/>
  <c r="I160" i="1"/>
  <c r="G102" i="1"/>
  <c r="I161" i="1"/>
  <c r="H219" i="1" s="1"/>
  <c r="G103" i="1"/>
  <c r="I162" i="1"/>
  <c r="G104" i="1"/>
  <c r="I163" i="1"/>
  <c r="H221" i="1" s="1"/>
  <c r="G105" i="1"/>
  <c r="I164" i="1"/>
  <c r="G106" i="1"/>
  <c r="G107" i="1"/>
  <c r="I169" i="1"/>
  <c r="G111" i="1"/>
  <c r="I170" i="1"/>
  <c r="G112" i="1"/>
  <c r="I172" i="1"/>
  <c r="G114" i="1"/>
  <c r="I173" i="1"/>
  <c r="G115" i="1"/>
  <c r="I174" i="1"/>
  <c r="G116" i="1"/>
  <c r="I175" i="1"/>
  <c r="G117" i="1"/>
  <c r="I176" i="1"/>
  <c r="G118" i="1"/>
  <c r="I177" i="1"/>
  <c r="G119" i="1"/>
  <c r="K127" i="1"/>
  <c r="I69" i="1"/>
  <c r="K128" i="1"/>
  <c r="J186" i="1" s="1"/>
  <c r="I70" i="1"/>
  <c r="K129" i="1"/>
  <c r="I71" i="1"/>
  <c r="K130" i="1"/>
  <c r="J188" i="1" s="1"/>
  <c r="I72" i="1"/>
  <c r="K131" i="1"/>
  <c r="I73" i="1"/>
  <c r="K132" i="1"/>
  <c r="J190" i="1" s="1"/>
  <c r="I74" i="1"/>
  <c r="K133" i="1"/>
  <c r="I75" i="1"/>
  <c r="K134" i="1"/>
  <c r="J192" i="1" s="1"/>
  <c r="I76" i="1"/>
  <c r="K135" i="1"/>
  <c r="I77" i="1"/>
  <c r="K136" i="1"/>
  <c r="J194" i="1" s="1"/>
  <c r="I78" i="1"/>
  <c r="K137" i="1"/>
  <c r="I79" i="1"/>
  <c r="K138" i="1"/>
  <c r="J196" i="1" s="1"/>
  <c r="I80" i="1"/>
  <c r="K139" i="1"/>
  <c r="I81" i="1"/>
  <c r="K140" i="1"/>
  <c r="J198" i="1" s="1"/>
  <c r="I82" i="1"/>
  <c r="K141" i="1"/>
  <c r="I83" i="1"/>
  <c r="K142" i="1"/>
  <c r="J200" i="1" s="1"/>
  <c r="I84" i="1"/>
  <c r="K143" i="1"/>
  <c r="I85" i="1"/>
  <c r="K144" i="1"/>
  <c r="J202" i="1" s="1"/>
  <c r="I86" i="1"/>
  <c r="K145" i="1"/>
  <c r="I87" i="1"/>
  <c r="K146" i="1"/>
  <c r="J204" i="1" s="1"/>
  <c r="I88" i="1"/>
  <c r="K147" i="1"/>
  <c r="I89" i="1"/>
  <c r="K148" i="1"/>
  <c r="J206" i="1" s="1"/>
  <c r="I90" i="1"/>
  <c r="K149" i="1"/>
  <c r="I91" i="1"/>
  <c r="K150" i="1"/>
  <c r="I92" i="1"/>
  <c r="K151" i="1"/>
  <c r="I93" i="1"/>
  <c r="K152" i="1"/>
  <c r="J210" i="1" s="1"/>
  <c r="I94" i="1"/>
  <c r="K153" i="1"/>
  <c r="I95" i="1"/>
  <c r="K154" i="1"/>
  <c r="J212" i="1" s="1"/>
  <c r="I96" i="1"/>
  <c r="K155" i="1"/>
  <c r="I97" i="1"/>
  <c r="K156" i="1"/>
  <c r="J214" i="1" s="1"/>
  <c r="I98" i="1"/>
  <c r="K157" i="1"/>
  <c r="I99" i="1"/>
  <c r="K158" i="1"/>
  <c r="J216" i="1" s="1"/>
  <c r="I100" i="1"/>
  <c r="K159" i="1"/>
  <c r="I101" i="1"/>
  <c r="K160" i="1"/>
  <c r="J218" i="1" s="1"/>
  <c r="I102" i="1"/>
  <c r="K161" i="1"/>
  <c r="I103" i="1"/>
  <c r="K162" i="1"/>
  <c r="J220" i="1" s="1"/>
  <c r="I104" i="1"/>
  <c r="K163" i="1"/>
  <c r="I105" i="1"/>
  <c r="K164" i="1"/>
  <c r="J222" i="1" s="1"/>
  <c r="I106" i="1"/>
  <c r="K165" i="1"/>
  <c r="I107" i="1"/>
  <c r="I108" i="1"/>
  <c r="K167" i="1"/>
  <c r="I109" i="1"/>
  <c r="K168" i="1"/>
  <c r="I110" i="1"/>
  <c r="K169" i="1"/>
  <c r="I111" i="1"/>
  <c r="K170" i="1"/>
  <c r="I112" i="1"/>
  <c r="K171" i="1"/>
  <c r="I113" i="1"/>
  <c r="K172" i="1"/>
  <c r="I114" i="1"/>
  <c r="K173" i="1"/>
  <c r="I115" i="1"/>
  <c r="K174" i="1"/>
  <c r="I116" i="1"/>
  <c r="K175" i="1"/>
  <c r="I117" i="1"/>
  <c r="K176" i="1"/>
  <c r="I118" i="1"/>
  <c r="K177" i="1"/>
  <c r="I119" i="1"/>
  <c r="K178" i="1"/>
  <c r="I120" i="1"/>
  <c r="K179" i="1"/>
  <c r="I121" i="1"/>
  <c r="K180" i="1"/>
  <c r="I122" i="1"/>
  <c r="M127" i="1"/>
  <c r="K69" i="1"/>
  <c r="M128" i="1"/>
  <c r="K70" i="1"/>
  <c r="M129" i="1"/>
  <c r="K71" i="1"/>
  <c r="M130" i="1"/>
  <c r="K72" i="1"/>
  <c r="M131" i="1"/>
  <c r="K73" i="1"/>
  <c r="M132" i="1"/>
  <c r="K74" i="1"/>
  <c r="M133" i="1"/>
  <c r="K75" i="1"/>
  <c r="M134" i="1"/>
  <c r="K76" i="1"/>
  <c r="M135" i="1"/>
  <c r="K77" i="1"/>
  <c r="L193" i="1" s="1"/>
  <c r="K78" i="1"/>
  <c r="M137" i="1"/>
  <c r="L195" i="1" s="1"/>
  <c r="K79" i="1"/>
  <c r="M138" i="1"/>
  <c r="L196" i="1" s="1"/>
  <c r="K81" i="1"/>
  <c r="M140" i="1"/>
  <c r="L198" i="1" s="1"/>
  <c r="K82" i="1"/>
  <c r="M141" i="1"/>
  <c r="K83" i="1"/>
  <c r="M142" i="1"/>
  <c r="L200" i="1" s="1"/>
  <c r="K84" i="1"/>
  <c r="M143" i="1"/>
  <c r="K85" i="1"/>
  <c r="M144" i="1"/>
  <c r="L202" i="1" s="1"/>
  <c r="K86" i="1"/>
  <c r="M145" i="1"/>
  <c r="K87" i="1"/>
  <c r="M146" i="1"/>
  <c r="L204" i="1" s="1"/>
  <c r="K88" i="1"/>
  <c r="M147" i="1"/>
  <c r="K89" i="1"/>
  <c r="M148" i="1"/>
  <c r="L206" i="1" s="1"/>
  <c r="K90" i="1"/>
  <c r="M149" i="1"/>
  <c r="K91" i="1"/>
  <c r="M150" i="1"/>
  <c r="L208" i="1" s="1"/>
  <c r="K92" i="1"/>
  <c r="M151" i="1"/>
  <c r="K93" i="1"/>
  <c r="M152" i="1"/>
  <c r="L210" i="1" s="1"/>
  <c r="K94" i="1"/>
  <c r="M153" i="1"/>
  <c r="K95" i="1"/>
  <c r="M154" i="1"/>
  <c r="L212" i="1" s="1"/>
  <c r="K96" i="1"/>
  <c r="M155" i="1"/>
  <c r="K97" i="1"/>
  <c r="M156" i="1"/>
  <c r="L214" i="1" s="1"/>
  <c r="K98" i="1"/>
  <c r="M157" i="1"/>
  <c r="K99" i="1"/>
  <c r="M158" i="1"/>
  <c r="L216" i="1" s="1"/>
  <c r="K100" i="1"/>
  <c r="M159" i="1"/>
  <c r="K101" i="1"/>
  <c r="M160" i="1"/>
  <c r="L218" i="1" s="1"/>
  <c r="K102" i="1"/>
  <c r="M161" i="1"/>
  <c r="K103" i="1"/>
  <c r="M162" i="1"/>
  <c r="K104" i="1"/>
  <c r="M163" i="1"/>
  <c r="K105" i="1"/>
  <c r="M164" i="1"/>
  <c r="L222" i="1" s="1"/>
  <c r="K106" i="1"/>
  <c r="M165" i="1"/>
  <c r="K107" i="1"/>
  <c r="K108" i="1"/>
  <c r="M167" i="1"/>
  <c r="K109" i="1"/>
  <c r="M168" i="1"/>
  <c r="K110" i="1"/>
  <c r="K111" i="1"/>
  <c r="M170" i="1"/>
  <c r="K112" i="1"/>
  <c r="M174" i="1"/>
  <c r="L232" i="1" s="1"/>
  <c r="M176" i="1"/>
  <c r="K118" i="1"/>
  <c r="M179" i="1"/>
  <c r="K121" i="1"/>
  <c r="M180" i="1"/>
  <c r="K122" i="1"/>
  <c r="O139" i="1"/>
  <c r="M81" i="1"/>
  <c r="O148" i="1"/>
  <c r="M90" i="1"/>
  <c r="M91" i="1"/>
  <c r="O150" i="1"/>
  <c r="N208" i="1" s="1"/>
  <c r="M92" i="1"/>
  <c r="O151" i="1"/>
  <c r="M93" i="1"/>
  <c r="O152" i="1"/>
  <c r="N210" i="1" s="1"/>
  <c r="M94" i="1"/>
  <c r="O153" i="1"/>
  <c r="M95" i="1"/>
  <c r="O154" i="1"/>
  <c r="N212" i="1" s="1"/>
  <c r="M96" i="1"/>
  <c r="O155" i="1"/>
  <c r="M97" i="1"/>
  <c r="O156" i="1"/>
  <c r="N214" i="1" s="1"/>
  <c r="M98" i="1"/>
  <c r="O157" i="1"/>
  <c r="M99" i="1"/>
  <c r="O158" i="1"/>
  <c r="N216" i="1" s="1"/>
  <c r="M100" i="1"/>
  <c r="O159" i="1"/>
  <c r="M101" i="1"/>
  <c r="M108" i="1"/>
  <c r="O167" i="1"/>
  <c r="M109" i="1"/>
  <c r="G156" i="1"/>
  <c r="F214" i="1" s="1"/>
  <c r="G157" i="1"/>
  <c r="F215" i="1" s="1"/>
  <c r="G158" i="1"/>
  <c r="F216" i="1" s="1"/>
  <c r="G159" i="1"/>
  <c r="F217" i="1" s="1"/>
  <c r="G165" i="1"/>
  <c r="F223" i="1" s="1"/>
  <c r="G167" i="1"/>
  <c r="F225" i="1" s="1"/>
  <c r="G168" i="1"/>
  <c r="G172" i="1"/>
  <c r="G173" i="1"/>
  <c r="F231" i="1" s="1"/>
  <c r="B43" i="37"/>
  <c r="D43" i="37" s="1"/>
  <c r="G43" i="37" s="1"/>
  <c r="B41" i="37"/>
  <c r="D41" i="37" s="1"/>
  <c r="G41" i="37" s="1"/>
  <c r="B34" i="37"/>
  <c r="E34" i="37"/>
  <c r="B30" i="37"/>
  <c r="E30" i="37" s="1"/>
  <c r="B26" i="37"/>
  <c r="E26" i="37"/>
  <c r="B6" i="37"/>
  <c r="E6" i="37" s="1"/>
  <c r="G127" i="34"/>
  <c r="I127" i="34"/>
  <c r="C2" i="32"/>
  <c r="G12" i="34" s="1"/>
  <c r="G69" i="34"/>
  <c r="K127" i="34"/>
  <c r="I69" i="34"/>
  <c r="M127" i="34"/>
  <c r="O127" i="34"/>
  <c r="Q127" i="34"/>
  <c r="G128" i="34"/>
  <c r="F186" i="34" s="1"/>
  <c r="I128" i="34"/>
  <c r="K128" i="34"/>
  <c r="M128" i="34"/>
  <c r="O128" i="34"/>
  <c r="Q128" i="34"/>
  <c r="G129" i="34"/>
  <c r="F187" i="34" s="1"/>
  <c r="I129" i="34"/>
  <c r="K129" i="34"/>
  <c r="M129" i="34"/>
  <c r="O129" i="34"/>
  <c r="Q129" i="34"/>
  <c r="G130" i="34"/>
  <c r="I130" i="34"/>
  <c r="K130" i="34"/>
  <c r="M130" i="34"/>
  <c r="O130" i="34"/>
  <c r="Q130" i="34"/>
  <c r="G131" i="34"/>
  <c r="F189" i="34" s="1"/>
  <c r="I131" i="34"/>
  <c r="K131" i="34"/>
  <c r="E5" i="32"/>
  <c r="M131" i="34"/>
  <c r="O131" i="34"/>
  <c r="Q131" i="34"/>
  <c r="G132" i="34"/>
  <c r="I132" i="34"/>
  <c r="K132" i="34"/>
  <c r="M132" i="34"/>
  <c r="O132" i="34"/>
  <c r="Q132" i="34"/>
  <c r="G133" i="34"/>
  <c r="I133" i="34"/>
  <c r="K133" i="34"/>
  <c r="M133" i="34"/>
  <c r="O133" i="34"/>
  <c r="Q133" i="34"/>
  <c r="G134" i="34"/>
  <c r="B8" i="32"/>
  <c r="F19" i="34" s="1"/>
  <c r="I134" i="34"/>
  <c r="K134" i="34"/>
  <c r="E8" i="32"/>
  <c r="M134" i="34"/>
  <c r="O134" i="34"/>
  <c r="Q134" i="34"/>
  <c r="G135" i="34"/>
  <c r="F193" i="34" s="1"/>
  <c r="I135" i="34"/>
  <c r="K135" i="34"/>
  <c r="E52" i="32"/>
  <c r="M135" i="34"/>
  <c r="O135" i="34"/>
  <c r="Q135" i="34"/>
  <c r="G136" i="34"/>
  <c r="F194" i="34" s="1"/>
  <c r="I136" i="34"/>
  <c r="K136" i="34"/>
  <c r="E53" i="32"/>
  <c r="M136" i="34"/>
  <c r="O136" i="34"/>
  <c r="Q136" i="34"/>
  <c r="G137" i="34"/>
  <c r="F195" i="34" s="1"/>
  <c r="I137" i="34"/>
  <c r="K137" i="34"/>
  <c r="M137" i="34"/>
  <c r="O137" i="34"/>
  <c r="Q137" i="34"/>
  <c r="G138" i="34"/>
  <c r="F196" i="34" s="1"/>
  <c r="I138" i="34"/>
  <c r="K138" i="34"/>
  <c r="E55" i="32"/>
  <c r="M138" i="34"/>
  <c r="O138" i="34"/>
  <c r="Q138" i="34"/>
  <c r="G139" i="34"/>
  <c r="F197" i="34" s="1"/>
  <c r="I139" i="34"/>
  <c r="K139" i="34"/>
  <c r="E51" i="32"/>
  <c r="M139" i="34"/>
  <c r="O139" i="34"/>
  <c r="Q139" i="34"/>
  <c r="G140" i="34"/>
  <c r="I140" i="34"/>
  <c r="K140" i="34"/>
  <c r="E9" i="32"/>
  <c r="M140" i="34"/>
  <c r="K82" i="34"/>
  <c r="O140" i="34"/>
  <c r="Q140" i="34"/>
  <c r="G141" i="34"/>
  <c r="I141" i="34"/>
  <c r="K141" i="34"/>
  <c r="E10" i="32"/>
  <c r="M141" i="34"/>
  <c r="O141" i="34"/>
  <c r="Q141" i="34"/>
  <c r="G142" i="34"/>
  <c r="I142" i="34"/>
  <c r="K142" i="34"/>
  <c r="M142" i="34"/>
  <c r="O142" i="34"/>
  <c r="Q142" i="34"/>
  <c r="G143" i="34"/>
  <c r="F201" i="34" s="1"/>
  <c r="I143" i="34"/>
  <c r="C12" i="32"/>
  <c r="G28" i="34"/>
  <c r="K143" i="34"/>
  <c r="M143" i="34"/>
  <c r="O143" i="34"/>
  <c r="Q143" i="34"/>
  <c r="G144" i="34"/>
  <c r="F202" i="34" s="1"/>
  <c r="B13" i="32"/>
  <c r="F29" i="34"/>
  <c r="I144" i="34"/>
  <c r="K144" i="34"/>
  <c r="E13" i="32"/>
  <c r="M144" i="34"/>
  <c r="O144" i="34"/>
  <c r="Q144" i="34"/>
  <c r="G145" i="34"/>
  <c r="F203" i="34" s="1"/>
  <c r="I145" i="34"/>
  <c r="K145" i="34"/>
  <c r="E14" i="32"/>
  <c r="M145" i="34"/>
  <c r="O145" i="34"/>
  <c r="Q145" i="34"/>
  <c r="G146" i="34"/>
  <c r="I146" i="34"/>
  <c r="K146" i="34"/>
  <c r="E15" i="32"/>
  <c r="M146" i="34"/>
  <c r="O146" i="34"/>
  <c r="Q146" i="34"/>
  <c r="G147" i="34"/>
  <c r="F205" i="34" s="1"/>
  <c r="I147" i="34"/>
  <c r="C16" i="32"/>
  <c r="G32" i="34"/>
  <c r="K147" i="34"/>
  <c r="E16" i="32"/>
  <c r="M147" i="34"/>
  <c r="O147" i="34"/>
  <c r="Q147" i="34"/>
  <c r="G148" i="34"/>
  <c r="I148" i="34"/>
  <c r="K148" i="34"/>
  <c r="M148" i="34"/>
  <c r="K90" i="34"/>
  <c r="O148" i="34"/>
  <c r="Q148" i="34"/>
  <c r="G149" i="34"/>
  <c r="I149" i="34"/>
  <c r="K149" i="34"/>
  <c r="E19" i="32"/>
  <c r="M149" i="34"/>
  <c r="O149" i="34"/>
  <c r="J34" i="34"/>
  <c r="Q149" i="34"/>
  <c r="G150" i="34"/>
  <c r="F208" i="34" s="1"/>
  <c r="I150" i="34"/>
  <c r="K150" i="34"/>
  <c r="E20" i="32"/>
  <c r="M150" i="34"/>
  <c r="O150" i="34"/>
  <c r="Q150" i="34"/>
  <c r="G151" i="34"/>
  <c r="F209" i="34" s="1"/>
  <c r="I151" i="34"/>
  <c r="K151" i="34"/>
  <c r="M151" i="34"/>
  <c r="O151" i="34"/>
  <c r="J36" i="34"/>
  <c r="Q151" i="34"/>
  <c r="G152" i="34"/>
  <c r="F210" i="34" s="1"/>
  <c r="I152" i="34"/>
  <c r="K152" i="34"/>
  <c r="M152" i="34"/>
  <c r="O152" i="34"/>
  <c r="Q152" i="34"/>
  <c r="G153" i="34"/>
  <c r="F211" i="34" s="1"/>
  <c r="I153" i="34"/>
  <c r="K153" i="34"/>
  <c r="E23" i="32"/>
  <c r="M153" i="34"/>
  <c r="O153" i="34"/>
  <c r="M95" i="34"/>
  <c r="Q153" i="34"/>
  <c r="G154" i="34"/>
  <c r="I154" i="34"/>
  <c r="K154" i="34"/>
  <c r="E24" i="32"/>
  <c r="M154" i="34"/>
  <c r="O154" i="34"/>
  <c r="N212" i="34" s="1"/>
  <c r="Q154" i="34"/>
  <c r="J39" i="34"/>
  <c r="G155" i="34"/>
  <c r="F213" i="34" s="1"/>
  <c r="I155" i="34"/>
  <c r="K155" i="34"/>
  <c r="M155" i="34"/>
  <c r="O155" i="34"/>
  <c r="Q155" i="34"/>
  <c r="J40" i="34"/>
  <c r="G156" i="34"/>
  <c r="I156" i="34"/>
  <c r="K156" i="34"/>
  <c r="E26" i="32"/>
  <c r="M156" i="34"/>
  <c r="O156" i="34"/>
  <c r="Q156" i="34"/>
  <c r="G157" i="34"/>
  <c r="F215" i="34" s="1"/>
  <c r="I157" i="34"/>
  <c r="K157" i="34"/>
  <c r="M157" i="34"/>
  <c r="O157" i="34"/>
  <c r="M99" i="34"/>
  <c r="Q157" i="34"/>
  <c r="G158" i="34"/>
  <c r="F216" i="34" s="1"/>
  <c r="I158" i="34"/>
  <c r="K158" i="34"/>
  <c r="M158" i="34"/>
  <c r="O158" i="34"/>
  <c r="Q158" i="34"/>
  <c r="G159" i="34"/>
  <c r="F217" i="34" s="1"/>
  <c r="I159" i="34"/>
  <c r="K159" i="34"/>
  <c r="M159" i="34"/>
  <c r="O159" i="34"/>
  <c r="J44" i="34"/>
  <c r="Q159" i="34"/>
  <c r="G160" i="34"/>
  <c r="I160" i="34"/>
  <c r="C30" i="32"/>
  <c r="G45" i="34" s="1"/>
  <c r="K160" i="34"/>
  <c r="E30" i="32"/>
  <c r="M160" i="34"/>
  <c r="O160" i="34"/>
  <c r="Q160" i="34"/>
  <c r="G161" i="34"/>
  <c r="F219" i="34" s="1"/>
  <c r="I161" i="34"/>
  <c r="H219" i="34" s="1"/>
  <c r="C31" i="32"/>
  <c r="G46" i="34" s="1"/>
  <c r="K161" i="34"/>
  <c r="M161" i="34"/>
  <c r="O161" i="34"/>
  <c r="Q161" i="34"/>
  <c r="G162" i="34"/>
  <c r="F220" i="34" s="1"/>
  <c r="I162" i="34"/>
  <c r="C32" i="32"/>
  <c r="G47" i="34" s="1"/>
  <c r="K162" i="34"/>
  <c r="M162" i="34"/>
  <c r="O162" i="34"/>
  <c r="Q162" i="34"/>
  <c r="G163" i="34"/>
  <c r="F221" i="34" s="1"/>
  <c r="I163" i="34"/>
  <c r="K163" i="34"/>
  <c r="M163" i="34"/>
  <c r="O163" i="34"/>
  <c r="Q163" i="34"/>
  <c r="G164" i="34"/>
  <c r="F222" i="34" s="1"/>
  <c r="I164" i="34"/>
  <c r="K164" i="34"/>
  <c r="M164" i="34"/>
  <c r="K106" i="34"/>
  <c r="O164" i="34"/>
  <c r="Q164" i="34"/>
  <c r="G165" i="34"/>
  <c r="I165" i="34"/>
  <c r="K165" i="34"/>
  <c r="M165" i="34"/>
  <c r="O165" i="34"/>
  <c r="Q165" i="34"/>
  <c r="G166" i="34"/>
  <c r="F224" i="34" s="1"/>
  <c r="I166" i="34"/>
  <c r="K166" i="34"/>
  <c r="M166" i="34"/>
  <c r="O166" i="34"/>
  <c r="Q166" i="34"/>
  <c r="G167" i="34"/>
  <c r="F225" i="34" s="1"/>
  <c r="I167" i="34"/>
  <c r="K167" i="34"/>
  <c r="M167" i="34"/>
  <c r="O167" i="34"/>
  <c r="Q167" i="34"/>
  <c r="G168" i="34"/>
  <c r="I168" i="34"/>
  <c r="K168" i="34"/>
  <c r="M168" i="34"/>
  <c r="O168" i="34"/>
  <c r="Q168" i="34"/>
  <c r="G169" i="34"/>
  <c r="I169" i="34"/>
  <c r="C38" i="32"/>
  <c r="G54" i="34"/>
  <c r="K169" i="34"/>
  <c r="E38" i="32"/>
  <c r="M169" i="34"/>
  <c r="O169" i="34"/>
  <c r="Q169" i="34"/>
  <c r="G170" i="34"/>
  <c r="I170" i="34"/>
  <c r="K170" i="34"/>
  <c r="M170" i="34"/>
  <c r="O170" i="34"/>
  <c r="Q170" i="34"/>
  <c r="G171" i="34"/>
  <c r="I171" i="34"/>
  <c r="K171" i="34"/>
  <c r="I113" i="34"/>
  <c r="M171" i="34"/>
  <c r="O171" i="34"/>
  <c r="Q171" i="34"/>
  <c r="G172" i="34"/>
  <c r="F230" i="34" s="1"/>
  <c r="I172" i="34"/>
  <c r="K172" i="34"/>
  <c r="M172" i="34"/>
  <c r="O172" i="34"/>
  <c r="Q172" i="34"/>
  <c r="G173" i="34"/>
  <c r="F231" i="34" s="1"/>
  <c r="I173" i="34"/>
  <c r="G115" i="34"/>
  <c r="K173" i="34"/>
  <c r="I115" i="34"/>
  <c r="M173" i="34"/>
  <c r="O173" i="34"/>
  <c r="Q173" i="34"/>
  <c r="G174" i="34"/>
  <c r="B43" i="32"/>
  <c r="F59" i="34"/>
  <c r="I174" i="34"/>
  <c r="C43" i="32"/>
  <c r="G59" i="34" s="1"/>
  <c r="K174" i="34"/>
  <c r="M174" i="34"/>
  <c r="O174" i="34"/>
  <c r="Q174" i="34"/>
  <c r="G175" i="34"/>
  <c r="F233" i="34" s="1"/>
  <c r="I175" i="34"/>
  <c r="K175" i="34"/>
  <c r="E44" i="32"/>
  <c r="M175" i="34"/>
  <c r="O175" i="34"/>
  <c r="Q175" i="34"/>
  <c r="G44" i="32"/>
  <c r="G176" i="34"/>
  <c r="F234" i="34" s="1"/>
  <c r="I176" i="34"/>
  <c r="H234" i="34" s="1"/>
  <c r="K176" i="34"/>
  <c r="M176" i="34"/>
  <c r="O176" i="34"/>
  <c r="Q176" i="34"/>
  <c r="G177" i="34"/>
  <c r="F235" i="34" s="1"/>
  <c r="I177" i="34"/>
  <c r="H235" i="34" s="1"/>
  <c r="C46" i="32"/>
  <c r="G62" i="34"/>
  <c r="G119" i="34"/>
  <c r="K177" i="34"/>
  <c r="M177" i="34"/>
  <c r="O177" i="34"/>
  <c r="Q177" i="34"/>
  <c r="E46" i="32"/>
  <c r="G178" i="34"/>
  <c r="I178" i="34"/>
  <c r="K178" i="34"/>
  <c r="I120" i="34"/>
  <c r="M178" i="34"/>
  <c r="O178" i="34"/>
  <c r="Q178" i="34"/>
  <c r="G179" i="34"/>
  <c r="I179" i="34"/>
  <c r="K179" i="34"/>
  <c r="M179" i="34"/>
  <c r="O179" i="34"/>
  <c r="Q179" i="34"/>
  <c r="G180" i="34"/>
  <c r="F238" i="34" s="1"/>
  <c r="I180" i="34"/>
  <c r="K180" i="34"/>
  <c r="M180" i="34"/>
  <c r="O180" i="34"/>
  <c r="Q180" i="34"/>
  <c r="O90" i="34"/>
  <c r="O91" i="34"/>
  <c r="O92" i="34"/>
  <c r="O93" i="34"/>
  <c r="O94" i="34"/>
  <c r="O95" i="34"/>
  <c r="O96" i="34"/>
  <c r="O97" i="34"/>
  <c r="O98" i="34"/>
  <c r="O99" i="34"/>
  <c r="O100" i="34"/>
  <c r="O101" i="34"/>
  <c r="O108" i="34"/>
  <c r="O109" i="34"/>
  <c r="G70" i="34"/>
  <c r="C50" i="32"/>
  <c r="G13" i="34"/>
  <c r="G71" i="34"/>
  <c r="C3" i="32"/>
  <c r="G14" i="34"/>
  <c r="J129" i="34" s="1"/>
  <c r="G72" i="34"/>
  <c r="G73" i="34"/>
  <c r="G74" i="34"/>
  <c r="G76" i="34"/>
  <c r="G82" i="34"/>
  <c r="C9" i="32"/>
  <c r="G25" i="34"/>
  <c r="G83" i="34"/>
  <c r="G84" i="34"/>
  <c r="G85" i="34"/>
  <c r="G86" i="34"/>
  <c r="G87" i="34"/>
  <c r="G88" i="34"/>
  <c r="G89" i="34"/>
  <c r="G102" i="34"/>
  <c r="G103" i="34"/>
  <c r="G104" i="34"/>
  <c r="G105" i="34"/>
  <c r="G106" i="34"/>
  <c r="H222" i="34" s="1"/>
  <c r="G107" i="34"/>
  <c r="G111" i="34"/>
  <c r="G112" i="34"/>
  <c r="G114" i="34"/>
  <c r="G116" i="34"/>
  <c r="G117" i="34"/>
  <c r="H233" i="34" s="1"/>
  <c r="C44" i="32"/>
  <c r="G60" i="34" s="1"/>
  <c r="G118" i="34"/>
  <c r="E2" i="32"/>
  <c r="I70" i="34"/>
  <c r="E50" i="32"/>
  <c r="I71" i="34"/>
  <c r="I72" i="34"/>
  <c r="I73" i="34"/>
  <c r="I74" i="34"/>
  <c r="I75" i="34"/>
  <c r="E7" i="32"/>
  <c r="I76" i="34"/>
  <c r="I77" i="34"/>
  <c r="I78" i="34"/>
  <c r="I79" i="34"/>
  <c r="I80" i="34"/>
  <c r="I81" i="34"/>
  <c r="I82" i="34"/>
  <c r="I83" i="34"/>
  <c r="I84" i="34"/>
  <c r="I85" i="34"/>
  <c r="I86" i="34"/>
  <c r="I87" i="34"/>
  <c r="I88" i="34"/>
  <c r="I89" i="34"/>
  <c r="I90" i="34"/>
  <c r="I91" i="34"/>
  <c r="I92" i="34"/>
  <c r="I93" i="34"/>
  <c r="I94" i="34"/>
  <c r="E22" i="32"/>
  <c r="I95" i="34"/>
  <c r="I96" i="34"/>
  <c r="I97" i="34"/>
  <c r="E25" i="32"/>
  <c r="I98" i="34"/>
  <c r="I99" i="34"/>
  <c r="I100" i="34"/>
  <c r="I101" i="34"/>
  <c r="E29" i="32"/>
  <c r="I102" i="34"/>
  <c r="I103" i="34"/>
  <c r="I104" i="34"/>
  <c r="I105" i="34"/>
  <c r="E33" i="32"/>
  <c r="I106" i="34"/>
  <c r="I107" i="34"/>
  <c r="E35" i="32"/>
  <c r="I108" i="34"/>
  <c r="I109" i="34"/>
  <c r="E36" i="32"/>
  <c r="I110" i="34"/>
  <c r="I111" i="34"/>
  <c r="I112" i="34"/>
  <c r="I114" i="34"/>
  <c r="I116" i="34"/>
  <c r="I117" i="34"/>
  <c r="I118" i="34"/>
  <c r="I119" i="34"/>
  <c r="I121" i="34"/>
  <c r="I122" i="34"/>
  <c r="K69" i="34"/>
  <c r="K70" i="34"/>
  <c r="L186" i="34" s="1"/>
  <c r="K71" i="34"/>
  <c r="K72" i="34"/>
  <c r="K73" i="34"/>
  <c r="K74" i="34"/>
  <c r="K75" i="34"/>
  <c r="K76" i="34"/>
  <c r="K77" i="34"/>
  <c r="K78" i="34"/>
  <c r="K79" i="34"/>
  <c r="K80" i="34"/>
  <c r="K81" i="34"/>
  <c r="K83" i="34"/>
  <c r="K84" i="34"/>
  <c r="K85" i="34"/>
  <c r="K86" i="34"/>
  <c r="K87" i="34"/>
  <c r="K88" i="34"/>
  <c r="K89" i="34"/>
  <c r="K91" i="34"/>
  <c r="K92" i="34"/>
  <c r="K93" i="34"/>
  <c r="K94" i="34"/>
  <c r="K95" i="34"/>
  <c r="K96" i="34"/>
  <c r="K97" i="34"/>
  <c r="K98" i="34"/>
  <c r="K99" i="34"/>
  <c r="K100" i="34"/>
  <c r="K101" i="34"/>
  <c r="K102" i="34"/>
  <c r="K103" i="34"/>
  <c r="K104" i="34"/>
  <c r="K105" i="34"/>
  <c r="K107" i="34"/>
  <c r="K108" i="34"/>
  <c r="K109" i="34"/>
  <c r="K110" i="34"/>
  <c r="K111" i="34"/>
  <c r="K112" i="34"/>
  <c r="K116" i="34"/>
  <c r="K118" i="34"/>
  <c r="K121" i="34"/>
  <c r="K122" i="34"/>
  <c r="M81" i="34"/>
  <c r="N81" i="34" s="1"/>
  <c r="M90" i="34"/>
  <c r="M91" i="34"/>
  <c r="M92" i="34"/>
  <c r="M93" i="34"/>
  <c r="M96" i="34"/>
  <c r="M97" i="34"/>
  <c r="M98" i="34"/>
  <c r="M100" i="34"/>
  <c r="M101" i="34"/>
  <c r="M108" i="34"/>
  <c r="M109" i="34"/>
  <c r="B12" i="37"/>
  <c r="B14" i="37" s="1"/>
  <c r="B13" i="37"/>
  <c r="B9" i="37"/>
  <c r="Q148" i="26"/>
  <c r="O90" i="26"/>
  <c r="Q149" i="26"/>
  <c r="O91" i="26"/>
  <c r="Q150" i="26"/>
  <c r="O92" i="26"/>
  <c r="Q151" i="26"/>
  <c r="O93" i="26"/>
  <c r="Q152" i="26"/>
  <c r="O94" i="26"/>
  <c r="Q153" i="26"/>
  <c r="O95" i="26"/>
  <c r="Q154" i="26"/>
  <c r="O96" i="26"/>
  <c r="Q155" i="26"/>
  <c r="O97" i="26"/>
  <c r="Q156" i="26"/>
  <c r="O98" i="26"/>
  <c r="Q157" i="26"/>
  <c r="O99" i="26"/>
  <c r="Q158" i="26"/>
  <c r="O100" i="26"/>
  <c r="Q159" i="26"/>
  <c r="O101" i="26"/>
  <c r="Q166" i="26"/>
  <c r="O108" i="26"/>
  <c r="Q167" i="26"/>
  <c r="O109" i="26"/>
  <c r="G127" i="26"/>
  <c r="F185" i="26" s="1"/>
  <c r="G128" i="26"/>
  <c r="G129" i="26"/>
  <c r="F187" i="26" s="1"/>
  <c r="G130" i="26"/>
  <c r="G131" i="26"/>
  <c r="G132" i="26"/>
  <c r="F190" i="26" s="1"/>
  <c r="G133" i="26"/>
  <c r="F191" i="26" s="1"/>
  <c r="G134" i="26"/>
  <c r="F192" i="26" s="1"/>
  <c r="G135" i="26"/>
  <c r="F193" i="26" s="1"/>
  <c r="G136" i="26"/>
  <c r="F194" i="26" s="1"/>
  <c r="G137" i="26"/>
  <c r="G138" i="26"/>
  <c r="G139" i="26"/>
  <c r="F197" i="26" s="1"/>
  <c r="G140" i="26"/>
  <c r="F198" i="26" s="1"/>
  <c r="G141" i="26"/>
  <c r="F199" i="26" s="1"/>
  <c r="G142" i="26"/>
  <c r="G143" i="26"/>
  <c r="F201" i="26" s="1"/>
  <c r="G144" i="26"/>
  <c r="F202" i="26" s="1"/>
  <c r="G147" i="26"/>
  <c r="F205" i="26" s="1"/>
  <c r="G148" i="26"/>
  <c r="F206" i="26" s="1"/>
  <c r="G150" i="26"/>
  <c r="F208" i="26" s="1"/>
  <c r="G151" i="26"/>
  <c r="G152" i="26"/>
  <c r="G153" i="26"/>
  <c r="F211" i="26" s="1"/>
  <c r="G154" i="26"/>
  <c r="F212" i="26" s="1"/>
  <c r="G155" i="26"/>
  <c r="F213" i="26" s="1"/>
  <c r="G160" i="26"/>
  <c r="F218" i="26" s="1"/>
  <c r="G161" i="26"/>
  <c r="F219" i="26" s="1"/>
  <c r="G162" i="26"/>
  <c r="G163" i="26"/>
  <c r="F221" i="26" s="1"/>
  <c r="G164" i="26"/>
  <c r="F222" i="26" s="1"/>
  <c r="G166" i="26"/>
  <c r="G170" i="26"/>
  <c r="F228" i="26" s="1"/>
  <c r="G171" i="26"/>
  <c r="F229" i="26" s="1"/>
  <c r="G174" i="26"/>
  <c r="F232" i="26" s="1"/>
  <c r="G175" i="26"/>
  <c r="F233" i="26" s="1"/>
  <c r="G176" i="26"/>
  <c r="F234" i="26" s="1"/>
  <c r="G177" i="26"/>
  <c r="G178" i="26"/>
  <c r="F236" i="26" s="1"/>
  <c r="G179" i="26"/>
  <c r="F237" i="26" s="1"/>
  <c r="G180" i="26"/>
  <c r="F238" i="26" s="1"/>
  <c r="I127" i="26"/>
  <c r="G69" i="26"/>
  <c r="I128" i="26"/>
  <c r="G70" i="26"/>
  <c r="I129" i="26"/>
  <c r="G71" i="26"/>
  <c r="I130" i="26"/>
  <c r="G72" i="26"/>
  <c r="I131" i="26"/>
  <c r="G73" i="26"/>
  <c r="G74" i="26"/>
  <c r="I134" i="26"/>
  <c r="G76" i="26"/>
  <c r="I140" i="26"/>
  <c r="G82" i="26"/>
  <c r="I141" i="26"/>
  <c r="G83" i="26"/>
  <c r="I142" i="26"/>
  <c r="G84" i="26"/>
  <c r="I143" i="26"/>
  <c r="G85" i="26"/>
  <c r="I144" i="26"/>
  <c r="G86" i="26"/>
  <c r="I145" i="26"/>
  <c r="G87" i="26"/>
  <c r="I146" i="26"/>
  <c r="J146" i="26" s="1"/>
  <c r="G88" i="26"/>
  <c r="I147" i="26"/>
  <c r="G89" i="26"/>
  <c r="I160" i="26"/>
  <c r="G102" i="26"/>
  <c r="I161" i="26"/>
  <c r="G103" i="26"/>
  <c r="I162" i="26"/>
  <c r="G104" i="26"/>
  <c r="I163" i="26"/>
  <c r="G105" i="26"/>
  <c r="I164" i="26"/>
  <c r="G106" i="26"/>
  <c r="G107" i="26"/>
  <c r="I169" i="26"/>
  <c r="G111" i="26"/>
  <c r="I170" i="26"/>
  <c r="G112" i="26"/>
  <c r="I172" i="26"/>
  <c r="I173" i="26"/>
  <c r="I174" i="26"/>
  <c r="G116" i="26"/>
  <c r="I175" i="26"/>
  <c r="G117" i="26"/>
  <c r="I176" i="26"/>
  <c r="G118" i="26"/>
  <c r="I177" i="26"/>
  <c r="G119" i="26"/>
  <c r="K127" i="26"/>
  <c r="I69" i="26"/>
  <c r="K128" i="26"/>
  <c r="I70" i="26"/>
  <c r="K129" i="26"/>
  <c r="I71" i="26"/>
  <c r="K130" i="26"/>
  <c r="I72" i="26"/>
  <c r="K131" i="26"/>
  <c r="I73" i="26"/>
  <c r="K132" i="26"/>
  <c r="I74" i="26"/>
  <c r="K133" i="26"/>
  <c r="I75" i="26"/>
  <c r="K134" i="26"/>
  <c r="I76" i="26"/>
  <c r="K135" i="26"/>
  <c r="I77" i="26"/>
  <c r="K136" i="26"/>
  <c r="I78" i="26"/>
  <c r="K137" i="26"/>
  <c r="I79" i="26"/>
  <c r="J195" i="26" s="1"/>
  <c r="K138" i="26"/>
  <c r="I80" i="26"/>
  <c r="K139" i="26"/>
  <c r="I81" i="26"/>
  <c r="K140" i="26"/>
  <c r="I82" i="26"/>
  <c r="K141" i="26"/>
  <c r="I83" i="26"/>
  <c r="K142" i="26"/>
  <c r="I84" i="26"/>
  <c r="K143" i="26"/>
  <c r="I85" i="26"/>
  <c r="K144" i="26"/>
  <c r="I86" i="26"/>
  <c r="K145" i="26"/>
  <c r="I87" i="26"/>
  <c r="K146" i="26"/>
  <c r="I88" i="26"/>
  <c r="K147" i="26"/>
  <c r="I89" i="26"/>
  <c r="K148" i="26"/>
  <c r="I90" i="26"/>
  <c r="K149" i="26"/>
  <c r="I91" i="26"/>
  <c r="K150" i="26"/>
  <c r="I92" i="26"/>
  <c r="K151" i="26"/>
  <c r="I93" i="26"/>
  <c r="K152" i="26"/>
  <c r="I94" i="26"/>
  <c r="K153" i="26"/>
  <c r="I95" i="26"/>
  <c r="K154" i="26"/>
  <c r="I96" i="26"/>
  <c r="J212" i="26" s="1"/>
  <c r="K155" i="26"/>
  <c r="I97" i="26"/>
  <c r="K156" i="26"/>
  <c r="I98" i="26"/>
  <c r="K157" i="26"/>
  <c r="I99" i="26"/>
  <c r="K158" i="26"/>
  <c r="I100" i="26"/>
  <c r="K159" i="26"/>
  <c r="I101" i="26"/>
  <c r="K160" i="26"/>
  <c r="I102" i="26"/>
  <c r="K161" i="26"/>
  <c r="I103" i="26"/>
  <c r="K162" i="26"/>
  <c r="I104" i="26"/>
  <c r="J220" i="26" s="1"/>
  <c r="K163" i="26"/>
  <c r="I105" i="26"/>
  <c r="K164" i="26"/>
  <c r="I106" i="26"/>
  <c r="K165" i="26"/>
  <c r="I107" i="26"/>
  <c r="K166" i="26"/>
  <c r="I108" i="26"/>
  <c r="K167" i="26"/>
  <c r="I109" i="26"/>
  <c r="K168" i="26"/>
  <c r="I110" i="26"/>
  <c r="K169" i="26"/>
  <c r="I111" i="26"/>
  <c r="K170" i="26"/>
  <c r="I112" i="26"/>
  <c r="K171" i="26"/>
  <c r="I113" i="26"/>
  <c r="K172" i="26"/>
  <c r="I114" i="26"/>
  <c r="K173" i="26"/>
  <c r="I115" i="26"/>
  <c r="K174" i="26"/>
  <c r="I116" i="26"/>
  <c r="K175" i="26"/>
  <c r="I117" i="26"/>
  <c r="K176" i="26"/>
  <c r="I118" i="26"/>
  <c r="K177" i="26"/>
  <c r="I119" i="26"/>
  <c r="K178" i="26"/>
  <c r="I120" i="26"/>
  <c r="K179" i="26"/>
  <c r="I121" i="26"/>
  <c r="K180" i="26"/>
  <c r="I122" i="26"/>
  <c r="M127" i="26"/>
  <c r="K69" i="26"/>
  <c r="M128" i="26"/>
  <c r="K70" i="26"/>
  <c r="M129" i="26"/>
  <c r="K71" i="26"/>
  <c r="M130" i="26"/>
  <c r="K72" i="26"/>
  <c r="M131" i="26"/>
  <c r="K73" i="26"/>
  <c r="M132" i="26"/>
  <c r="K74" i="26"/>
  <c r="M133" i="26"/>
  <c r="K75" i="26"/>
  <c r="M134" i="26"/>
  <c r="K76" i="26"/>
  <c r="M135" i="26"/>
  <c r="K77" i="26"/>
  <c r="M136" i="26"/>
  <c r="K78" i="26"/>
  <c r="M137" i="26"/>
  <c r="K79" i="26"/>
  <c r="M138" i="26"/>
  <c r="K80" i="26"/>
  <c r="M139" i="26"/>
  <c r="K81" i="26"/>
  <c r="M140" i="26"/>
  <c r="K82" i="26"/>
  <c r="K83" i="26"/>
  <c r="M142" i="26"/>
  <c r="K84" i="26"/>
  <c r="M143" i="26"/>
  <c r="K85" i="26"/>
  <c r="M144" i="26"/>
  <c r="K86" i="26"/>
  <c r="M145" i="26"/>
  <c r="K87" i="26"/>
  <c r="M146" i="26"/>
  <c r="K88" i="26"/>
  <c r="M147" i="26"/>
  <c r="K89" i="26"/>
  <c r="M148" i="26"/>
  <c r="K90" i="26"/>
  <c r="M149" i="26"/>
  <c r="K91" i="26"/>
  <c r="M150" i="26"/>
  <c r="K92" i="26"/>
  <c r="M151" i="26"/>
  <c r="M152" i="26"/>
  <c r="K94" i="26"/>
  <c r="K95" i="26"/>
  <c r="M154" i="26"/>
  <c r="K96" i="26"/>
  <c r="M155" i="26"/>
  <c r="K97" i="26"/>
  <c r="M156" i="26"/>
  <c r="K98" i="26"/>
  <c r="M157" i="26"/>
  <c r="K99" i="26"/>
  <c r="M158" i="26"/>
  <c r="K100" i="26"/>
  <c r="M159" i="26"/>
  <c r="K101" i="26"/>
  <c r="M160" i="26"/>
  <c r="K102" i="26"/>
  <c r="M161" i="26"/>
  <c r="K103" i="26"/>
  <c r="M162" i="26"/>
  <c r="K104" i="26"/>
  <c r="M163" i="26"/>
  <c r="K105" i="26"/>
  <c r="M164" i="26"/>
  <c r="K106" i="26"/>
  <c r="M165" i="26"/>
  <c r="K107" i="26"/>
  <c r="M166" i="26"/>
  <c r="K108" i="26"/>
  <c r="M167" i="26"/>
  <c r="K109" i="26"/>
  <c r="M168" i="26"/>
  <c r="K110" i="26"/>
  <c r="M169" i="26"/>
  <c r="K111" i="26"/>
  <c r="M170" i="26"/>
  <c r="K112" i="26"/>
  <c r="M174" i="26"/>
  <c r="K116" i="26"/>
  <c r="M176" i="26"/>
  <c r="K118" i="26"/>
  <c r="M179" i="26"/>
  <c r="K121" i="26"/>
  <c r="M180" i="26"/>
  <c r="K122" i="26"/>
  <c r="O139" i="26"/>
  <c r="M81" i="26"/>
  <c r="M90" i="26"/>
  <c r="O149" i="26"/>
  <c r="M91" i="26"/>
  <c r="O150" i="26"/>
  <c r="O151" i="26"/>
  <c r="M93" i="26"/>
  <c r="O152" i="26"/>
  <c r="O153" i="26"/>
  <c r="M95" i="26"/>
  <c r="M96" i="26"/>
  <c r="M97" i="26"/>
  <c r="O156" i="26"/>
  <c r="M98" i="26"/>
  <c r="O157" i="26"/>
  <c r="M99" i="26"/>
  <c r="O158" i="26"/>
  <c r="M100" i="26"/>
  <c r="O159" i="26"/>
  <c r="M101" i="26"/>
  <c r="O166" i="26"/>
  <c r="M108" i="26"/>
  <c r="O167" i="26"/>
  <c r="M109" i="26"/>
  <c r="G156" i="26"/>
  <c r="F214" i="26" s="1"/>
  <c r="G157" i="26"/>
  <c r="F215" i="26" s="1"/>
  <c r="G158" i="26"/>
  <c r="F216" i="26" s="1"/>
  <c r="G159" i="26"/>
  <c r="G165" i="26"/>
  <c r="F223" i="26" s="1"/>
  <c r="G167" i="26"/>
  <c r="F225" i="26" s="1"/>
  <c r="G168" i="26"/>
  <c r="G172" i="26"/>
  <c r="F230" i="26" s="1"/>
  <c r="G173" i="26"/>
  <c r="F231" i="26" s="1"/>
  <c r="M69" i="1"/>
  <c r="O69" i="1"/>
  <c r="M70" i="1"/>
  <c r="O70" i="1"/>
  <c r="M71" i="1"/>
  <c r="O71" i="1"/>
  <c r="M72" i="1"/>
  <c r="O72" i="1"/>
  <c r="M73" i="1"/>
  <c r="O73" i="1"/>
  <c r="M74" i="1"/>
  <c r="O74" i="1"/>
  <c r="G75" i="1"/>
  <c r="M75" i="1"/>
  <c r="O75" i="1"/>
  <c r="M76" i="1"/>
  <c r="O76" i="1"/>
  <c r="G77" i="1"/>
  <c r="M77" i="1"/>
  <c r="O77" i="1"/>
  <c r="G78" i="1"/>
  <c r="M78" i="1"/>
  <c r="O78" i="1"/>
  <c r="G79" i="1"/>
  <c r="M79" i="1"/>
  <c r="O79" i="1"/>
  <c r="G80" i="1"/>
  <c r="M80" i="1"/>
  <c r="O80" i="1"/>
  <c r="M25" i="4"/>
  <c r="F80" i="1" s="1"/>
  <c r="G81" i="1"/>
  <c r="O81" i="1"/>
  <c r="M82" i="1"/>
  <c r="O82" i="1"/>
  <c r="M83" i="1"/>
  <c r="O83" i="1"/>
  <c r="M84" i="1"/>
  <c r="O84" i="1"/>
  <c r="M85" i="1"/>
  <c r="O85" i="1"/>
  <c r="M86" i="1"/>
  <c r="O86" i="1"/>
  <c r="M87" i="1"/>
  <c r="O87" i="1"/>
  <c r="M88" i="1"/>
  <c r="O88" i="1"/>
  <c r="M89" i="1"/>
  <c r="O89" i="1"/>
  <c r="G90" i="1"/>
  <c r="G91" i="1"/>
  <c r="G92" i="1"/>
  <c r="G93" i="1"/>
  <c r="M38" i="4"/>
  <c r="F93" i="1" s="1"/>
  <c r="G94" i="1"/>
  <c r="G95" i="1"/>
  <c r="G96" i="1"/>
  <c r="G97" i="1"/>
  <c r="G98" i="1"/>
  <c r="G99" i="1"/>
  <c r="G100" i="1"/>
  <c r="G101" i="1"/>
  <c r="M102" i="1"/>
  <c r="O102" i="1"/>
  <c r="M103" i="1"/>
  <c r="O103" i="1"/>
  <c r="M104" i="1"/>
  <c r="O104" i="1"/>
  <c r="B104" i="1" s="1"/>
  <c r="M105" i="1"/>
  <c r="O105" i="1"/>
  <c r="M106" i="1"/>
  <c r="O106" i="1"/>
  <c r="M107" i="1"/>
  <c r="O107" i="1"/>
  <c r="G108" i="1"/>
  <c r="G109" i="1"/>
  <c r="G110" i="1"/>
  <c r="M110" i="1"/>
  <c r="O110" i="1"/>
  <c r="M111" i="1"/>
  <c r="O111" i="1"/>
  <c r="M112" i="1"/>
  <c r="O112" i="1"/>
  <c r="G113" i="1"/>
  <c r="K113" i="1"/>
  <c r="M113" i="1"/>
  <c r="O113" i="1"/>
  <c r="K114" i="1"/>
  <c r="M114" i="1"/>
  <c r="O114" i="1"/>
  <c r="K115" i="1"/>
  <c r="M115" i="1"/>
  <c r="O115" i="1"/>
  <c r="M116" i="1"/>
  <c r="O116" i="1"/>
  <c r="K117" i="1"/>
  <c r="M117" i="1"/>
  <c r="O117" i="1"/>
  <c r="M118" i="1"/>
  <c r="O118" i="1"/>
  <c r="K119" i="1"/>
  <c r="M119" i="1"/>
  <c r="O119" i="1"/>
  <c r="G120" i="1"/>
  <c r="K120" i="1"/>
  <c r="M120" i="1"/>
  <c r="O120" i="1"/>
  <c r="G121" i="1"/>
  <c r="M121" i="1"/>
  <c r="O121" i="1"/>
  <c r="G122" i="1"/>
  <c r="M122" i="1"/>
  <c r="O122" i="1"/>
  <c r="O127" i="1"/>
  <c r="Q127" i="1"/>
  <c r="O128" i="1"/>
  <c r="Q128" i="1"/>
  <c r="O129" i="1"/>
  <c r="Q129" i="1"/>
  <c r="O130" i="1"/>
  <c r="Q130" i="1"/>
  <c r="O131" i="1"/>
  <c r="Q131" i="1"/>
  <c r="O132" i="1"/>
  <c r="Q132" i="1"/>
  <c r="I133" i="1"/>
  <c r="O133" i="1"/>
  <c r="Q133" i="1"/>
  <c r="O134" i="1"/>
  <c r="Q134" i="1"/>
  <c r="I135" i="1"/>
  <c r="O135" i="1"/>
  <c r="Q135" i="1"/>
  <c r="I136" i="1"/>
  <c r="O136" i="1"/>
  <c r="Q136" i="1"/>
  <c r="I137" i="1"/>
  <c r="O137" i="1"/>
  <c r="Q137" i="1"/>
  <c r="I138" i="1"/>
  <c r="O138" i="1"/>
  <c r="Q138" i="1"/>
  <c r="I139" i="1"/>
  <c r="Q139" i="1"/>
  <c r="O140" i="1"/>
  <c r="Q140" i="1"/>
  <c r="O141" i="1"/>
  <c r="Q141" i="1"/>
  <c r="O142" i="1"/>
  <c r="Q142" i="1"/>
  <c r="O143" i="1"/>
  <c r="Q143" i="1"/>
  <c r="O144" i="1"/>
  <c r="Q144" i="1"/>
  <c r="O145" i="1"/>
  <c r="Q145" i="1"/>
  <c r="O146" i="1"/>
  <c r="Q146" i="1"/>
  <c r="O147" i="1"/>
  <c r="Q147" i="1"/>
  <c r="I148" i="1"/>
  <c r="I149" i="1"/>
  <c r="I150" i="1"/>
  <c r="I151" i="1"/>
  <c r="I152" i="1"/>
  <c r="I153" i="1"/>
  <c r="I154" i="1"/>
  <c r="I155" i="1"/>
  <c r="I156" i="1"/>
  <c r="I157" i="1"/>
  <c r="I158" i="1"/>
  <c r="I159" i="1"/>
  <c r="O160" i="1"/>
  <c r="Q160" i="1"/>
  <c r="O161" i="1"/>
  <c r="Q161" i="1"/>
  <c r="O162" i="1"/>
  <c r="Q162" i="1"/>
  <c r="O163" i="1"/>
  <c r="Q163" i="1"/>
  <c r="O164" i="1"/>
  <c r="Q164" i="1"/>
  <c r="O165" i="1"/>
  <c r="Q165" i="1"/>
  <c r="I167" i="1"/>
  <c r="I168" i="1"/>
  <c r="O168" i="1"/>
  <c r="Q168" i="1"/>
  <c r="O169" i="1"/>
  <c r="Q169" i="1"/>
  <c r="O170" i="1"/>
  <c r="Q170" i="1"/>
  <c r="I171" i="1"/>
  <c r="M171" i="1"/>
  <c r="O171" i="1"/>
  <c r="Q171" i="1"/>
  <c r="M172" i="1"/>
  <c r="O172" i="1"/>
  <c r="Q172" i="1"/>
  <c r="M173" i="1"/>
  <c r="O173" i="1"/>
  <c r="Q173" i="1"/>
  <c r="O174" i="1"/>
  <c r="Q174" i="1"/>
  <c r="M175" i="1"/>
  <c r="O175" i="1"/>
  <c r="Q175" i="1"/>
  <c r="O176" i="1"/>
  <c r="Q176" i="1"/>
  <c r="M177" i="1"/>
  <c r="O177" i="1"/>
  <c r="Q177" i="1"/>
  <c r="I178" i="1"/>
  <c r="M178" i="1"/>
  <c r="O178" i="1"/>
  <c r="Q178" i="1"/>
  <c r="I179" i="1"/>
  <c r="O179" i="1"/>
  <c r="Q179" i="1"/>
  <c r="I180" i="1"/>
  <c r="O180" i="1"/>
  <c r="Q180" i="1"/>
  <c r="M69" i="34"/>
  <c r="O69" i="34"/>
  <c r="M70" i="34"/>
  <c r="O70" i="34"/>
  <c r="M71" i="34"/>
  <c r="O71" i="34"/>
  <c r="M72" i="34"/>
  <c r="O72" i="34"/>
  <c r="M73" i="34"/>
  <c r="O73" i="34"/>
  <c r="M74" i="34"/>
  <c r="O74" i="34"/>
  <c r="G75" i="34"/>
  <c r="M75" i="34"/>
  <c r="O75" i="34"/>
  <c r="M76" i="34"/>
  <c r="O76" i="34"/>
  <c r="G77" i="34"/>
  <c r="M77" i="34"/>
  <c r="O77" i="34"/>
  <c r="G78" i="34"/>
  <c r="M78" i="34"/>
  <c r="O78" i="34"/>
  <c r="G79" i="34"/>
  <c r="M79" i="34"/>
  <c r="O79" i="34"/>
  <c r="G80" i="34"/>
  <c r="M80" i="34"/>
  <c r="O80" i="34"/>
  <c r="G81" i="34"/>
  <c r="O81" i="34"/>
  <c r="M82" i="34"/>
  <c r="O82" i="34"/>
  <c r="M83" i="34"/>
  <c r="O83" i="34"/>
  <c r="M84" i="34"/>
  <c r="O84" i="34"/>
  <c r="M85" i="34"/>
  <c r="O85" i="34"/>
  <c r="M86" i="34"/>
  <c r="O86" i="34"/>
  <c r="M87" i="34"/>
  <c r="O87" i="34"/>
  <c r="M88" i="34"/>
  <c r="O88" i="34"/>
  <c r="M89" i="34"/>
  <c r="O89" i="34"/>
  <c r="G90" i="34"/>
  <c r="G91" i="34"/>
  <c r="G92" i="34"/>
  <c r="G93" i="34"/>
  <c r="G94" i="34"/>
  <c r="G95" i="34"/>
  <c r="G96" i="34"/>
  <c r="G97" i="34"/>
  <c r="G98" i="34"/>
  <c r="G99" i="34"/>
  <c r="G100" i="34"/>
  <c r="G101" i="34"/>
  <c r="M102" i="34"/>
  <c r="O102" i="34"/>
  <c r="M103" i="34"/>
  <c r="O103" i="34"/>
  <c r="M104" i="34"/>
  <c r="O104" i="34"/>
  <c r="M105" i="34"/>
  <c r="O105" i="34"/>
  <c r="M106" i="34"/>
  <c r="O106" i="34"/>
  <c r="M107" i="34"/>
  <c r="O107" i="34"/>
  <c r="G108" i="34"/>
  <c r="G109" i="34"/>
  <c r="G110" i="34"/>
  <c r="M110" i="34"/>
  <c r="O110" i="34"/>
  <c r="M111" i="34"/>
  <c r="O111" i="34"/>
  <c r="M112" i="34"/>
  <c r="O112" i="34"/>
  <c r="G113" i="34"/>
  <c r="K113" i="34"/>
  <c r="M113" i="34"/>
  <c r="O113" i="34"/>
  <c r="K114" i="34"/>
  <c r="M114" i="34"/>
  <c r="O114" i="34"/>
  <c r="K115" i="34"/>
  <c r="M115" i="34"/>
  <c r="O115" i="34"/>
  <c r="M116" i="34"/>
  <c r="O116" i="34"/>
  <c r="K117" i="34"/>
  <c r="M117" i="34"/>
  <c r="O117" i="34"/>
  <c r="M118" i="34"/>
  <c r="O118" i="34"/>
  <c r="K119" i="34"/>
  <c r="M119" i="34"/>
  <c r="O119" i="34"/>
  <c r="G120" i="34"/>
  <c r="K120" i="34"/>
  <c r="M120" i="34"/>
  <c r="O120" i="34"/>
  <c r="G121" i="34"/>
  <c r="M121" i="34"/>
  <c r="O121" i="34"/>
  <c r="G122" i="34"/>
  <c r="M122" i="34"/>
  <c r="O122" i="34"/>
  <c r="F43" i="26"/>
  <c r="M69" i="26"/>
  <c r="O69" i="26"/>
  <c r="M70" i="26"/>
  <c r="O70" i="26"/>
  <c r="M71" i="26"/>
  <c r="O71" i="26"/>
  <c r="M72" i="26"/>
  <c r="O72" i="26"/>
  <c r="M14" i="4"/>
  <c r="F69" i="34" s="1"/>
  <c r="M15" i="4"/>
  <c r="F128" i="1" s="1"/>
  <c r="M16" i="4"/>
  <c r="F71" i="1" s="1"/>
  <c r="M17" i="4"/>
  <c r="F72" i="1" s="1"/>
  <c r="M73" i="26"/>
  <c r="O73" i="26"/>
  <c r="M18" i="4"/>
  <c r="F73" i="1" s="1"/>
  <c r="M74" i="26"/>
  <c r="O74" i="26"/>
  <c r="M19" i="4"/>
  <c r="F132" i="34" s="1"/>
  <c r="G75" i="26"/>
  <c r="M75" i="26"/>
  <c r="O75" i="26"/>
  <c r="M20" i="4"/>
  <c r="M76" i="26"/>
  <c r="O76" i="26"/>
  <c r="M21" i="4"/>
  <c r="G77" i="26"/>
  <c r="M77" i="26"/>
  <c r="O77" i="26"/>
  <c r="M22" i="4"/>
  <c r="F135" i="34" s="1"/>
  <c r="G78" i="26"/>
  <c r="M78" i="26"/>
  <c r="O78" i="26"/>
  <c r="M23" i="4"/>
  <c r="F136" i="1" s="1"/>
  <c r="G79" i="26"/>
  <c r="M79" i="26"/>
  <c r="O79" i="26"/>
  <c r="M24" i="4"/>
  <c r="G80" i="26"/>
  <c r="M80" i="26"/>
  <c r="O80" i="26"/>
  <c r="G81" i="26"/>
  <c r="O81" i="26"/>
  <c r="M26" i="4"/>
  <c r="F139" i="1" s="1"/>
  <c r="M82" i="26"/>
  <c r="O82" i="26"/>
  <c r="M27" i="4"/>
  <c r="F140" i="1" s="1"/>
  <c r="M83" i="26"/>
  <c r="O83" i="26"/>
  <c r="M28" i="4"/>
  <c r="M84" i="26"/>
  <c r="O84" i="26"/>
  <c r="M29" i="4"/>
  <c r="F84" i="34" s="1"/>
  <c r="M85" i="26"/>
  <c r="O85" i="26"/>
  <c r="M30" i="4"/>
  <c r="M86" i="26"/>
  <c r="O86" i="26"/>
  <c r="M31" i="4"/>
  <c r="V31" i="4" s="1"/>
  <c r="M87" i="26"/>
  <c r="O87" i="26"/>
  <c r="M32" i="4"/>
  <c r="F87" i="34" s="1"/>
  <c r="M88" i="26"/>
  <c r="O88" i="26"/>
  <c r="M33" i="4"/>
  <c r="F88" i="26" s="1"/>
  <c r="M89" i="26"/>
  <c r="O89" i="26"/>
  <c r="M34" i="4"/>
  <c r="G90" i="26"/>
  <c r="M35" i="4"/>
  <c r="F90" i="1" s="1"/>
  <c r="G91" i="26"/>
  <c r="B91" i="26" s="1"/>
  <c r="M36" i="4"/>
  <c r="F149" i="26" s="1"/>
  <c r="G92" i="26"/>
  <c r="M37" i="4"/>
  <c r="G93" i="26"/>
  <c r="G94" i="26"/>
  <c r="M39" i="4"/>
  <c r="F152" i="26" s="1"/>
  <c r="G95" i="26"/>
  <c r="M40" i="4"/>
  <c r="F95" i="34" s="1"/>
  <c r="G96" i="26"/>
  <c r="M41" i="4"/>
  <c r="G97" i="26"/>
  <c r="M42" i="4"/>
  <c r="F155" i="26" s="1"/>
  <c r="G98" i="26"/>
  <c r="G99" i="26"/>
  <c r="M44" i="4"/>
  <c r="F157" i="1" s="1"/>
  <c r="G100" i="26"/>
  <c r="M45" i="4"/>
  <c r="F158" i="34" s="1"/>
  <c r="G101" i="26"/>
  <c r="M46" i="4"/>
  <c r="F159" i="34" s="1"/>
  <c r="M102" i="26"/>
  <c r="O102" i="26"/>
  <c r="M47" i="4"/>
  <c r="F160" i="1" s="1"/>
  <c r="M103" i="26"/>
  <c r="O103" i="26"/>
  <c r="M48" i="4"/>
  <c r="F103" i="26" s="1"/>
  <c r="M104" i="26"/>
  <c r="O104" i="26"/>
  <c r="M49" i="4"/>
  <c r="F162" i="34" s="1"/>
  <c r="M105" i="26"/>
  <c r="O105" i="26"/>
  <c r="M50" i="4"/>
  <c r="F163" i="26" s="1"/>
  <c r="M106" i="26"/>
  <c r="O106" i="26"/>
  <c r="M51" i="4"/>
  <c r="F106" i="1" s="1"/>
  <c r="M107" i="26"/>
  <c r="O107" i="26"/>
  <c r="M52" i="4"/>
  <c r="G108" i="26"/>
  <c r="M53" i="4"/>
  <c r="F166" i="1" s="1"/>
  <c r="G109" i="26"/>
  <c r="M54" i="4"/>
  <c r="F109" i="26" s="1"/>
  <c r="G110" i="26"/>
  <c r="M110" i="26"/>
  <c r="O110" i="26"/>
  <c r="M55" i="4"/>
  <c r="F110" i="1" s="1"/>
  <c r="M111" i="26"/>
  <c r="O111" i="26"/>
  <c r="M56" i="4"/>
  <c r="M112" i="26"/>
  <c r="O112" i="26"/>
  <c r="M57" i="4"/>
  <c r="F112" i="1" s="1"/>
  <c r="G113" i="26"/>
  <c r="K113" i="26"/>
  <c r="M113" i="26"/>
  <c r="O113" i="26"/>
  <c r="M58" i="4"/>
  <c r="K114" i="26"/>
  <c r="M114" i="26"/>
  <c r="O114" i="26"/>
  <c r="M59" i="4"/>
  <c r="F114" i="26" s="1"/>
  <c r="K115" i="26"/>
  <c r="M115" i="26"/>
  <c r="O115" i="26"/>
  <c r="M60" i="4"/>
  <c r="M116" i="26"/>
  <c r="O116" i="26"/>
  <c r="M61" i="4"/>
  <c r="F116" i="26" s="1"/>
  <c r="K117" i="26"/>
  <c r="M117" i="26"/>
  <c r="O117" i="26"/>
  <c r="M62" i="4"/>
  <c r="F175" i="1" s="1"/>
  <c r="M118" i="26"/>
  <c r="O118" i="26"/>
  <c r="M63" i="4"/>
  <c r="F176" i="26" s="1"/>
  <c r="K119" i="26"/>
  <c r="M119" i="26"/>
  <c r="O119" i="26"/>
  <c r="M64" i="4"/>
  <c r="F119" i="34" s="1"/>
  <c r="G120" i="26"/>
  <c r="K120" i="26"/>
  <c r="M120" i="26"/>
  <c r="O120" i="26"/>
  <c r="M65" i="4"/>
  <c r="F178" i="26" s="1"/>
  <c r="G121" i="26"/>
  <c r="M121" i="26"/>
  <c r="O121" i="26"/>
  <c r="M66" i="4"/>
  <c r="F179" i="1" s="1"/>
  <c r="G122" i="26"/>
  <c r="M122" i="26"/>
  <c r="O122" i="26"/>
  <c r="M67" i="4"/>
  <c r="F122" i="1" s="1"/>
  <c r="O127" i="26"/>
  <c r="Q127" i="26"/>
  <c r="O128" i="26"/>
  <c r="Q128" i="26"/>
  <c r="O129" i="26"/>
  <c r="Q129" i="26"/>
  <c r="O130" i="26"/>
  <c r="Q130" i="26"/>
  <c r="O131" i="26"/>
  <c r="Q131" i="26"/>
  <c r="O132" i="26"/>
  <c r="Q132" i="26"/>
  <c r="I133" i="26"/>
  <c r="O133" i="26"/>
  <c r="Q133" i="26"/>
  <c r="F133" i="26"/>
  <c r="O134" i="26"/>
  <c r="Q134" i="26"/>
  <c r="I135" i="26"/>
  <c r="O135" i="26"/>
  <c r="Q135" i="26"/>
  <c r="I136" i="26"/>
  <c r="O136" i="26"/>
  <c r="Q136" i="26"/>
  <c r="I137" i="26"/>
  <c r="O137" i="26"/>
  <c r="Q137" i="26"/>
  <c r="I138" i="26"/>
  <c r="O138" i="26"/>
  <c r="Q138" i="26"/>
  <c r="I139" i="26"/>
  <c r="Q139" i="26"/>
  <c r="O140" i="26"/>
  <c r="Q140" i="26"/>
  <c r="O141" i="26"/>
  <c r="Q141" i="26"/>
  <c r="O142" i="26"/>
  <c r="Q142" i="26"/>
  <c r="O143" i="26"/>
  <c r="Q143" i="26"/>
  <c r="O144" i="26"/>
  <c r="Q144" i="26"/>
  <c r="O145" i="26"/>
  <c r="Q145" i="26"/>
  <c r="O146" i="26"/>
  <c r="Q146" i="26"/>
  <c r="O147" i="26"/>
  <c r="Q147" i="26"/>
  <c r="I148" i="26"/>
  <c r="I149" i="26"/>
  <c r="I150" i="26"/>
  <c r="I151" i="26"/>
  <c r="I152" i="26"/>
  <c r="I153" i="26"/>
  <c r="I154" i="26"/>
  <c r="I155" i="26"/>
  <c r="I156" i="26"/>
  <c r="I157" i="26"/>
  <c r="I158" i="26"/>
  <c r="I159" i="26"/>
  <c r="O160" i="26"/>
  <c r="Q160" i="26"/>
  <c r="O161" i="26"/>
  <c r="Q161" i="26"/>
  <c r="O162" i="26"/>
  <c r="Q162" i="26"/>
  <c r="O163" i="26"/>
  <c r="Q163" i="26"/>
  <c r="O164" i="26"/>
  <c r="Q164" i="26"/>
  <c r="O165" i="26"/>
  <c r="Q165" i="26"/>
  <c r="I166" i="26"/>
  <c r="I167" i="26"/>
  <c r="I168" i="26"/>
  <c r="O168" i="26"/>
  <c r="Q168" i="26"/>
  <c r="O169" i="26"/>
  <c r="Q169" i="26"/>
  <c r="F169" i="26"/>
  <c r="O170" i="26"/>
  <c r="Q170" i="26"/>
  <c r="I171" i="26"/>
  <c r="M171" i="26"/>
  <c r="O171" i="26"/>
  <c r="Q171" i="26"/>
  <c r="M172" i="26"/>
  <c r="O172" i="26"/>
  <c r="Q172" i="26"/>
  <c r="M173" i="26"/>
  <c r="O173" i="26"/>
  <c r="Q173" i="26"/>
  <c r="O174" i="26"/>
  <c r="Q174" i="26"/>
  <c r="M175" i="26"/>
  <c r="O175" i="26"/>
  <c r="Q175" i="26"/>
  <c r="O176" i="26"/>
  <c r="Q176" i="26"/>
  <c r="M177" i="26"/>
  <c r="O177" i="26"/>
  <c r="Q177" i="26"/>
  <c r="I178" i="26"/>
  <c r="M178" i="26"/>
  <c r="O178" i="26"/>
  <c r="Q178" i="26"/>
  <c r="I179" i="26"/>
  <c r="O179" i="26"/>
  <c r="Q179" i="26"/>
  <c r="I180" i="26"/>
  <c r="O180" i="26"/>
  <c r="Q180" i="26"/>
  <c r="G214" i="26"/>
  <c r="G215" i="26"/>
  <c r="G216" i="26"/>
  <c r="G217" i="26"/>
  <c r="G223" i="26"/>
  <c r="G225" i="26"/>
  <c r="G226" i="26"/>
  <c r="G230" i="26"/>
  <c r="G231" i="26"/>
  <c r="Z11" i="39"/>
  <c r="Z13" i="39" s="1"/>
  <c r="AA11" i="39"/>
  <c r="AA13" i="39" s="1"/>
  <c r="B21" i="37"/>
  <c r="B20" i="37"/>
  <c r="B17" i="37"/>
  <c r="B4" i="37"/>
  <c r="F43" i="32"/>
  <c r="G42" i="32"/>
  <c r="B42" i="32"/>
  <c r="F58" i="34" s="1"/>
  <c r="G41" i="32"/>
  <c r="B41" i="32"/>
  <c r="F57" i="34" s="1"/>
  <c r="G38" i="32"/>
  <c r="B37" i="32"/>
  <c r="F53" i="34" s="1"/>
  <c r="B36" i="32"/>
  <c r="F52" i="34" s="1"/>
  <c r="B35" i="32"/>
  <c r="F50" i="34" s="1"/>
  <c r="G34" i="32"/>
  <c r="G30" i="32"/>
  <c r="F27" i="32"/>
  <c r="G26" i="32"/>
  <c r="G22" i="32"/>
  <c r="F19" i="32"/>
  <c r="G18" i="32"/>
  <c r="G14" i="32"/>
  <c r="F11" i="32"/>
  <c r="G10" i="32"/>
  <c r="G216" i="1"/>
  <c r="G225" i="1"/>
  <c r="D55" i="29"/>
  <c r="C55" i="29"/>
  <c r="V25" i="4"/>
  <c r="E56" i="29"/>
  <c r="D56" i="29"/>
  <c r="L54" i="29"/>
  <c r="H54" i="29"/>
  <c r="G51" i="34"/>
  <c r="G51" i="26"/>
  <c r="G54" i="29"/>
  <c r="G34" i="26"/>
  <c r="G36" i="26"/>
  <c r="C30" i="39"/>
  <c r="C29" i="39"/>
  <c r="C25" i="39"/>
  <c r="C26" i="39"/>
  <c r="C27" i="39"/>
  <c r="C28" i="39"/>
  <c r="BC9" i="40"/>
  <c r="BD9" i="40" s="1"/>
  <c r="BE9" i="40" s="1"/>
  <c r="BF9" i="40" s="1"/>
  <c r="BG9" i="40" s="1"/>
  <c r="BH9" i="40" s="1"/>
  <c r="BI9" i="40" s="1"/>
  <c r="BJ9" i="40" s="1"/>
  <c r="BK9" i="40" s="1"/>
  <c r="BL9" i="40" s="1"/>
  <c r="BM9" i="40" s="1"/>
  <c r="BN9" i="40" s="1"/>
  <c r="BO9" i="40" s="1"/>
  <c r="BP9" i="40" s="1"/>
  <c r="BQ9" i="40" s="1"/>
  <c r="BR9" i="40" s="1"/>
  <c r="BS9" i="40" s="1"/>
  <c r="BT9" i="40" s="1"/>
  <c r="BU9" i="40" s="1"/>
  <c r="BV9" i="40" s="1"/>
  <c r="BW9" i="40" s="1"/>
  <c r="BX9" i="40" s="1"/>
  <c r="BY9" i="40" s="1"/>
  <c r="BZ9" i="40" s="1"/>
  <c r="CA9" i="40" s="1"/>
  <c r="CB9" i="40" s="1"/>
  <c r="CC9" i="40" s="1"/>
  <c r="CD9" i="40" s="1"/>
  <c r="CE9" i="40" s="1"/>
  <c r="CF9" i="40" s="1"/>
  <c r="CG9" i="40" s="1"/>
  <c r="CH9" i="40" s="1"/>
  <c r="CI9" i="40" s="1"/>
  <c r="CJ9" i="40" s="1"/>
  <c r="CK9" i="40" s="1"/>
  <c r="CL9" i="40" s="1"/>
  <c r="CM9" i="40" s="1"/>
  <c r="CN9" i="40" s="1"/>
  <c r="CO9" i="40" s="1"/>
  <c r="CP9" i="40" s="1"/>
  <c r="CQ9" i="40" s="1"/>
  <c r="CR9" i="40" s="1"/>
  <c r="CS9" i="40" s="1"/>
  <c r="CT9" i="40" s="1"/>
  <c r="CU9" i="40" s="1"/>
  <c r="CV9" i="40" s="1"/>
  <c r="CW9" i="40" s="1"/>
  <c r="CX9" i="40" s="1"/>
  <c r="CY9" i="40" s="1"/>
  <c r="DB9" i="40"/>
  <c r="DC9" i="40" s="1"/>
  <c r="DD9" i="40" s="1"/>
  <c r="DE9" i="40" s="1"/>
  <c r="DF9" i="40" s="1"/>
  <c r="DG9" i="40" s="1"/>
  <c r="DH9" i="40" s="1"/>
  <c r="DI9" i="40" s="1"/>
  <c r="DJ9" i="40" s="1"/>
  <c r="DK9" i="40" s="1"/>
  <c r="DL9" i="40" s="1"/>
  <c r="DM9" i="40" s="1"/>
  <c r="DN9" i="40" s="1"/>
  <c r="DO9" i="40" s="1"/>
  <c r="DP9" i="40" s="1"/>
  <c r="DQ9" i="40" s="1"/>
  <c r="DR9" i="40" s="1"/>
  <c r="DS9" i="40" s="1"/>
  <c r="DT9" i="40" s="1"/>
  <c r="DU9" i="40" s="1"/>
  <c r="DV9" i="40" s="1"/>
  <c r="DW9" i="40" s="1"/>
  <c r="DX9" i="40" s="1"/>
  <c r="DY9" i="40" s="1"/>
  <c r="DZ9" i="40" s="1"/>
  <c r="EA9" i="40" s="1"/>
  <c r="EB9" i="40" s="1"/>
  <c r="EC9" i="40" s="1"/>
  <c r="ED9" i="40" s="1"/>
  <c r="EE9" i="40" s="1"/>
  <c r="EF9" i="40" s="1"/>
  <c r="EG9" i="40" s="1"/>
  <c r="EH9" i="40" s="1"/>
  <c r="EI9" i="40" s="1"/>
  <c r="EJ9" i="40" s="1"/>
  <c r="EK9" i="40" s="1"/>
  <c r="EL9" i="40" s="1"/>
  <c r="EM9" i="40" s="1"/>
  <c r="EN9" i="40" s="1"/>
  <c r="EO9" i="40" s="1"/>
  <c r="EP9" i="40" s="1"/>
  <c r="EQ9" i="40" s="1"/>
  <c r="ER9" i="40" s="1"/>
  <c r="ES9" i="40" s="1"/>
  <c r="ET9" i="40" s="1"/>
  <c r="EU9" i="40" s="1"/>
  <c r="EV9" i="40" s="1"/>
  <c r="EW9" i="40" s="1"/>
  <c r="EX9" i="40" s="1"/>
  <c r="FA9" i="40"/>
  <c r="FB9" i="40"/>
  <c r="FC9" i="40" s="1"/>
  <c r="FD9" i="40" s="1"/>
  <c r="FE9" i="40" s="1"/>
  <c r="FF9" i="40" s="1"/>
  <c r="FG9" i="40" s="1"/>
  <c r="FH9" i="40" s="1"/>
  <c r="FI9" i="40" s="1"/>
  <c r="FJ9" i="40" s="1"/>
  <c r="FK9" i="40" s="1"/>
  <c r="FL9" i="40" s="1"/>
  <c r="FM9" i="40" s="1"/>
  <c r="FN9" i="40" s="1"/>
  <c r="FO9" i="40" s="1"/>
  <c r="FP9" i="40" s="1"/>
  <c r="FQ9" i="40" s="1"/>
  <c r="FR9" i="40" s="1"/>
  <c r="FS9" i="40" s="1"/>
  <c r="FT9" i="40" s="1"/>
  <c r="FU9" i="40" s="1"/>
  <c r="FV9" i="40" s="1"/>
  <c r="FW9" i="40" s="1"/>
  <c r="FX9" i="40" s="1"/>
  <c r="FY9" i="40" s="1"/>
  <c r="FZ9" i="40" s="1"/>
  <c r="GA9" i="40" s="1"/>
  <c r="GB9" i="40" s="1"/>
  <c r="GC9" i="40" s="1"/>
  <c r="GD9" i="40" s="1"/>
  <c r="GE9" i="40" s="1"/>
  <c r="GF9" i="40" s="1"/>
  <c r="GG9" i="40" s="1"/>
  <c r="GH9" i="40" s="1"/>
  <c r="GI9" i="40" s="1"/>
  <c r="GJ9" i="40" s="1"/>
  <c r="GK9" i="40" s="1"/>
  <c r="GL9" i="40" s="1"/>
  <c r="GM9" i="40" s="1"/>
  <c r="GN9" i="40" s="1"/>
  <c r="GO9" i="40" s="1"/>
  <c r="GP9" i="40" s="1"/>
  <c r="GQ9" i="40" s="1"/>
  <c r="GR9" i="40" s="1"/>
  <c r="GS9" i="40" s="1"/>
  <c r="GT9" i="40" s="1"/>
  <c r="GU9" i="40" s="1"/>
  <c r="GV9" i="40" s="1"/>
  <c r="GW9" i="40" s="1"/>
  <c r="C11" i="39"/>
  <c r="C12" i="39"/>
  <c r="C13" i="39"/>
  <c r="C14" i="39"/>
  <c r="C15" i="39"/>
  <c r="C16" i="39"/>
  <c r="C17" i="39"/>
  <c r="C18" i="39"/>
  <c r="C19" i="39"/>
  <c r="C20" i="39"/>
  <c r="C21" i="39"/>
  <c r="C22" i="39"/>
  <c r="C23" i="39"/>
  <c r="C24" i="39"/>
  <c r="C31" i="39"/>
  <c r="C32" i="39"/>
  <c r="C33" i="39"/>
  <c r="C34" i="39"/>
  <c r="C35" i="39"/>
  <c r="C36" i="39"/>
  <c r="C37" i="39"/>
  <c r="C38" i="39"/>
  <c r="C39" i="39"/>
  <c r="C40" i="39"/>
  <c r="C41" i="39"/>
  <c r="C42" i="39"/>
  <c r="C43" i="39"/>
  <c r="C44" i="39"/>
  <c r="C45" i="39"/>
  <c r="C46" i="39"/>
  <c r="C47" i="39"/>
  <c r="C48" i="39"/>
  <c r="C49" i="39"/>
  <c r="C50" i="39"/>
  <c r="C51" i="39"/>
  <c r="C52" i="39"/>
  <c r="C53" i="39"/>
  <c r="C54" i="39"/>
  <c r="C55" i="39"/>
  <c r="C56" i="39"/>
  <c r="C57" i="39"/>
  <c r="C58" i="39"/>
  <c r="C59" i="39"/>
  <c r="C60" i="39"/>
  <c r="C61" i="39"/>
  <c r="C62" i="39"/>
  <c r="C63" i="39"/>
  <c r="C64" i="39"/>
  <c r="G214" i="1"/>
  <c r="G215" i="1"/>
  <c r="G217" i="1"/>
  <c r="G226" i="1"/>
  <c r="G230" i="1"/>
  <c r="G231" i="1"/>
  <c r="D4" i="15"/>
  <c r="D4" i="33" s="1"/>
  <c r="D5" i="15"/>
  <c r="D6" i="15"/>
  <c r="D7" i="15"/>
  <c r="J12" i="34"/>
  <c r="J13" i="34"/>
  <c r="J14" i="34"/>
  <c r="J15" i="34"/>
  <c r="J16" i="34"/>
  <c r="J17" i="34"/>
  <c r="G18" i="34"/>
  <c r="J18" i="34"/>
  <c r="J19" i="34"/>
  <c r="G20" i="34"/>
  <c r="J20" i="34"/>
  <c r="G21" i="34"/>
  <c r="J21" i="34"/>
  <c r="G22" i="34"/>
  <c r="J22" i="34"/>
  <c r="G23" i="34"/>
  <c r="J23" i="34"/>
  <c r="G24" i="34"/>
  <c r="J25" i="34"/>
  <c r="J26" i="34"/>
  <c r="J27" i="34"/>
  <c r="J28" i="34"/>
  <c r="J29" i="34"/>
  <c r="J30" i="34"/>
  <c r="J31" i="34"/>
  <c r="J32" i="34"/>
  <c r="F41" i="34"/>
  <c r="G41" i="34"/>
  <c r="F42" i="34"/>
  <c r="G42" i="34"/>
  <c r="F43" i="34"/>
  <c r="G43" i="34"/>
  <c r="F44" i="34"/>
  <c r="G44" i="34"/>
  <c r="J45" i="34"/>
  <c r="J46" i="34"/>
  <c r="J47" i="34"/>
  <c r="J48" i="34"/>
  <c r="J49" i="34"/>
  <c r="J50" i="34"/>
  <c r="G52" i="34"/>
  <c r="G53" i="34"/>
  <c r="J53" i="34"/>
  <c r="J54" i="34"/>
  <c r="J55" i="34"/>
  <c r="G56" i="34"/>
  <c r="I56" i="34"/>
  <c r="J56" i="34"/>
  <c r="I57" i="34"/>
  <c r="J57" i="34"/>
  <c r="I58" i="34"/>
  <c r="J58" i="34"/>
  <c r="J59" i="34"/>
  <c r="I60" i="34"/>
  <c r="J60" i="34"/>
  <c r="J61" i="34"/>
  <c r="I62" i="34"/>
  <c r="J62" i="34"/>
  <c r="G63" i="34"/>
  <c r="I63" i="34"/>
  <c r="J63" i="34"/>
  <c r="G64" i="34"/>
  <c r="J64" i="34"/>
  <c r="G65" i="34"/>
  <c r="J65" i="34"/>
  <c r="G214" i="34"/>
  <c r="G215" i="34"/>
  <c r="G216" i="34"/>
  <c r="G217" i="34"/>
  <c r="G225" i="34"/>
  <c r="G226" i="34"/>
  <c r="G230" i="34"/>
  <c r="G231" i="34"/>
  <c r="D5" i="33"/>
  <c r="D6" i="33"/>
  <c r="D7" i="33"/>
  <c r="J12" i="26"/>
  <c r="J13" i="26"/>
  <c r="J14" i="26"/>
  <c r="J15" i="26"/>
  <c r="J16" i="26"/>
  <c r="J17" i="26"/>
  <c r="G18" i="26"/>
  <c r="J18" i="26"/>
  <c r="J19" i="26"/>
  <c r="J20" i="26"/>
  <c r="G21" i="26"/>
  <c r="J21" i="26"/>
  <c r="G22" i="26"/>
  <c r="J22" i="26"/>
  <c r="G23" i="26"/>
  <c r="J23" i="26"/>
  <c r="J25" i="26"/>
  <c r="J26" i="26"/>
  <c r="J27" i="26"/>
  <c r="J28" i="26"/>
  <c r="J29" i="26"/>
  <c r="J30" i="26"/>
  <c r="J31" i="26"/>
  <c r="J32" i="26"/>
  <c r="G37" i="26"/>
  <c r="G38" i="26"/>
  <c r="G40" i="26"/>
  <c r="G41" i="26"/>
  <c r="G42" i="26"/>
  <c r="G44" i="26"/>
  <c r="J45" i="26"/>
  <c r="J46" i="26"/>
  <c r="J47" i="26"/>
  <c r="J48" i="26"/>
  <c r="J49" i="26"/>
  <c r="J50" i="26"/>
  <c r="G53" i="26"/>
  <c r="J53" i="26"/>
  <c r="J54" i="26"/>
  <c r="J55" i="26"/>
  <c r="I56" i="26"/>
  <c r="J56" i="26"/>
  <c r="I57" i="26"/>
  <c r="J57" i="26"/>
  <c r="I58" i="26"/>
  <c r="J58" i="26"/>
  <c r="J59" i="26"/>
  <c r="I60" i="26"/>
  <c r="J60" i="26"/>
  <c r="J61" i="26"/>
  <c r="I62" i="26"/>
  <c r="J62" i="26"/>
  <c r="I63" i="26"/>
  <c r="J63" i="26"/>
  <c r="J64" i="26"/>
  <c r="G65" i="26"/>
  <c r="J65" i="26"/>
  <c r="D4" i="25"/>
  <c r="D5" i="25"/>
  <c r="D6" i="25"/>
  <c r="D7" i="25"/>
  <c r="G223" i="1"/>
  <c r="G223" i="34"/>
  <c r="G35" i="34"/>
  <c r="G39" i="34"/>
  <c r="G37" i="34"/>
  <c r="G38" i="34"/>
  <c r="G36" i="34"/>
  <c r="G33" i="34"/>
  <c r="G40" i="34"/>
  <c r="G34" i="34"/>
  <c r="G4" i="40"/>
  <c r="H4" i="40"/>
  <c r="V55" i="4"/>
  <c r="F138" i="1"/>
  <c r="F80" i="26"/>
  <c r="F80" i="34"/>
  <c r="F119" i="26"/>
  <c r="F150" i="34"/>
  <c r="F145" i="26"/>
  <c r="F122" i="26"/>
  <c r="F164" i="1"/>
  <c r="F110" i="26"/>
  <c r="F168" i="1"/>
  <c r="F180" i="1"/>
  <c r="V67" i="4"/>
  <c r="F118" i="34"/>
  <c r="F117" i="26"/>
  <c r="V49" i="4"/>
  <c r="F167" i="34"/>
  <c r="F135" i="26"/>
  <c r="F154" i="34"/>
  <c r="F150" i="1"/>
  <c r="F94" i="34"/>
  <c r="F148" i="26"/>
  <c r="F148" i="34"/>
  <c r="F157" i="34"/>
  <c r="F74" i="34"/>
  <c r="F74" i="1"/>
  <c r="V19" i="4"/>
  <c r="F109" i="34"/>
  <c r="F99" i="1"/>
  <c r="F176" i="1"/>
  <c r="F111" i="26"/>
  <c r="F155" i="34"/>
  <c r="F148" i="1"/>
  <c r="F115" i="34"/>
  <c r="F165" i="1"/>
  <c r="F164" i="34"/>
  <c r="F156" i="34"/>
  <c r="F98" i="34"/>
  <c r="F102" i="34"/>
  <c r="F149" i="1"/>
  <c r="F160" i="26"/>
  <c r="F172" i="1"/>
  <c r="F168" i="26"/>
  <c r="F168" i="34"/>
  <c r="F103" i="34"/>
  <c r="F133" i="1"/>
  <c r="F74" i="26"/>
  <c r="F115" i="1"/>
  <c r="F72" i="26"/>
  <c r="F70" i="34"/>
  <c r="GT58" i="40"/>
  <c r="GT48" i="40"/>
  <c r="GT43" i="40"/>
  <c r="GJ66" i="40"/>
  <c r="GT65" i="40"/>
  <c r="GT60" i="40"/>
  <c r="GT55" i="40"/>
  <c r="GJ67" i="40"/>
  <c r="GJ23" i="40"/>
  <c r="GJ19" i="40"/>
  <c r="FZ69" i="40"/>
  <c r="FZ65" i="40"/>
  <c r="FZ61" i="40"/>
  <c r="FZ57" i="40"/>
  <c r="FZ53" i="40"/>
  <c r="FP37" i="40"/>
  <c r="FP21" i="40"/>
  <c r="FF68" i="40"/>
  <c r="EU69" i="40"/>
  <c r="EU53" i="40"/>
  <c r="EU33" i="40"/>
  <c r="EU29" i="40"/>
  <c r="EU17" i="40"/>
  <c r="EK55" i="40"/>
  <c r="EA33" i="40"/>
  <c r="EA21" i="40"/>
  <c r="EA17" i="40"/>
  <c r="DQ67" i="40"/>
  <c r="DQ59" i="40"/>
  <c r="DQ55" i="40"/>
  <c r="DG54" i="40"/>
  <c r="DG26" i="40"/>
  <c r="CV64" i="40"/>
  <c r="CV40" i="40"/>
  <c r="CL54" i="40"/>
  <c r="CB37" i="40"/>
  <c r="BR59" i="40"/>
  <c r="BH21" i="40"/>
  <c r="E47" i="29"/>
  <c r="E39" i="29"/>
  <c r="AM26" i="40"/>
  <c r="AC36" i="40"/>
  <c r="AC20" i="40"/>
  <c r="S58" i="40"/>
  <c r="S18" i="40"/>
  <c r="GT52" i="40"/>
  <c r="GT21" i="40"/>
  <c r="GJ55" i="40"/>
  <c r="FZ63" i="40"/>
  <c r="FZ21" i="40"/>
  <c r="FZ17" i="40"/>
  <c r="FP67" i="40"/>
  <c r="FP55" i="40"/>
  <c r="FP47" i="40"/>
  <c r="FP19" i="40"/>
  <c r="FF55" i="40"/>
  <c r="FF52" i="40"/>
  <c r="FF21" i="40"/>
  <c r="EU35" i="40"/>
  <c r="EU23" i="40"/>
  <c r="EK69" i="40"/>
  <c r="EK65" i="40"/>
  <c r="EK61" i="40"/>
  <c r="EK57" i="40"/>
  <c r="EK53" i="40"/>
  <c r="EK33" i="40"/>
  <c r="EK21" i="40"/>
  <c r="EK17" i="40"/>
  <c r="EA67" i="40"/>
  <c r="EA55" i="40"/>
  <c r="DQ65" i="40"/>
  <c r="CV58" i="40"/>
  <c r="CV26" i="40"/>
  <c r="CL64" i="40"/>
  <c r="CL48" i="40"/>
  <c r="CL20" i="40"/>
  <c r="CB66" i="40"/>
  <c r="CB47" i="40"/>
  <c r="CB31" i="40"/>
  <c r="GT64" i="40"/>
  <c r="GT37" i="40"/>
  <c r="GT17" i="40"/>
  <c r="GJ52" i="40"/>
  <c r="GJ43" i="40"/>
  <c r="FZ64" i="40"/>
  <c r="FZ56" i="40"/>
  <c r="FZ48" i="40"/>
  <c r="FF56" i="40"/>
  <c r="FF42" i="40"/>
  <c r="EU64" i="40"/>
  <c r="EU40" i="40"/>
  <c r="EU32" i="40"/>
  <c r="EA20" i="40"/>
  <c r="DQ43" i="40"/>
  <c r="DQ19" i="40"/>
  <c r="DG41" i="40"/>
  <c r="DG33" i="40"/>
  <c r="DG25" i="40"/>
  <c r="DG17" i="40"/>
  <c r="CV63" i="40"/>
  <c r="CV55" i="40"/>
  <c r="CV47" i="40"/>
  <c r="CV39" i="40"/>
  <c r="CV23" i="40"/>
  <c r="CL69" i="40"/>
  <c r="CL61" i="40"/>
  <c r="CL53" i="40"/>
  <c r="CL21" i="40"/>
  <c r="CB36" i="40"/>
  <c r="BR17" i="40"/>
  <c r="BH66" i="40"/>
  <c r="BH55" i="40"/>
  <c r="AW56" i="40"/>
  <c r="AW24" i="40"/>
  <c r="AM62" i="40"/>
  <c r="AC69" i="40"/>
  <c r="AC53" i="40"/>
  <c r="AC47" i="40"/>
  <c r="S69" i="40"/>
  <c r="S53" i="40"/>
  <c r="S21" i="40"/>
  <c r="GJ68" i="40"/>
  <c r="FP62" i="40"/>
  <c r="FP22" i="40"/>
  <c r="FF69" i="40"/>
  <c r="EU54" i="40"/>
  <c r="EK36" i="40"/>
  <c r="DQ17" i="40"/>
  <c r="DG23" i="40"/>
  <c r="CV69" i="40"/>
  <c r="CV29" i="40"/>
  <c r="CL59" i="40"/>
  <c r="CB57" i="40"/>
  <c r="BR69" i="40"/>
  <c r="BR64" i="40"/>
  <c r="BR53" i="40"/>
  <c r="BR48" i="40"/>
  <c r="BR37" i="40"/>
  <c r="BR21" i="40"/>
  <c r="BH64" i="40"/>
  <c r="BH59" i="40"/>
  <c r="BH48" i="40"/>
  <c r="AW33" i="40"/>
  <c r="AW28" i="40"/>
  <c r="E14" i="29" s="1"/>
  <c r="AW17" i="40"/>
  <c r="AM60" i="40"/>
  <c r="GT69" i="40"/>
  <c r="GJ48" i="40"/>
  <c r="GJ22" i="40"/>
  <c r="FZ60" i="40"/>
  <c r="FF59" i="40"/>
  <c r="FF22" i="40"/>
  <c r="EU68" i="40"/>
  <c r="EU36" i="40"/>
  <c r="EA64" i="40"/>
  <c r="EA48" i="40"/>
  <c r="EA24" i="40"/>
  <c r="DQ62" i="40"/>
  <c r="DG61" i="40"/>
  <c r="DG53" i="40"/>
  <c r="DG29" i="40"/>
  <c r="CV67" i="40"/>
  <c r="CV59" i="40"/>
  <c r="CV43" i="40"/>
  <c r="CV35" i="40"/>
  <c r="CL57" i="40"/>
  <c r="CL33" i="40"/>
  <c r="CB55" i="40"/>
  <c r="CB24" i="40"/>
  <c r="BR68" i="40"/>
  <c r="BR57" i="40"/>
  <c r="BR52" i="40"/>
  <c r="BH52" i="40"/>
  <c r="BH47" i="40"/>
  <c r="BH42" i="40"/>
  <c r="AW64" i="40"/>
  <c r="AW48" i="40"/>
  <c r="AM28" i="40"/>
  <c r="AM23" i="40"/>
  <c r="AC61" i="40"/>
  <c r="S61" i="40"/>
  <c r="S29" i="40"/>
  <c r="FP58" i="40"/>
  <c r="EK64" i="40"/>
  <c r="EK32" i="40"/>
  <c r="EA54" i="40"/>
  <c r="DG67" i="40"/>
  <c r="CV25" i="40"/>
  <c r="CL47" i="40"/>
  <c r="CB69" i="40"/>
  <c r="BR29" i="40"/>
  <c r="AC57" i="40"/>
  <c r="S57" i="40"/>
  <c r="S25" i="40"/>
  <c r="GT19" i="40"/>
  <c r="FZ28" i="40"/>
  <c r="EU66" i="40"/>
  <c r="DG59" i="40"/>
  <c r="CB61" i="40"/>
  <c r="CB38" i="40"/>
  <c r="AM58" i="40"/>
  <c r="AM21" i="40"/>
  <c r="S55" i="40"/>
  <c r="GT56" i="40"/>
  <c r="AW20" i="40"/>
  <c r="E6" i="29"/>
  <c r="AM40" i="40"/>
  <c r="AM19" i="40"/>
  <c r="CB53" i="40"/>
  <c r="AW41" i="40"/>
  <c r="DG43" i="40"/>
  <c r="CB23" i="40"/>
  <c r="BR34" i="40"/>
  <c r="S17" i="40"/>
  <c r="BR61" i="40"/>
  <c r="BH67" i="40"/>
  <c r="DQ21" i="40"/>
  <c r="BR56" i="40"/>
  <c r="AM48" i="40"/>
  <c r="CV65" i="40"/>
  <c r="FR34" i="40"/>
  <c r="CW34" i="40"/>
  <c r="AO34" i="40"/>
  <c r="EW34" i="40"/>
  <c r="EX34" i="40"/>
  <c r="CM34" i="40"/>
  <c r="GV34" i="40"/>
  <c r="EC34" i="40"/>
  <c r="I34" i="40"/>
  <c r="BK34" i="40"/>
  <c r="CN34" i="40"/>
  <c r="L34" i="40"/>
  <c r="GW34" i="40"/>
  <c r="GB67" i="40"/>
  <c r="U67" i="40"/>
  <c r="BU67" i="40"/>
  <c r="AY67" i="40"/>
  <c r="CX67" i="40"/>
  <c r="DT67" i="40"/>
  <c r="AN67" i="40"/>
  <c r="FR67" i="40"/>
  <c r="GW67" i="40"/>
  <c r="FH67" i="40"/>
  <c r="I67" i="40"/>
  <c r="AF67" i="40"/>
  <c r="BS67" i="40"/>
  <c r="EV67" i="40"/>
  <c r="CE67" i="40"/>
  <c r="CD67" i="40"/>
  <c r="CM67" i="40"/>
  <c r="AP67" i="40"/>
  <c r="GM67" i="40"/>
  <c r="CY67" i="40"/>
  <c r="AD67" i="40"/>
  <c r="FI67" i="40"/>
  <c r="AX67" i="40"/>
  <c r="F47" i="29" s="1"/>
  <c r="GL67" i="40"/>
  <c r="FG67" i="40"/>
  <c r="EX67" i="40"/>
  <c r="AE67" i="40"/>
  <c r="GC67" i="40"/>
  <c r="EL67" i="40"/>
  <c r="FS67" i="40"/>
  <c r="CW67" i="40"/>
  <c r="BT67" i="40"/>
  <c r="T67" i="40"/>
  <c r="CO67" i="40"/>
  <c r="L67" i="40"/>
  <c r="GV67" i="40"/>
  <c r="AZ67" i="40"/>
  <c r="D47" i="29" s="1"/>
  <c r="G47" i="29" s="1"/>
  <c r="J67" i="40"/>
  <c r="DJ67" i="40"/>
  <c r="AO67" i="40"/>
  <c r="ED67" i="40"/>
  <c r="CN67" i="40"/>
  <c r="V67" i="40"/>
  <c r="DH67" i="40"/>
  <c r="EN67" i="40"/>
  <c r="BK67" i="40"/>
  <c r="GK67" i="40"/>
  <c r="EC67" i="40"/>
  <c r="EB67" i="40"/>
  <c r="EM67" i="40"/>
  <c r="FQ67" i="40"/>
  <c r="DS67" i="40"/>
  <c r="BJ67" i="40"/>
  <c r="BI67" i="40"/>
  <c r="GA67" i="40"/>
  <c r="K67" i="40"/>
  <c r="DR67" i="40"/>
  <c r="GU67" i="40"/>
  <c r="EW67" i="40"/>
  <c r="DI67" i="40"/>
  <c r="CC67" i="40"/>
  <c r="EB38" i="40"/>
  <c r="L38" i="40"/>
  <c r="CM38" i="40"/>
  <c r="AX38" i="40"/>
  <c r="GB38" i="40"/>
  <c r="DR38" i="40"/>
  <c r="K38" i="40"/>
  <c r="CN38" i="40"/>
  <c r="CX38" i="40"/>
  <c r="EN38" i="40"/>
  <c r="CE38" i="40"/>
  <c r="BU38" i="40"/>
  <c r="T59" i="40"/>
  <c r="DR59" i="40"/>
  <c r="BU59" i="40"/>
  <c r="AZ59" i="40"/>
  <c r="CE59" i="40"/>
  <c r="EL59" i="40"/>
  <c r="AN59" i="40"/>
  <c r="K59" i="40"/>
  <c r="FI59" i="40"/>
  <c r="J59" i="40"/>
  <c r="CX59" i="40"/>
  <c r="AY59" i="40"/>
  <c r="I59" i="40"/>
  <c r="EN59" i="40"/>
  <c r="EW59" i="40"/>
  <c r="L59" i="40"/>
  <c r="GW59" i="40"/>
  <c r="GB59" i="40"/>
  <c r="AX59" i="40"/>
  <c r="AP59" i="40"/>
  <c r="V59" i="40"/>
  <c r="DI59" i="40"/>
  <c r="FR59" i="40"/>
  <c r="BT59" i="40"/>
  <c r="FS59" i="40"/>
  <c r="AO59" i="40"/>
  <c r="CW59" i="40"/>
  <c r="BI59" i="40"/>
  <c r="GV59" i="40"/>
  <c r="DT59" i="40"/>
  <c r="EV59" i="40"/>
  <c r="DJ59" i="40"/>
  <c r="CN59" i="40"/>
  <c r="FH59" i="40"/>
  <c r="GK59" i="40"/>
  <c r="EM59" i="40"/>
  <c r="AD59" i="40"/>
  <c r="CC59" i="40"/>
  <c r="AF59" i="40"/>
  <c r="ED59" i="40"/>
  <c r="GU59" i="40"/>
  <c r="BJ59" i="40"/>
  <c r="EX59" i="40"/>
  <c r="CY59" i="40"/>
  <c r="CD59" i="40"/>
  <c r="DH59" i="40"/>
  <c r="BK59" i="40"/>
  <c r="GA59" i="40"/>
  <c r="EC59" i="40"/>
  <c r="GM59" i="40"/>
  <c r="EB59" i="40"/>
  <c r="U59" i="40"/>
  <c r="DS59" i="40"/>
  <c r="BS59" i="40"/>
  <c r="FQ59" i="40"/>
  <c r="GL59" i="40"/>
  <c r="AE59" i="40"/>
  <c r="FG59" i="40"/>
  <c r="GC59" i="40"/>
  <c r="CO59" i="40"/>
  <c r="CM59" i="40"/>
  <c r="CE20" i="40"/>
  <c r="CW52" i="40"/>
  <c r="CD52" i="40"/>
  <c r="I52" i="40"/>
  <c r="FH68" i="40"/>
  <c r="AD68" i="40"/>
  <c r="I68" i="40"/>
  <c r="GL43" i="40"/>
  <c r="CD43" i="40"/>
  <c r="DS40" i="40"/>
  <c r="BS42" i="40"/>
  <c r="GV42" i="40"/>
  <c r="CM42" i="40"/>
  <c r="FR42" i="40"/>
  <c r="DR42" i="40"/>
  <c r="AN42" i="40"/>
  <c r="EN42" i="40"/>
  <c r="AD42" i="40"/>
  <c r="CW42" i="40"/>
  <c r="DT42" i="40"/>
  <c r="BJ42" i="40"/>
  <c r="EX42" i="40"/>
  <c r="EW42" i="40"/>
  <c r="FI42" i="40"/>
  <c r="GB42" i="40"/>
  <c r="K42" i="40"/>
  <c r="BU42" i="40"/>
  <c r="J42" i="40"/>
  <c r="AO42" i="40"/>
  <c r="GM42" i="40"/>
  <c r="AP42" i="40"/>
  <c r="FS42" i="40"/>
  <c r="BK42" i="40"/>
  <c r="DJ42" i="40"/>
  <c r="EC42" i="40"/>
  <c r="DS42" i="40"/>
  <c r="CE42" i="40"/>
  <c r="ED42" i="40"/>
  <c r="DI42" i="40"/>
  <c r="GC42" i="40"/>
  <c r="BT42" i="40"/>
  <c r="CE21" i="40"/>
  <c r="GB21" i="40"/>
  <c r="EN21" i="40"/>
  <c r="EC21" i="40"/>
  <c r="T21" i="40"/>
  <c r="AO21" i="40"/>
  <c r="GM21" i="40"/>
  <c r="BS21" i="40"/>
  <c r="DR21" i="40"/>
  <c r="BT21" i="40"/>
  <c r="DJ21" i="40"/>
  <c r="EL21" i="40"/>
  <c r="CD21" i="40"/>
  <c r="FI21" i="40"/>
  <c r="GC21" i="40"/>
  <c r="CW21" i="40"/>
  <c r="DS21" i="40"/>
  <c r="CO21" i="40"/>
  <c r="EX21" i="40"/>
  <c r="EW21" i="40"/>
  <c r="DI21" i="40"/>
  <c r="EM21" i="40"/>
  <c r="BI21" i="40"/>
  <c r="J21" i="40"/>
  <c r="V21" i="40"/>
  <c r="AD21" i="40"/>
  <c r="FH21" i="40"/>
  <c r="GU21" i="40"/>
  <c r="U21" i="40"/>
  <c r="GL21" i="40"/>
  <c r="AY21" i="40"/>
  <c r="CN21" i="40"/>
  <c r="AF21" i="40"/>
  <c r="BJ21" i="40"/>
  <c r="AN21" i="40"/>
  <c r="BU21" i="40"/>
  <c r="L21" i="40"/>
  <c r="FS21" i="40"/>
  <c r="AP21" i="40"/>
  <c r="CC21" i="40"/>
  <c r="GA21" i="40"/>
  <c r="DH21" i="40"/>
  <c r="FQ21" i="40"/>
  <c r="CM21" i="40"/>
  <c r="AZ21" i="40"/>
  <c r="ED21" i="40"/>
  <c r="FG21" i="40"/>
  <c r="BK21" i="40"/>
  <c r="GK21" i="40"/>
  <c r="FR21" i="40"/>
  <c r="K21" i="40"/>
  <c r="AE21" i="40"/>
  <c r="EB21" i="40"/>
  <c r="GV21" i="40"/>
  <c r="I21" i="40"/>
  <c r="CY21" i="40"/>
  <c r="CX21" i="40"/>
  <c r="EV21" i="40"/>
  <c r="GW21" i="40"/>
  <c r="AX21" i="40"/>
  <c r="F7" i="29" s="1"/>
  <c r="DT21" i="40"/>
  <c r="FI55" i="40"/>
  <c r="AY55" i="40"/>
  <c r="AF55" i="40"/>
  <c r="CM55" i="40"/>
  <c r="BU55" i="40"/>
  <c r="GM55" i="40"/>
  <c r="AD55" i="40"/>
  <c r="EC55" i="40"/>
  <c r="EL55" i="40"/>
  <c r="BI55" i="40"/>
  <c r="FH55" i="40"/>
  <c r="I55" i="40"/>
  <c r="FQ55" i="40"/>
  <c r="EB55" i="40"/>
  <c r="FS55" i="40"/>
  <c r="GK55" i="40"/>
  <c r="EN55" i="40"/>
  <c r="DI55" i="40"/>
  <c r="EW55" i="40"/>
  <c r="DS55" i="40"/>
  <c r="ED55" i="40"/>
  <c r="CX55" i="40"/>
  <c r="L55" i="40"/>
  <c r="GB55" i="40"/>
  <c r="CY55" i="40"/>
  <c r="K55" i="40"/>
  <c r="FR55" i="40"/>
  <c r="GC55" i="40"/>
  <c r="AZ55" i="40"/>
  <c r="D35" i="29"/>
  <c r="G35" i="29" s="1"/>
  <c r="GA55" i="40"/>
  <c r="EV55" i="40"/>
  <c r="GW55" i="40"/>
  <c r="CC55" i="40"/>
  <c r="J55" i="40"/>
  <c r="CN55" i="40"/>
  <c r="DJ55" i="40"/>
  <c r="FG55" i="40"/>
  <c r="V55" i="40"/>
  <c r="CO55" i="40"/>
  <c r="EX55" i="40"/>
  <c r="AE55" i="40"/>
  <c r="AO55" i="40"/>
  <c r="T55" i="40"/>
  <c r="CW55" i="40"/>
  <c r="GU55" i="40"/>
  <c r="AX55" i="40"/>
  <c r="F35" i="29" s="1"/>
  <c r="GL55" i="40"/>
  <c r="BK55" i="40"/>
  <c r="BS55" i="40"/>
  <c r="DR55" i="40"/>
  <c r="AN55" i="40"/>
  <c r="DT55" i="40"/>
  <c r="U55" i="40"/>
  <c r="BT55" i="40"/>
  <c r="DH55" i="40"/>
  <c r="EM55" i="40"/>
  <c r="AP55" i="40"/>
  <c r="BJ55" i="40"/>
  <c r="GV55" i="40"/>
  <c r="CE55" i="40"/>
  <c r="CD55" i="40"/>
  <c r="GL26" i="40"/>
  <c r="EW26" i="40"/>
  <c r="FH26" i="40"/>
  <c r="AD26" i="40"/>
  <c r="FR26" i="40"/>
  <c r="CM26" i="40"/>
  <c r="AE26" i="40"/>
  <c r="FS26" i="40"/>
  <c r="BK26" i="40"/>
  <c r="DT26" i="40"/>
  <c r="EX26" i="40"/>
  <c r="K26" i="40"/>
  <c r="AX26" i="40"/>
  <c r="F12" i="29"/>
  <c r="T26" i="40"/>
  <c r="GV26" i="40"/>
  <c r="AN26" i="40"/>
  <c r="CN26" i="40"/>
  <c r="EC26" i="40"/>
  <c r="ED26" i="40"/>
  <c r="FI26" i="40"/>
  <c r="AY26" i="40"/>
  <c r="G12" i="29" s="1"/>
  <c r="CO26" i="40"/>
  <c r="BT26" i="40"/>
  <c r="EC69" i="40"/>
  <c r="EX69" i="40"/>
  <c r="EW69" i="40"/>
  <c r="J69" i="40"/>
  <c r="T69" i="40"/>
  <c r="L69" i="40"/>
  <c r="FS69" i="40"/>
  <c r="I69" i="40"/>
  <c r="FQ69" i="40"/>
  <c r="BK69" i="40"/>
  <c r="CC69" i="40"/>
  <c r="CN69" i="40"/>
  <c r="GC69" i="40"/>
  <c r="BI69" i="40"/>
  <c r="DH69" i="40"/>
  <c r="EN69" i="40"/>
  <c r="EV35" i="40"/>
  <c r="CX35" i="40"/>
  <c r="J57" i="40"/>
  <c r="AP57" i="40"/>
  <c r="CE57" i="40"/>
  <c r="CD57" i="40"/>
  <c r="AO57" i="40"/>
  <c r="GK57" i="40"/>
  <c r="AX57" i="40"/>
  <c r="GU57" i="40"/>
  <c r="CC57" i="40"/>
  <c r="AN57" i="40"/>
  <c r="EB57" i="40"/>
  <c r="BI57" i="40"/>
  <c r="BK57" i="40"/>
  <c r="V57" i="40"/>
  <c r="DJ57" i="40"/>
  <c r="T57" i="40"/>
  <c r="T27" i="40"/>
  <c r="K27" i="40"/>
  <c r="FI27" i="40"/>
  <c r="DT27" i="40"/>
  <c r="FR28" i="40"/>
  <c r="AZ18" i="40"/>
  <c r="GV18" i="40"/>
  <c r="FQ18" i="40"/>
  <c r="GA18" i="40"/>
  <c r="J18" i="40"/>
  <c r="CC18" i="40"/>
  <c r="EC18" i="40"/>
  <c r="GM18" i="40"/>
  <c r="AP18" i="40"/>
  <c r="GC18" i="40"/>
  <c r="AD18" i="40"/>
  <c r="FI18" i="40"/>
  <c r="FH18" i="40"/>
  <c r="CW18" i="40"/>
  <c r="U18" i="40"/>
  <c r="DJ18" i="40"/>
  <c r="BS18" i="40"/>
  <c r="EX18" i="40"/>
  <c r="ED18" i="40"/>
  <c r="GL18" i="40"/>
  <c r="K18" i="40"/>
  <c r="BU18" i="40"/>
  <c r="EL18" i="40"/>
  <c r="CO18" i="40"/>
  <c r="DH18" i="40"/>
  <c r="CE18" i="40"/>
  <c r="AO18" i="40"/>
  <c r="T18" i="40"/>
  <c r="EV18" i="40"/>
  <c r="GW18" i="40"/>
  <c r="BJ18" i="40"/>
  <c r="DT18" i="40"/>
  <c r="FR18" i="40"/>
  <c r="AX18" i="40"/>
  <c r="AN18" i="40"/>
  <c r="CD18" i="40"/>
  <c r="I18" i="40"/>
  <c r="BI18" i="40"/>
  <c r="CY18" i="40"/>
  <c r="L18" i="40"/>
  <c r="V18" i="40"/>
  <c r="BK18" i="40"/>
  <c r="GU18" i="40"/>
  <c r="AY18" i="40"/>
  <c r="GK18" i="40"/>
  <c r="EW18" i="40"/>
  <c r="DR18" i="40"/>
  <c r="AF18" i="40"/>
  <c r="EB18" i="40"/>
  <c r="FG18" i="40"/>
  <c r="EM18" i="40"/>
  <c r="DI18" i="40"/>
  <c r="DS18" i="40"/>
  <c r="FS18" i="40"/>
  <c r="AE18" i="40"/>
  <c r="CM18" i="40"/>
  <c r="CX18" i="40"/>
  <c r="EN18" i="40"/>
  <c r="GB18" i="40"/>
  <c r="CN18" i="40"/>
  <c r="BT18" i="40"/>
  <c r="GL39" i="40"/>
  <c r="EV39" i="40"/>
  <c r="K39" i="40"/>
  <c r="AF47" i="40"/>
  <c r="GW47" i="40"/>
  <c r="CX47" i="40"/>
  <c r="AD17" i="40"/>
  <c r="AO17" i="40"/>
  <c r="AE17" i="40"/>
  <c r="U17" i="40"/>
  <c r="V17" i="40"/>
  <c r="T17" i="40"/>
  <c r="EB17" i="40"/>
  <c r="BJ17" i="40"/>
  <c r="EX17" i="40"/>
  <c r="GL17" i="40"/>
  <c r="GV17" i="40"/>
  <c r="BI17" i="40"/>
  <c r="CX17" i="40"/>
  <c r="EV17" i="40"/>
  <c r="DS17" i="40"/>
  <c r="AN17" i="40"/>
  <c r="CO17" i="40"/>
  <c r="FS17" i="40"/>
  <c r="DH17" i="40"/>
  <c r="K17" i="40"/>
  <c r="AF17" i="40"/>
  <c r="GW17" i="40"/>
  <c r="GC17" i="40"/>
  <c r="CY17" i="40"/>
  <c r="EL17" i="40"/>
  <c r="DT17" i="40"/>
  <c r="GM17" i="40"/>
  <c r="BT17" i="40"/>
  <c r="DJ17" i="40"/>
  <c r="FQ17" i="40"/>
  <c r="AX17" i="40"/>
  <c r="BU17" i="40"/>
  <c r="AP17" i="40"/>
  <c r="FH17" i="40"/>
  <c r="FR17" i="40"/>
  <c r="L17" i="40"/>
  <c r="CN17" i="40"/>
  <c r="AY17" i="40"/>
  <c r="CC17" i="40"/>
  <c r="CM17" i="40"/>
  <c r="DR17" i="40"/>
  <c r="BS17" i="40"/>
  <c r="CD17" i="40"/>
  <c r="GK17" i="40"/>
  <c r="GA17" i="40"/>
  <c r="AZ17" i="40"/>
  <c r="CW17" i="40"/>
  <c r="ED17" i="40"/>
  <c r="GB17" i="40"/>
  <c r="I17" i="40"/>
  <c r="BK17" i="40"/>
  <c r="EC17" i="40"/>
  <c r="EN17" i="40"/>
  <c r="CE17" i="40"/>
  <c r="FG17" i="40"/>
  <c r="DI17" i="40"/>
  <c r="GU17" i="40"/>
  <c r="EW17" i="40"/>
  <c r="EM17" i="40"/>
  <c r="FI17" i="40"/>
  <c r="J17" i="40"/>
  <c r="CD36" i="40"/>
  <c r="GL61" i="40"/>
  <c r="CE61" i="40"/>
  <c r="AX61" i="40"/>
  <c r="F41" i="29" s="1"/>
  <c r="EN61" i="40"/>
  <c r="GA61" i="40"/>
  <c r="CW61" i="40"/>
  <c r="V61" i="40"/>
  <c r="FR61" i="40"/>
  <c r="GM61" i="40"/>
  <c r="AF61" i="40"/>
  <c r="J61" i="40"/>
  <c r="AN58" i="40"/>
  <c r="L30" i="40"/>
  <c r="EL30" i="40"/>
  <c r="CM30" i="40"/>
  <c r="FR30" i="40"/>
  <c r="CW30" i="40"/>
  <c r="GV30" i="40"/>
  <c r="DH30" i="40"/>
  <c r="AO30" i="40"/>
  <c r="T30" i="40"/>
  <c r="BI30" i="40"/>
  <c r="BS30" i="40"/>
  <c r="AF30" i="40"/>
  <c r="DT30" i="40"/>
  <c r="GB30" i="40"/>
  <c r="EW30" i="40"/>
  <c r="BU30" i="40"/>
  <c r="FQ30" i="40"/>
  <c r="DI30" i="40"/>
  <c r="AX30" i="40"/>
  <c r="CE30" i="40"/>
  <c r="ED30" i="40"/>
  <c r="J30" i="40"/>
  <c r="I30" i="40"/>
  <c r="BT30" i="40"/>
  <c r="GM30" i="40"/>
  <c r="AZ22" i="40"/>
  <c r="D8" i="29" s="1"/>
  <c r="G8" i="29" s="1"/>
  <c r="AY22" i="40"/>
  <c r="DH22" i="40"/>
  <c r="BI22" i="40"/>
  <c r="T22" i="40"/>
  <c r="BK22" i="40"/>
  <c r="FI22" i="40"/>
  <c r="DS22" i="40"/>
  <c r="BJ22" i="40"/>
  <c r="V22" i="40"/>
  <c r="FH22" i="40"/>
  <c r="CO22" i="40"/>
  <c r="CW22" i="40"/>
  <c r="GV22" i="40"/>
  <c r="GB22" i="40"/>
  <c r="DT22" i="40"/>
  <c r="DI22" i="40"/>
  <c r="DR22" i="40"/>
  <c r="BU22" i="40"/>
  <c r="AP22" i="40"/>
  <c r="CX22" i="40"/>
  <c r="K22" i="40"/>
  <c r="ED22" i="40"/>
  <c r="GW22" i="40"/>
  <c r="CY22" i="40"/>
  <c r="EC22" i="40"/>
  <c r="EV22" i="40"/>
  <c r="EL22" i="40"/>
  <c r="U22" i="40"/>
  <c r="CN22" i="40"/>
  <c r="AF22" i="40"/>
  <c r="FG22" i="40"/>
  <c r="CM22" i="40"/>
  <c r="BT22" i="40"/>
  <c r="EW22" i="40"/>
  <c r="GU22" i="40"/>
  <c r="DJ22" i="40"/>
  <c r="CD22" i="40"/>
  <c r="I22" i="40"/>
  <c r="L22" i="40"/>
  <c r="GA22" i="40"/>
  <c r="AN22" i="40"/>
  <c r="AX22" i="40"/>
  <c r="AE22" i="40"/>
  <c r="BS22" i="40"/>
  <c r="GL22" i="40"/>
  <c r="CE22" i="40"/>
  <c r="FR22" i="40"/>
  <c r="AO22" i="40"/>
  <c r="EX22" i="40"/>
  <c r="EN22" i="40"/>
  <c r="CC22" i="40"/>
  <c r="EM22" i="40"/>
  <c r="GK22" i="40"/>
  <c r="GC22" i="40"/>
  <c r="FQ22" i="40"/>
  <c r="FS22" i="40"/>
  <c r="GM22" i="40"/>
  <c r="J22" i="40"/>
  <c r="EB22" i="40"/>
  <c r="AD22" i="40"/>
  <c r="DI65" i="40"/>
  <c r="EN65" i="40"/>
  <c r="AF65" i="40"/>
  <c r="BK65" i="40"/>
  <c r="DS65" i="40"/>
  <c r="DR65" i="40"/>
  <c r="EB65" i="40"/>
  <c r="AZ65" i="40"/>
  <c r="D45" i="29"/>
  <c r="CC65" i="40"/>
  <c r="FQ65" i="40"/>
  <c r="GU65" i="40"/>
  <c r="L65" i="40"/>
  <c r="EB56" i="40"/>
  <c r="EM56" i="40"/>
  <c r="ED56" i="40"/>
  <c r="EC63" i="40"/>
  <c r="AF63" i="40"/>
  <c r="CO63" i="40"/>
  <c r="EM53" i="40"/>
  <c r="EW53" i="40"/>
  <c r="BS53" i="40"/>
  <c r="GV53" i="40"/>
  <c r="BK53" i="40"/>
  <c r="AZ53" i="40"/>
  <c r="D33" i="29" s="1"/>
  <c r="CY53" i="40"/>
  <c r="FR53" i="40"/>
  <c r="AO53" i="40"/>
  <c r="GK53" i="40"/>
  <c r="ED53" i="40"/>
  <c r="BU53" i="40"/>
  <c r="EC53" i="40"/>
  <c r="GC53" i="40"/>
  <c r="FG53" i="40"/>
  <c r="DS53" i="40"/>
  <c r="FI53" i="40"/>
  <c r="AP53" i="40"/>
  <c r="GL53" i="40"/>
  <c r="I53" i="40"/>
  <c r="CE53" i="40"/>
  <c r="BJ53" i="40"/>
  <c r="AN53" i="40"/>
  <c r="BT53" i="40"/>
  <c r="CW53" i="40"/>
  <c r="FH53" i="40"/>
  <c r="AX23" i="40"/>
  <c r="F9" i="29" s="1"/>
  <c r="EW23" i="40"/>
  <c r="J23" i="40"/>
  <c r="EL23" i="40"/>
  <c r="CD23" i="40"/>
  <c r="CN66" i="40"/>
  <c r="I66" i="40"/>
  <c r="GC66" i="40"/>
  <c r="GA66" i="40"/>
  <c r="T66" i="40"/>
  <c r="AZ66" i="40"/>
  <c r="D46" i="29" s="1"/>
  <c r="G46" i="29" s="1"/>
  <c r="BJ66" i="40"/>
  <c r="BJ19" i="40"/>
  <c r="EL19" i="40"/>
  <c r="T19" i="40"/>
  <c r="FS19" i="40"/>
  <c r="BI19" i="40"/>
  <c r="FI19" i="40"/>
  <c r="AF62" i="40"/>
  <c r="BS54" i="40"/>
  <c r="EL54" i="40"/>
  <c r="GU54" i="40"/>
  <c r="GC54" i="40"/>
  <c r="DT54" i="40"/>
  <c r="AE54" i="40"/>
  <c r="AX54" i="40"/>
  <c r="F34" i="29" s="1"/>
  <c r="CN54" i="40"/>
  <c r="CY16" i="40"/>
  <c r="CL16" i="40"/>
  <c r="EV16" i="40"/>
  <c r="T16" i="40"/>
  <c r="EL16" i="40"/>
  <c r="FI16" i="40"/>
  <c r="EX16" i="40"/>
  <c r="V16" i="40"/>
  <c r="AZ16" i="40"/>
  <c r="D2" i="29" s="1"/>
  <c r="G2" i="29" s="1"/>
  <c r="AE16" i="40"/>
  <c r="GA16" i="40"/>
  <c r="GW16" i="40"/>
  <c r="EC16" i="40"/>
  <c r="BJ16" i="40"/>
  <c r="DQ16" i="40"/>
  <c r="AN16" i="40"/>
  <c r="FS16" i="40"/>
  <c r="FG16" i="40"/>
  <c r="BS16" i="40"/>
  <c r="BR16" i="40"/>
  <c r="BI16" i="40"/>
  <c r="U16" i="40"/>
  <c r="DJ16" i="40"/>
  <c r="GC16" i="40"/>
  <c r="CO16" i="40"/>
  <c r="GK16" i="40"/>
  <c r="DR16" i="40"/>
  <c r="FQ16" i="40"/>
  <c r="FH16" i="40"/>
  <c r="BT16" i="40"/>
  <c r="CE16" i="40"/>
  <c r="AW16" i="40"/>
  <c r="E2" i="29" s="1"/>
  <c r="I16" i="40"/>
  <c r="L16" i="40"/>
  <c r="ED16" i="40"/>
  <c r="FR16" i="40"/>
  <c r="CW16" i="40"/>
  <c r="FP16" i="40"/>
  <c r="BU16" i="40"/>
  <c r="DI16" i="40"/>
  <c r="J16" i="40"/>
  <c r="AY16" i="40"/>
  <c r="GM16" i="40"/>
  <c r="AX16" i="40"/>
  <c r="F2" i="29"/>
  <c r="DS16" i="40"/>
  <c r="EW16" i="40"/>
  <c r="GB16" i="40"/>
  <c r="CX16" i="40"/>
  <c r="CV16" i="40"/>
  <c r="S16" i="40"/>
  <c r="CD16" i="40"/>
  <c r="BH16" i="40"/>
  <c r="EU16" i="40"/>
  <c r="AM16" i="40"/>
  <c r="CN16" i="40"/>
  <c r="CM16" i="40"/>
  <c r="CB16" i="40"/>
  <c r="DG16" i="40"/>
  <c r="BK16" i="40"/>
  <c r="CC16" i="40"/>
  <c r="FZ16" i="40"/>
  <c r="DH16" i="40"/>
  <c r="GU16" i="40"/>
  <c r="GJ16" i="40"/>
  <c r="GV16" i="40"/>
  <c r="AO16" i="40"/>
  <c r="FF16" i="40"/>
  <c r="EA16" i="40"/>
  <c r="K16" i="40"/>
  <c r="DT16" i="40"/>
  <c r="AD16" i="40"/>
  <c r="AF16" i="40"/>
  <c r="EK16" i="40"/>
  <c r="AP16" i="40"/>
  <c r="EB16" i="40"/>
  <c r="EN16" i="40"/>
  <c r="EM16" i="40"/>
  <c r="GL16" i="40"/>
  <c r="AC16" i="40"/>
  <c r="GT16" i="40"/>
  <c r="GV32" i="40"/>
  <c r="CD32" i="40"/>
  <c r="BS48" i="40"/>
  <c r="U48" i="40"/>
  <c r="CW48" i="40"/>
  <c r="CM48" i="40"/>
  <c r="AE48" i="40"/>
  <c r="GU48" i="40"/>
  <c r="DT48" i="40"/>
  <c r="AN64" i="40"/>
  <c r="DT64" i="40"/>
  <c r="T64" i="40"/>
  <c r="FI64" i="40"/>
  <c r="K64" i="40"/>
  <c r="J35" i="1"/>
  <c r="N92" i="1" s="1"/>
  <c r="J39" i="1"/>
  <c r="J24" i="1"/>
  <c r="P139" i="1" s="1"/>
  <c r="J24" i="26"/>
  <c r="F27" i="26"/>
  <c r="H142" i="26" s="1"/>
  <c r="G200" i="26" s="1"/>
  <c r="F26" i="26"/>
  <c r="G32" i="1"/>
  <c r="H89" i="1" s="1"/>
  <c r="G32" i="26"/>
  <c r="G57" i="1"/>
  <c r="G46" i="1"/>
  <c r="G46" i="26"/>
  <c r="F30" i="1"/>
  <c r="G14" i="26"/>
  <c r="G28" i="1"/>
  <c r="H85" i="1" s="1"/>
  <c r="G28" i="26"/>
  <c r="J51" i="26"/>
  <c r="F31" i="1"/>
  <c r="G19" i="26"/>
  <c r="G19" i="1"/>
  <c r="F12" i="26"/>
  <c r="F12" i="1"/>
  <c r="F45" i="26"/>
  <c r="F45" i="1"/>
  <c r="F23" i="26"/>
  <c r="F17" i="26"/>
  <c r="F49" i="1"/>
  <c r="F49" i="26"/>
  <c r="F49" i="35"/>
  <c r="E47" i="35"/>
  <c r="F41" i="35"/>
  <c r="E40" i="35"/>
  <c r="F38" i="35"/>
  <c r="G36" i="32"/>
  <c r="G32" i="32"/>
  <c r="F23" i="35"/>
  <c r="F24" i="32"/>
  <c r="G23" i="32"/>
  <c r="F22" i="32"/>
  <c r="F20" i="32"/>
  <c r="E17" i="35"/>
  <c r="H39" i="35"/>
  <c r="D49" i="35"/>
  <c r="G49" i="35" s="1"/>
  <c r="D47" i="35"/>
  <c r="G47" i="35"/>
  <c r="E47" i="32"/>
  <c r="G47" i="32" s="1"/>
  <c r="D32" i="35"/>
  <c r="G32" i="35"/>
  <c r="I45" i="35"/>
  <c r="I19" i="35"/>
  <c r="D8" i="35"/>
  <c r="E4" i="32"/>
  <c r="H4" i="32" s="1"/>
  <c r="D4" i="32" s="1"/>
  <c r="D3" i="35"/>
  <c r="E37" i="29"/>
  <c r="E49" i="29"/>
  <c r="E33" i="29"/>
  <c r="E45" i="29"/>
  <c r="G13" i="35"/>
  <c r="G31" i="35"/>
  <c r="BP46" i="40"/>
  <c r="ES46" i="40"/>
  <c r="EU46" i="40" s="1"/>
  <c r="ES49" i="40"/>
  <c r="EU49" i="40" s="1"/>
  <c r="AK46" i="40"/>
  <c r="AM46" i="40" s="1"/>
  <c r="AK45" i="40"/>
  <c r="AM45" i="40" s="1"/>
  <c r="AU46" i="40"/>
  <c r="BF45" i="40"/>
  <c r="BF49" i="40"/>
  <c r="BH49" i="40"/>
  <c r="BF46" i="40"/>
  <c r="BF44" i="40"/>
  <c r="BZ49" i="40"/>
  <c r="CB49" i="40"/>
  <c r="BZ44" i="40"/>
  <c r="CB44" i="40" s="1"/>
  <c r="CJ49" i="40"/>
  <c r="CL49" i="40"/>
  <c r="CJ44" i="40"/>
  <c r="CL44" i="40" s="1"/>
  <c r="CT49" i="40"/>
  <c r="CV49" i="40"/>
  <c r="CT44" i="40"/>
  <c r="CV44" i="40" s="1"/>
  <c r="DY46" i="40"/>
  <c r="EA46" i="40"/>
  <c r="EI45" i="40"/>
  <c r="EK45" i="40" s="1"/>
  <c r="EI49" i="40"/>
  <c r="EK49" i="40"/>
  <c r="EI46" i="40"/>
  <c r="EI44" i="40"/>
  <c r="EK44" i="40" s="1"/>
  <c r="FD49" i="40"/>
  <c r="FF49" i="40" s="1"/>
  <c r="FN44" i="40"/>
  <c r="FP44" i="40" s="1"/>
  <c r="FX49" i="40"/>
  <c r="G26" i="35"/>
  <c r="G12" i="35"/>
  <c r="D44" i="35"/>
  <c r="G44" i="35" s="1"/>
  <c r="I30" i="35"/>
  <c r="D36" i="35"/>
  <c r="G36" i="35"/>
  <c r="E42" i="32"/>
  <c r="I23" i="35"/>
  <c r="H38" i="32"/>
  <c r="D38" i="32" s="1"/>
  <c r="H54" i="34" s="1"/>
  <c r="F25" i="35"/>
  <c r="G31" i="32"/>
  <c r="E25" i="35"/>
  <c r="F31" i="32"/>
  <c r="F29" i="35"/>
  <c r="E29" i="35"/>
  <c r="F35" i="32"/>
  <c r="G35" i="32"/>
  <c r="F33" i="35"/>
  <c r="G39" i="32"/>
  <c r="E33" i="35"/>
  <c r="F39" i="32"/>
  <c r="E39" i="35"/>
  <c r="F42" i="35"/>
  <c r="E42" i="35"/>
  <c r="F46" i="35"/>
  <c r="E48" i="35"/>
  <c r="F48" i="35"/>
  <c r="I20" i="35"/>
  <c r="F39" i="35"/>
  <c r="D5" i="35"/>
  <c r="H5" i="32"/>
  <c r="D5" i="32" s="1"/>
  <c r="H16" i="34" s="1"/>
  <c r="F5" i="32"/>
  <c r="C42" i="32"/>
  <c r="G58" i="34"/>
  <c r="H115" i="34" s="1"/>
  <c r="C31" i="35"/>
  <c r="D48" i="35"/>
  <c r="G48" i="35" s="1"/>
  <c r="E54" i="32"/>
  <c r="H54" i="32" s="1"/>
  <c r="E27" i="35"/>
  <c r="G27" i="35" s="1"/>
  <c r="F27" i="35"/>
  <c r="G33" i="32"/>
  <c r="F33" i="32"/>
  <c r="E31" i="35"/>
  <c r="F37" i="32"/>
  <c r="F31" i="35"/>
  <c r="G37" i="32"/>
  <c r="E44" i="35"/>
  <c r="F44" i="35"/>
  <c r="D40" i="35"/>
  <c r="G40" i="35"/>
  <c r="C24" i="35"/>
  <c r="B18" i="37"/>
  <c r="B23" i="37" s="1"/>
  <c r="F51" i="32"/>
  <c r="D45" i="35"/>
  <c r="G45" i="35"/>
  <c r="E9" i="35"/>
  <c r="D41" i="35"/>
  <c r="G41" i="35" s="1"/>
  <c r="D34" i="35"/>
  <c r="G34" i="35"/>
  <c r="E40" i="32"/>
  <c r="H45" i="35"/>
  <c r="E6" i="32"/>
  <c r="G6" i="32"/>
  <c r="D6" i="35"/>
  <c r="D7" i="35"/>
  <c r="D37" i="35"/>
  <c r="G37" i="35"/>
  <c r="E43" i="32"/>
  <c r="D28" i="35"/>
  <c r="E34" i="32"/>
  <c r="D35" i="35"/>
  <c r="G35" i="35"/>
  <c r="E41" i="32"/>
  <c r="D43" i="35"/>
  <c r="G43" i="35" s="1"/>
  <c r="E49" i="32"/>
  <c r="H49" i="32"/>
  <c r="C37" i="35"/>
  <c r="C41" i="32"/>
  <c r="G57" i="34" s="1"/>
  <c r="J172" i="34" s="1"/>
  <c r="F3" i="35"/>
  <c r="E3" i="35"/>
  <c r="G3" i="35" s="1"/>
  <c r="E5" i="35"/>
  <c r="G5" i="35"/>
  <c r="F5" i="35"/>
  <c r="F7" i="35"/>
  <c r="E7" i="35"/>
  <c r="G7" i="35"/>
  <c r="F9" i="35"/>
  <c r="G9" i="32"/>
  <c r="F9" i="32"/>
  <c r="E11" i="35"/>
  <c r="F11" i="35"/>
  <c r="G11" i="32"/>
  <c r="F13" i="35"/>
  <c r="E13" i="35"/>
  <c r="G13" i="32"/>
  <c r="F13" i="32"/>
  <c r="E15" i="35"/>
  <c r="G15" i="32"/>
  <c r="F15" i="35"/>
  <c r="F17" i="35"/>
  <c r="G17" i="32"/>
  <c r="F17" i="32"/>
  <c r="E19" i="35"/>
  <c r="F19" i="35"/>
  <c r="G19" i="32"/>
  <c r="G21" i="32"/>
  <c r="F21" i="32"/>
  <c r="G25" i="32"/>
  <c r="F25" i="32"/>
  <c r="F21" i="35"/>
  <c r="E21" i="35"/>
  <c r="G27" i="32"/>
  <c r="E23" i="35"/>
  <c r="G29" i="32"/>
  <c r="F29" i="32"/>
  <c r="E36" i="35"/>
  <c r="F36" i="35"/>
  <c r="F42" i="32"/>
  <c r="F15" i="32"/>
  <c r="F23" i="32"/>
  <c r="F53" i="32"/>
  <c r="H8" i="32"/>
  <c r="D8" i="32" s="1"/>
  <c r="H19" i="34" s="1"/>
  <c r="E3" i="32"/>
  <c r="H3" i="32" s="1"/>
  <c r="D3" i="32" s="1"/>
  <c r="H14" i="34" s="1"/>
  <c r="D2" i="35"/>
  <c r="F2" i="35"/>
  <c r="E2" i="35"/>
  <c r="G2" i="35" s="1"/>
  <c r="F4" i="35"/>
  <c r="E4" i="35"/>
  <c r="G4" i="35"/>
  <c r="F6" i="35"/>
  <c r="E6" i="35"/>
  <c r="G6" i="35"/>
  <c r="E8" i="35"/>
  <c r="G8" i="35" s="1"/>
  <c r="F8" i="35"/>
  <c r="F10" i="35"/>
  <c r="F10" i="32"/>
  <c r="E10" i="35"/>
  <c r="E12" i="35"/>
  <c r="F12" i="35"/>
  <c r="F12" i="32"/>
  <c r="F14" i="35"/>
  <c r="F14" i="32"/>
  <c r="E16" i="35"/>
  <c r="F16" i="32"/>
  <c r="F18" i="35"/>
  <c r="F18" i="32"/>
  <c r="E18" i="35"/>
  <c r="E20" i="35"/>
  <c r="F20" i="35"/>
  <c r="F26" i="32"/>
  <c r="F22" i="35"/>
  <c r="F28" i="32"/>
  <c r="F34" i="35"/>
  <c r="F40" i="32"/>
  <c r="E34" i="35"/>
  <c r="F37" i="35"/>
  <c r="E37" i="35"/>
  <c r="G43" i="32"/>
  <c r="G12" i="32"/>
  <c r="G16" i="32"/>
  <c r="G20" i="32"/>
  <c r="G24" i="32"/>
  <c r="G28" i="32"/>
  <c r="G40" i="32"/>
  <c r="F47" i="35"/>
  <c r="E22" i="35"/>
  <c r="E38" i="35"/>
  <c r="E24" i="35"/>
  <c r="F30" i="32"/>
  <c r="F26" i="35"/>
  <c r="F32" i="32"/>
  <c r="E26" i="35"/>
  <c r="E28" i="35"/>
  <c r="G28" i="35" s="1"/>
  <c r="F28" i="35"/>
  <c r="F34" i="32"/>
  <c r="F30" i="35"/>
  <c r="F36" i="32"/>
  <c r="E32" i="35"/>
  <c r="F38" i="32"/>
  <c r="E35" i="35"/>
  <c r="F41" i="32"/>
  <c r="F35" i="35"/>
  <c r="E43" i="35"/>
  <c r="F43" i="35"/>
  <c r="F45" i="35"/>
  <c r="E45" i="35"/>
  <c r="F16" i="35"/>
  <c r="F32" i="35"/>
  <c r="E41" i="35"/>
  <c r="I18" i="35"/>
  <c r="I17" i="35"/>
  <c r="C40" i="35"/>
  <c r="C5" i="32"/>
  <c r="G16" i="34"/>
  <c r="J131" i="34" s="1"/>
  <c r="C11" i="32"/>
  <c r="G27" i="34" s="1"/>
  <c r="C15" i="32"/>
  <c r="G31" i="34"/>
  <c r="H6" i="35"/>
  <c r="H47" i="35"/>
  <c r="H43" i="35"/>
  <c r="H16" i="35"/>
  <c r="H12" i="35"/>
  <c r="H4" i="35"/>
  <c r="H46" i="35"/>
  <c r="H42" i="35"/>
  <c r="H32" i="35"/>
  <c r="H19" i="35"/>
  <c r="H13" i="35"/>
  <c r="H9" i="35"/>
  <c r="H7" i="35"/>
  <c r="H5" i="35"/>
  <c r="H44" i="35"/>
  <c r="C8" i="32"/>
  <c r="G19" i="34"/>
  <c r="C14" i="32"/>
  <c r="G30" i="34" s="1"/>
  <c r="H87" i="34" s="1"/>
  <c r="H8" i="35"/>
  <c r="H31" i="35"/>
  <c r="H48" i="35"/>
  <c r="H18" i="35"/>
  <c r="H49" i="35"/>
  <c r="C45" i="32"/>
  <c r="G61" i="34"/>
  <c r="H10" i="35"/>
  <c r="H14" i="35"/>
  <c r="D11" i="35"/>
  <c r="E11" i="32"/>
  <c r="D21" i="35"/>
  <c r="E27" i="32"/>
  <c r="D16" i="35"/>
  <c r="D26" i="35"/>
  <c r="E32" i="32"/>
  <c r="E21" i="32"/>
  <c r="C44" i="35"/>
  <c r="C35" i="35"/>
  <c r="I21" i="35"/>
  <c r="C38" i="35"/>
  <c r="D14" i="35"/>
  <c r="D24" i="35"/>
  <c r="D19" i="35"/>
  <c r="D31" i="35"/>
  <c r="E37" i="32"/>
  <c r="D13" i="35"/>
  <c r="D23" i="35"/>
  <c r="C39" i="32"/>
  <c r="G55" i="34" s="1"/>
  <c r="H112" i="34" s="1"/>
  <c r="G52" i="32"/>
  <c r="D46" i="35"/>
  <c r="G46" i="35"/>
  <c r="D18" i="35"/>
  <c r="E18" i="32"/>
  <c r="D30" i="35"/>
  <c r="D12" i="35"/>
  <c r="E12" i="32"/>
  <c r="E28" i="32"/>
  <c r="D22" i="35"/>
  <c r="D17" i="35"/>
  <c r="E17" i="32"/>
  <c r="D29" i="35"/>
  <c r="C10" i="32"/>
  <c r="G26" i="34"/>
  <c r="H83" i="34" s="1"/>
  <c r="I22" i="35"/>
  <c r="C4" i="32"/>
  <c r="G15" i="34" s="1"/>
  <c r="H72" i="34" s="1"/>
  <c r="D27" i="35"/>
  <c r="C36" i="35"/>
  <c r="D39" i="35"/>
  <c r="G39" i="35" s="1"/>
  <c r="E45" i="32"/>
  <c r="G45" i="32" s="1"/>
  <c r="C13" i="32"/>
  <c r="G29" i="34" s="1"/>
  <c r="H15" i="35"/>
  <c r="C26" i="35"/>
  <c r="G5" i="32"/>
  <c r="D42" i="35"/>
  <c r="G42" i="35"/>
  <c r="E48" i="32"/>
  <c r="H48" i="32" s="1"/>
  <c r="D48" i="32" s="1"/>
  <c r="H64" i="34" s="1"/>
  <c r="D10" i="35"/>
  <c r="D20" i="35"/>
  <c r="D15" i="35"/>
  <c r="E31" i="32"/>
  <c r="D25" i="35"/>
  <c r="D9" i="35"/>
  <c r="B16" i="32"/>
  <c r="F32" i="34" s="1"/>
  <c r="C16" i="35"/>
  <c r="E39" i="32"/>
  <c r="D33" i="35"/>
  <c r="G33" i="35" s="1"/>
  <c r="C32" i="35"/>
  <c r="C6" i="32"/>
  <c r="G17" i="34"/>
  <c r="H2" i="35"/>
  <c r="C9" i="35"/>
  <c r="C10" i="35"/>
  <c r="H26" i="35"/>
  <c r="H25" i="35"/>
  <c r="H24" i="35"/>
  <c r="H11" i="35"/>
  <c r="C15" i="35"/>
  <c r="C11" i="35"/>
  <c r="C5" i="35"/>
  <c r="C14" i="35"/>
  <c r="C39" i="35"/>
  <c r="H20" i="35"/>
  <c r="H23" i="35"/>
  <c r="H22" i="35"/>
  <c r="H21" i="35"/>
  <c r="C8" i="35"/>
  <c r="H17" i="35"/>
  <c r="C3" i="35"/>
  <c r="H30" i="35"/>
  <c r="C33" i="35"/>
  <c r="C34" i="32"/>
  <c r="G49" i="34" s="1"/>
  <c r="H28" i="35"/>
  <c r="H33" i="32"/>
  <c r="D33" i="32" s="1"/>
  <c r="H48" i="34" s="1"/>
  <c r="C33" i="32"/>
  <c r="G48" i="34" s="1"/>
  <c r="H105" i="34" s="1"/>
  <c r="H33" i="35"/>
  <c r="C13" i="35"/>
  <c r="C4" i="35"/>
  <c r="C25" i="35"/>
  <c r="C12" i="35"/>
  <c r="C2" i="35"/>
  <c r="H3" i="35"/>
  <c r="C6" i="35"/>
  <c r="C28" i="35"/>
  <c r="H37" i="35"/>
  <c r="H27" i="35"/>
  <c r="C29" i="35"/>
  <c r="C35" i="32"/>
  <c r="G50" i="34" s="1"/>
  <c r="H107" i="34" s="1"/>
  <c r="C27" i="35"/>
  <c r="H29" i="35"/>
  <c r="F46" i="1"/>
  <c r="F46" i="26"/>
  <c r="F13" i="1"/>
  <c r="F13" i="26"/>
  <c r="G54" i="1"/>
  <c r="F62" i="1"/>
  <c r="F62" i="26"/>
  <c r="F37" i="26"/>
  <c r="F55" i="26"/>
  <c r="J34" i="26"/>
  <c r="G16" i="26"/>
  <c r="F63" i="1"/>
  <c r="F24" i="1"/>
  <c r="F24" i="26"/>
  <c r="H139" i="26" s="1"/>
  <c r="G197" i="26" s="1"/>
  <c r="J38" i="26"/>
  <c r="F34" i="1"/>
  <c r="F38" i="26"/>
  <c r="E10" i="29"/>
  <c r="C66" i="5"/>
  <c r="K2" i="29"/>
  <c r="O2" i="29" s="1"/>
  <c r="B66" i="32"/>
  <c r="EC54" i="40"/>
  <c r="FR54" i="40"/>
  <c r="DR54" i="40"/>
  <c r="T54" i="40"/>
  <c r="AO62" i="40"/>
  <c r="AN19" i="40"/>
  <c r="BS19" i="40"/>
  <c r="GC19" i="40"/>
  <c r="AX19" i="40"/>
  <c r="K19" i="40"/>
  <c r="FR19" i="40"/>
  <c r="FG66" i="40"/>
  <c r="GW66" i="40"/>
  <c r="ED66" i="40"/>
  <c r="DR66" i="40"/>
  <c r="EB66" i="40"/>
  <c r="CO23" i="40"/>
  <c r="DR23" i="40"/>
  <c r="EX23" i="40"/>
  <c r="GV23" i="40"/>
  <c r="AY23" i="40"/>
  <c r="CW23" i="40"/>
  <c r="CE63" i="40"/>
  <c r="I63" i="40"/>
  <c r="AP58" i="40"/>
  <c r="AY47" i="40"/>
  <c r="I47" i="40"/>
  <c r="AN39" i="40"/>
  <c r="EX27" i="40"/>
  <c r="F37" i="29"/>
  <c r="BJ35" i="40"/>
  <c r="L35" i="40"/>
  <c r="CD31" i="40"/>
  <c r="AD31" i="40"/>
  <c r="DS43" i="40"/>
  <c r="GV43" i="40"/>
  <c r="AN31" i="40"/>
  <c r="AW27" i="40"/>
  <c r="E13" i="29" s="1"/>
  <c r="AZ35" i="40"/>
  <c r="AZ39" i="40"/>
  <c r="AZ43" i="40"/>
  <c r="BJ27" i="40"/>
  <c r="BJ39" i="40"/>
  <c r="BS23" i="40"/>
  <c r="DH31" i="40"/>
  <c r="DH35" i="40"/>
  <c r="EM27" i="40"/>
  <c r="EM31" i="40"/>
  <c r="EM35" i="40"/>
  <c r="CT50" i="40"/>
  <c r="CV50" i="40" s="1"/>
  <c r="DO49" i="40"/>
  <c r="DQ49" i="40"/>
  <c r="DO44" i="40"/>
  <c r="FD46" i="40"/>
  <c r="FD45" i="40"/>
  <c r="FF45" i="40"/>
  <c r="FN45" i="40"/>
  <c r="FP45" i="40" s="1"/>
  <c r="FN46" i="40"/>
  <c r="FP46" i="40"/>
  <c r="FX45" i="40"/>
  <c r="FX46" i="40"/>
  <c r="CB60" i="40"/>
  <c r="FX44" i="40"/>
  <c r="FZ44" i="40" s="1"/>
  <c r="FD44" i="40"/>
  <c r="DO46" i="40"/>
  <c r="DQ46" i="40"/>
  <c r="GH44" i="40"/>
  <c r="F33" i="1"/>
  <c r="EM54" i="40"/>
  <c r="CY54" i="40"/>
  <c r="EV54" i="40"/>
  <c r="L54" i="40"/>
  <c r="AF54" i="40"/>
  <c r="DH54" i="40"/>
  <c r="GK54" i="40"/>
  <c r="EB19" i="40"/>
  <c r="CW19" i="40"/>
  <c r="BK19" i="40"/>
  <c r="DI19" i="40"/>
  <c r="BT19" i="40"/>
  <c r="AF19" i="40"/>
  <c r="FQ66" i="40"/>
  <c r="DH66" i="40"/>
  <c r="AP66" i="40"/>
  <c r="DI66" i="40"/>
  <c r="CM66" i="40"/>
  <c r="GB66" i="40"/>
  <c r="DS66" i="40"/>
  <c r="FS23" i="40"/>
  <c r="BU23" i="40"/>
  <c r="AO23" i="40"/>
  <c r="GB23" i="40"/>
  <c r="AY63" i="40"/>
  <c r="EW47" i="40"/>
  <c r="GC47" i="40"/>
  <c r="T47" i="40"/>
  <c r="FS47" i="40"/>
  <c r="GC39" i="40"/>
  <c r="U39" i="40"/>
  <c r="DR39" i="40"/>
  <c r="AP39" i="40"/>
  <c r="GW27" i="40"/>
  <c r="EB27" i="40"/>
  <c r="FH27" i="40"/>
  <c r="CO35" i="40"/>
  <c r="FS35" i="40"/>
  <c r="EB35" i="40"/>
  <c r="DT31" i="40"/>
  <c r="BS31" i="40"/>
  <c r="GV31" i="40"/>
  <c r="F22" i="29"/>
  <c r="CW43" i="40"/>
  <c r="FF40" i="40"/>
  <c r="E36" i="29"/>
  <c r="T35" i="40"/>
  <c r="AE43" i="40"/>
  <c r="AO27" i="40"/>
  <c r="CX31" i="40"/>
  <c r="CX39" i="40"/>
  <c r="CX43" i="40"/>
  <c r="DI27" i="40"/>
  <c r="DQ37" i="40"/>
  <c r="DQ41" i="40"/>
  <c r="EA27" i="40"/>
  <c r="EA39" i="40"/>
  <c r="ED43" i="40"/>
  <c r="EN27" i="40"/>
  <c r="EN31" i="40"/>
  <c r="S33" i="40"/>
  <c r="AM25" i="40"/>
  <c r="AK49" i="40"/>
  <c r="AM49" i="40" s="1"/>
  <c r="AK44" i="40"/>
  <c r="AM44" i="40"/>
  <c r="BZ46" i="40"/>
  <c r="BZ45" i="40"/>
  <c r="CB45" i="40" s="1"/>
  <c r="CB32" i="40"/>
  <c r="CB40" i="40"/>
  <c r="CL23" i="40"/>
  <c r="CJ45" i="40"/>
  <c r="CL45" i="40"/>
  <c r="CJ46" i="40"/>
  <c r="CL46" i="40" s="1"/>
  <c r="CT45" i="40"/>
  <c r="CV45" i="40"/>
  <c r="CT46" i="40"/>
  <c r="CV46" i="40" s="1"/>
  <c r="DY45" i="40"/>
  <c r="EA45" i="40"/>
  <c r="DY44" i="40"/>
  <c r="EA44" i="40" s="1"/>
  <c r="ED19" i="40"/>
  <c r="FH19" i="40"/>
  <c r="AP19" i="40"/>
  <c r="CD19" i="40"/>
  <c r="EC19" i="40"/>
  <c r="CC19" i="40"/>
  <c r="CN19" i="40"/>
  <c r="AY19" i="40"/>
  <c r="CX19" i="40"/>
  <c r="CM19" i="40"/>
  <c r="GU19" i="40"/>
  <c r="V19" i="40"/>
  <c r="BU19" i="40"/>
  <c r="DT19" i="40"/>
  <c r="FQ19" i="40"/>
  <c r="J19" i="40"/>
  <c r="AZ19" i="40"/>
  <c r="D5" i="29"/>
  <c r="G5" i="29" s="1"/>
  <c r="I19" i="40"/>
  <c r="GL19" i="40"/>
  <c r="EM19" i="40"/>
  <c r="CY19" i="40"/>
  <c r="AE19" i="40"/>
  <c r="GW19" i="40"/>
  <c r="GB19" i="40"/>
  <c r="DS19" i="40"/>
  <c r="DR19" i="40"/>
  <c r="U19" i="40"/>
  <c r="CO19" i="40"/>
  <c r="GK19" i="40"/>
  <c r="L19" i="40"/>
  <c r="EW19" i="40"/>
  <c r="GV19" i="40"/>
  <c r="GA47" i="40"/>
  <c r="K47" i="40"/>
  <c r="EL47" i="40"/>
  <c r="GU47" i="40"/>
  <c r="GL47" i="40"/>
  <c r="CO47" i="40"/>
  <c r="AP47" i="40"/>
  <c r="GM47" i="40"/>
  <c r="FG47" i="40"/>
  <c r="AD47" i="40"/>
  <c r="AO47" i="40"/>
  <c r="EV47" i="40"/>
  <c r="U47" i="40"/>
  <c r="L47" i="40"/>
  <c r="DR47" i="40"/>
  <c r="BS47" i="40"/>
  <c r="BI47" i="40"/>
  <c r="DJ47" i="40"/>
  <c r="DI47" i="40"/>
  <c r="BK47" i="40"/>
  <c r="EN47" i="40"/>
  <c r="EB47" i="40"/>
  <c r="FI47" i="40"/>
  <c r="BJ47" i="40"/>
  <c r="CN47" i="40"/>
  <c r="DT47" i="40"/>
  <c r="BT47" i="40"/>
  <c r="AE47" i="40"/>
  <c r="CW47" i="40"/>
  <c r="GB47" i="40"/>
  <c r="EM47" i="40"/>
  <c r="ED47" i="40"/>
  <c r="DH47" i="40"/>
  <c r="CM47" i="40"/>
  <c r="GV47" i="40"/>
  <c r="AZ47" i="40"/>
  <c r="D27" i="29" s="1"/>
  <c r="G27" i="29" s="1"/>
  <c r="CY47" i="40"/>
  <c r="AX47" i="40"/>
  <c r="CC47" i="40"/>
  <c r="AN47" i="40"/>
  <c r="CD47" i="40"/>
  <c r="EX47" i="40"/>
  <c r="EC47" i="40"/>
  <c r="V47" i="40"/>
  <c r="FQ47" i="40"/>
  <c r="GK47" i="40"/>
  <c r="CX54" i="40"/>
  <c r="BU54" i="40"/>
  <c r="EN54" i="40"/>
  <c r="BT54" i="40"/>
  <c r="V54" i="40"/>
  <c r="GV54" i="40"/>
  <c r="EX54" i="40"/>
  <c r="CD54" i="40"/>
  <c r="EB54" i="40"/>
  <c r="FQ54" i="40"/>
  <c r="GW54" i="40"/>
  <c r="CE54" i="40"/>
  <c r="BI54" i="40"/>
  <c r="U54" i="40"/>
  <c r="FG54" i="40"/>
  <c r="GM54" i="40"/>
  <c r="ED54" i="40"/>
  <c r="BJ54" i="40"/>
  <c r="AO54" i="40"/>
  <c r="GL54" i="40"/>
  <c r="I54" i="40"/>
  <c r="GA54" i="40"/>
  <c r="AY54" i="40"/>
  <c r="CW54" i="40"/>
  <c r="FI54" i="40"/>
  <c r="DJ54" i="40"/>
  <c r="CO54" i="40"/>
  <c r="EW54" i="40"/>
  <c r="AD54" i="40"/>
  <c r="AN54" i="40"/>
  <c r="EN58" i="40"/>
  <c r="AE58" i="40"/>
  <c r="J58" i="40"/>
  <c r="EB58" i="40"/>
  <c r="EM58" i="40"/>
  <c r="GB62" i="40"/>
  <c r="BS62" i="40"/>
  <c r="U62" i="40"/>
  <c r="GL66" i="40"/>
  <c r="EN66" i="40"/>
  <c r="GK66" i="40"/>
  <c r="EL66" i="40"/>
  <c r="FI66" i="40"/>
  <c r="BS66" i="40"/>
  <c r="BI66" i="40"/>
  <c r="J66" i="40"/>
  <c r="CW66" i="40"/>
  <c r="EV66" i="40"/>
  <c r="EW66" i="40"/>
  <c r="CD66" i="40"/>
  <c r="CO66" i="40"/>
  <c r="CC66" i="40"/>
  <c r="FS66" i="40"/>
  <c r="GM66" i="40"/>
  <c r="EM66" i="40"/>
  <c r="BT66" i="40"/>
  <c r="AN66" i="40"/>
  <c r="K66" i="40"/>
  <c r="AF66" i="40"/>
  <c r="GV66" i="40"/>
  <c r="AX66" i="40"/>
  <c r="EC66" i="40"/>
  <c r="AE66" i="40"/>
  <c r="DJ66" i="40"/>
  <c r="AY66" i="40"/>
  <c r="BK66" i="40"/>
  <c r="CX66" i="40"/>
  <c r="FR66" i="40"/>
  <c r="U66" i="40"/>
  <c r="AO66" i="40"/>
  <c r="BJ63" i="40"/>
  <c r="GL63" i="40"/>
  <c r="CX63" i="40"/>
  <c r="GC63" i="40"/>
  <c r="GW63" i="40"/>
  <c r="DI63" i="40"/>
  <c r="BT63" i="40"/>
  <c r="AO63" i="40"/>
  <c r="BK63" i="40"/>
  <c r="FS63" i="40"/>
  <c r="AZ63" i="40"/>
  <c r="V63" i="40"/>
  <c r="EX63" i="40"/>
  <c r="GV63" i="40"/>
  <c r="EW63" i="40"/>
  <c r="GB63" i="40"/>
  <c r="AP63" i="40"/>
  <c r="DT63" i="40"/>
  <c r="ED63" i="40"/>
  <c r="DJ63" i="40"/>
  <c r="BU63" i="40"/>
  <c r="CY63" i="40"/>
  <c r="FI63" i="40"/>
  <c r="DI54" i="40"/>
  <c r="K54" i="40"/>
  <c r="BK54" i="40"/>
  <c r="AD19" i="40"/>
  <c r="EN19" i="40"/>
  <c r="GU66" i="40"/>
  <c r="AD66" i="40"/>
  <c r="DT23" i="40"/>
  <c r="EB23" i="40"/>
  <c r="F43" i="29"/>
  <c r="FR47" i="40"/>
  <c r="CE47" i="40"/>
  <c r="DS39" i="40"/>
  <c r="J39" i="40"/>
  <c r="CC27" i="40"/>
  <c r="L27" i="40"/>
  <c r="AY35" i="40"/>
  <c r="CM35" i="40"/>
  <c r="GT25" i="40"/>
  <c r="FN49" i="40"/>
  <c r="FP49" i="40" s="1"/>
  <c r="DO45" i="40"/>
  <c r="DQ45" i="40"/>
  <c r="GB54" i="40"/>
  <c r="CC54" i="40"/>
  <c r="AP54" i="40"/>
  <c r="FH54" i="40"/>
  <c r="FS54" i="40"/>
  <c r="J54" i="40"/>
  <c r="DS54" i="40"/>
  <c r="CM54" i="40"/>
  <c r="CM62" i="40"/>
  <c r="AE62" i="40"/>
  <c r="GM19" i="40"/>
  <c r="DH19" i="40"/>
  <c r="DJ19" i="40"/>
  <c r="EX19" i="40"/>
  <c r="CE19" i="40"/>
  <c r="GA19" i="40"/>
  <c r="AO19" i="40"/>
  <c r="FG19" i="40"/>
  <c r="DT66" i="40"/>
  <c r="CE66" i="40"/>
  <c r="L66" i="40"/>
  <c r="BU66" i="40"/>
  <c r="EX66" i="40"/>
  <c r="CY66" i="40"/>
  <c r="FH66" i="40"/>
  <c r="EM23" i="40"/>
  <c r="DI23" i="40"/>
  <c r="EN63" i="40"/>
  <c r="FR63" i="40"/>
  <c r="K63" i="40"/>
  <c r="G45" i="29"/>
  <c r="BU47" i="40"/>
  <c r="DS47" i="40"/>
  <c r="J47" i="40"/>
  <c r="CY39" i="40"/>
  <c r="CD39" i="40"/>
  <c r="ED27" i="40"/>
  <c r="BT35" i="40"/>
  <c r="CW31" i="40"/>
  <c r="CN43" i="40"/>
  <c r="V43" i="40"/>
  <c r="E21" i="29"/>
  <c r="I27" i="40"/>
  <c r="U27" i="40"/>
  <c r="U31" i="40"/>
  <c r="AD35" i="40"/>
  <c r="AF43" i="40"/>
  <c r="CC39" i="40"/>
  <c r="CO31" i="40"/>
  <c r="CO39" i="40"/>
  <c r="CO43" i="40"/>
  <c r="CY23" i="40"/>
  <c r="CY27" i="40"/>
  <c r="CY31" i="40"/>
  <c r="CY35" i="40"/>
  <c r="AF53" i="40"/>
  <c r="EN53" i="40"/>
  <c r="GM53" i="40"/>
  <c r="DI53" i="40"/>
  <c r="BI53" i="40"/>
  <c r="DH53" i="40"/>
  <c r="DJ53" i="40"/>
  <c r="T53" i="40"/>
  <c r="AD53" i="40"/>
  <c r="EB53" i="40"/>
  <c r="U53" i="40"/>
  <c r="K53" i="40"/>
  <c r="CC53" i="40"/>
  <c r="GA53" i="40"/>
  <c r="DT53" i="40"/>
  <c r="L53" i="40"/>
  <c r="CX53" i="40"/>
  <c r="CM53" i="40"/>
  <c r="CO53" i="40"/>
  <c r="DR53" i="40"/>
  <c r="GU53" i="40"/>
  <c r="J53" i="40"/>
  <c r="GB53" i="40"/>
  <c r="AX53" i="40"/>
  <c r="EL53" i="40"/>
  <c r="GW53" i="40"/>
  <c r="EV53" i="40"/>
  <c r="FS53" i="40"/>
  <c r="FQ53" i="40"/>
  <c r="AY53" i="40"/>
  <c r="CD53" i="40"/>
  <c r="CN53" i="40"/>
  <c r="V53" i="40"/>
  <c r="EX53" i="40"/>
  <c r="AE53" i="40"/>
  <c r="K57" i="40"/>
  <c r="FG57" i="40"/>
  <c r="BT57" i="40"/>
  <c r="AF57" i="40"/>
  <c r="FR57" i="40"/>
  <c r="FI57" i="40"/>
  <c r="BS57" i="40"/>
  <c r="CX57" i="40"/>
  <c r="EX57" i="40"/>
  <c r="FS57" i="40"/>
  <c r="CM57" i="40"/>
  <c r="L57" i="40"/>
  <c r="GC57" i="40"/>
  <c r="I57" i="40"/>
  <c r="GW57" i="40"/>
  <c r="GB57" i="40"/>
  <c r="DR57" i="40"/>
  <c r="ED57" i="40"/>
  <c r="EM57" i="40"/>
  <c r="GA57" i="40"/>
  <c r="GM57" i="40"/>
  <c r="EW57" i="40"/>
  <c r="GV57" i="40"/>
  <c r="DH57" i="40"/>
  <c r="BJ57" i="40"/>
  <c r="AZ57" i="40"/>
  <c r="D37" i="29" s="1"/>
  <c r="G37" i="29" s="1"/>
  <c r="CY57" i="40"/>
  <c r="EV57" i="40"/>
  <c r="GL57" i="40"/>
  <c r="CO57" i="40"/>
  <c r="U57" i="40"/>
  <c r="DS57" i="40"/>
  <c r="AY57" i="40"/>
  <c r="EL57" i="40"/>
  <c r="BU57" i="40"/>
  <c r="EN57" i="40"/>
  <c r="CN57" i="40"/>
  <c r="EC57" i="40"/>
  <c r="DI57" i="40"/>
  <c r="CW57" i="40"/>
  <c r="AE57" i="40"/>
  <c r="AD57" i="40"/>
  <c r="FH57" i="40"/>
  <c r="FQ57" i="40"/>
  <c r="DT57" i="40"/>
  <c r="I61" i="40"/>
  <c r="CX61" i="40"/>
  <c r="EM61" i="40"/>
  <c r="BJ61" i="40"/>
  <c r="BS61" i="40"/>
  <c r="GV61" i="40"/>
  <c r="AN61" i="40"/>
  <c r="DR61" i="40"/>
  <c r="AP61" i="40"/>
  <c r="CO61" i="40"/>
  <c r="FH61" i="40"/>
  <c r="EC61" i="40"/>
  <c r="FS61" i="40"/>
  <c r="DH61" i="40"/>
  <c r="DI61" i="40"/>
  <c r="FG61" i="40"/>
  <c r="BU61" i="40"/>
  <c r="AO61" i="40"/>
  <c r="GK61" i="40"/>
  <c r="GU61" i="40"/>
  <c r="GB61" i="40"/>
  <c r="BI61" i="40"/>
  <c r="AZ61" i="40"/>
  <c r="D41" i="29"/>
  <c r="G41" i="29" s="1"/>
  <c r="CN61" i="40"/>
  <c r="DS61" i="40"/>
  <c r="K61" i="40"/>
  <c r="DJ61" i="40"/>
  <c r="ED61" i="40"/>
  <c r="FQ61" i="40"/>
  <c r="EW61" i="40"/>
  <c r="EX61" i="40"/>
  <c r="DT61" i="40"/>
  <c r="CC61" i="40"/>
  <c r="BK61" i="40"/>
  <c r="AY61" i="40"/>
  <c r="EB61" i="40"/>
  <c r="GW61" i="40"/>
  <c r="CY61" i="40"/>
  <c r="U61" i="40"/>
  <c r="T61" i="40"/>
  <c r="AD61" i="40"/>
  <c r="AE61" i="40"/>
  <c r="CM61" i="40"/>
  <c r="EV61" i="40"/>
  <c r="CD61" i="40"/>
  <c r="L61" i="40"/>
  <c r="EL61" i="40"/>
  <c r="GK65" i="40"/>
  <c r="T65" i="40"/>
  <c r="AE65" i="40"/>
  <c r="V65" i="40"/>
  <c r="CD65" i="40"/>
  <c r="AN65" i="40"/>
  <c r="AX65" i="40"/>
  <c r="F45" i="29"/>
  <c r="DJ65" i="40"/>
  <c r="EW65" i="40"/>
  <c r="AD65" i="40"/>
  <c r="BS65" i="40"/>
  <c r="AO65" i="40"/>
  <c r="GM65" i="40"/>
  <c r="GB65" i="40"/>
  <c r="CM65" i="40"/>
  <c r="FG65" i="40"/>
  <c r="FS65" i="40"/>
  <c r="BJ65" i="40"/>
  <c r="U65" i="40"/>
  <c r="GL65" i="40"/>
  <c r="FH65" i="40"/>
  <c r="EV65" i="40"/>
  <c r="EC65" i="40"/>
  <c r="GC65" i="40"/>
  <c r="EX65" i="40"/>
  <c r="CY65" i="40"/>
  <c r="DH65" i="40"/>
  <c r="BI65" i="40"/>
  <c r="ED65" i="40"/>
  <c r="FI65" i="40"/>
  <c r="K65" i="40"/>
  <c r="CE65" i="40"/>
  <c r="EM65" i="40"/>
  <c r="CO65" i="40"/>
  <c r="BT65" i="40"/>
  <c r="GA65" i="40"/>
  <c r="BU65" i="40"/>
  <c r="AY65" i="40"/>
  <c r="CN65" i="40"/>
  <c r="GV65" i="40"/>
  <c r="AP65" i="40"/>
  <c r="DT65" i="40"/>
  <c r="CX65" i="40"/>
  <c r="CW65" i="40"/>
  <c r="J65" i="40"/>
  <c r="AZ69" i="40"/>
  <c r="D49" i="29"/>
  <c r="G49" i="29" s="1"/>
  <c r="GU69" i="40"/>
  <c r="GM69" i="40"/>
  <c r="ED69" i="40"/>
  <c r="DI69" i="40"/>
  <c r="CW69" i="40"/>
  <c r="DS69" i="40"/>
  <c r="CM69" i="40"/>
  <c r="EB69" i="40"/>
  <c r="AO69" i="40"/>
  <c r="BJ69" i="40"/>
  <c r="CX69" i="40"/>
  <c r="FR69" i="40"/>
  <c r="AN69" i="40"/>
  <c r="GK69" i="40"/>
  <c r="AP69" i="40"/>
  <c r="AE69" i="40"/>
  <c r="GB69" i="40"/>
  <c r="BU69" i="40"/>
  <c r="EL69" i="40"/>
  <c r="GW69" i="40"/>
  <c r="GA69" i="40"/>
  <c r="AX69" i="40"/>
  <c r="F49" i="29"/>
  <c r="DT69" i="40"/>
  <c r="DR69" i="40"/>
  <c r="EV69" i="40"/>
  <c r="BS69" i="40"/>
  <c r="AD69" i="40"/>
  <c r="AY69" i="40"/>
  <c r="BT69" i="40"/>
  <c r="GL69" i="40"/>
  <c r="FG69" i="40"/>
  <c r="AF69" i="40"/>
  <c r="DJ69" i="40"/>
  <c r="V69" i="40"/>
  <c r="K69" i="40"/>
  <c r="CD69" i="40"/>
  <c r="CE69" i="40"/>
  <c r="U69" i="40"/>
  <c r="FH69" i="40"/>
  <c r="FI69" i="40"/>
  <c r="CY69" i="40"/>
  <c r="GV69" i="40"/>
  <c r="CO69" i="40"/>
  <c r="EM69" i="40"/>
  <c r="GH49" i="40"/>
  <c r="GJ49" i="40"/>
  <c r="FR23" i="40"/>
  <c r="L23" i="40"/>
  <c r="AF23" i="40"/>
  <c r="DJ23" i="40"/>
  <c r="AE23" i="40"/>
  <c r="AN23" i="40"/>
  <c r="GL23" i="40"/>
  <c r="BJ23" i="40"/>
  <c r="AZ23" i="40"/>
  <c r="GC23" i="40"/>
  <c r="CN23" i="40"/>
  <c r="U23" i="40"/>
  <c r="DH23" i="40"/>
  <c r="I23" i="40"/>
  <c r="T23" i="40"/>
  <c r="CE23" i="40"/>
  <c r="EC23" i="40"/>
  <c r="GM23" i="40"/>
  <c r="CX23" i="40"/>
  <c r="FI23" i="40"/>
  <c r="GW23" i="40"/>
  <c r="DS23" i="40"/>
  <c r="GL27" i="40"/>
  <c r="AP27" i="40"/>
  <c r="FR27" i="40"/>
  <c r="BI27" i="40"/>
  <c r="AX27" i="40"/>
  <c r="F13" i="29" s="1"/>
  <c r="EW27" i="40"/>
  <c r="DR27" i="40"/>
  <c r="GC27" i="40"/>
  <c r="CN27" i="40"/>
  <c r="EC27" i="40"/>
  <c r="CW27" i="40"/>
  <c r="DH27" i="40"/>
  <c r="AD27" i="40"/>
  <c r="DJ27" i="40"/>
  <c r="FS27" i="40"/>
  <c r="AE27" i="40"/>
  <c r="GM27" i="40"/>
  <c r="CO27" i="40"/>
  <c r="CX27" i="40"/>
  <c r="CM31" i="40"/>
  <c r="GW31" i="40"/>
  <c r="FR31" i="40"/>
  <c r="FH31" i="40"/>
  <c r="I31" i="40"/>
  <c r="GM31" i="40"/>
  <c r="CN31" i="40"/>
  <c r="T31" i="40"/>
  <c r="AO31" i="40"/>
  <c r="GL31" i="40"/>
  <c r="GC31" i="40"/>
  <c r="FI31" i="40"/>
  <c r="EL31" i="40"/>
  <c r="EX31" i="40"/>
  <c r="J31" i="40"/>
  <c r="DI31" i="40"/>
  <c r="AZ31" i="40"/>
  <c r="D17" i="29" s="1"/>
  <c r="EW31" i="40"/>
  <c r="AX31" i="40"/>
  <c r="K31" i="40"/>
  <c r="BU31" i="40"/>
  <c r="CE31" i="40"/>
  <c r="ED31" i="40"/>
  <c r="CW35" i="40"/>
  <c r="AN35" i="40"/>
  <c r="GW35" i="40"/>
  <c r="EW35" i="40"/>
  <c r="DT35" i="40"/>
  <c r="FR35" i="40"/>
  <c r="DJ35" i="40"/>
  <c r="DS35" i="40"/>
  <c r="DI35" i="40"/>
  <c r="CN35" i="40"/>
  <c r="I35" i="40"/>
  <c r="FH35" i="40"/>
  <c r="GC35" i="40"/>
  <c r="GM35" i="40"/>
  <c r="V35" i="40"/>
  <c r="AO35" i="40"/>
  <c r="AF35" i="40"/>
  <c r="EN35" i="40"/>
  <c r="BK35" i="40"/>
  <c r="FI35" i="40"/>
  <c r="EL35" i="40"/>
  <c r="U35" i="40"/>
  <c r="K35" i="40"/>
  <c r="CE35" i="40"/>
  <c r="ED35" i="40"/>
  <c r="AX35" i="40"/>
  <c r="AE35" i="40"/>
  <c r="GL35" i="40"/>
  <c r="GV35" i="40"/>
  <c r="BU35" i="40"/>
  <c r="EX35" i="40"/>
  <c r="AX39" i="40"/>
  <c r="AO39" i="40"/>
  <c r="AE39" i="40"/>
  <c r="AY39" i="40"/>
  <c r="ED39" i="40"/>
  <c r="EX39" i="40"/>
  <c r="DT39" i="40"/>
  <c r="GV39" i="40"/>
  <c r="CW39" i="40"/>
  <c r="L39" i="40"/>
  <c r="CM39" i="40"/>
  <c r="GW39" i="40"/>
  <c r="EW39" i="40"/>
  <c r="FR39" i="40"/>
  <c r="BK39" i="40"/>
  <c r="CN39" i="40"/>
  <c r="CE39" i="40"/>
  <c r="EN39" i="40"/>
  <c r="FH39" i="40"/>
  <c r="FS39" i="40"/>
  <c r="EM39" i="40"/>
  <c r="V39" i="40"/>
  <c r="GM39" i="40"/>
  <c r="GB39" i="40"/>
  <c r="T39" i="40"/>
  <c r="FI39" i="40"/>
  <c r="DI39" i="40"/>
  <c r="AN43" i="40"/>
  <c r="K43" i="40"/>
  <c r="GB43" i="40"/>
  <c r="CY43" i="40"/>
  <c r="GM43" i="40"/>
  <c r="FR43" i="40"/>
  <c r="DT43" i="40"/>
  <c r="BT43" i="40"/>
  <c r="EN43" i="40"/>
  <c r="EM43" i="40"/>
  <c r="EW43" i="40"/>
  <c r="AO43" i="40"/>
  <c r="EX43" i="40"/>
  <c r="FI43" i="40"/>
  <c r="BJ43" i="40"/>
  <c r="BK43" i="40"/>
  <c r="CE43" i="40"/>
  <c r="EC43" i="40"/>
  <c r="BS43" i="40"/>
  <c r="DH43" i="40"/>
  <c r="FH43" i="40"/>
  <c r="EB43" i="40"/>
  <c r="AX43" i="40"/>
  <c r="F23" i="29" s="1"/>
  <c r="T43" i="40"/>
  <c r="BU43" i="40"/>
  <c r="J43" i="40"/>
  <c r="FS43" i="40"/>
  <c r="DJ43" i="40"/>
  <c r="S26" i="40"/>
  <c r="AM30" i="40"/>
  <c r="AU45" i="40"/>
  <c r="AW45" i="40"/>
  <c r="AU44" i="40"/>
  <c r="AW44" i="40" s="1"/>
  <c r="E24" i="29" s="1"/>
  <c r="Q23" i="5"/>
  <c r="I43" i="40"/>
  <c r="U43" i="40"/>
  <c r="AC42" i="40"/>
  <c r="AY27" i="40"/>
  <c r="AY31" i="40"/>
  <c r="G17" i="29" s="1"/>
  <c r="BK31" i="40"/>
  <c r="BS27" i="40"/>
  <c r="BS35" i="40"/>
  <c r="BS39" i="40"/>
  <c r="BR41" i="40"/>
  <c r="CD27" i="40"/>
  <c r="CD35" i="40"/>
  <c r="CM27" i="40"/>
  <c r="CL35" i="40"/>
  <c r="CL43" i="40"/>
  <c r="DS27" i="40"/>
  <c r="DS31" i="40"/>
  <c r="DR35" i="40"/>
  <c r="DR43" i="40"/>
  <c r="EB39" i="40"/>
  <c r="V20" i="40"/>
  <c r="AY20" i="40"/>
  <c r="AD20" i="40"/>
  <c r="FS20" i="40"/>
  <c r="GB24" i="40"/>
  <c r="AX24" i="40"/>
  <c r="F10" i="29" s="1"/>
  <c r="BI28" i="40"/>
  <c r="GV28" i="40"/>
  <c r="CN36" i="40"/>
  <c r="EX36" i="40"/>
  <c r="EC40" i="40"/>
  <c r="K40" i="40"/>
  <c r="S27" i="40"/>
  <c r="BH29" i="40"/>
  <c r="CB29" i="40"/>
  <c r="BZ50" i="40"/>
  <c r="CB41" i="40"/>
  <c r="D7" i="29"/>
  <c r="G7" i="29" s="1"/>
  <c r="Q18" i="5"/>
  <c r="AY32" i="40"/>
  <c r="G18" i="29" s="1"/>
  <c r="Q21" i="5"/>
  <c r="L31" i="40"/>
  <c r="AF31" i="40"/>
  <c r="AD43" i="40"/>
  <c r="AN27" i="40"/>
  <c r="AM29" i="40"/>
  <c r="AP35" i="40"/>
  <c r="AP43" i="40"/>
  <c r="AZ27" i="40"/>
  <c r="BT27" i="40"/>
  <c r="BT31" i="40"/>
  <c r="BT39" i="40"/>
  <c r="BR51" i="40"/>
  <c r="CB25" i="40"/>
  <c r="CE27" i="40"/>
  <c r="DG35" i="40"/>
  <c r="DJ39" i="40"/>
  <c r="EK40" i="40"/>
  <c r="EK41" i="40"/>
  <c r="EU30" i="40"/>
  <c r="EU41" i="40"/>
  <c r="FF32" i="40"/>
  <c r="FP23" i="40"/>
  <c r="FZ31" i="40"/>
  <c r="GJ29" i="40"/>
  <c r="GJ31" i="40"/>
  <c r="GJ36" i="40"/>
  <c r="S60" i="40"/>
  <c r="AC63" i="40"/>
  <c r="BR63" i="40"/>
  <c r="DG63" i="40"/>
  <c r="EA63" i="40"/>
  <c r="EK60" i="40"/>
  <c r="EU63" i="40"/>
  <c r="G9" i="35"/>
  <c r="BR35" i="40"/>
  <c r="ES45" i="40"/>
  <c r="EU45" i="40" s="1"/>
  <c r="F27" i="29"/>
  <c r="G23" i="29"/>
  <c r="D23" i="29"/>
  <c r="F59" i="26"/>
  <c r="F14" i="26"/>
  <c r="J37" i="1"/>
  <c r="G27" i="26"/>
  <c r="G62" i="26"/>
  <c r="J41" i="1"/>
  <c r="F20" i="26"/>
  <c r="J33" i="1"/>
  <c r="J52" i="26"/>
  <c r="F39" i="26"/>
  <c r="J36" i="26"/>
  <c r="G45" i="1"/>
  <c r="F19" i="26"/>
  <c r="G49" i="26"/>
  <c r="G58" i="1"/>
  <c r="F29" i="1"/>
  <c r="G12" i="26"/>
  <c r="J44" i="26"/>
  <c r="G31" i="1"/>
  <c r="F65" i="1"/>
  <c r="G17" i="1"/>
  <c r="H74" i="1" s="1"/>
  <c r="F15" i="26"/>
  <c r="H130" i="26" s="1"/>
  <c r="G188" i="26" s="1"/>
  <c r="F51" i="26"/>
  <c r="F56" i="26"/>
  <c r="F28" i="1"/>
  <c r="J40" i="1"/>
  <c r="F60" i="26"/>
  <c r="F61" i="26"/>
  <c r="G55" i="1"/>
  <c r="G59" i="26"/>
  <c r="H116" i="26" s="1"/>
  <c r="G47" i="1"/>
  <c r="H104" i="1" s="1"/>
  <c r="G60" i="1"/>
  <c r="G26" i="26"/>
  <c r="G25" i="26"/>
  <c r="G30" i="26"/>
  <c r="F21" i="26"/>
  <c r="H136" i="26" s="1"/>
  <c r="G194" i="26" s="1"/>
  <c r="F48" i="1"/>
  <c r="F35" i="26"/>
  <c r="F40" i="26"/>
  <c r="F47" i="26"/>
  <c r="F64" i="1"/>
  <c r="H179" i="1" s="1"/>
  <c r="G237" i="1" s="1"/>
  <c r="F36" i="26"/>
  <c r="GT23" i="40"/>
  <c r="GT63" i="40"/>
  <c r="GJ32" i="40"/>
  <c r="FZ42" i="40"/>
  <c r="FZ23" i="40"/>
  <c r="FZ43" i="40"/>
  <c r="FZ34" i="40"/>
  <c r="FP38" i="40"/>
  <c r="FF23" i="40"/>
  <c r="FF51" i="40"/>
  <c r="FF34" i="40"/>
  <c r="EK51" i="40"/>
  <c r="EK30" i="40"/>
  <c r="EK31" i="40"/>
  <c r="EA34" i="40"/>
  <c r="EA43" i="40"/>
  <c r="EA38" i="40"/>
  <c r="DQ38" i="40"/>
  <c r="DG39" i="40"/>
  <c r="DG42" i="40"/>
  <c r="DG51" i="40"/>
  <c r="CV60" i="40"/>
  <c r="CV42" i="40"/>
  <c r="CL31" i="40"/>
  <c r="CL50" i="40"/>
  <c r="CL34" i="40"/>
  <c r="BR46" i="40"/>
  <c r="BR38" i="40"/>
  <c r="BR39" i="40"/>
  <c r="BR43" i="40"/>
  <c r="BR50" i="40"/>
  <c r="BH24" i="40"/>
  <c r="E8" i="29"/>
  <c r="E12" i="29"/>
  <c r="E42" i="29"/>
  <c r="E5" i="29"/>
  <c r="E9" i="29"/>
  <c r="E35" i="29"/>
  <c r="AW46" i="40"/>
  <c r="E26" i="29" s="1"/>
  <c r="AW42" i="40"/>
  <c r="E48" i="29"/>
  <c r="S30" i="40"/>
  <c r="S50" i="40"/>
  <c r="S35" i="40"/>
  <c r="S51" i="40"/>
  <c r="G33" i="29"/>
  <c r="FS64" i="40"/>
  <c r="GB64" i="40"/>
  <c r="FH64" i="40"/>
  <c r="AO64" i="40"/>
  <c r="GU64" i="40"/>
  <c r="CE64" i="40"/>
  <c r="GC64" i="40"/>
  <c r="DI64" i="40"/>
  <c r="AX64" i="40"/>
  <c r="F44" i="29"/>
  <c r="DS64" i="40"/>
  <c r="CN64" i="40"/>
  <c r="EC64" i="40"/>
  <c r="CC64" i="40"/>
  <c r="CM64" i="40"/>
  <c r="FQ64" i="40"/>
  <c r="AD64" i="40"/>
  <c r="EN64" i="40"/>
  <c r="AY64" i="40"/>
  <c r="DR64" i="40"/>
  <c r="DH64" i="40"/>
  <c r="GV64" i="40"/>
  <c r="BU64" i="40"/>
  <c r="GM64" i="40"/>
  <c r="U64" i="40"/>
  <c r="CX64" i="40"/>
  <c r="BT64" i="40"/>
  <c r="J64" i="40"/>
  <c r="BS64" i="40"/>
  <c r="EM64" i="40"/>
  <c r="AZ64" i="40"/>
  <c r="I64" i="40"/>
  <c r="FR64" i="40"/>
  <c r="AF64" i="40"/>
  <c r="CW64" i="40"/>
  <c r="V64" i="40"/>
  <c r="EX64" i="40"/>
  <c r="EB64" i="40"/>
  <c r="BK64" i="40"/>
  <c r="AP64" i="40"/>
  <c r="J56" i="40"/>
  <c r="AE56" i="40"/>
  <c r="CM56" i="40"/>
  <c r="GW56" i="40"/>
  <c r="DI56" i="40"/>
  <c r="FS56" i="40"/>
  <c r="GL56" i="40"/>
  <c r="GC56" i="40"/>
  <c r="L56" i="40"/>
  <c r="AY56" i="40"/>
  <c r="CY56" i="40"/>
  <c r="K56" i="40"/>
  <c r="DH56" i="40"/>
  <c r="FG56" i="40"/>
  <c r="BK56" i="40"/>
  <c r="CC56" i="40"/>
  <c r="GU56" i="40"/>
  <c r="CE56" i="40"/>
  <c r="AZ56" i="40"/>
  <c r="BI56" i="40"/>
  <c r="DS56" i="40"/>
  <c r="BT56" i="40"/>
  <c r="GM56" i="40"/>
  <c r="GK56" i="40"/>
  <c r="DJ56" i="40"/>
  <c r="FQ56" i="40"/>
  <c r="AX56" i="40"/>
  <c r="I56" i="40"/>
  <c r="CO56" i="40"/>
  <c r="EX56" i="40"/>
  <c r="EN56" i="40"/>
  <c r="BJ56" i="40"/>
  <c r="GV56" i="40"/>
  <c r="FH56" i="40"/>
  <c r="GA56" i="40"/>
  <c r="CD56" i="40"/>
  <c r="DR56" i="40"/>
  <c r="BS56" i="40"/>
  <c r="CN56" i="40"/>
  <c r="U56" i="40"/>
  <c r="AN56" i="40"/>
  <c r="BU56" i="40"/>
  <c r="FR56" i="40"/>
  <c r="AO56" i="40"/>
  <c r="AP56" i="40"/>
  <c r="EC56" i="40"/>
  <c r="CC48" i="40"/>
  <c r="FG48" i="40"/>
  <c r="FS48" i="40"/>
  <c r="GW48" i="40"/>
  <c r="GV48" i="40"/>
  <c r="DS48" i="40"/>
  <c r="FH48" i="40"/>
  <c r="DI48" i="40"/>
  <c r="J48" i="40"/>
  <c r="CD48" i="40"/>
  <c r="AD48" i="40"/>
  <c r="AF48" i="40"/>
  <c r="AX48" i="40"/>
  <c r="BT48" i="40"/>
  <c r="EC48" i="40"/>
  <c r="BI48" i="40"/>
  <c r="K48" i="40"/>
  <c r="BK48" i="40"/>
  <c r="BJ48" i="40"/>
  <c r="AO48" i="40"/>
  <c r="EN48" i="40"/>
  <c r="EM48" i="40"/>
  <c r="FI48" i="40"/>
  <c r="T48" i="40"/>
  <c r="L48" i="40"/>
  <c r="V48" i="40"/>
  <c r="AN48" i="40"/>
  <c r="CN48" i="40"/>
  <c r="FR48" i="40"/>
  <c r="GL48" i="40"/>
  <c r="AZ48" i="40"/>
  <c r="D28" i="29" s="1"/>
  <c r="G28" i="29"/>
  <c r="EX48" i="40"/>
  <c r="AY48" i="40"/>
  <c r="CX48" i="40"/>
  <c r="GB48" i="40"/>
  <c r="GC48" i="40"/>
  <c r="CO48" i="40"/>
  <c r="FQ40" i="40"/>
  <c r="DJ40" i="40"/>
  <c r="CO40" i="40"/>
  <c r="BS40" i="40"/>
  <c r="BI40" i="40"/>
  <c r="V40" i="40"/>
  <c r="I40" i="40"/>
  <c r="AF40" i="40"/>
  <c r="FR40" i="40"/>
  <c r="EX40" i="40"/>
  <c r="DT40" i="40"/>
  <c r="CD40" i="40"/>
  <c r="CE40" i="40"/>
  <c r="AO40" i="40"/>
  <c r="EB40" i="40"/>
  <c r="GM40" i="40"/>
  <c r="BJ40" i="40"/>
  <c r="CX40" i="40"/>
  <c r="J40" i="40"/>
  <c r="DR40" i="40"/>
  <c r="EN40" i="40"/>
  <c r="ED40" i="40"/>
  <c r="FS40" i="40"/>
  <c r="AY40" i="40"/>
  <c r="G20" i="29" s="1"/>
  <c r="BK40" i="40"/>
  <c r="FH40" i="40"/>
  <c r="CN40" i="40"/>
  <c r="FI40" i="40"/>
  <c r="T40" i="40"/>
  <c r="CY40" i="40"/>
  <c r="GC40" i="40"/>
  <c r="BU40" i="40"/>
  <c r="BT40" i="40"/>
  <c r="AP40" i="40"/>
  <c r="AN40" i="40"/>
  <c r="FQ32" i="40"/>
  <c r="CY32" i="40"/>
  <c r="EW32" i="40"/>
  <c r="AX32" i="40"/>
  <c r="F18" i="29" s="1"/>
  <c r="U32" i="40"/>
  <c r="DH32" i="40"/>
  <c r="K32" i="40"/>
  <c r="AO32" i="40"/>
  <c r="FR32" i="40"/>
  <c r="EX32" i="40"/>
  <c r="CE32" i="40"/>
  <c r="GC32" i="40"/>
  <c r="EN32" i="40"/>
  <c r="T32" i="40"/>
  <c r="AP32" i="40"/>
  <c r="BS32" i="40"/>
  <c r="GM32" i="40"/>
  <c r="BU32" i="40"/>
  <c r="AF32" i="40"/>
  <c r="FH32" i="40"/>
  <c r="L32" i="40"/>
  <c r="AN32" i="40"/>
  <c r="GB32" i="40"/>
  <c r="I32" i="40"/>
  <c r="DJ32" i="40"/>
  <c r="FS32" i="40"/>
  <c r="J32" i="40"/>
  <c r="DT32" i="40"/>
  <c r="GW32" i="40"/>
  <c r="DI32" i="40"/>
  <c r="DS32" i="40"/>
  <c r="BT32" i="40"/>
  <c r="EC32" i="40"/>
  <c r="GA24" i="40"/>
  <c r="EV24" i="40"/>
  <c r="CY24" i="40"/>
  <c r="BK24" i="40"/>
  <c r="GU24" i="40"/>
  <c r="FG24" i="40"/>
  <c r="K24" i="40"/>
  <c r="FR24" i="40"/>
  <c r="BI24" i="40"/>
  <c r="DJ24" i="40"/>
  <c r="EX24" i="40"/>
  <c r="DI24" i="40"/>
  <c r="CD24" i="40"/>
  <c r="EB24" i="40"/>
  <c r="AE24" i="40"/>
  <c r="CM24" i="40"/>
  <c r="GM24" i="40"/>
  <c r="DS24" i="40"/>
  <c r="EM24" i="40"/>
  <c r="DH24" i="40"/>
  <c r="CX24" i="40"/>
  <c r="AY24" i="40"/>
  <c r="G10" i="29" s="1"/>
  <c r="EW24" i="40"/>
  <c r="BU24" i="40"/>
  <c r="EL24" i="40"/>
  <c r="FS24" i="40"/>
  <c r="GW24" i="40"/>
  <c r="BT24" i="40"/>
  <c r="GV24" i="40"/>
  <c r="GC24" i="40"/>
  <c r="EC24" i="40"/>
  <c r="T24" i="40"/>
  <c r="AD24" i="40"/>
  <c r="J24" i="40"/>
  <c r="V36" i="40"/>
  <c r="GB28" i="40"/>
  <c r="U24" i="40"/>
  <c r="DJ20" i="40"/>
  <c r="EM40" i="40"/>
  <c r="EV68" i="40"/>
  <c r="U68" i="40"/>
  <c r="BJ68" i="40"/>
  <c r="BK52" i="40"/>
  <c r="DI52" i="40"/>
  <c r="CE52" i="40"/>
  <c r="EL20" i="40"/>
  <c r="EV40" i="40"/>
  <c r="AE40" i="40"/>
  <c r="CM40" i="40"/>
  <c r="FR36" i="40"/>
  <c r="DT28" i="40"/>
  <c r="EX28" i="40"/>
  <c r="I24" i="40"/>
  <c r="DR24" i="40"/>
  <c r="K20" i="40"/>
  <c r="GK20" i="40"/>
  <c r="J20" i="40"/>
  <c r="EM20" i="40"/>
  <c r="L64" i="40"/>
  <c r="GK64" i="40"/>
  <c r="BI64" i="40"/>
  <c r="ED64" i="40"/>
  <c r="GA64" i="40"/>
  <c r="CO64" i="40"/>
  <c r="AP48" i="40"/>
  <c r="GK48" i="40"/>
  <c r="EB48" i="40"/>
  <c r="I48" i="40"/>
  <c r="DR48" i="40"/>
  <c r="GM48" i="40"/>
  <c r="CO32" i="40"/>
  <c r="AZ32" i="40"/>
  <c r="D18" i="29" s="1"/>
  <c r="CM32" i="40"/>
  <c r="GL32" i="40"/>
  <c r="CW56" i="40"/>
  <c r="AD56" i="40"/>
  <c r="CX56" i="40"/>
  <c r="FI56" i="40"/>
  <c r="DT24" i="40"/>
  <c r="DS36" i="40"/>
  <c r="CM36" i="40"/>
  <c r="CE28" i="40"/>
  <c r="DH28" i="40"/>
  <c r="GB40" i="40"/>
  <c r="K68" i="40"/>
  <c r="CE68" i="40"/>
  <c r="GA52" i="40"/>
  <c r="V52" i="40"/>
  <c r="AX68" i="40"/>
  <c r="EL68" i="40"/>
  <c r="GK68" i="40"/>
  <c r="FQ68" i="40"/>
  <c r="CY68" i="40"/>
  <c r="V68" i="40"/>
  <c r="BK68" i="40"/>
  <c r="AZ68" i="40"/>
  <c r="DR68" i="40"/>
  <c r="CW68" i="40"/>
  <c r="BT68" i="40"/>
  <c r="J68" i="40"/>
  <c r="CM68" i="40"/>
  <c r="AN68" i="40"/>
  <c r="FS68" i="40"/>
  <c r="EB68" i="40"/>
  <c r="BU68" i="40"/>
  <c r="EW68" i="40"/>
  <c r="CX68" i="40"/>
  <c r="GV68" i="40"/>
  <c r="ED68" i="40"/>
  <c r="BI68" i="40"/>
  <c r="FR68" i="40"/>
  <c r="GC68" i="40"/>
  <c r="CO68" i="40"/>
  <c r="CD68" i="40"/>
  <c r="GB68" i="40"/>
  <c r="EM68" i="40"/>
  <c r="DJ68" i="40"/>
  <c r="DT68" i="40"/>
  <c r="DH68" i="40"/>
  <c r="EN68" i="40"/>
  <c r="AF68" i="40"/>
  <c r="AE68" i="40"/>
  <c r="GM68" i="40"/>
  <c r="CC68" i="40"/>
  <c r="DI68" i="40"/>
  <c r="GA68" i="40"/>
  <c r="EC68" i="40"/>
  <c r="GU68" i="40"/>
  <c r="FG68" i="40"/>
  <c r="AO68" i="40"/>
  <c r="GL68" i="40"/>
  <c r="BS68" i="40"/>
  <c r="T68" i="40"/>
  <c r="FI68" i="40"/>
  <c r="GW68" i="40"/>
  <c r="AY68" i="40"/>
  <c r="L68" i="40"/>
  <c r="CE60" i="40"/>
  <c r="DT52" i="40"/>
  <c r="EM52" i="40"/>
  <c r="EX52" i="40"/>
  <c r="EB52" i="40"/>
  <c r="CM52" i="40"/>
  <c r="DS52" i="40"/>
  <c r="GB52" i="40"/>
  <c r="GL52" i="40"/>
  <c r="BJ52" i="40"/>
  <c r="DR52" i="40"/>
  <c r="CX52" i="40"/>
  <c r="AD52" i="40"/>
  <c r="EC52" i="40"/>
  <c r="EL52" i="40"/>
  <c r="FR52" i="40"/>
  <c r="CO52" i="40"/>
  <c r="FQ52" i="40"/>
  <c r="T52" i="40"/>
  <c r="GW52" i="40"/>
  <c r="FS52" i="40"/>
  <c r="AY52" i="40"/>
  <c r="EW52" i="40"/>
  <c r="BI52" i="40"/>
  <c r="DH52" i="40"/>
  <c r="FI52" i="40"/>
  <c r="GV52" i="40"/>
  <c r="CN52" i="40"/>
  <c r="ED52" i="40"/>
  <c r="FG52" i="40"/>
  <c r="AZ52" i="40"/>
  <c r="D32" i="29" s="1"/>
  <c r="G32" i="29" s="1"/>
  <c r="CC52" i="40"/>
  <c r="EV52" i="40"/>
  <c r="BU52" i="40"/>
  <c r="L52" i="40"/>
  <c r="AX52" i="40"/>
  <c r="GC52" i="40"/>
  <c r="J52" i="40"/>
  <c r="AF52" i="40"/>
  <c r="DJ52" i="40"/>
  <c r="K52" i="40"/>
  <c r="U52" i="40"/>
  <c r="AE52" i="40"/>
  <c r="GM52" i="40"/>
  <c r="CY52" i="40"/>
  <c r="FH52" i="40"/>
  <c r="GK52" i="40"/>
  <c r="AN52" i="40"/>
  <c r="AO52" i="40"/>
  <c r="EN52" i="40"/>
  <c r="FQ36" i="40"/>
  <c r="K36" i="40"/>
  <c r="GB36" i="40"/>
  <c r="FH36" i="40"/>
  <c r="FI36" i="40"/>
  <c r="EM36" i="40"/>
  <c r="BS36" i="40"/>
  <c r="L36" i="40"/>
  <c r="AO36" i="40"/>
  <c r="ED36" i="40"/>
  <c r="DI36" i="40"/>
  <c r="CY36" i="40"/>
  <c r="AZ36" i="40"/>
  <c r="CW36" i="40"/>
  <c r="CE36" i="40"/>
  <c r="GW36" i="40"/>
  <c r="BT36" i="40"/>
  <c r="EC36" i="40"/>
  <c r="AP36" i="40"/>
  <c r="EW36" i="40"/>
  <c r="GC36" i="40"/>
  <c r="GV36" i="40"/>
  <c r="BU36" i="40"/>
  <c r="AX36" i="40"/>
  <c r="EN36" i="40"/>
  <c r="AN36" i="40"/>
  <c r="U36" i="40"/>
  <c r="FS36" i="40"/>
  <c r="DR36" i="40"/>
  <c r="GL36" i="40"/>
  <c r="CO28" i="40"/>
  <c r="K28" i="40"/>
  <c r="EN28" i="40"/>
  <c r="AY28" i="40"/>
  <c r="G14" i="29" s="1"/>
  <c r="AN28" i="40"/>
  <c r="L28" i="40"/>
  <c r="U28" i="40"/>
  <c r="AX28" i="40"/>
  <c r="AE28" i="40"/>
  <c r="GM28" i="40"/>
  <c r="CW28" i="40"/>
  <c r="GC28" i="40"/>
  <c r="BJ28" i="40"/>
  <c r="GL28" i="40"/>
  <c r="GW28" i="40"/>
  <c r="ED28" i="40"/>
  <c r="EW28" i="40"/>
  <c r="AZ28" i="40"/>
  <c r="T28" i="40"/>
  <c r="CN28" i="40"/>
  <c r="DI28" i="40"/>
  <c r="FH28" i="40"/>
  <c r="DJ28" i="40"/>
  <c r="BS28" i="40"/>
  <c r="I28" i="40"/>
  <c r="AP28" i="40"/>
  <c r="AD28" i="40"/>
  <c r="EL28" i="40"/>
  <c r="J28" i="40"/>
  <c r="CD28" i="40"/>
  <c r="FR20" i="40"/>
  <c r="EC20" i="40"/>
  <c r="CC20" i="40"/>
  <c r="BS20" i="40"/>
  <c r="AF20" i="40"/>
  <c r="AP20" i="40"/>
  <c r="BK20" i="40"/>
  <c r="EN20" i="40"/>
  <c r="U20" i="40"/>
  <c r="AE20" i="40"/>
  <c r="EB20" i="40"/>
  <c r="CX20" i="40"/>
  <c r="GV20" i="40"/>
  <c r="GU20" i="40"/>
  <c r="FQ20" i="40"/>
  <c r="DS20" i="40"/>
  <c r="FG20" i="40"/>
  <c r="DR20" i="40"/>
  <c r="GM20" i="40"/>
  <c r="CD20" i="40"/>
  <c r="FH20" i="40"/>
  <c r="L20" i="40"/>
  <c r="BJ20" i="40"/>
  <c r="AN20" i="40"/>
  <c r="CW20" i="40"/>
  <c r="GL20" i="40"/>
  <c r="EW20" i="40"/>
  <c r="FI20" i="40"/>
  <c r="CM20" i="40"/>
  <c r="DH20" i="40"/>
  <c r="T20" i="40"/>
  <c r="GB20" i="40"/>
  <c r="AX20" i="40"/>
  <c r="F6" i="29" s="1"/>
  <c r="ED20" i="40"/>
  <c r="CO20" i="40"/>
  <c r="AO20" i="40"/>
  <c r="DI20" i="40"/>
  <c r="EV20" i="40"/>
  <c r="I20" i="40"/>
  <c r="BI20" i="40"/>
  <c r="DT20" i="40"/>
  <c r="U40" i="40"/>
  <c r="GM36" i="40"/>
  <c r="AO28" i="40"/>
  <c r="AN24" i="40"/>
  <c r="AZ20" i="40"/>
  <c r="CN20" i="40"/>
  <c r="GA20" i="40"/>
  <c r="CD64" i="40"/>
  <c r="BJ64" i="40"/>
  <c r="EV64" i="40"/>
  <c r="EW64" i="40"/>
  <c r="GL64" i="40"/>
  <c r="DJ64" i="40"/>
  <c r="CE48" i="40"/>
  <c r="DJ48" i="40"/>
  <c r="DH48" i="40"/>
  <c r="BU48" i="40"/>
  <c r="ED48" i="40"/>
  <c r="EW48" i="40"/>
  <c r="CW32" i="40"/>
  <c r="AE32" i="40"/>
  <c r="EL32" i="40"/>
  <c r="EL56" i="40"/>
  <c r="EW56" i="40"/>
  <c r="EV56" i="40"/>
  <c r="GB56" i="40"/>
  <c r="BJ24" i="40"/>
  <c r="AF24" i="40"/>
  <c r="EB36" i="40"/>
  <c r="CC28" i="40"/>
  <c r="GW40" i="40"/>
  <c r="EW40" i="40"/>
  <c r="DJ36" i="40"/>
  <c r="AF36" i="40"/>
  <c r="CX28" i="40"/>
  <c r="FS28" i="40"/>
  <c r="FI24" i="40"/>
  <c r="L24" i="40"/>
  <c r="EX20" i="40"/>
  <c r="BU20" i="40"/>
  <c r="CY20" i="40"/>
  <c r="BT20" i="40"/>
  <c r="GW64" i="40"/>
  <c r="AE64" i="40"/>
  <c r="EL64" i="40"/>
  <c r="FG64" i="40"/>
  <c r="CY64" i="40"/>
  <c r="EV48" i="40"/>
  <c r="GA48" i="40"/>
  <c r="FQ48" i="40"/>
  <c r="CY48" i="40"/>
  <c r="EL48" i="40"/>
  <c r="BK32" i="40"/>
  <c r="FI32" i="40"/>
  <c r="GA32" i="40"/>
  <c r="T56" i="40"/>
  <c r="AF56" i="40"/>
  <c r="V56" i="40"/>
  <c r="DT56" i="40"/>
  <c r="CE24" i="40"/>
  <c r="DT36" i="40"/>
  <c r="I36" i="40"/>
  <c r="FI28" i="40"/>
  <c r="GV40" i="40"/>
  <c r="CN68" i="40"/>
  <c r="EX68" i="40"/>
  <c r="DS68" i="40"/>
  <c r="AP52" i="40"/>
  <c r="GU52" i="40"/>
  <c r="BT52" i="40"/>
  <c r="GC20" i="40"/>
  <c r="AF28" i="40"/>
  <c r="AZ40" i="40"/>
  <c r="D20" i="29" s="1"/>
  <c r="CC40" i="40"/>
  <c r="CN24" i="40"/>
  <c r="CO36" i="40"/>
  <c r="GK36" i="40"/>
  <c r="AO24" i="40"/>
  <c r="BS24" i="40"/>
  <c r="BU28" i="40"/>
  <c r="CX32" i="40"/>
  <c r="DI40" i="40"/>
  <c r="GK42" i="40"/>
  <c r="L42" i="40"/>
  <c r="I42" i="40"/>
  <c r="AF42" i="40"/>
  <c r="FG38" i="40"/>
  <c r="EV38" i="40"/>
  <c r="EL38" i="40"/>
  <c r="GV38" i="40"/>
  <c r="CW38" i="40"/>
  <c r="EW38" i="40"/>
  <c r="AP38" i="40"/>
  <c r="FH38" i="40"/>
  <c r="DI38" i="40"/>
  <c r="EM38" i="40"/>
  <c r="GW38" i="40"/>
  <c r="GK38" i="40"/>
  <c r="DJ38" i="40"/>
  <c r="AZ38" i="40"/>
  <c r="AF38" i="40"/>
  <c r="AN38" i="40"/>
  <c r="U38" i="40"/>
  <c r="GL38" i="40"/>
  <c r="AO38" i="40"/>
  <c r="AY38" i="40"/>
  <c r="BT38" i="40"/>
  <c r="DT38" i="40"/>
  <c r="GC38" i="40"/>
  <c r="ED38" i="40"/>
  <c r="GK34" i="40"/>
  <c r="CO34" i="40"/>
  <c r="AY34" i="40"/>
  <c r="V34" i="40"/>
  <c r="DH34" i="40"/>
  <c r="K34" i="40"/>
  <c r="GM34" i="40"/>
  <c r="DJ34" i="40"/>
  <c r="AN34" i="40"/>
  <c r="BU34" i="40"/>
  <c r="DS34" i="40"/>
  <c r="CE34" i="40"/>
  <c r="DI34" i="40"/>
  <c r="FG34" i="40"/>
  <c r="EV34" i="40"/>
  <c r="AX34" i="40"/>
  <c r="J34" i="40"/>
  <c r="GB34" i="40"/>
  <c r="AP34" i="40"/>
  <c r="EN34" i="40"/>
  <c r="AF34" i="40"/>
  <c r="FS34" i="40"/>
  <c r="AD34" i="40"/>
  <c r="ED34" i="40"/>
  <c r="AZ34" i="40"/>
  <c r="FG30" i="40"/>
  <c r="EN30" i="40"/>
  <c r="CX30" i="40"/>
  <c r="GA30" i="40"/>
  <c r="EM26" i="40"/>
  <c r="AZ26" i="40"/>
  <c r="V32" i="40"/>
  <c r="AD36" i="40"/>
  <c r="AY36" i="40"/>
  <c r="BJ36" i="40"/>
  <c r="CC32" i="40"/>
  <c r="EM28" i="40"/>
  <c r="GA36" i="40"/>
  <c r="GL24" i="40"/>
  <c r="J38" i="40"/>
  <c r="L40" i="40"/>
  <c r="U26" i="40"/>
  <c r="V30" i="40"/>
  <c r="T36" i="40"/>
  <c r="BI36" i="40"/>
  <c r="BI38" i="40"/>
  <c r="BT28" i="40"/>
  <c r="BS34" i="40"/>
  <c r="BS38" i="40"/>
  <c r="CE26" i="40"/>
  <c r="CD30" i="40"/>
  <c r="CD34" i="40"/>
  <c r="CM28" i="40"/>
  <c r="CN30" i="40"/>
  <c r="CO38" i="40"/>
  <c r="CY30" i="40"/>
  <c r="CY38" i="40"/>
  <c r="EN26" i="40"/>
  <c r="EV26" i="40"/>
  <c r="EV32" i="40"/>
  <c r="FG32" i="40"/>
  <c r="FG40" i="40"/>
  <c r="GK26" i="40"/>
  <c r="GK32" i="40"/>
  <c r="GU34" i="40"/>
  <c r="GU36" i="40"/>
  <c r="L26" i="40"/>
  <c r="AE30" i="40"/>
  <c r="AE34" i="40"/>
  <c r="AE36" i="40"/>
  <c r="AD40" i="40"/>
  <c r="AP24" i="40"/>
  <c r="AP26" i="40"/>
  <c r="AZ24" i="40"/>
  <c r="AZ30" i="40"/>
  <c r="AZ42" i="40"/>
  <c r="D22" i="29"/>
  <c r="BJ32" i="40"/>
  <c r="CX36" i="40"/>
  <c r="CW40" i="40"/>
  <c r="DI26" i="40"/>
  <c r="DR28" i="40"/>
  <c r="EB26" i="40"/>
  <c r="FG36" i="40"/>
  <c r="FQ28" i="40"/>
  <c r="FQ34" i="40"/>
  <c r="FS38" i="40"/>
  <c r="GA40" i="40"/>
  <c r="GU28" i="40"/>
  <c r="E18" i="29"/>
  <c r="E28" i="29"/>
  <c r="E46" i="29"/>
  <c r="D4" i="29"/>
  <c r="G4" i="29"/>
  <c r="G25" i="35"/>
  <c r="Q6" i="5"/>
  <c r="G21" i="35"/>
  <c r="BH28" i="40"/>
  <c r="AW50" i="40"/>
  <c r="E30" i="29" s="1"/>
  <c r="AM39" i="40"/>
  <c r="GA28" i="40"/>
  <c r="FG28" i="40"/>
  <c r="EB28" i="40"/>
  <c r="DS28" i="40"/>
  <c r="CY28" i="40"/>
  <c r="AC35" i="40"/>
  <c r="AC51" i="40"/>
  <c r="AW25" i="40"/>
  <c r="E11" i="29" s="1"/>
  <c r="AW37" i="40"/>
  <c r="BH32" i="40"/>
  <c r="GK28" i="40"/>
  <c r="DQ26" i="40"/>
  <c r="GT51" i="40"/>
  <c r="DE44" i="40"/>
  <c r="DE49" i="40"/>
  <c r="DG49" i="40" s="1"/>
  <c r="DE45" i="40"/>
  <c r="DG45" i="40"/>
  <c r="DE46" i="40"/>
  <c r="DG46" i="40" s="1"/>
  <c r="DE50" i="40"/>
  <c r="DG50" i="40"/>
  <c r="BR65" i="40"/>
  <c r="BH60" i="40"/>
  <c r="CL63" i="40"/>
  <c r="DY49" i="40"/>
  <c r="EA49" i="40" s="1"/>
  <c r="GH46" i="40"/>
  <c r="GJ46" i="40" s="1"/>
  <c r="GH45" i="40"/>
  <c r="AM65" i="40"/>
  <c r="E22" i="29"/>
  <c r="D48" i="29"/>
  <c r="G48" i="29"/>
  <c r="D16" i="29"/>
  <c r="F28" i="29"/>
  <c r="F36" i="29"/>
  <c r="D36" i="29"/>
  <c r="G36" i="29" s="1"/>
  <c r="D44" i="29"/>
  <c r="G44" i="29" s="1"/>
  <c r="D14" i="29"/>
  <c r="F48" i="29"/>
  <c r="B54" i="32"/>
  <c r="F22" i="34" s="1"/>
  <c r="B7" i="32"/>
  <c r="F18" i="34" s="1"/>
  <c r="B53" i="32"/>
  <c r="F21" i="34" s="1"/>
  <c r="L226" i="1"/>
  <c r="F131" i="26"/>
  <c r="L188" i="1"/>
  <c r="V18" i="4"/>
  <c r="B51" i="32"/>
  <c r="F24" i="34" s="1"/>
  <c r="H139" i="34" s="1"/>
  <c r="G197" i="34" s="1"/>
  <c r="B45" i="35"/>
  <c r="B48" i="35"/>
  <c r="G8" i="32"/>
  <c r="B40" i="32"/>
  <c r="F56" i="34"/>
  <c r="H171" i="34" s="1"/>
  <c r="G229" i="34" s="1"/>
  <c r="B45" i="32"/>
  <c r="F61" i="34"/>
  <c r="H176" i="34" s="1"/>
  <c r="G234" i="34" s="1"/>
  <c r="B22" i="32"/>
  <c r="F37" i="34"/>
  <c r="G55" i="32"/>
  <c r="B4" i="32"/>
  <c r="F15" i="34" s="1"/>
  <c r="B3" i="32"/>
  <c r="F14" i="34" s="1"/>
  <c r="B12" i="32"/>
  <c r="F28" i="34" s="1"/>
  <c r="H55" i="32"/>
  <c r="D55" i="32" s="1"/>
  <c r="H23" i="34" s="1"/>
  <c r="B11" i="35"/>
  <c r="B16" i="35"/>
  <c r="H43" i="32"/>
  <c r="D43" i="32" s="1"/>
  <c r="H59" i="34" s="1"/>
  <c r="J116" i="34" s="1"/>
  <c r="F44" i="32"/>
  <c r="F55" i="32"/>
  <c r="B14" i="32"/>
  <c r="F30" i="34" s="1"/>
  <c r="H47" i="32"/>
  <c r="D47" i="32" s="1"/>
  <c r="H63" i="34" s="1"/>
  <c r="B14" i="35"/>
  <c r="B11" i="32"/>
  <c r="F27" i="34" s="1"/>
  <c r="F6" i="32"/>
  <c r="F52" i="32"/>
  <c r="H15" i="34"/>
  <c r="H44" i="32"/>
  <c r="D44" i="32" s="1"/>
  <c r="H60" i="34" s="1"/>
  <c r="G7" i="32"/>
  <c r="G3" i="32"/>
  <c r="H34" i="32"/>
  <c r="D34" i="32" s="1"/>
  <c r="H49" i="34" s="1"/>
  <c r="F47" i="32"/>
  <c r="F49" i="32"/>
  <c r="H52" i="32"/>
  <c r="D52" i="32" s="1"/>
  <c r="H20" i="34" s="1"/>
  <c r="G54" i="32"/>
  <c r="H6" i="32"/>
  <c r="H39" i="32"/>
  <c r="D39" i="32" s="1"/>
  <c r="H55" i="34" s="1"/>
  <c r="F3" i="32"/>
  <c r="F46" i="32"/>
  <c r="B2" i="32"/>
  <c r="F12" i="34" s="1"/>
  <c r="G51" i="32"/>
  <c r="F8" i="32"/>
  <c r="F4" i="32"/>
  <c r="D54" i="32"/>
  <c r="H22" i="34" s="1"/>
  <c r="L137" i="34" s="1"/>
  <c r="H7" i="32"/>
  <c r="D7" i="32" s="1"/>
  <c r="H18" i="34" s="1"/>
  <c r="G46" i="32"/>
  <c r="H46" i="32"/>
  <c r="D46" i="32" s="1"/>
  <c r="H62" i="34" s="1"/>
  <c r="F7" i="32"/>
  <c r="G53" i="32"/>
  <c r="H53" i="32"/>
  <c r="D53" i="32" s="1"/>
  <c r="H21" i="34" s="1"/>
  <c r="G4" i="32"/>
  <c r="F227" i="34"/>
  <c r="L212" i="34"/>
  <c r="J238" i="1"/>
  <c r="GH50" i="40"/>
  <c r="GR50" i="40"/>
  <c r="GT40" i="40"/>
  <c r="E31" i="29"/>
  <c r="GA60" i="40"/>
  <c r="FG60" i="40"/>
  <c r="EN60" i="40"/>
  <c r="AY60" i="40"/>
  <c r="BI60" i="40"/>
  <c r="CC60" i="40"/>
  <c r="AF60" i="40"/>
  <c r="DJ60" i="40"/>
  <c r="CX60" i="40"/>
  <c r="K60" i="40"/>
  <c r="DI60" i="40"/>
  <c r="BU60" i="40"/>
  <c r="CM60" i="40"/>
  <c r="EV60" i="40"/>
  <c r="EX60" i="40"/>
  <c r="BS60" i="40"/>
  <c r="AZ60" i="40"/>
  <c r="FI60" i="40"/>
  <c r="AP60" i="40"/>
  <c r="GM60" i="40"/>
  <c r="GL60" i="40"/>
  <c r="GU60" i="40"/>
  <c r="DH60" i="40"/>
  <c r="AX60" i="40"/>
  <c r="F40" i="29" s="1"/>
  <c r="EL60" i="40"/>
  <c r="L60" i="40"/>
  <c r="BJ60" i="40"/>
  <c r="T60" i="40"/>
  <c r="EC60" i="40"/>
  <c r="I60" i="40"/>
  <c r="U60" i="40"/>
  <c r="DS60" i="40"/>
  <c r="GB60" i="40"/>
  <c r="BK60" i="40"/>
  <c r="CW60" i="40"/>
  <c r="DR60" i="40"/>
  <c r="J60" i="40"/>
  <c r="GC60" i="40"/>
  <c r="GW60" i="40"/>
  <c r="CD60" i="40"/>
  <c r="EB60" i="40"/>
  <c r="EM60" i="40"/>
  <c r="GV60" i="40"/>
  <c r="AN60" i="40"/>
  <c r="ED60" i="40"/>
  <c r="CO60" i="40"/>
  <c r="FS60" i="40"/>
  <c r="BT60" i="40"/>
  <c r="CY60" i="40"/>
  <c r="G15" i="26"/>
  <c r="G15" i="1"/>
  <c r="FQ60" i="40"/>
  <c r="GT24" i="40"/>
  <c r="GR45" i="40"/>
  <c r="GT45" i="40"/>
  <c r="GR46" i="40"/>
  <c r="GT46" i="40" s="1"/>
  <c r="GR49" i="40"/>
  <c r="GT49" i="40"/>
  <c r="GK51" i="40"/>
  <c r="EV51" i="40"/>
  <c r="AE51" i="40"/>
  <c r="DH51" i="40"/>
  <c r="BS51" i="40"/>
  <c r="FR51" i="40"/>
  <c r="FI51" i="40"/>
  <c r="GW51" i="40"/>
  <c r="GA51" i="40"/>
  <c r="GL51" i="40"/>
  <c r="GC51" i="40"/>
  <c r="DS51" i="40"/>
  <c r="GM51" i="40"/>
  <c r="AY51" i="40"/>
  <c r="G31" i="29"/>
  <c r="GU51" i="40"/>
  <c r="ED51" i="40"/>
  <c r="CO51" i="40"/>
  <c r="AZ51" i="40"/>
  <c r="AD51" i="40"/>
  <c r="FH51" i="40"/>
  <c r="CE51" i="40"/>
  <c r="CY51" i="40"/>
  <c r="CX51" i="40"/>
  <c r="CW51" i="40"/>
  <c r="AX51" i="40"/>
  <c r="BJ51" i="40"/>
  <c r="EX51" i="40"/>
  <c r="FS51" i="40"/>
  <c r="GV51" i="40"/>
  <c r="AN51" i="40"/>
  <c r="EM51" i="40"/>
  <c r="EC51" i="40"/>
  <c r="AO51" i="40"/>
  <c r="V51" i="40"/>
  <c r="CN51" i="40"/>
  <c r="DI51" i="40"/>
  <c r="CD51" i="40"/>
  <c r="I51" i="40"/>
  <c r="EW51" i="40"/>
  <c r="BK51" i="40"/>
  <c r="GB51" i="40"/>
  <c r="J51" i="40"/>
  <c r="DT51" i="40"/>
  <c r="BT51" i="40"/>
  <c r="T51" i="40"/>
  <c r="G13" i="1"/>
  <c r="H70" i="1" s="1"/>
  <c r="G13" i="26"/>
  <c r="CN60" i="40"/>
  <c r="AD60" i="40"/>
  <c r="E27" i="29"/>
  <c r="FR25" i="40"/>
  <c r="EL25" i="40"/>
  <c r="AY25" i="40"/>
  <c r="G11" i="29" s="1"/>
  <c r="CY25" i="40"/>
  <c r="AZ25" i="40"/>
  <c r="GC25" i="40"/>
  <c r="GV25" i="40"/>
  <c r="FR29" i="40"/>
  <c r="EM29" i="40"/>
  <c r="BJ29" i="40"/>
  <c r="AN29" i="40"/>
  <c r="FI29" i="40"/>
  <c r="AX29" i="40"/>
  <c r="GL29" i="40"/>
  <c r="AO33" i="40"/>
  <c r="CY33" i="40"/>
  <c r="AP33" i="40"/>
  <c r="AN33" i="40"/>
  <c r="U33" i="40"/>
  <c r="CM33" i="40"/>
  <c r="T33" i="40"/>
  <c r="AD33" i="40"/>
  <c r="DH37" i="40"/>
  <c r="EX37" i="40"/>
  <c r="FI37" i="40"/>
  <c r="BK37" i="40"/>
  <c r="CW37" i="40"/>
  <c r="CM37" i="40"/>
  <c r="BT37" i="40"/>
  <c r="CE37" i="40"/>
  <c r="T37" i="40"/>
  <c r="AF37" i="40"/>
  <c r="CD41" i="40"/>
  <c r="L41" i="40"/>
  <c r="EN41" i="40"/>
  <c r="BK41" i="40"/>
  <c r="DI41" i="40"/>
  <c r="ED41" i="40"/>
  <c r="BT41" i="40"/>
  <c r="Q45" i="40"/>
  <c r="S45" i="40" s="1"/>
  <c r="AA49" i="40"/>
  <c r="AC49" i="40"/>
  <c r="AA46" i="40"/>
  <c r="AC46" i="40" s="1"/>
  <c r="AA44" i="40"/>
  <c r="AC44" i="40"/>
  <c r="BR27" i="40"/>
  <c r="BP49" i="40"/>
  <c r="BR49" i="40"/>
  <c r="F32" i="1"/>
  <c r="Q49" i="40"/>
  <c r="S49" i="40"/>
  <c r="BS33" i="40"/>
  <c r="F4" i="29"/>
  <c r="F32" i="29"/>
  <c r="FZ45" i="40"/>
  <c r="F48" i="32"/>
  <c r="G48" i="32"/>
  <c r="DS41" i="40"/>
  <c r="GV37" i="40"/>
  <c r="D3" i="29"/>
  <c r="G3" i="29"/>
  <c r="GW29" i="40"/>
  <c r="DJ25" i="40"/>
  <c r="EB33" i="40"/>
  <c r="EC41" i="40"/>
  <c r="E44" i="29"/>
  <c r="K51" i="40"/>
  <c r="AC23" i="40"/>
  <c r="AF25" i="40"/>
  <c r="AE29" i="40"/>
  <c r="AF51" i="40"/>
  <c r="G49" i="32"/>
  <c r="Q16" i="5"/>
  <c r="Q19" i="32"/>
  <c r="G18" i="35"/>
  <c r="G16" i="29"/>
  <c r="G23" i="35"/>
  <c r="G16" i="35"/>
  <c r="G22" i="29"/>
  <c r="G30" i="35"/>
  <c r="G22" i="35"/>
  <c r="G11" i="35"/>
  <c r="G29" i="35"/>
  <c r="G20" i="35"/>
  <c r="G10" i="35"/>
  <c r="G15" i="35"/>
  <c r="G24" i="35"/>
  <c r="G9" i="29"/>
  <c r="G17" i="35"/>
  <c r="G14" i="35"/>
  <c r="G19" i="35"/>
  <c r="Q11" i="32"/>
  <c r="AC26" i="40"/>
  <c r="FG51" i="40"/>
  <c r="F54" i="32"/>
  <c r="D6" i="32"/>
  <c r="H17" i="34" s="1"/>
  <c r="FZ49" i="40"/>
  <c r="F16" i="29"/>
  <c r="E15" i="29"/>
  <c r="L25" i="40"/>
  <c r="K29" i="40"/>
  <c r="FH33" i="40"/>
  <c r="FI41" i="40"/>
  <c r="GL33" i="40"/>
  <c r="H42" i="32"/>
  <c r="D42" i="32" s="1"/>
  <c r="H58" i="34" s="1"/>
  <c r="E19" i="29"/>
  <c r="AZ37" i="40"/>
  <c r="CE29" i="40"/>
  <c r="CN33" i="40"/>
  <c r="DS33" i="40"/>
  <c r="DR41" i="40"/>
  <c r="DR51" i="40"/>
  <c r="EC37" i="40"/>
  <c r="EB51" i="40"/>
  <c r="EM33" i="40"/>
  <c r="EL51" i="40"/>
  <c r="EX25" i="40"/>
  <c r="EX29" i="40"/>
  <c r="BU25" i="40"/>
  <c r="DR29" i="40"/>
  <c r="F3" i="29"/>
  <c r="AO25" i="40"/>
  <c r="AP37" i="40"/>
  <c r="AP51" i="40"/>
  <c r="BI51" i="40"/>
  <c r="CB46" i="40"/>
  <c r="EX41" i="40"/>
  <c r="FQ41" i="40"/>
  <c r="DT60" i="40"/>
  <c r="FR65" i="40"/>
  <c r="GW65" i="40"/>
  <c r="I65" i="40"/>
  <c r="EL65" i="40"/>
  <c r="BT61" i="40"/>
  <c r="GC61" i="40"/>
  <c r="FI61" i="40"/>
  <c r="EC35" i="40"/>
  <c r="GA35" i="40"/>
  <c r="GA31" i="40"/>
  <c r="EV31" i="40"/>
  <c r="V31" i="40"/>
  <c r="EB31" i="40"/>
  <c r="GU31" i="40"/>
  <c r="L51" i="40"/>
  <c r="U51" i="40"/>
  <c r="AD37" i="40"/>
  <c r="AD39" i="40"/>
  <c r="BJ31" i="40"/>
  <c r="BI35" i="40"/>
  <c r="BI39" i="40"/>
  <c r="BR31" i="40"/>
  <c r="DJ51" i="40"/>
  <c r="DT25" i="40"/>
  <c r="FQ43" i="40"/>
  <c r="GK29" i="40"/>
  <c r="GU35" i="40"/>
  <c r="GU43" i="40"/>
  <c r="AW34" i="40"/>
  <c r="BU51" i="40"/>
  <c r="CC31" i="40"/>
  <c r="CL30" i="40"/>
  <c r="CX41" i="40"/>
  <c r="DQ44" i="40"/>
  <c r="EV43" i="40"/>
  <c r="FG31" i="40"/>
  <c r="FG39" i="40"/>
  <c r="FF44" i="40"/>
  <c r="FQ29" i="40"/>
  <c r="FQ31" i="40"/>
  <c r="FQ35" i="40"/>
  <c r="FQ51" i="40"/>
  <c r="GC43" i="40"/>
  <c r="GK35" i="40"/>
  <c r="AM38" i="40"/>
  <c r="CB50" i="40"/>
  <c r="CL26" i="40"/>
  <c r="CL27" i="40"/>
  <c r="DQ42" i="40"/>
  <c r="EU26" i="40"/>
  <c r="FF46" i="40"/>
  <c r="FP30" i="40"/>
  <c r="FP34" i="40"/>
  <c r="GT36" i="40"/>
  <c r="GJ60" i="40"/>
  <c r="AW39" i="40"/>
  <c r="EU34" i="40"/>
  <c r="FZ46" i="40"/>
  <c r="AA45" i="40"/>
  <c r="AC45" i="40" s="1"/>
  <c r="ES44" i="40"/>
  <c r="EU44" i="40"/>
  <c r="GK63" i="40"/>
  <c r="EL63" i="40"/>
  <c r="CC63" i="40"/>
  <c r="FF63" i="40"/>
  <c r="B5" i="32"/>
  <c r="F16" i="34" s="1"/>
  <c r="B46" i="35"/>
  <c r="B39" i="32"/>
  <c r="F55" i="34" s="1"/>
  <c r="B38" i="32"/>
  <c r="F54" i="34" s="1"/>
  <c r="B47" i="35"/>
  <c r="B49" i="35"/>
  <c r="B50" i="32"/>
  <c r="F13" i="34" s="1"/>
  <c r="B47" i="32"/>
  <c r="F63" i="34" s="1"/>
  <c r="B42" i="35"/>
  <c r="B48" i="32"/>
  <c r="F64" i="34"/>
  <c r="B34" i="35"/>
  <c r="B38" i="35"/>
  <c r="B44" i="32"/>
  <c r="F60" i="34"/>
  <c r="B39" i="35"/>
  <c r="B18" i="35"/>
  <c r="B18" i="32"/>
  <c r="F33" i="34"/>
  <c r="B24" i="32"/>
  <c r="F39" i="34" s="1"/>
  <c r="B21" i="32"/>
  <c r="F36" i="34" s="1"/>
  <c r="B25" i="32"/>
  <c r="F40" i="34" s="1"/>
  <c r="H155" i="34" s="1"/>
  <c r="G213" i="34" s="1"/>
  <c r="B15" i="35"/>
  <c r="B31" i="32"/>
  <c r="F46" i="34" s="1"/>
  <c r="B15" i="32"/>
  <c r="F31" i="34" s="1"/>
  <c r="B3" i="35"/>
  <c r="B9" i="32"/>
  <c r="F25" i="34" s="1"/>
  <c r="B32" i="32"/>
  <c r="F47" i="34" s="1"/>
  <c r="B10" i="32"/>
  <c r="F26" i="34" s="1"/>
  <c r="B7" i="35"/>
  <c r="B12" i="35"/>
  <c r="B30" i="32"/>
  <c r="F45" i="34" s="1"/>
  <c r="B4" i="35"/>
  <c r="B13" i="35"/>
  <c r="B33" i="32"/>
  <c r="F48" i="34" s="1"/>
  <c r="D11" i="29"/>
  <c r="D40" i="29"/>
  <c r="G40" i="29" s="1"/>
  <c r="D31" i="29"/>
  <c r="F15" i="29"/>
  <c r="B41" i="35"/>
  <c r="B44" i="35"/>
  <c r="B23" i="32"/>
  <c r="F38" i="34"/>
  <c r="H153" i="34" s="1"/>
  <c r="G211" i="34" s="1"/>
  <c r="B46" i="32"/>
  <c r="F62" i="34"/>
  <c r="B49" i="32"/>
  <c r="F65" i="34"/>
  <c r="B33" i="35"/>
  <c r="B32" i="35"/>
  <c r="B37" i="35"/>
  <c r="B19" i="35"/>
  <c r="B19" i="32"/>
  <c r="F34" i="34"/>
  <c r="B20" i="32"/>
  <c r="F35" i="34"/>
  <c r="H150" i="34" s="1"/>
  <c r="G208" i="34" s="1"/>
  <c r="B10" i="35"/>
  <c r="B5" i="35"/>
  <c r="B26" i="35"/>
  <c r="B25" i="35"/>
  <c r="B8" i="35"/>
  <c r="B6" i="32"/>
  <c r="F17" i="34" s="1"/>
  <c r="B9" i="35"/>
  <c r="B34" i="32"/>
  <c r="F49" i="34"/>
  <c r="B24" i="35"/>
  <c r="B2" i="35"/>
  <c r="B27" i="35"/>
  <c r="B43" i="35"/>
  <c r="B17" i="32"/>
  <c r="F51" i="34"/>
  <c r="B40" i="35"/>
  <c r="B28" i="35"/>
  <c r="B6" i="35"/>
  <c r="B17" i="35"/>
  <c r="E3" i="29"/>
  <c r="E40" i="29"/>
  <c r="G29" i="1"/>
  <c r="G29" i="26"/>
  <c r="G61" i="1"/>
  <c r="G61" i="26"/>
  <c r="G48" i="26"/>
  <c r="G48" i="1"/>
  <c r="H105" i="1" s="1"/>
  <c r="C66" i="32"/>
  <c r="D66" i="32"/>
  <c r="K2" i="35" s="1"/>
  <c r="D39" i="29"/>
  <c r="G39" i="29" s="1"/>
  <c r="F2" i="32"/>
  <c r="G2" i="32"/>
  <c r="H2" i="32"/>
  <c r="D2" i="32" s="1"/>
  <c r="H12" i="34" s="1"/>
  <c r="D9" i="29"/>
  <c r="E32" i="29"/>
  <c r="CN25" i="40"/>
  <c r="FI25" i="40"/>
  <c r="BI25" i="40"/>
  <c r="GW25" i="40"/>
  <c r="DI25" i="40"/>
  <c r="GK25" i="40"/>
  <c r="U25" i="40"/>
  <c r="AD25" i="40"/>
  <c r="CX25" i="40"/>
  <c r="GB25" i="40"/>
  <c r="EB25" i="40"/>
  <c r="K25" i="40"/>
  <c r="G49" i="40"/>
  <c r="EC25" i="40"/>
  <c r="AP25" i="40"/>
  <c r="GM25" i="40"/>
  <c r="FG25" i="40"/>
  <c r="J25" i="40"/>
  <c r="CM25" i="40"/>
  <c r="ED25" i="40"/>
  <c r="FH25" i="40"/>
  <c r="V25" i="40"/>
  <c r="BJ25" i="40"/>
  <c r="DH25" i="40"/>
  <c r="BT25" i="40"/>
  <c r="GU25" i="40"/>
  <c r="G45" i="40"/>
  <c r="T45" i="40" s="1"/>
  <c r="CC45" i="40"/>
  <c r="EW25" i="40"/>
  <c r="FQ25" i="40"/>
  <c r="EV25" i="40"/>
  <c r="AE25" i="40"/>
  <c r="GL25" i="40"/>
  <c r="T25" i="40"/>
  <c r="G46" i="40"/>
  <c r="DJ46" i="40" s="1"/>
  <c r="CC46" i="40"/>
  <c r="DR25" i="40"/>
  <c r="DS25" i="40"/>
  <c r="I25" i="40"/>
  <c r="AX25" i="40"/>
  <c r="F11" i="29" s="1"/>
  <c r="CD29" i="40"/>
  <c r="AD29" i="40"/>
  <c r="CN29" i="40"/>
  <c r="I29" i="40"/>
  <c r="GV29" i="40"/>
  <c r="V29" i="40"/>
  <c r="CM29" i="40"/>
  <c r="BU29" i="40"/>
  <c r="L29" i="40"/>
  <c r="BI29" i="40"/>
  <c r="ED29" i="40"/>
  <c r="BT29" i="40"/>
  <c r="AO29" i="40"/>
  <c r="CW29" i="40"/>
  <c r="EV29" i="40"/>
  <c r="GA29" i="40"/>
  <c r="BK29" i="40"/>
  <c r="DJ29" i="40"/>
  <c r="BS29" i="40"/>
  <c r="AP29" i="40"/>
  <c r="EL29" i="40"/>
  <c r="T29" i="40"/>
  <c r="J29" i="40"/>
  <c r="EB29" i="40"/>
  <c r="CY29" i="40"/>
  <c r="GM29" i="40"/>
  <c r="AY29" i="40"/>
  <c r="CX29" i="40"/>
  <c r="CC29" i="40"/>
  <c r="GB29" i="40"/>
  <c r="EW29" i="40"/>
  <c r="GU29" i="40"/>
  <c r="DT29" i="40"/>
  <c r="U29" i="40"/>
  <c r="GC29" i="40"/>
  <c r="EC29" i="40"/>
  <c r="BK33" i="40"/>
  <c r="CW33" i="40"/>
  <c r="GV33" i="40"/>
  <c r="DI33" i="40"/>
  <c r="BJ33" i="40"/>
  <c r="AF33" i="40"/>
  <c r="EN33" i="40"/>
  <c r="J33" i="40"/>
  <c r="EC33" i="40"/>
  <c r="FI33" i="40"/>
  <c r="GA33" i="40"/>
  <c r="DT33" i="40"/>
  <c r="EL33" i="40"/>
  <c r="EV33" i="40"/>
  <c r="GK33" i="40"/>
  <c r="FG33" i="40"/>
  <c r="I33" i="40"/>
  <c r="CE33" i="40"/>
  <c r="CX33" i="40"/>
  <c r="BU33" i="40"/>
  <c r="GM33" i="40"/>
  <c r="DJ33" i="40"/>
  <c r="AX33" i="40"/>
  <c r="EX33" i="40"/>
  <c r="AZ33" i="40"/>
  <c r="CC33" i="40"/>
  <c r="GC33" i="40"/>
  <c r="AE33" i="40"/>
  <c r="CO33" i="40"/>
  <c r="L33" i="40"/>
  <c r="V33" i="40"/>
  <c r="K33" i="40"/>
  <c r="BS37" i="40"/>
  <c r="DS37" i="40"/>
  <c r="FQ37" i="40"/>
  <c r="DR37" i="40"/>
  <c r="CD37" i="40"/>
  <c r="GU37" i="40"/>
  <c r="BI37" i="40"/>
  <c r="AY37" i="40"/>
  <c r="GC37" i="40"/>
  <c r="GW37" i="40"/>
  <c r="CX37" i="40"/>
  <c r="FR37" i="40"/>
  <c r="FH37" i="40"/>
  <c r="GL37" i="40"/>
  <c r="EM37" i="40"/>
  <c r="K37" i="40"/>
  <c r="ED37" i="40"/>
  <c r="EV37" i="40"/>
  <c r="BJ37" i="40"/>
  <c r="L37" i="40"/>
  <c r="V37" i="40"/>
  <c r="AO37" i="40"/>
  <c r="EL37" i="40"/>
  <c r="CN37" i="40"/>
  <c r="EW37" i="40"/>
  <c r="AX37" i="40"/>
  <c r="U37" i="40"/>
  <c r="EN37" i="40"/>
  <c r="CY37" i="40"/>
  <c r="J37" i="40"/>
  <c r="CO37" i="40"/>
  <c r="I37" i="40"/>
  <c r="GB37" i="40"/>
  <c r="EB37" i="40"/>
  <c r="DT37" i="40"/>
  <c r="AY41" i="40"/>
  <c r="G21" i="29" s="1"/>
  <c r="CW41" i="40"/>
  <c r="GA41" i="40"/>
  <c r="J41" i="40"/>
  <c r="GM41" i="40"/>
  <c r="FR41" i="40"/>
  <c r="BU41" i="40"/>
  <c r="U41" i="40"/>
  <c r="EB41" i="40"/>
  <c r="FS41" i="40"/>
  <c r="CC41" i="40"/>
  <c r="GW41" i="40"/>
  <c r="DJ41" i="40"/>
  <c r="I41" i="40"/>
  <c r="GB41" i="40"/>
  <c r="BI41" i="40"/>
  <c r="GK41" i="40"/>
  <c r="DT41" i="40"/>
  <c r="CM41" i="40"/>
  <c r="BS41" i="40"/>
  <c r="AP41" i="40"/>
  <c r="CN41" i="40"/>
  <c r="AF41" i="40"/>
  <c r="T41" i="40"/>
  <c r="CE41" i="40"/>
  <c r="GV41" i="40"/>
  <c r="AZ41" i="40"/>
  <c r="D21" i="29" s="1"/>
  <c r="AO41" i="40"/>
  <c r="EW41" i="40"/>
  <c r="GC41" i="40"/>
  <c r="AD41" i="40"/>
  <c r="V41" i="40"/>
  <c r="Q44" i="40"/>
  <c r="S44" i="40" s="1"/>
  <c r="Q46" i="40"/>
  <c r="S46" i="40"/>
  <c r="S24" i="40"/>
  <c r="BF50" i="40"/>
  <c r="BH50" i="40"/>
  <c r="BH33" i="40"/>
  <c r="DS62" i="40"/>
  <c r="T62" i="40"/>
  <c r="EN62" i="40"/>
  <c r="AY62" i="40"/>
  <c r="BJ62" i="40"/>
  <c r="GK62" i="40"/>
  <c r="CN62" i="40"/>
  <c r="AN62" i="40"/>
  <c r="AZ62" i="40"/>
  <c r="GV62" i="40"/>
  <c r="CX62" i="40"/>
  <c r="EM62" i="40"/>
  <c r="CD62" i="40"/>
  <c r="EC62" i="40"/>
  <c r="FS62" i="40"/>
  <c r="BK62" i="40"/>
  <c r="BU62" i="40"/>
  <c r="GW62" i="40"/>
  <c r="GA62" i="40"/>
  <c r="CE62" i="40"/>
  <c r="FG62" i="40"/>
  <c r="FQ62" i="40"/>
  <c r="K62" i="40"/>
  <c r="ED62" i="40"/>
  <c r="AP62" i="40"/>
  <c r="CO62" i="40"/>
  <c r="DT62" i="40"/>
  <c r="L62" i="40"/>
  <c r="CW62" i="40"/>
  <c r="FH62" i="40"/>
  <c r="GM62" i="40"/>
  <c r="EW62" i="40"/>
  <c r="AX62" i="40"/>
  <c r="F42" i="29"/>
  <c r="V62" i="40"/>
  <c r="EV62" i="40"/>
  <c r="BT62" i="40"/>
  <c r="EB62" i="40"/>
  <c r="J62" i="40"/>
  <c r="DR62" i="40"/>
  <c r="EX62" i="40"/>
  <c r="CY62" i="40"/>
  <c r="DH62" i="40"/>
  <c r="GL62" i="40"/>
  <c r="I62" i="40"/>
  <c r="CC62" i="40"/>
  <c r="FI62" i="40"/>
  <c r="BI62" i="40"/>
  <c r="DJ62" i="40"/>
  <c r="GU62" i="40"/>
  <c r="GC62" i="40"/>
  <c r="DS58" i="40"/>
  <c r="CC58" i="40"/>
  <c r="CM58" i="40"/>
  <c r="AO58" i="40"/>
  <c r="FG58" i="40"/>
  <c r="AY58" i="40"/>
  <c r="DT58" i="40"/>
  <c r="CX58" i="40"/>
  <c r="FR58" i="40"/>
  <c r="CN58" i="40"/>
  <c r="CO58" i="40"/>
  <c r="GV58" i="40"/>
  <c r="BJ58" i="40"/>
  <c r="CE58" i="40"/>
  <c r="L58" i="40"/>
  <c r="T58" i="40"/>
  <c r="GB58" i="40"/>
  <c r="FI58" i="40"/>
  <c r="EX58" i="40"/>
  <c r="EV58" i="40"/>
  <c r="DI58" i="40"/>
  <c r="AX58" i="40"/>
  <c r="AF58" i="40"/>
  <c r="AD58" i="40"/>
  <c r="U58" i="40"/>
  <c r="DH58" i="40"/>
  <c r="I58" i="40"/>
  <c r="FQ58" i="40"/>
  <c r="EL58" i="40"/>
  <c r="EC58" i="40"/>
  <c r="K58" i="40"/>
  <c r="BI58" i="40"/>
  <c r="CW58" i="40"/>
  <c r="GL58" i="40"/>
  <c r="GM58" i="40"/>
  <c r="EW58" i="40"/>
  <c r="DJ58" i="40"/>
  <c r="GA58" i="40"/>
  <c r="GC58" i="40"/>
  <c r="BU58" i="40"/>
  <c r="CY58" i="40"/>
  <c r="BK58" i="40"/>
  <c r="AZ58" i="40"/>
  <c r="D38" i="29"/>
  <c r="FS58" i="40"/>
  <c r="GK58" i="40"/>
  <c r="BT58" i="40"/>
  <c r="GU58" i="40"/>
  <c r="GW58" i="40"/>
  <c r="V58" i="40"/>
  <c r="FH58" i="40"/>
  <c r="AE41" i="40"/>
  <c r="FH41" i="40"/>
  <c r="DH41" i="40"/>
  <c r="EM41" i="40"/>
  <c r="FS37" i="40"/>
  <c r="BU37" i="40"/>
  <c r="AN37" i="40"/>
  <c r="DJ37" i="40"/>
  <c r="GK37" i="40"/>
  <c r="CD33" i="40"/>
  <c r="GW33" i="40"/>
  <c r="DR33" i="40"/>
  <c r="EW33" i="40"/>
  <c r="DI29" i="40"/>
  <c r="FG29" i="40"/>
  <c r="CD25" i="40"/>
  <c r="GA25" i="40"/>
  <c r="EN25" i="40"/>
  <c r="AD62" i="40"/>
  <c r="DI62" i="40"/>
  <c r="DR58" i="40"/>
  <c r="BS58" i="40"/>
  <c r="G50" i="32"/>
  <c r="H50" i="32"/>
  <c r="D50" i="32" s="1"/>
  <c r="H13" i="34" s="1"/>
  <c r="F50" i="32"/>
  <c r="F31" i="29"/>
  <c r="FQ33" i="40"/>
  <c r="FG41" i="40"/>
  <c r="EV41" i="40"/>
  <c r="DS29" i="40"/>
  <c r="BS25" i="40"/>
  <c r="FS25" i="40"/>
  <c r="AZ29" i="40"/>
  <c r="D15" i="29" s="1"/>
  <c r="BK25" i="40"/>
  <c r="GL41" i="40"/>
  <c r="FH29" i="40"/>
  <c r="FS33" i="40"/>
  <c r="DH33" i="40"/>
  <c r="DI37" i="40"/>
  <c r="CO25" i="40"/>
  <c r="CY41" i="40"/>
  <c r="BJ41" i="40"/>
  <c r="AN41" i="40"/>
  <c r="K41" i="40"/>
  <c r="FG37" i="40"/>
  <c r="AE37" i="40"/>
  <c r="GA37" i="40"/>
  <c r="GM37" i="40"/>
  <c r="GB33" i="40"/>
  <c r="FR33" i="40"/>
  <c r="AY33" i="40"/>
  <c r="BT33" i="40"/>
  <c r="G50" i="40"/>
  <c r="GB50" i="40" s="1"/>
  <c r="CO29" i="40"/>
  <c r="AF29" i="40"/>
  <c r="DH29" i="40"/>
  <c r="G44" i="40"/>
  <c r="AO44" i="40" s="1"/>
  <c r="AN25" i="40"/>
  <c r="CE25" i="40"/>
  <c r="D12" i="29"/>
  <c r="F33" i="29"/>
  <c r="F46" i="29"/>
  <c r="EL62" i="40"/>
  <c r="FR62" i="40"/>
  <c r="CD58" i="40"/>
  <c r="ED58" i="40"/>
  <c r="D13" i="29"/>
  <c r="F20" i="29"/>
  <c r="AX41" i="40"/>
  <c r="F21" i="29" s="1"/>
  <c r="F8" i="29"/>
  <c r="GJ44" i="40"/>
  <c r="GU33" i="40"/>
  <c r="GU41" i="40"/>
  <c r="BP44" i="40"/>
  <c r="BR44" i="40"/>
  <c r="BP45" i="40"/>
  <c r="BR45" i="40" s="1"/>
  <c r="N2" i="29"/>
  <c r="J42" i="26"/>
  <c r="BH44" i="40"/>
  <c r="BH46" i="40"/>
  <c r="FS29" i="40"/>
  <c r="AW38" i="40"/>
  <c r="GT34" i="40"/>
  <c r="GT42" i="40"/>
  <c r="AA50" i="40"/>
  <c r="AC50" i="40" s="1"/>
  <c r="AC33" i="40"/>
  <c r="AW30" i="40"/>
  <c r="E16" i="29"/>
  <c r="BH31" i="40"/>
  <c r="BH34" i="40"/>
  <c r="DG40" i="40"/>
  <c r="EK27" i="40"/>
  <c r="GR44" i="40"/>
  <c r="GT44" i="40" s="1"/>
  <c r="GJ34" i="40"/>
  <c r="GU40" i="40"/>
  <c r="GK40" i="40"/>
  <c r="S32" i="40"/>
  <c r="BH26" i="40"/>
  <c r="BR24" i="40"/>
  <c r="FP36" i="40"/>
  <c r="AC60" i="40"/>
  <c r="BR28" i="40"/>
  <c r="EW50" i="40"/>
  <c r="ED50" i="40"/>
  <c r="V50" i="40"/>
  <c r="FH50" i="40"/>
  <c r="GV50" i="40"/>
  <c r="CN50" i="40"/>
  <c r="EC50" i="40"/>
  <c r="D42" i="29"/>
  <c r="G42" i="29" s="1"/>
  <c r="D19" i="29"/>
  <c r="F38" i="29"/>
  <c r="G19" i="29"/>
  <c r="F19" i="29"/>
  <c r="G15" i="29"/>
  <c r="DI49" i="40"/>
  <c r="GC49" i="40"/>
  <c r="FI49" i="40"/>
  <c r="ED49" i="40"/>
  <c r="FQ49" i="40"/>
  <c r="DH49" i="40"/>
  <c r="BI49" i="40"/>
  <c r="AD49" i="40"/>
  <c r="GA49" i="40"/>
  <c r="GL49" i="40"/>
  <c r="DJ49" i="40"/>
  <c r="EX49" i="40"/>
  <c r="BT49" i="40"/>
  <c r="BJ49" i="40"/>
  <c r="CC49" i="40"/>
  <c r="EX44" i="40"/>
  <c r="BU44" i="40"/>
  <c r="BJ44" i="40"/>
  <c r="EN44" i="40"/>
  <c r="CN44" i="40"/>
  <c r="CO44" i="40"/>
  <c r="T44" i="40"/>
  <c r="G38" i="29"/>
  <c r="I45" i="40"/>
  <c r="DJ45" i="40"/>
  <c r="FG45" i="40"/>
  <c r="L45" i="40"/>
  <c r="BJ45" i="40"/>
  <c r="GC45" i="40"/>
  <c r="BT45" i="40"/>
  <c r="BK45" i="40"/>
  <c r="CE45" i="40"/>
  <c r="EM45" i="40"/>
  <c r="AF45" i="40"/>
  <c r="GK45" i="40"/>
  <c r="DS45" i="40"/>
  <c r="EW45" i="40"/>
  <c r="EB45" i="40"/>
  <c r="K45" i="40"/>
  <c r="AN45" i="40"/>
  <c r="FS45" i="40"/>
  <c r="AO45" i="40"/>
  <c r="DH45" i="40"/>
  <c r="DT45" i="40"/>
  <c r="GB45" i="40"/>
  <c r="EN45" i="40"/>
  <c r="AP45" i="40"/>
  <c r="GV45" i="40"/>
  <c r="J45" i="40"/>
  <c r="AE45" i="40"/>
  <c r="CY45" i="40"/>
  <c r="EM46" i="40"/>
  <c r="EB46" i="40"/>
  <c r="BI46" i="40"/>
  <c r="CW46" i="40"/>
  <c r="DS46" i="40"/>
  <c r="BJ46" i="40"/>
  <c r="GU46" i="40"/>
  <c r="GW46" i="40"/>
  <c r="ED46" i="40"/>
  <c r="DT46" i="40"/>
  <c r="AX46" i="40"/>
  <c r="F26" i="29" s="1"/>
  <c r="BS46" i="40"/>
  <c r="GK46" i="40"/>
  <c r="CY46" i="40"/>
  <c r="AZ46" i="40"/>
  <c r="D26" i="29" s="1"/>
  <c r="GC46" i="40"/>
  <c r="CX46" i="40"/>
  <c r="GB46" i="40"/>
  <c r="DI46" i="40"/>
  <c r="AP46" i="40"/>
  <c r="GA46" i="40"/>
  <c r="FR46" i="40"/>
  <c r="AN46" i="40"/>
  <c r="I46" i="40"/>
  <c r="AE46" i="40"/>
  <c r="AF46" i="40"/>
  <c r="J46" i="40"/>
  <c r="AO46" i="40"/>
  <c r="CN46" i="40"/>
  <c r="AY45" i="40"/>
  <c r="G25" i="29" s="1"/>
  <c r="EN46" i="40"/>
  <c r="L237" i="1"/>
  <c r="L194" i="1"/>
  <c r="F228" i="1"/>
  <c r="F201" i="1"/>
  <c r="F200" i="26"/>
  <c r="F188" i="26"/>
  <c r="F223" i="34"/>
  <c r="L211" i="34"/>
  <c r="F130" i="1"/>
  <c r="F72" i="34"/>
  <c r="V17" i="4"/>
  <c r="F220" i="1"/>
  <c r="N225" i="34"/>
  <c r="H189" i="34"/>
  <c r="L190" i="1"/>
  <c r="J234" i="1"/>
  <c r="J208" i="1"/>
  <c r="J203" i="34"/>
  <c r="P215" i="34"/>
  <c r="F229" i="34"/>
  <c r="J221" i="34"/>
  <c r="F129" i="1"/>
  <c r="J195" i="34"/>
  <c r="L207" i="34"/>
  <c r="H202" i="34"/>
  <c r="B70" i="1"/>
  <c r="H232" i="34"/>
  <c r="J191" i="34"/>
  <c r="F212" i="1"/>
  <c r="J225" i="34"/>
  <c r="F196" i="26"/>
  <c r="H231" i="1"/>
  <c r="F234" i="1"/>
  <c r="F192" i="34"/>
  <c r="F209" i="1"/>
  <c r="N214" i="34"/>
  <c r="H233" i="1"/>
  <c r="B89" i="1"/>
  <c r="B85" i="1"/>
  <c r="L220" i="1"/>
  <c r="H228" i="1"/>
  <c r="B84" i="1"/>
  <c r="F224" i="26"/>
  <c r="F69" i="26"/>
  <c r="F69" i="1"/>
  <c r="H187" i="34"/>
  <c r="CM49" i="40"/>
  <c r="EV49" i="40"/>
  <c r="EC49" i="40"/>
  <c r="U49" i="40"/>
  <c r="GB49" i="40"/>
  <c r="AO49" i="40"/>
  <c r="DR49" i="40"/>
  <c r="CY49" i="40"/>
  <c r="CE49" i="40"/>
  <c r="BK49" i="40"/>
  <c r="K49" i="40"/>
  <c r="BS49" i="40"/>
  <c r="CN49" i="40"/>
  <c r="EM49" i="40"/>
  <c r="V49" i="40"/>
  <c r="L49" i="40"/>
  <c r="EN49" i="40"/>
  <c r="T49" i="40"/>
  <c r="EB49" i="40"/>
  <c r="CW49" i="40"/>
  <c r="EL49" i="40"/>
  <c r="GW49" i="40"/>
  <c r="EW49" i="40"/>
  <c r="FG49" i="40"/>
  <c r="DS49" i="40"/>
  <c r="GV49" i="40"/>
  <c r="DT49" i="40"/>
  <c r="I49" i="40"/>
  <c r="AY49" i="40"/>
  <c r="GK49" i="40"/>
  <c r="AP49" i="40"/>
  <c r="BU49" i="40"/>
  <c r="G13" i="29"/>
  <c r="GU49" i="40"/>
  <c r="GM49" i="40"/>
  <c r="CO49" i="40"/>
  <c r="J49" i="40"/>
  <c r="CX49" i="40"/>
  <c r="CD49" i="40"/>
  <c r="AZ49" i="40"/>
  <c r="AF49" i="40"/>
  <c r="FR49" i="40"/>
  <c r="FH49" i="40"/>
  <c r="AE49" i="40"/>
  <c r="FS49" i="40"/>
  <c r="AN49" i="40"/>
  <c r="AX49" i="40"/>
  <c r="F29" i="29" s="1"/>
  <c r="GM44" i="40"/>
  <c r="BI44" i="40"/>
  <c r="EV44" i="40"/>
  <c r="AP44" i="40"/>
  <c r="CX44" i="40"/>
  <c r="DR44" i="40"/>
  <c r="GW44" i="40"/>
  <c r="GA50" i="40"/>
  <c r="AP50" i="40"/>
  <c r="J50" i="40"/>
  <c r="GC50" i="40"/>
  <c r="AD50" i="40"/>
  <c r="I50" i="40"/>
  <c r="FI50" i="40"/>
  <c r="CW50" i="40"/>
  <c r="EN50" i="40"/>
  <c r="K43" i="26"/>
  <c r="D6" i="29"/>
  <c r="G6" i="29"/>
  <c r="F14" i="29"/>
  <c r="F17" i="29"/>
  <c r="E25" i="29"/>
  <c r="F5" i="29"/>
  <c r="D43" i="29"/>
  <c r="G43" i="29" s="1"/>
  <c r="D10" i="29"/>
  <c r="H51" i="32"/>
  <c r="D51" i="32" s="1"/>
  <c r="H24" i="34" s="1"/>
  <c r="H40" i="32"/>
  <c r="D40" i="32" s="1"/>
  <c r="H56" i="34" s="1"/>
  <c r="H41" i="32"/>
  <c r="D41" i="32" s="1"/>
  <c r="H57" i="34" s="1"/>
  <c r="D49" i="32"/>
  <c r="H65" i="34" s="1"/>
  <c r="J43" i="26"/>
  <c r="F39" i="29"/>
  <c r="B5" i="37"/>
  <c r="H66" i="5"/>
  <c r="BH45" i="40"/>
  <c r="DG44" i="40"/>
  <c r="EK46" i="40"/>
  <c r="D29" i="29"/>
  <c r="G29" i="29"/>
  <c r="G148" i="4"/>
  <c r="V44" i="4"/>
  <c r="K43" i="34"/>
  <c r="K41" i="34"/>
  <c r="K42" i="1"/>
  <c r="K43" i="1"/>
  <c r="K52" i="34"/>
  <c r="K42" i="26"/>
  <c r="P99" i="26" s="1"/>
  <c r="V54" i="4"/>
  <c r="K44" i="34"/>
  <c r="K42" i="34"/>
  <c r="K44" i="26"/>
  <c r="K44" i="1"/>
  <c r="K52" i="26"/>
  <c r="K52" i="1"/>
  <c r="K41" i="26"/>
  <c r="K41" i="1"/>
  <c r="N109" i="34" l="1"/>
  <c r="F22" i="26"/>
  <c r="H137" i="26" s="1"/>
  <c r="F18" i="1"/>
  <c r="H133" i="1" s="1"/>
  <c r="F25" i="26"/>
  <c r="H140" i="26" s="1"/>
  <c r="G198" i="26" s="1"/>
  <c r="F54" i="26"/>
  <c r="J162" i="26"/>
  <c r="I220" i="26" s="1"/>
  <c r="H166" i="1"/>
  <c r="G224" i="1" s="1"/>
  <c r="H140" i="1"/>
  <c r="G198" i="1" s="1"/>
  <c r="H132" i="1"/>
  <c r="G190" i="1" s="1"/>
  <c r="H104" i="26"/>
  <c r="O2" i="35"/>
  <c r="M2" i="35"/>
  <c r="L2" i="35"/>
  <c r="N2" i="35"/>
  <c r="CM50" i="40"/>
  <c r="BK50" i="40"/>
  <c r="FQ50" i="40"/>
  <c r="BJ50" i="40"/>
  <c r="CO50" i="40"/>
  <c r="CY50" i="40"/>
  <c r="AO50" i="40"/>
  <c r="AN50" i="40"/>
  <c r="CM44" i="40"/>
  <c r="FR44" i="40"/>
  <c r="AY44" i="40"/>
  <c r="G24" i="29" s="1"/>
  <c r="GK44" i="40"/>
  <c r="FH44" i="40"/>
  <c r="K44" i="40"/>
  <c r="FQ44" i="40"/>
  <c r="DI44" i="40"/>
  <c r="CE44" i="40"/>
  <c r="AN44" i="40"/>
  <c r="BT50" i="40"/>
  <c r="AF50" i="40"/>
  <c r="CX50" i="40"/>
  <c r="DT50" i="40"/>
  <c r="CC50" i="40"/>
  <c r="CD50" i="40"/>
  <c r="DR50" i="40"/>
  <c r="DJ50" i="40"/>
  <c r="FS50" i="40"/>
  <c r="EX50" i="40"/>
  <c r="GU50" i="40"/>
  <c r="AX50" i="40"/>
  <c r="F30" i="29" s="1"/>
  <c r="U44" i="40"/>
  <c r="EW44" i="40"/>
  <c r="AE44" i="40"/>
  <c r="FG44" i="40"/>
  <c r="GL44" i="40"/>
  <c r="ED44" i="40"/>
  <c r="FS44" i="40"/>
  <c r="GB44" i="40"/>
  <c r="FG46" i="40"/>
  <c r="EL46" i="40"/>
  <c r="AY46" i="40"/>
  <c r="G26" i="29" s="1"/>
  <c r="GM46" i="40"/>
  <c r="CO46" i="40"/>
  <c r="AD46" i="40"/>
  <c r="EV46" i="40"/>
  <c r="GL46" i="40"/>
  <c r="FQ46" i="40"/>
  <c r="T46" i="40"/>
  <c r="GV46" i="40"/>
  <c r="L46" i="40"/>
  <c r="U46" i="40"/>
  <c r="CE46" i="40"/>
  <c r="EV45" i="40"/>
  <c r="AD45" i="40"/>
  <c r="U45" i="40"/>
  <c r="CX45" i="40"/>
  <c r="EX45" i="40"/>
  <c r="ED45" i="40"/>
  <c r="GM45" i="40"/>
  <c r="GA45" i="40"/>
  <c r="DR45" i="40"/>
  <c r="BU45" i="40"/>
  <c r="FH45" i="40"/>
  <c r="FR45" i="40"/>
  <c r="CD45" i="40"/>
  <c r="GL45" i="40"/>
  <c r="EC45" i="40"/>
  <c r="L44" i="40"/>
  <c r="FI44" i="40"/>
  <c r="I44" i="40"/>
  <c r="EB44" i="40"/>
  <c r="GA44" i="40"/>
  <c r="CY44" i="40"/>
  <c r="GU44" i="40"/>
  <c r="AD44" i="40"/>
  <c r="EV50" i="40"/>
  <c r="L50" i="40"/>
  <c r="CE50" i="40"/>
  <c r="EB50" i="40"/>
  <c r="FR50" i="40"/>
  <c r="EM50" i="40"/>
  <c r="GK50" i="40"/>
  <c r="AZ50" i="40"/>
  <c r="D30" i="29" s="1"/>
  <c r="F45" i="32"/>
  <c r="M2" i="29"/>
  <c r="H45" i="32"/>
  <c r="D45" i="32" s="1"/>
  <c r="H61" i="34" s="1"/>
  <c r="J118" i="34" s="1"/>
  <c r="DS44" i="40"/>
  <c r="DH44" i="40"/>
  <c r="AF44" i="40"/>
  <c r="CW44" i="40"/>
  <c r="AX44" i="40"/>
  <c r="F24" i="29" s="1"/>
  <c r="FG50" i="40"/>
  <c r="K50" i="40"/>
  <c r="DH50" i="40"/>
  <c r="AY50" i="40"/>
  <c r="G30" i="29" s="1"/>
  <c r="GM50" i="40"/>
  <c r="DS50" i="40"/>
  <c r="GL50" i="40"/>
  <c r="BS50" i="40"/>
  <c r="BI50" i="40"/>
  <c r="BU50" i="40"/>
  <c r="U50" i="40"/>
  <c r="CC44" i="40"/>
  <c r="AZ44" i="40"/>
  <c r="D24" i="29" s="1"/>
  <c r="BS44" i="40"/>
  <c r="V44" i="40"/>
  <c r="BT44" i="40"/>
  <c r="EL44" i="40"/>
  <c r="GV44" i="40"/>
  <c r="BK44" i="40"/>
  <c r="CM46" i="40"/>
  <c r="FH46" i="40"/>
  <c r="CD46" i="40"/>
  <c r="K46" i="40"/>
  <c r="FI46" i="40"/>
  <c r="BU46" i="40"/>
  <c r="BK46" i="40"/>
  <c r="EW46" i="40"/>
  <c r="V46" i="40"/>
  <c r="EC46" i="40"/>
  <c r="DR46" i="40"/>
  <c r="BT46" i="40"/>
  <c r="DH46" i="40"/>
  <c r="EX46" i="40"/>
  <c r="FS46" i="40"/>
  <c r="CM45" i="40"/>
  <c r="CO45" i="40"/>
  <c r="GW45" i="40"/>
  <c r="CN45" i="40"/>
  <c r="EL45" i="40"/>
  <c r="FQ45" i="40"/>
  <c r="AZ45" i="40"/>
  <c r="D25" i="29" s="1"/>
  <c r="GU45" i="40"/>
  <c r="V45" i="40"/>
  <c r="DI45" i="40"/>
  <c r="CW45" i="40"/>
  <c r="AX45" i="40"/>
  <c r="F25" i="29" s="1"/>
  <c r="BI45" i="40"/>
  <c r="BS45" i="40"/>
  <c r="FI45" i="40"/>
  <c r="CD44" i="40"/>
  <c r="EM44" i="40"/>
  <c r="EC44" i="40"/>
  <c r="J44" i="40"/>
  <c r="DT44" i="40"/>
  <c r="GC44" i="40"/>
  <c r="DJ44" i="40"/>
  <c r="DI50" i="40"/>
  <c r="T50" i="40"/>
  <c r="EL50" i="40"/>
  <c r="GW50" i="40"/>
  <c r="AE50" i="40"/>
  <c r="L2" i="29"/>
  <c r="F180" i="34"/>
  <c r="B73" i="34"/>
  <c r="B71" i="34"/>
  <c r="N109" i="26"/>
  <c r="N101" i="26"/>
  <c r="H82" i="26"/>
  <c r="H115" i="1"/>
  <c r="AD8" i="40"/>
  <c r="E4" i="40"/>
  <c r="F160" i="34"/>
  <c r="F120" i="1"/>
  <c r="F91" i="26"/>
  <c r="F102" i="1"/>
  <c r="F90" i="26"/>
  <c r="F132" i="26"/>
  <c r="V36" i="4"/>
  <c r="V42" i="4"/>
  <c r="F180" i="26"/>
  <c r="F122" i="34"/>
  <c r="V59" i="4"/>
  <c r="F138" i="26"/>
  <c r="F119" i="1"/>
  <c r="F99" i="26"/>
  <c r="F97" i="34"/>
  <c r="F91" i="34"/>
  <c r="F138" i="34"/>
  <c r="B120" i="34"/>
  <c r="B116" i="34"/>
  <c r="B110" i="34"/>
  <c r="B107" i="1"/>
  <c r="B105" i="1"/>
  <c r="F132" i="1"/>
  <c r="L116" i="34"/>
  <c r="L208" i="34"/>
  <c r="J175" i="34"/>
  <c r="J217" i="34"/>
  <c r="L215" i="34"/>
  <c r="H134" i="34"/>
  <c r="G192" i="34" s="1"/>
  <c r="B86" i="1"/>
  <c r="B76" i="1"/>
  <c r="L234" i="26"/>
  <c r="L222" i="26"/>
  <c r="H202" i="26"/>
  <c r="H73" i="26"/>
  <c r="H69" i="26"/>
  <c r="P217" i="26"/>
  <c r="N213" i="34"/>
  <c r="L188" i="34"/>
  <c r="J210" i="34"/>
  <c r="J194" i="34"/>
  <c r="H82" i="34"/>
  <c r="H74" i="34"/>
  <c r="B96" i="34"/>
  <c r="B92" i="34"/>
  <c r="J237" i="34"/>
  <c r="J235" i="34"/>
  <c r="L234" i="34"/>
  <c r="L227" i="34"/>
  <c r="J222" i="34"/>
  <c r="J220" i="34"/>
  <c r="N217" i="34"/>
  <c r="L214" i="34"/>
  <c r="J204" i="34"/>
  <c r="J145" i="34"/>
  <c r="L202" i="34"/>
  <c r="L194" i="34"/>
  <c r="L193" i="34"/>
  <c r="H192" i="34"/>
  <c r="L190" i="34"/>
  <c r="G123" i="34"/>
  <c r="N211" i="1"/>
  <c r="N209" i="1"/>
  <c r="L238" i="1"/>
  <c r="L223" i="1"/>
  <c r="L221" i="1"/>
  <c r="L219" i="1"/>
  <c r="L211" i="1"/>
  <c r="L207" i="1"/>
  <c r="L205" i="1"/>
  <c r="L203" i="1"/>
  <c r="L201" i="1"/>
  <c r="L199" i="1"/>
  <c r="J223" i="1"/>
  <c r="J221" i="1"/>
  <c r="J219" i="1"/>
  <c r="J213" i="1"/>
  <c r="J211" i="1"/>
  <c r="J209" i="1"/>
  <c r="J207" i="1"/>
  <c r="J205" i="1"/>
  <c r="J203" i="1"/>
  <c r="J199" i="1"/>
  <c r="J193" i="1"/>
  <c r="J191" i="1"/>
  <c r="J187" i="1"/>
  <c r="J185" i="1"/>
  <c r="H222" i="1"/>
  <c r="H218" i="1"/>
  <c r="H204" i="1"/>
  <c r="J132" i="1"/>
  <c r="H188" i="1"/>
  <c r="B108" i="1"/>
  <c r="B100" i="1"/>
  <c r="P214" i="1"/>
  <c r="B96" i="1"/>
  <c r="P208" i="1"/>
  <c r="N207" i="1"/>
  <c r="L197" i="1"/>
  <c r="B83" i="1"/>
  <c r="B81" i="1"/>
  <c r="J130" i="34"/>
  <c r="L187" i="34"/>
  <c r="J169" i="1"/>
  <c r="DG28" i="40"/>
  <c r="AD9" i="40"/>
  <c r="AE9" i="40" s="1"/>
  <c r="AF9" i="40" s="1"/>
  <c r="D4" i="40"/>
  <c r="D5" i="40" s="1"/>
  <c r="AU49" i="40"/>
  <c r="AW49" i="40" s="1"/>
  <c r="E29" i="29" s="1"/>
  <c r="GS18" i="40"/>
  <c r="GT18" i="40" s="1"/>
  <c r="ET18" i="40"/>
  <c r="EU18" i="40" s="1"/>
  <c r="GI18" i="40"/>
  <c r="GJ18" i="40" s="1"/>
  <c r="FE18" i="40"/>
  <c r="FF18" i="40" s="1"/>
  <c r="GS28" i="40"/>
  <c r="GT28" i="40" s="1"/>
  <c r="FO28" i="40"/>
  <c r="FP28" i="40" s="1"/>
  <c r="ET28" i="40"/>
  <c r="EU28" i="40" s="1"/>
  <c r="EJ28" i="40"/>
  <c r="EK28" i="40" s="1"/>
  <c r="FE28" i="40"/>
  <c r="FF28" i="40" s="1"/>
  <c r="CA18" i="40"/>
  <c r="CB18" i="40" s="1"/>
  <c r="CK52" i="40"/>
  <c r="CL52" i="40" s="1"/>
  <c r="CU28" i="40"/>
  <c r="CV28" i="40" s="1"/>
  <c r="DF52" i="40"/>
  <c r="DG52" i="40" s="1"/>
  <c r="EJ18" i="40"/>
  <c r="EK18" i="40" s="1"/>
  <c r="FY18" i="40"/>
  <c r="FZ18" i="40" s="1"/>
  <c r="GS50" i="40"/>
  <c r="GT50" i="40" s="1"/>
  <c r="GI50" i="40"/>
  <c r="GJ50" i="40" s="1"/>
  <c r="FY50" i="40"/>
  <c r="FZ50" i="40" s="1"/>
  <c r="FO50" i="40"/>
  <c r="FP50" i="40" s="1"/>
  <c r="FE50" i="40"/>
  <c r="FF50" i="40" s="1"/>
  <c r="ET50" i="40"/>
  <c r="EU50" i="40" s="1"/>
  <c r="EJ50" i="40"/>
  <c r="EK50" i="40" s="1"/>
  <c r="GS59" i="40"/>
  <c r="GT59" i="40" s="1"/>
  <c r="FY59" i="40"/>
  <c r="FZ59" i="40" s="1"/>
  <c r="FO59" i="40"/>
  <c r="FP59" i="40" s="1"/>
  <c r="EJ59" i="40"/>
  <c r="EK59" i="40" s="1"/>
  <c r="GI59" i="40"/>
  <c r="GJ59" i="40" s="1"/>
  <c r="AV18" i="40"/>
  <c r="AW18" i="40" s="1"/>
  <c r="E4" i="29" s="1"/>
  <c r="BG18" i="40"/>
  <c r="BH18" i="40" s="1"/>
  <c r="BQ18" i="40"/>
  <c r="BR18" i="40" s="1"/>
  <c r="CA28" i="40"/>
  <c r="CB28" i="40" s="1"/>
  <c r="CA52" i="40"/>
  <c r="CB52" i="40" s="1"/>
  <c r="DF18" i="40"/>
  <c r="DG18" i="40" s="1"/>
  <c r="DF28" i="40"/>
  <c r="DP52" i="40"/>
  <c r="DQ52" i="40" s="1"/>
  <c r="DZ18" i="40"/>
  <c r="EA18" i="40" s="1"/>
  <c r="DZ28" i="40"/>
  <c r="EA28" i="40" s="1"/>
  <c r="DZ52" i="40"/>
  <c r="EA52" i="40" s="1"/>
  <c r="EJ52" i="40"/>
  <c r="EK52" i="40" s="1"/>
  <c r="FO52" i="40"/>
  <c r="FP52" i="40" s="1"/>
  <c r="GI28" i="40"/>
  <c r="GJ28" i="40" s="1"/>
  <c r="GS68" i="40"/>
  <c r="GT68" i="40" s="1"/>
  <c r="FO68" i="40"/>
  <c r="FP68" i="40" s="1"/>
  <c r="DZ68" i="40"/>
  <c r="EA68" i="40" s="1"/>
  <c r="FY68" i="40"/>
  <c r="FZ68" i="40" s="1"/>
  <c r="EJ68" i="40"/>
  <c r="EK68" i="40" s="1"/>
  <c r="DP18" i="40"/>
  <c r="DQ18" i="40" s="1"/>
  <c r="DP28" i="40"/>
  <c r="DQ28" i="40" s="1"/>
  <c r="ET52" i="40"/>
  <c r="EU52" i="40" s="1"/>
  <c r="FY52" i="40"/>
  <c r="FZ52" i="40" s="1"/>
  <c r="GS20" i="40"/>
  <c r="GT20" i="40" s="1"/>
  <c r="FY20" i="40"/>
  <c r="FZ20" i="40" s="1"/>
  <c r="FO20" i="40"/>
  <c r="FP20" i="40" s="1"/>
  <c r="EJ20" i="40"/>
  <c r="EK20" i="40" s="1"/>
  <c r="FE20" i="40"/>
  <c r="FF20" i="40" s="1"/>
  <c r="ET20" i="40"/>
  <c r="EU20" i="40" s="1"/>
  <c r="GS30" i="40"/>
  <c r="GT30" i="40" s="1"/>
  <c r="GI30" i="40"/>
  <c r="GJ30" i="40" s="1"/>
  <c r="DZ30" i="40"/>
  <c r="EA30" i="40" s="1"/>
  <c r="FY30" i="40"/>
  <c r="FZ30" i="40" s="1"/>
  <c r="GS61" i="40"/>
  <c r="GT61" i="40" s="1"/>
  <c r="GI61" i="40"/>
  <c r="GJ61" i="40" s="1"/>
  <c r="ET61" i="40"/>
  <c r="EU61" i="40" s="1"/>
  <c r="DP61" i="40"/>
  <c r="DQ61" i="40" s="1"/>
  <c r="FE61" i="40"/>
  <c r="FF61" i="40" s="1"/>
  <c r="ET27" i="40"/>
  <c r="EU27" i="40" s="1"/>
  <c r="FE24" i="40"/>
  <c r="FF24" i="40" s="1"/>
  <c r="FO27" i="40"/>
  <c r="FP27" i="40" s="1"/>
  <c r="FO35" i="40"/>
  <c r="FP35" i="40" s="1"/>
  <c r="FO39" i="40"/>
  <c r="FP39" i="40" s="1"/>
  <c r="FO43" i="40"/>
  <c r="FP43" i="40" s="1"/>
  <c r="FO56" i="40"/>
  <c r="FP56" i="40" s="1"/>
  <c r="FO65" i="40"/>
  <c r="FP65" i="40" s="1"/>
  <c r="FY22" i="40"/>
  <c r="FZ22" i="40" s="1"/>
  <c r="FY26" i="40"/>
  <c r="FZ26" i="40" s="1"/>
  <c r="GI33" i="40"/>
  <c r="GJ33" i="40" s="1"/>
  <c r="GI37" i="40"/>
  <c r="GJ37" i="40" s="1"/>
  <c r="GI41" i="40"/>
  <c r="GJ41" i="40" s="1"/>
  <c r="GI45" i="40"/>
  <c r="GJ45" i="40" s="1"/>
  <c r="GI63" i="40"/>
  <c r="GJ63" i="40" s="1"/>
  <c r="EJ24" i="40"/>
  <c r="EK24" i="40" s="1"/>
  <c r="ET24" i="40"/>
  <c r="EU24" i="40" s="1"/>
  <c r="ET58" i="40"/>
  <c r="EU58" i="40" s="1"/>
  <c r="FO17" i="40"/>
  <c r="FP17" i="40" s="1"/>
  <c r="FO63" i="40"/>
  <c r="FP63" i="40" s="1"/>
  <c r="GI26" i="40"/>
  <c r="GJ26" i="40" s="1"/>
  <c r="H76" i="26"/>
  <c r="B99" i="26"/>
  <c r="B97" i="26"/>
  <c r="B70" i="34"/>
  <c r="H163" i="34"/>
  <c r="G221" i="34" s="1"/>
  <c r="F108" i="34"/>
  <c r="F174" i="1"/>
  <c r="B79" i="34"/>
  <c r="B78" i="1"/>
  <c r="B109" i="34"/>
  <c r="B90" i="34"/>
  <c r="P225" i="34"/>
  <c r="N216" i="34"/>
  <c r="J214" i="34"/>
  <c r="J209" i="34"/>
  <c r="N207" i="34"/>
  <c r="H205" i="34"/>
  <c r="L204" i="34"/>
  <c r="J201" i="34"/>
  <c r="H199" i="34"/>
  <c r="L197" i="34"/>
  <c r="L196" i="34"/>
  <c r="L191" i="34"/>
  <c r="L189" i="34"/>
  <c r="I123" i="1"/>
  <c r="B101" i="1"/>
  <c r="B99" i="1"/>
  <c r="B97" i="1"/>
  <c r="B93" i="1"/>
  <c r="B91" i="1"/>
  <c r="N224" i="1"/>
  <c r="L227" i="1"/>
  <c r="I123" i="34"/>
  <c r="J216" i="34"/>
  <c r="F127" i="34"/>
  <c r="F127" i="26"/>
  <c r="F170" i="26"/>
  <c r="F112" i="34"/>
  <c r="F177" i="34"/>
  <c r="V45" i="4"/>
  <c r="N100" i="26"/>
  <c r="V14" i="4"/>
  <c r="F130" i="26"/>
  <c r="H131" i="34"/>
  <c r="G189" i="34" s="1"/>
  <c r="J140" i="26"/>
  <c r="J164" i="26"/>
  <c r="H129" i="26"/>
  <c r="G187" i="26" s="1"/>
  <c r="J170" i="34"/>
  <c r="I228" i="34" s="1"/>
  <c r="H160" i="26"/>
  <c r="G218" i="26" s="1"/>
  <c r="F106" i="26"/>
  <c r="F175" i="34"/>
  <c r="F99" i="34"/>
  <c r="V40" i="4"/>
  <c r="V50" i="4"/>
  <c r="F95" i="1"/>
  <c r="F151" i="1"/>
  <c r="F97" i="26"/>
  <c r="B118" i="34"/>
  <c r="J231" i="34"/>
  <c r="J228" i="34"/>
  <c r="N108" i="34"/>
  <c r="H147" i="26"/>
  <c r="G205" i="26" s="1"/>
  <c r="J229" i="34"/>
  <c r="N224" i="34"/>
  <c r="L209" i="26"/>
  <c r="H174" i="26"/>
  <c r="G232" i="26" s="1"/>
  <c r="L164" i="34"/>
  <c r="H71" i="26"/>
  <c r="H141" i="26"/>
  <c r="G199" i="26" s="1"/>
  <c r="H189" i="26"/>
  <c r="J144" i="26"/>
  <c r="N95" i="26"/>
  <c r="H135" i="26"/>
  <c r="G193" i="26" s="1"/>
  <c r="N99" i="26"/>
  <c r="H118" i="26"/>
  <c r="L129" i="34"/>
  <c r="B109" i="26"/>
  <c r="N209" i="26"/>
  <c r="L207" i="26"/>
  <c r="L201" i="26"/>
  <c r="H218" i="26"/>
  <c r="H174" i="1"/>
  <c r="G232" i="1" s="1"/>
  <c r="H176" i="26"/>
  <c r="G234" i="26" s="1"/>
  <c r="H180" i="1"/>
  <c r="G238" i="1" s="1"/>
  <c r="H144" i="1"/>
  <c r="G202" i="1" s="1"/>
  <c r="B98" i="34"/>
  <c r="L210" i="34"/>
  <c r="J238" i="34"/>
  <c r="B111" i="34"/>
  <c r="B108" i="34"/>
  <c r="J202" i="34"/>
  <c r="B69" i="34"/>
  <c r="C69" i="34" s="1"/>
  <c r="D69" i="34" s="1"/>
  <c r="I16" i="33" s="1"/>
  <c r="B75" i="1"/>
  <c r="B118" i="1"/>
  <c r="N210" i="26"/>
  <c r="N213" i="26"/>
  <c r="H112" i="26"/>
  <c r="N225" i="26"/>
  <c r="H130" i="1"/>
  <c r="G188" i="1" s="1"/>
  <c r="L180" i="34"/>
  <c r="B112" i="26"/>
  <c r="B111" i="26"/>
  <c r="B112" i="34"/>
  <c r="L237" i="26"/>
  <c r="L227" i="26"/>
  <c r="L225" i="26"/>
  <c r="L217" i="26"/>
  <c r="L215" i="26"/>
  <c r="L208" i="26"/>
  <c r="L206" i="26"/>
  <c r="L204" i="26"/>
  <c r="L198" i="26"/>
  <c r="L194" i="26"/>
  <c r="L190" i="26"/>
  <c r="L188" i="26"/>
  <c r="J238" i="26"/>
  <c r="J236" i="26"/>
  <c r="J232" i="26"/>
  <c r="J230" i="26"/>
  <c r="J224" i="26"/>
  <c r="J222" i="26"/>
  <c r="J216" i="26"/>
  <c r="J214" i="26"/>
  <c r="J210" i="26"/>
  <c r="J208" i="26"/>
  <c r="J206" i="26"/>
  <c r="J204" i="26"/>
  <c r="J202" i="26"/>
  <c r="J198" i="26"/>
  <c r="J194" i="26"/>
  <c r="J192" i="26"/>
  <c r="J190" i="26"/>
  <c r="J188" i="26"/>
  <c r="J186" i="26"/>
  <c r="H233" i="26"/>
  <c r="H221" i="26"/>
  <c r="H187" i="26"/>
  <c r="P155" i="34"/>
  <c r="L136" i="34"/>
  <c r="L135" i="34"/>
  <c r="V21" i="4"/>
  <c r="F76" i="34"/>
  <c r="K123" i="34"/>
  <c r="H111" i="1"/>
  <c r="V38" i="4"/>
  <c r="V63" i="4"/>
  <c r="F118" i="1"/>
  <c r="V58" i="4"/>
  <c r="F171" i="26"/>
  <c r="F150" i="26"/>
  <c r="F92" i="1"/>
  <c r="J219" i="34"/>
  <c r="J188" i="34"/>
  <c r="J186" i="34"/>
  <c r="J224" i="34"/>
  <c r="H127" i="34"/>
  <c r="G185" i="34" s="1"/>
  <c r="F151" i="26"/>
  <c r="F173" i="34"/>
  <c r="F115" i="26"/>
  <c r="F111" i="34"/>
  <c r="F169" i="1"/>
  <c r="F107" i="1"/>
  <c r="F165" i="34"/>
  <c r="F73" i="26"/>
  <c r="F131" i="1"/>
  <c r="J119" i="34"/>
  <c r="J200" i="34"/>
  <c r="H223" i="1"/>
  <c r="B144" i="34"/>
  <c r="L225" i="34"/>
  <c r="B154" i="1"/>
  <c r="F71" i="26"/>
  <c r="F130" i="34"/>
  <c r="H142" i="34"/>
  <c r="G200" i="34" s="1"/>
  <c r="H143" i="34"/>
  <c r="G201" i="34" s="1"/>
  <c r="F73" i="34"/>
  <c r="P156" i="1"/>
  <c r="J143" i="1"/>
  <c r="I201" i="1" s="1"/>
  <c r="J161" i="1"/>
  <c r="F163" i="34"/>
  <c r="F157" i="26"/>
  <c r="F105" i="26"/>
  <c r="F173" i="1"/>
  <c r="F111" i="1"/>
  <c r="F118" i="26"/>
  <c r="F107" i="34"/>
  <c r="F100" i="1"/>
  <c r="F159" i="1"/>
  <c r="F163" i="1"/>
  <c r="F167" i="26"/>
  <c r="F175" i="26"/>
  <c r="F110" i="34"/>
  <c r="F159" i="26"/>
  <c r="F116" i="34"/>
  <c r="F170" i="1"/>
  <c r="F170" i="34"/>
  <c r="V57" i="4"/>
  <c r="V35" i="4"/>
  <c r="F90" i="34"/>
  <c r="V20" i="4"/>
  <c r="F75" i="34"/>
  <c r="F75" i="1"/>
  <c r="B106" i="34"/>
  <c r="B104" i="34"/>
  <c r="B102" i="34"/>
  <c r="B88" i="34"/>
  <c r="B86" i="34"/>
  <c r="B82" i="34"/>
  <c r="B80" i="34"/>
  <c r="B76" i="34"/>
  <c r="B119" i="1"/>
  <c r="B116" i="1"/>
  <c r="B112" i="1"/>
  <c r="B110" i="1"/>
  <c r="H190" i="26"/>
  <c r="H230" i="34"/>
  <c r="J227" i="34"/>
  <c r="V53" i="4"/>
  <c r="F166" i="26"/>
  <c r="F166" i="34"/>
  <c r="F108" i="1"/>
  <c r="F108" i="26"/>
  <c r="F151" i="34"/>
  <c r="F93" i="34"/>
  <c r="L192" i="34"/>
  <c r="B90" i="1"/>
  <c r="B94" i="34"/>
  <c r="H69" i="1"/>
  <c r="P212" i="1"/>
  <c r="H180" i="34"/>
  <c r="G238" i="34" s="1"/>
  <c r="F131" i="34"/>
  <c r="H178" i="1"/>
  <c r="G236" i="1" s="1"/>
  <c r="V48" i="4"/>
  <c r="V60" i="4"/>
  <c r="F169" i="34"/>
  <c r="F158" i="26"/>
  <c r="F93" i="26"/>
  <c r="F92" i="26"/>
  <c r="F109" i="1"/>
  <c r="V56" i="4"/>
  <c r="F177" i="1"/>
  <c r="V64" i="4"/>
  <c r="F177" i="26"/>
  <c r="F176" i="34"/>
  <c r="F173" i="26"/>
  <c r="F167" i="1"/>
  <c r="V51" i="4"/>
  <c r="F164" i="26"/>
  <c r="F106" i="34"/>
  <c r="F155" i="1"/>
  <c r="F97" i="1"/>
  <c r="F153" i="34"/>
  <c r="F153" i="26"/>
  <c r="F153" i="1"/>
  <c r="F91" i="1"/>
  <c r="F149" i="34"/>
  <c r="B87" i="34"/>
  <c r="B122" i="1"/>
  <c r="B111" i="1"/>
  <c r="B77" i="1"/>
  <c r="B72" i="1"/>
  <c r="H230" i="26"/>
  <c r="J223" i="34"/>
  <c r="H134" i="26"/>
  <c r="G192" i="26" s="1"/>
  <c r="H153" i="26"/>
  <c r="G211" i="26" s="1"/>
  <c r="H88" i="34"/>
  <c r="H114" i="1"/>
  <c r="B150" i="26"/>
  <c r="B122" i="34"/>
  <c r="B115" i="34"/>
  <c r="B72" i="34"/>
  <c r="B117" i="1"/>
  <c r="B114" i="1"/>
  <c r="B82" i="1"/>
  <c r="L223" i="26"/>
  <c r="L213" i="26"/>
  <c r="J69" i="34"/>
  <c r="B99" i="34"/>
  <c r="J234" i="34"/>
  <c r="J232" i="34"/>
  <c r="H221" i="34"/>
  <c r="L220" i="34"/>
  <c r="L219" i="34"/>
  <c r="B161" i="34"/>
  <c r="N101" i="34"/>
  <c r="L216" i="34"/>
  <c r="H200" i="34"/>
  <c r="L199" i="34"/>
  <c r="J185" i="34"/>
  <c r="H185" i="34"/>
  <c r="N197" i="1"/>
  <c r="L192" i="1"/>
  <c r="L186" i="1"/>
  <c r="J236" i="1"/>
  <c r="J232" i="1"/>
  <c r="J230" i="1"/>
  <c r="J228" i="1"/>
  <c r="J226" i="1"/>
  <c r="H235" i="1"/>
  <c r="H186" i="1"/>
  <c r="H187" i="1"/>
  <c r="P213" i="26"/>
  <c r="P209" i="26"/>
  <c r="P207" i="26"/>
  <c r="P217" i="34"/>
  <c r="Q217" i="34" s="1"/>
  <c r="B97" i="34"/>
  <c r="P209" i="34"/>
  <c r="L237" i="34"/>
  <c r="B176" i="34"/>
  <c r="J233" i="34"/>
  <c r="J230" i="34"/>
  <c r="L228" i="34"/>
  <c r="L224" i="34"/>
  <c r="H223" i="34"/>
  <c r="H104" i="34"/>
  <c r="H103" i="34"/>
  <c r="P216" i="34"/>
  <c r="Q216" i="34" s="1"/>
  <c r="N215" i="34"/>
  <c r="J213" i="34"/>
  <c r="P212" i="34"/>
  <c r="L209" i="34"/>
  <c r="P208" i="34"/>
  <c r="J208" i="34"/>
  <c r="N91" i="34"/>
  <c r="J207" i="34"/>
  <c r="N206" i="34"/>
  <c r="L205" i="34"/>
  <c r="H204" i="34"/>
  <c r="L203" i="34"/>
  <c r="L201" i="34"/>
  <c r="H201" i="34"/>
  <c r="L200" i="34"/>
  <c r="J199" i="34"/>
  <c r="J198" i="34"/>
  <c r="J196" i="34"/>
  <c r="J190" i="34"/>
  <c r="L185" i="34"/>
  <c r="N225" i="1"/>
  <c r="L234" i="1"/>
  <c r="L225" i="1"/>
  <c r="L191" i="1"/>
  <c r="L189" i="1"/>
  <c r="L187" i="1"/>
  <c r="L185" i="1"/>
  <c r="J237" i="1"/>
  <c r="J235" i="1"/>
  <c r="J233" i="1"/>
  <c r="J231" i="1"/>
  <c r="J229" i="1"/>
  <c r="J227" i="1"/>
  <c r="J225" i="1"/>
  <c r="H234" i="1"/>
  <c r="H230" i="1"/>
  <c r="H185" i="1"/>
  <c r="L224" i="1"/>
  <c r="H73" i="1"/>
  <c r="J175" i="26"/>
  <c r="B135" i="34"/>
  <c r="H171" i="26"/>
  <c r="G229" i="26" s="1"/>
  <c r="P148" i="1"/>
  <c r="H149" i="1"/>
  <c r="G207" i="1" s="1"/>
  <c r="H177" i="1"/>
  <c r="G235" i="1" s="1"/>
  <c r="H145" i="1"/>
  <c r="G203" i="1" s="1"/>
  <c r="B171" i="26"/>
  <c r="B167" i="26"/>
  <c r="B164" i="26"/>
  <c r="B160" i="26"/>
  <c r="B157" i="26"/>
  <c r="B153" i="26"/>
  <c r="B144" i="26"/>
  <c r="B142" i="26"/>
  <c r="B140" i="26"/>
  <c r="B113" i="26"/>
  <c r="O123" i="34"/>
  <c r="R167" i="26"/>
  <c r="B145" i="34"/>
  <c r="H188" i="34"/>
  <c r="B157" i="34"/>
  <c r="B92" i="1"/>
  <c r="F198" i="1"/>
  <c r="B175" i="34"/>
  <c r="J173" i="1"/>
  <c r="B109" i="1"/>
  <c r="B95" i="1"/>
  <c r="B167" i="34"/>
  <c r="B164" i="34"/>
  <c r="P210" i="34"/>
  <c r="P207" i="34"/>
  <c r="P206" i="34"/>
  <c r="F190" i="1"/>
  <c r="P217" i="1"/>
  <c r="P215" i="1"/>
  <c r="Q215" i="1" s="1"/>
  <c r="P213" i="1"/>
  <c r="P211" i="1"/>
  <c r="P209" i="1"/>
  <c r="P207" i="1"/>
  <c r="N208" i="26"/>
  <c r="L199" i="26"/>
  <c r="B152" i="34"/>
  <c r="P214" i="26"/>
  <c r="Q214" i="26" s="1"/>
  <c r="P210" i="26"/>
  <c r="N206" i="26"/>
  <c r="H117" i="26"/>
  <c r="F228" i="34"/>
  <c r="B170" i="34"/>
  <c r="B168" i="34"/>
  <c r="B134" i="34"/>
  <c r="B162" i="1"/>
  <c r="H220" i="1"/>
  <c r="B151" i="1"/>
  <c r="H203" i="34"/>
  <c r="H166" i="34"/>
  <c r="G224" i="34" s="1"/>
  <c r="H170" i="34"/>
  <c r="G228" i="34" s="1"/>
  <c r="J164" i="34"/>
  <c r="B171" i="34"/>
  <c r="B169" i="34"/>
  <c r="B160" i="34"/>
  <c r="B159" i="34"/>
  <c r="B153" i="34"/>
  <c r="B150" i="34"/>
  <c r="B174" i="1"/>
  <c r="P150" i="26"/>
  <c r="H163" i="26"/>
  <c r="G221" i="26" s="1"/>
  <c r="H144" i="26"/>
  <c r="G202" i="26" s="1"/>
  <c r="P167" i="1"/>
  <c r="R157" i="26"/>
  <c r="H227" i="1"/>
  <c r="F226" i="34"/>
  <c r="P213" i="34"/>
  <c r="B166" i="34"/>
  <c r="H129" i="34"/>
  <c r="H152" i="34"/>
  <c r="G210" i="34" s="1"/>
  <c r="H83" i="26"/>
  <c r="J127" i="26"/>
  <c r="L172" i="34"/>
  <c r="S172" i="34" s="1"/>
  <c r="N197" i="26"/>
  <c r="P139" i="26"/>
  <c r="L232" i="26"/>
  <c r="L202" i="26"/>
  <c r="L200" i="26"/>
  <c r="H218" i="34"/>
  <c r="B138" i="34"/>
  <c r="N217" i="26"/>
  <c r="J235" i="26"/>
  <c r="B135" i="26"/>
  <c r="B84" i="26"/>
  <c r="N209" i="34"/>
  <c r="P211" i="34"/>
  <c r="Q225" i="1"/>
  <c r="J131" i="1"/>
  <c r="P109" i="34"/>
  <c r="H131" i="1"/>
  <c r="G189" i="1" s="1"/>
  <c r="H162" i="34"/>
  <c r="G220" i="34" s="1"/>
  <c r="H151" i="34"/>
  <c r="G209" i="34" s="1"/>
  <c r="B100" i="34"/>
  <c r="P225" i="26"/>
  <c r="Q225" i="26" s="1"/>
  <c r="P215" i="26"/>
  <c r="Q215" i="26" s="1"/>
  <c r="P211" i="26"/>
  <c r="N208" i="34"/>
  <c r="J177" i="34"/>
  <c r="J174" i="34"/>
  <c r="N215" i="26"/>
  <c r="L193" i="26"/>
  <c r="L189" i="26"/>
  <c r="J225" i="26"/>
  <c r="J209" i="26"/>
  <c r="B131" i="26"/>
  <c r="H234" i="26"/>
  <c r="B88" i="26"/>
  <c r="B86" i="26"/>
  <c r="F230" i="1"/>
  <c r="B172" i="1"/>
  <c r="Q215" i="34"/>
  <c r="H204" i="26"/>
  <c r="H220" i="26"/>
  <c r="P139" i="34"/>
  <c r="O197" i="34" s="1"/>
  <c r="J164" i="1"/>
  <c r="R159" i="1"/>
  <c r="J127" i="1"/>
  <c r="H232" i="1"/>
  <c r="H227" i="34"/>
  <c r="J176" i="1"/>
  <c r="H175" i="34"/>
  <c r="G233" i="34" s="1"/>
  <c r="J128" i="26"/>
  <c r="H145" i="34"/>
  <c r="G203" i="34" s="1"/>
  <c r="P167" i="26"/>
  <c r="O225" i="26" s="1"/>
  <c r="H139" i="1"/>
  <c r="G197" i="1" s="1"/>
  <c r="H170" i="26"/>
  <c r="G228" i="26" s="1"/>
  <c r="H128" i="1"/>
  <c r="G186" i="1" s="1"/>
  <c r="H132" i="26"/>
  <c r="G190" i="26" s="1"/>
  <c r="B120" i="26"/>
  <c r="B119" i="26"/>
  <c r="B118" i="26"/>
  <c r="B117" i="26"/>
  <c r="B116" i="26"/>
  <c r="B107" i="26"/>
  <c r="B157" i="1"/>
  <c r="B149" i="1"/>
  <c r="B146" i="1"/>
  <c r="B144" i="1"/>
  <c r="L221" i="26"/>
  <c r="B162" i="34"/>
  <c r="H220" i="34"/>
  <c r="B93" i="26"/>
  <c r="H190" i="1"/>
  <c r="B147" i="1"/>
  <c r="J130" i="1"/>
  <c r="B138" i="1"/>
  <c r="H179" i="26"/>
  <c r="G237" i="26" s="1"/>
  <c r="H135" i="34"/>
  <c r="G193" i="34" s="1"/>
  <c r="Q214" i="1"/>
  <c r="B136" i="34"/>
  <c r="B176" i="1"/>
  <c r="J211" i="34"/>
  <c r="L217" i="34"/>
  <c r="J130" i="26"/>
  <c r="H150" i="26"/>
  <c r="G208" i="26" s="1"/>
  <c r="P155" i="1"/>
  <c r="H154" i="26"/>
  <c r="G212" i="26" s="1"/>
  <c r="H169" i="1"/>
  <c r="G227" i="1" s="1"/>
  <c r="P149" i="26"/>
  <c r="H137" i="1"/>
  <c r="G195" i="1" s="1"/>
  <c r="H164" i="1"/>
  <c r="G222" i="1" s="1"/>
  <c r="B95" i="34"/>
  <c r="B91" i="34"/>
  <c r="B131" i="1"/>
  <c r="B98" i="1"/>
  <c r="L211" i="26"/>
  <c r="L238" i="34"/>
  <c r="P224" i="1"/>
  <c r="P216" i="1"/>
  <c r="Q216" i="1" s="1"/>
  <c r="P210" i="1"/>
  <c r="N97" i="26"/>
  <c r="P157" i="1"/>
  <c r="O215" i="1" s="1"/>
  <c r="P159" i="1"/>
  <c r="O217" i="1" s="1"/>
  <c r="J163" i="1"/>
  <c r="I221" i="1" s="1"/>
  <c r="H164" i="34"/>
  <c r="G222" i="34" s="1"/>
  <c r="H177" i="34"/>
  <c r="G235" i="34" s="1"/>
  <c r="H128" i="34"/>
  <c r="G186" i="34" s="1"/>
  <c r="H169" i="34"/>
  <c r="G227" i="34" s="1"/>
  <c r="H133" i="26"/>
  <c r="G191" i="26" s="1"/>
  <c r="H136" i="34"/>
  <c r="G194" i="34" s="1"/>
  <c r="H137" i="34"/>
  <c r="G195" i="34" s="1"/>
  <c r="H155" i="26"/>
  <c r="G213" i="26" s="1"/>
  <c r="H87" i="26"/>
  <c r="H175" i="26"/>
  <c r="G233" i="26" s="1"/>
  <c r="H148" i="1"/>
  <c r="G206" i="1" s="1"/>
  <c r="J131" i="26"/>
  <c r="I189" i="26" s="1"/>
  <c r="J132" i="34"/>
  <c r="I190" i="34" s="1"/>
  <c r="H147" i="34"/>
  <c r="G205" i="34" s="1"/>
  <c r="J176" i="34"/>
  <c r="J142" i="34"/>
  <c r="H164" i="26"/>
  <c r="G222" i="26" s="1"/>
  <c r="H160" i="1"/>
  <c r="G218" i="1" s="1"/>
  <c r="J134" i="1"/>
  <c r="H85" i="26"/>
  <c r="H103" i="26"/>
  <c r="H89" i="26"/>
  <c r="N81" i="26"/>
  <c r="B152" i="26"/>
  <c r="B119" i="34"/>
  <c r="B113" i="34"/>
  <c r="B77" i="34"/>
  <c r="B173" i="1"/>
  <c r="B159" i="1"/>
  <c r="B115" i="1"/>
  <c r="B113" i="1"/>
  <c r="L212" i="26"/>
  <c r="H200" i="26"/>
  <c r="H198" i="26"/>
  <c r="B101" i="34"/>
  <c r="J193" i="34"/>
  <c r="H228" i="34"/>
  <c r="N217" i="1"/>
  <c r="N215" i="1"/>
  <c r="L228" i="1"/>
  <c r="L217" i="1"/>
  <c r="L215" i="1"/>
  <c r="L209" i="1"/>
  <c r="J217" i="1"/>
  <c r="J215" i="1"/>
  <c r="J201" i="1"/>
  <c r="J197" i="1"/>
  <c r="J195" i="1"/>
  <c r="J189" i="1"/>
  <c r="B88" i="1"/>
  <c r="H202" i="1"/>
  <c r="H198" i="1"/>
  <c r="P150" i="34"/>
  <c r="H88" i="26"/>
  <c r="I204" i="26" s="1"/>
  <c r="J141" i="1"/>
  <c r="I199" i="1" s="1"/>
  <c r="J172" i="26"/>
  <c r="N210" i="34"/>
  <c r="F162" i="26"/>
  <c r="I123" i="26"/>
  <c r="F189" i="26"/>
  <c r="H131" i="26"/>
  <c r="G189" i="26" s="1"/>
  <c r="B93" i="34"/>
  <c r="B180" i="34"/>
  <c r="F185" i="34"/>
  <c r="B127" i="34"/>
  <c r="C127" i="34" s="1"/>
  <c r="D127" i="34" s="1"/>
  <c r="N213" i="1"/>
  <c r="N97" i="1"/>
  <c r="K123" i="1"/>
  <c r="B103" i="1"/>
  <c r="B87" i="1"/>
  <c r="B106" i="1"/>
  <c r="B102" i="1"/>
  <c r="B74" i="1"/>
  <c r="B128" i="1"/>
  <c r="F96" i="1"/>
  <c r="F96" i="26"/>
  <c r="F179" i="34"/>
  <c r="F121" i="26"/>
  <c r="F179" i="26"/>
  <c r="B148" i="26"/>
  <c r="F77" i="1"/>
  <c r="F77" i="26"/>
  <c r="F77" i="34"/>
  <c r="V16" i="4"/>
  <c r="F129" i="26"/>
  <c r="F71" i="34"/>
  <c r="M123" i="1"/>
  <c r="B142" i="1"/>
  <c r="G123" i="1"/>
  <c r="H127" i="1"/>
  <c r="G185" i="1" s="1"/>
  <c r="F129" i="34"/>
  <c r="F154" i="26"/>
  <c r="F154" i="1"/>
  <c r="F96" i="34"/>
  <c r="V41" i="4"/>
  <c r="F104" i="1"/>
  <c r="F120" i="26"/>
  <c r="F135" i="1"/>
  <c r="V22" i="4"/>
  <c r="B178" i="26"/>
  <c r="B172" i="26"/>
  <c r="B155" i="26"/>
  <c r="B151" i="26"/>
  <c r="F172" i="34"/>
  <c r="F114" i="1"/>
  <c r="F114" i="34"/>
  <c r="F172" i="26"/>
  <c r="F165" i="26"/>
  <c r="V52" i="4"/>
  <c r="F107" i="26"/>
  <c r="F161" i="34"/>
  <c r="F161" i="26"/>
  <c r="F158" i="1"/>
  <c r="F100" i="26"/>
  <c r="F100" i="34"/>
  <c r="B76" i="26"/>
  <c r="B75" i="26"/>
  <c r="B74" i="26"/>
  <c r="B73" i="26"/>
  <c r="B71" i="26"/>
  <c r="B69" i="26"/>
  <c r="C69" i="26" s="1"/>
  <c r="M123" i="34"/>
  <c r="B177" i="1"/>
  <c r="B170" i="1"/>
  <c r="B165" i="1"/>
  <c r="B158" i="1"/>
  <c r="B150" i="1"/>
  <c r="B145" i="1"/>
  <c r="B143" i="1"/>
  <c r="B141" i="1"/>
  <c r="B139" i="1"/>
  <c r="B136" i="1"/>
  <c r="B135" i="1"/>
  <c r="B120" i="1"/>
  <c r="B80" i="1"/>
  <c r="B156" i="26"/>
  <c r="B158" i="26"/>
  <c r="N216" i="26"/>
  <c r="L196" i="26"/>
  <c r="L192" i="26"/>
  <c r="L186" i="26"/>
  <c r="J234" i="26"/>
  <c r="J228" i="26"/>
  <c r="J226" i="26"/>
  <c r="J218" i="26"/>
  <c r="J200" i="26"/>
  <c r="J196" i="26"/>
  <c r="H235" i="26"/>
  <c r="H227" i="26"/>
  <c r="H185" i="26"/>
  <c r="I181" i="26"/>
  <c r="B163" i="34"/>
  <c r="L221" i="34"/>
  <c r="B158" i="34"/>
  <c r="B146" i="34"/>
  <c r="N197" i="34"/>
  <c r="J197" i="34"/>
  <c r="F121" i="1"/>
  <c r="V66" i="4"/>
  <c r="F121" i="34"/>
  <c r="B146" i="26"/>
  <c r="Q181" i="26"/>
  <c r="B78" i="26"/>
  <c r="P206" i="1"/>
  <c r="B148" i="1"/>
  <c r="H138" i="1"/>
  <c r="G196" i="1" s="1"/>
  <c r="F207" i="26"/>
  <c r="B149" i="26"/>
  <c r="H146" i="26"/>
  <c r="G204" i="26" s="1"/>
  <c r="B138" i="26"/>
  <c r="B114" i="26"/>
  <c r="B96" i="26"/>
  <c r="B74" i="34"/>
  <c r="B121" i="1"/>
  <c r="L219" i="26"/>
  <c r="H223" i="26"/>
  <c r="J226" i="34"/>
  <c r="L222" i="34"/>
  <c r="N211" i="34"/>
  <c r="L195" i="34"/>
  <c r="H190" i="34"/>
  <c r="B161" i="1"/>
  <c r="B147" i="26"/>
  <c r="B132" i="26"/>
  <c r="B130" i="26"/>
  <c r="B122" i="26"/>
  <c r="B121" i="26"/>
  <c r="B115" i="26"/>
  <c r="F101" i="34"/>
  <c r="F101" i="1"/>
  <c r="B94" i="26"/>
  <c r="B81" i="26"/>
  <c r="B79" i="26"/>
  <c r="R156" i="26"/>
  <c r="Q217" i="26"/>
  <c r="R158" i="26"/>
  <c r="F127" i="1"/>
  <c r="H105" i="26"/>
  <c r="H86" i="1"/>
  <c r="V46" i="4"/>
  <c r="J121" i="34"/>
  <c r="J128" i="1"/>
  <c r="I186" i="1" s="1"/>
  <c r="J175" i="1"/>
  <c r="J142" i="26"/>
  <c r="H127" i="26"/>
  <c r="G185" i="26" s="1"/>
  <c r="N108" i="26"/>
  <c r="F112" i="26"/>
  <c r="F117" i="34"/>
  <c r="F105" i="1"/>
  <c r="F105" i="34"/>
  <c r="F101" i="26"/>
  <c r="F117" i="1"/>
  <c r="V62" i="4"/>
  <c r="B105" i="26"/>
  <c r="V47" i="4"/>
  <c r="F102" i="26"/>
  <c r="B101" i="26"/>
  <c r="J236" i="34"/>
  <c r="B173" i="34"/>
  <c r="B172" i="34"/>
  <c r="L218" i="34"/>
  <c r="L169" i="34"/>
  <c r="J215" i="34"/>
  <c r="N93" i="34"/>
  <c r="B151" i="34"/>
  <c r="L206" i="34"/>
  <c r="H85" i="34"/>
  <c r="J192" i="34"/>
  <c r="L131" i="34"/>
  <c r="J127" i="34"/>
  <c r="L213" i="1"/>
  <c r="H200" i="1"/>
  <c r="H148" i="26"/>
  <c r="G206" i="26" s="1"/>
  <c r="H170" i="1"/>
  <c r="G228" i="1" s="1"/>
  <c r="N90" i="26"/>
  <c r="P151" i="1"/>
  <c r="N96" i="26"/>
  <c r="N176" i="34"/>
  <c r="H180" i="26"/>
  <c r="G238" i="26" s="1"/>
  <c r="H162" i="1"/>
  <c r="G220" i="1" s="1"/>
  <c r="H154" i="1"/>
  <c r="G212" i="1" s="1"/>
  <c r="H143" i="26"/>
  <c r="G201" i="26" s="1"/>
  <c r="H119" i="1"/>
  <c r="J173" i="26"/>
  <c r="H111" i="26"/>
  <c r="H138" i="34"/>
  <c r="G196" i="34" s="1"/>
  <c r="B100" i="26"/>
  <c r="B98" i="26"/>
  <c r="B95" i="26"/>
  <c r="B77" i="26"/>
  <c r="B121" i="34"/>
  <c r="B117" i="34"/>
  <c r="B114" i="34"/>
  <c r="B107" i="34"/>
  <c r="B105" i="34"/>
  <c r="B103" i="34"/>
  <c r="B89" i="34"/>
  <c r="B85" i="34"/>
  <c r="B83" i="34"/>
  <c r="B81" i="34"/>
  <c r="B78" i="34"/>
  <c r="B75" i="34"/>
  <c r="B180" i="1"/>
  <c r="B175" i="1"/>
  <c r="M181" i="1"/>
  <c r="B167" i="1"/>
  <c r="B164" i="1"/>
  <c r="B160" i="1"/>
  <c r="B156" i="1"/>
  <c r="B152" i="1"/>
  <c r="B140" i="1"/>
  <c r="B134" i="1"/>
  <c r="B132" i="1"/>
  <c r="B130" i="1"/>
  <c r="B79" i="1"/>
  <c r="B73" i="1"/>
  <c r="B71" i="1"/>
  <c r="N207" i="26"/>
  <c r="L218" i="26"/>
  <c r="L214" i="26"/>
  <c r="L191" i="26"/>
  <c r="L185" i="26"/>
  <c r="J233" i="26"/>
  <c r="J215" i="26"/>
  <c r="J213" i="26"/>
  <c r="J201" i="26"/>
  <c r="J199" i="26"/>
  <c r="B139" i="26"/>
  <c r="H232" i="26"/>
  <c r="P224" i="26"/>
  <c r="P216" i="26"/>
  <c r="Q216" i="26" s="1"/>
  <c r="P212" i="26"/>
  <c r="L223" i="34"/>
  <c r="P224" i="34"/>
  <c r="P214" i="34"/>
  <c r="Q214" i="34" s="1"/>
  <c r="P154" i="34"/>
  <c r="J206" i="34"/>
  <c r="H89" i="34"/>
  <c r="B143" i="34"/>
  <c r="B94" i="1"/>
  <c r="H107" i="1"/>
  <c r="N108" i="1"/>
  <c r="P153" i="1"/>
  <c r="O211" i="1" s="1"/>
  <c r="N98" i="26"/>
  <c r="P158" i="1"/>
  <c r="N109" i="1"/>
  <c r="P156" i="34"/>
  <c r="P158" i="34"/>
  <c r="J140" i="1"/>
  <c r="H74" i="26"/>
  <c r="P100" i="1"/>
  <c r="R158" i="1"/>
  <c r="P101" i="1"/>
  <c r="F14" i="5"/>
  <c r="F30" i="5"/>
  <c r="F16" i="5"/>
  <c r="H114" i="34"/>
  <c r="I230" i="34" s="1"/>
  <c r="F24" i="5"/>
  <c r="F38" i="5"/>
  <c r="F46" i="5"/>
  <c r="F18" i="5"/>
  <c r="F6" i="5"/>
  <c r="F41" i="5"/>
  <c r="F42" i="5"/>
  <c r="F10" i="5"/>
  <c r="AB13" i="39"/>
  <c r="O8" i="5" s="1"/>
  <c r="F21" i="5"/>
  <c r="F52" i="5"/>
  <c r="O216" i="1"/>
  <c r="H106" i="34"/>
  <c r="H118" i="1"/>
  <c r="F35" i="5"/>
  <c r="F4" i="5"/>
  <c r="F50" i="5"/>
  <c r="F37" i="5"/>
  <c r="F11" i="5"/>
  <c r="F28" i="5"/>
  <c r="F34" i="5"/>
  <c r="F49" i="5"/>
  <c r="H49" i="5" s="1"/>
  <c r="D49" i="5" s="1"/>
  <c r="F13" i="5"/>
  <c r="F40" i="5"/>
  <c r="F51" i="5"/>
  <c r="O225" i="34"/>
  <c r="H102" i="34"/>
  <c r="H145" i="26"/>
  <c r="G203" i="26" s="1"/>
  <c r="H169" i="26"/>
  <c r="G227" i="26" s="1"/>
  <c r="O31" i="32"/>
  <c r="O45" i="5"/>
  <c r="O53" i="5"/>
  <c r="O45" i="32"/>
  <c r="R167" i="34"/>
  <c r="N98" i="1"/>
  <c r="J172" i="1"/>
  <c r="J146" i="34"/>
  <c r="J146" i="1"/>
  <c r="H88" i="1"/>
  <c r="Q225" i="34"/>
  <c r="P157" i="26"/>
  <c r="J170" i="1"/>
  <c r="H112" i="1"/>
  <c r="J177" i="26"/>
  <c r="H119" i="26"/>
  <c r="H86" i="34"/>
  <c r="J144" i="34"/>
  <c r="N91" i="26"/>
  <c r="H84" i="34"/>
  <c r="J177" i="1"/>
  <c r="J163" i="34"/>
  <c r="I221" i="34" s="1"/>
  <c r="P109" i="26"/>
  <c r="H84" i="26"/>
  <c r="H86" i="26"/>
  <c r="L179" i="34"/>
  <c r="J162" i="1"/>
  <c r="I220" i="1" s="1"/>
  <c r="L127" i="34"/>
  <c r="K185" i="34" s="1"/>
  <c r="N97" i="34"/>
  <c r="J74" i="34"/>
  <c r="L132" i="34"/>
  <c r="L134" i="34"/>
  <c r="J76" i="34"/>
  <c r="J105" i="34"/>
  <c r="L163" i="34"/>
  <c r="Q217" i="1"/>
  <c r="P98" i="1"/>
  <c r="H76" i="1"/>
  <c r="P150" i="1"/>
  <c r="O208" i="1" s="1"/>
  <c r="J144" i="1"/>
  <c r="L177" i="34"/>
  <c r="R156" i="1"/>
  <c r="J79" i="34"/>
  <c r="K195" i="34" s="1"/>
  <c r="J141" i="34"/>
  <c r="I199" i="34" s="1"/>
  <c r="H118" i="34"/>
  <c r="H73" i="34"/>
  <c r="I189" i="34" s="1"/>
  <c r="J160" i="34"/>
  <c r="N92" i="26"/>
  <c r="N93" i="1"/>
  <c r="J122" i="34"/>
  <c r="H106" i="26"/>
  <c r="L174" i="34"/>
  <c r="K232" i="34" s="1"/>
  <c r="J147" i="1"/>
  <c r="I205" i="1" s="1"/>
  <c r="L171" i="34"/>
  <c r="S171" i="34" s="1"/>
  <c r="J113" i="34"/>
  <c r="Q113" i="34" s="1"/>
  <c r="P100" i="34"/>
  <c r="R158" i="34"/>
  <c r="J75" i="34"/>
  <c r="L133" i="34"/>
  <c r="P99" i="34"/>
  <c r="N81" i="1"/>
  <c r="O197" i="1" s="1"/>
  <c r="P158" i="26"/>
  <c r="O216" i="26" s="1"/>
  <c r="J71" i="34"/>
  <c r="K187" i="34" s="1"/>
  <c r="J106" i="34"/>
  <c r="J72" i="34"/>
  <c r="L130" i="34"/>
  <c r="J114" i="34"/>
  <c r="L175" i="34"/>
  <c r="J117" i="34"/>
  <c r="L139" i="34"/>
  <c r="J81" i="34"/>
  <c r="R159" i="26"/>
  <c r="R157" i="34"/>
  <c r="H103" i="1"/>
  <c r="L138" i="34"/>
  <c r="J80" i="34"/>
  <c r="J173" i="34"/>
  <c r="I231" i="34" s="1"/>
  <c r="J169" i="26"/>
  <c r="J78" i="34"/>
  <c r="J160" i="1"/>
  <c r="H102" i="1"/>
  <c r="J112" i="34"/>
  <c r="L170" i="34"/>
  <c r="J134" i="34"/>
  <c r="H76" i="34"/>
  <c r="J111" i="34"/>
  <c r="H69" i="34"/>
  <c r="H116" i="34"/>
  <c r="J143" i="34"/>
  <c r="H141" i="1"/>
  <c r="G199" i="1" s="1"/>
  <c r="J165" i="1"/>
  <c r="P148" i="26"/>
  <c r="P148" i="34"/>
  <c r="N90" i="34"/>
  <c r="H115" i="26"/>
  <c r="N96" i="34"/>
  <c r="L118" i="34"/>
  <c r="J73" i="34"/>
  <c r="H70" i="34"/>
  <c r="P166" i="34"/>
  <c r="O224" i="34" s="1"/>
  <c r="J161" i="34"/>
  <c r="P149" i="34"/>
  <c r="J147" i="34"/>
  <c r="H129" i="1"/>
  <c r="G187" i="1" s="1"/>
  <c r="H175" i="1"/>
  <c r="G233" i="1" s="1"/>
  <c r="H171" i="1"/>
  <c r="G229" i="1" s="1"/>
  <c r="R156" i="34"/>
  <c r="P98" i="34"/>
  <c r="I203" i="34"/>
  <c r="J70" i="34"/>
  <c r="L128" i="34"/>
  <c r="J165" i="26"/>
  <c r="H107" i="26"/>
  <c r="J160" i="26"/>
  <c r="H102" i="26"/>
  <c r="R157" i="1"/>
  <c r="P99" i="1"/>
  <c r="P151" i="26"/>
  <c r="N93" i="26"/>
  <c r="N99" i="34"/>
  <c r="P157" i="34"/>
  <c r="H87" i="1"/>
  <c r="J145" i="1"/>
  <c r="J142" i="1"/>
  <c r="H84" i="1"/>
  <c r="H116" i="1"/>
  <c r="J174" i="1"/>
  <c r="P109" i="1"/>
  <c r="R167" i="1"/>
  <c r="P101" i="26"/>
  <c r="P98" i="26"/>
  <c r="R159" i="34"/>
  <c r="P101" i="34"/>
  <c r="G191" i="1"/>
  <c r="J176" i="26"/>
  <c r="L178" i="34"/>
  <c r="J120" i="34"/>
  <c r="Q120" i="34" s="1"/>
  <c r="H71" i="34"/>
  <c r="I187" i="34" s="1"/>
  <c r="C69" i="32"/>
  <c r="N77" i="4"/>
  <c r="Q15" i="5"/>
  <c r="Q25" i="32"/>
  <c r="Q20" i="5"/>
  <c r="Q35" i="32"/>
  <c r="Q8" i="5"/>
  <c r="Q15" i="32"/>
  <c r="Q16" i="32"/>
  <c r="Q37" i="32"/>
  <c r="Q37" i="5"/>
  <c r="Q7" i="5"/>
  <c r="Q25" i="5"/>
  <c r="Q21" i="32"/>
  <c r="Q5" i="5"/>
  <c r="Q17" i="32"/>
  <c r="Q30" i="32"/>
  <c r="Q17" i="5"/>
  <c r="Q22" i="32"/>
  <c r="Q27" i="5"/>
  <c r="Q23" i="32"/>
  <c r="Q12" i="5"/>
  <c r="Q4" i="5"/>
  <c r="Q27" i="32"/>
  <c r="Q14" i="32"/>
  <c r="Q14" i="5"/>
  <c r="Q32" i="32"/>
  <c r="Q20" i="32"/>
  <c r="Q10" i="32"/>
  <c r="Q13" i="5"/>
  <c r="Q12" i="32"/>
  <c r="Q11" i="5"/>
  <c r="Q18" i="32"/>
  <c r="Q35" i="5"/>
  <c r="Q31" i="32"/>
  <c r="Q10" i="5"/>
  <c r="Q2" i="5"/>
  <c r="Q36" i="5"/>
  <c r="Q9" i="32"/>
  <c r="Q24" i="5"/>
  <c r="Q28" i="32"/>
  <c r="Q36" i="32"/>
  <c r="C72" i="32"/>
  <c r="Q13" i="32"/>
  <c r="Q3" i="5"/>
  <c r="Q26" i="32"/>
  <c r="Q22" i="5"/>
  <c r="Q29" i="32"/>
  <c r="Q32" i="5"/>
  <c r="Q9" i="5"/>
  <c r="Q30" i="5"/>
  <c r="Q26" i="5"/>
  <c r="Q28" i="5"/>
  <c r="N95" i="34"/>
  <c r="P153" i="34"/>
  <c r="H117" i="1"/>
  <c r="H106" i="1"/>
  <c r="Q19" i="5"/>
  <c r="Q29" i="5"/>
  <c r="Q24" i="32"/>
  <c r="Q31" i="5"/>
  <c r="P152" i="34"/>
  <c r="L173" i="34"/>
  <c r="J115" i="34"/>
  <c r="Q115" i="34" s="1"/>
  <c r="N96" i="1"/>
  <c r="P154" i="1"/>
  <c r="H82" i="1"/>
  <c r="N94" i="1"/>
  <c r="P152" i="1"/>
  <c r="H144" i="34"/>
  <c r="G202" i="34" s="1"/>
  <c r="J169" i="34"/>
  <c r="P159" i="26"/>
  <c r="J77" i="34"/>
  <c r="H119" i="34"/>
  <c r="J162" i="34"/>
  <c r="H138" i="26"/>
  <c r="G196" i="26" s="1"/>
  <c r="N100" i="34"/>
  <c r="N92" i="34"/>
  <c r="P159" i="34"/>
  <c r="O217" i="34" s="1"/>
  <c r="P151" i="34"/>
  <c r="H71" i="1"/>
  <c r="H143" i="1"/>
  <c r="H152" i="1"/>
  <c r="G210" i="1" s="1"/>
  <c r="P166" i="1"/>
  <c r="H176" i="1"/>
  <c r="G234" i="1" s="1"/>
  <c r="H142" i="1"/>
  <c r="H114" i="26"/>
  <c r="J163" i="26"/>
  <c r="J129" i="26"/>
  <c r="H178" i="26"/>
  <c r="G236" i="26" s="1"/>
  <c r="H166" i="26"/>
  <c r="G224" i="26" s="1"/>
  <c r="N98" i="34"/>
  <c r="H117" i="34"/>
  <c r="I233" i="34" s="1"/>
  <c r="H111" i="34"/>
  <c r="H72" i="1"/>
  <c r="P149" i="1"/>
  <c r="O207" i="1" s="1"/>
  <c r="N94" i="26"/>
  <c r="O210" i="26" s="1"/>
  <c r="P155" i="26"/>
  <c r="N94" i="34"/>
  <c r="H151" i="1"/>
  <c r="G209" i="1" s="1"/>
  <c r="J132" i="26"/>
  <c r="D69" i="26"/>
  <c r="O181" i="1"/>
  <c r="B127" i="1"/>
  <c r="C127" i="1" s="1"/>
  <c r="D127" i="1" s="1"/>
  <c r="Q181" i="1"/>
  <c r="N224" i="26"/>
  <c r="P166" i="26"/>
  <c r="B166" i="26"/>
  <c r="N214" i="26"/>
  <c r="P156" i="26"/>
  <c r="P153" i="26"/>
  <c r="O211" i="26" s="1"/>
  <c r="N211" i="26"/>
  <c r="L228" i="26"/>
  <c r="L226" i="26"/>
  <c r="B110" i="26"/>
  <c r="L224" i="26"/>
  <c r="B108" i="26"/>
  <c r="L216" i="26"/>
  <c r="L210" i="26"/>
  <c r="B89" i="26"/>
  <c r="L205" i="26"/>
  <c r="L203" i="26"/>
  <c r="B87" i="26"/>
  <c r="K123" i="26"/>
  <c r="B83" i="26"/>
  <c r="L195" i="26"/>
  <c r="L187" i="26"/>
  <c r="J237" i="26"/>
  <c r="B179" i="26"/>
  <c r="B173" i="26"/>
  <c r="J231" i="26"/>
  <c r="J229" i="26"/>
  <c r="B169" i="26"/>
  <c r="J223" i="26"/>
  <c r="J221" i="26"/>
  <c r="B163" i="26"/>
  <c r="J219" i="26"/>
  <c r="J211" i="26"/>
  <c r="J207" i="26"/>
  <c r="J205" i="26"/>
  <c r="J203" i="26"/>
  <c r="J193" i="26"/>
  <c r="B133" i="26"/>
  <c r="J189" i="26"/>
  <c r="J187" i="26"/>
  <c r="B129" i="26"/>
  <c r="B127" i="26"/>
  <c r="C127" i="26" s="1"/>
  <c r="K181" i="26"/>
  <c r="J185" i="26"/>
  <c r="B176" i="26"/>
  <c r="J170" i="26"/>
  <c r="B170" i="26"/>
  <c r="B106" i="26"/>
  <c r="H222" i="26"/>
  <c r="B161" i="26"/>
  <c r="H219" i="26"/>
  <c r="J161" i="26"/>
  <c r="H205" i="26"/>
  <c r="J147" i="26"/>
  <c r="J145" i="26"/>
  <c r="B145" i="26"/>
  <c r="J143" i="26"/>
  <c r="H201" i="26"/>
  <c r="J141" i="26"/>
  <c r="B141" i="26"/>
  <c r="J134" i="26"/>
  <c r="H192" i="26"/>
  <c r="B134" i="26"/>
  <c r="H72" i="26"/>
  <c r="H188" i="26"/>
  <c r="H186" i="26"/>
  <c r="G123" i="26"/>
  <c r="H70" i="26"/>
  <c r="F235" i="26"/>
  <c r="B177" i="26"/>
  <c r="H177" i="26"/>
  <c r="F210" i="26"/>
  <c r="H152" i="26"/>
  <c r="G210" i="26" s="1"/>
  <c r="F186" i="26"/>
  <c r="H128" i="26"/>
  <c r="B128" i="26"/>
  <c r="P208" i="26"/>
  <c r="B92" i="26"/>
  <c r="P206" i="26"/>
  <c r="B90" i="26"/>
  <c r="F200" i="34"/>
  <c r="B142" i="34"/>
  <c r="J140" i="34"/>
  <c r="H198" i="34"/>
  <c r="F190" i="34"/>
  <c r="B132" i="34"/>
  <c r="H132" i="34"/>
  <c r="J189" i="34"/>
  <c r="B131" i="34"/>
  <c r="O181" i="34"/>
  <c r="B130" i="34"/>
  <c r="F188" i="34"/>
  <c r="H130" i="34"/>
  <c r="G188" i="34" s="1"/>
  <c r="B129" i="34"/>
  <c r="J187" i="34"/>
  <c r="J128" i="34"/>
  <c r="H186" i="34"/>
  <c r="F226" i="1"/>
  <c r="B168" i="1"/>
  <c r="P154" i="26"/>
  <c r="B154" i="26"/>
  <c r="N212" i="26"/>
  <c r="J174" i="26"/>
  <c r="L197" i="26"/>
  <c r="I181" i="1"/>
  <c r="L220" i="26"/>
  <c r="B175" i="26"/>
  <c r="B137" i="34"/>
  <c r="L238" i="26"/>
  <c r="J197" i="26"/>
  <c r="B104" i="26"/>
  <c r="H203" i="26"/>
  <c r="B143" i="26"/>
  <c r="H161" i="34"/>
  <c r="J227" i="26"/>
  <c r="B180" i="26"/>
  <c r="B136" i="26"/>
  <c r="O181" i="26"/>
  <c r="B179" i="1"/>
  <c r="B178" i="1"/>
  <c r="B171" i="1"/>
  <c r="B137" i="1"/>
  <c r="O123" i="1"/>
  <c r="H162" i="26"/>
  <c r="F220" i="26"/>
  <c r="B162" i="26"/>
  <c r="F195" i="26"/>
  <c r="B137" i="26"/>
  <c r="N174" i="34"/>
  <c r="L232" i="34"/>
  <c r="H174" i="34"/>
  <c r="G232" i="34" s="1"/>
  <c r="F232" i="34"/>
  <c r="B174" i="34"/>
  <c r="H160" i="34"/>
  <c r="F218" i="34"/>
  <c r="F207" i="34"/>
  <c r="H149" i="34"/>
  <c r="B149" i="34"/>
  <c r="F206" i="34"/>
  <c r="H148" i="34"/>
  <c r="B148" i="34"/>
  <c r="J205" i="34"/>
  <c r="B147" i="34"/>
  <c r="F191" i="34"/>
  <c r="B133" i="34"/>
  <c r="H133" i="34"/>
  <c r="F227" i="1"/>
  <c r="B169" i="1"/>
  <c r="H161" i="1"/>
  <c r="G219" i="1" s="1"/>
  <c r="F219" i="1"/>
  <c r="H153" i="1"/>
  <c r="F211" i="1"/>
  <c r="B153" i="1"/>
  <c r="P100" i="26"/>
  <c r="H199" i="26"/>
  <c r="M123" i="26"/>
  <c r="B69" i="1"/>
  <c r="C69" i="1" s="1"/>
  <c r="B72" i="26"/>
  <c r="J191" i="26"/>
  <c r="B70" i="26"/>
  <c r="M181" i="26"/>
  <c r="B102" i="26"/>
  <c r="J217" i="26"/>
  <c r="I181" i="34"/>
  <c r="B165" i="26"/>
  <c r="B174" i="26"/>
  <c r="B128" i="34"/>
  <c r="F224" i="1"/>
  <c r="B103" i="26"/>
  <c r="B82" i="26"/>
  <c r="B133" i="1"/>
  <c r="F212" i="34"/>
  <c r="H154" i="34"/>
  <c r="G212" i="34" s="1"/>
  <c r="F205" i="1"/>
  <c r="H147" i="1"/>
  <c r="F193" i="1"/>
  <c r="H135" i="1"/>
  <c r="G193" i="1" s="1"/>
  <c r="J129" i="1"/>
  <c r="B129" i="1"/>
  <c r="H161" i="26"/>
  <c r="G219" i="26" s="1"/>
  <c r="H231" i="26"/>
  <c r="B139" i="34"/>
  <c r="B85" i="26"/>
  <c r="J218" i="34"/>
  <c r="B80" i="26"/>
  <c r="O123" i="26"/>
  <c r="F237" i="34"/>
  <c r="H179" i="34"/>
  <c r="B179" i="34"/>
  <c r="L213" i="34"/>
  <c r="B155" i="34"/>
  <c r="F199" i="34"/>
  <c r="B141" i="34"/>
  <c r="H141" i="34"/>
  <c r="G181" i="34"/>
  <c r="H163" i="1"/>
  <c r="F221" i="1"/>
  <c r="B163" i="1"/>
  <c r="I190" i="1"/>
  <c r="F89" i="26"/>
  <c r="F147" i="34"/>
  <c r="F147" i="26"/>
  <c r="F89" i="34"/>
  <c r="F147" i="1"/>
  <c r="F89" i="1"/>
  <c r="V34" i="4"/>
  <c r="F85" i="1"/>
  <c r="F85" i="26"/>
  <c r="F143" i="26"/>
  <c r="F143" i="34"/>
  <c r="F85" i="34"/>
  <c r="F143" i="1"/>
  <c r="V30" i="4"/>
  <c r="F226" i="26"/>
  <c r="B168" i="26"/>
  <c r="H178" i="34"/>
  <c r="F236" i="34"/>
  <c r="B178" i="34"/>
  <c r="F214" i="34"/>
  <c r="B156" i="34"/>
  <c r="L198" i="34"/>
  <c r="B140" i="34"/>
  <c r="M181" i="34"/>
  <c r="K181" i="1"/>
  <c r="J224" i="1"/>
  <c r="F139" i="26"/>
  <c r="V26" i="4"/>
  <c r="F139" i="34"/>
  <c r="F81" i="34"/>
  <c r="F81" i="26"/>
  <c r="F81" i="1"/>
  <c r="B159" i="26"/>
  <c r="F217" i="26"/>
  <c r="G181" i="26"/>
  <c r="Q181" i="34"/>
  <c r="B177" i="34"/>
  <c r="B154" i="34"/>
  <c r="J212" i="34"/>
  <c r="K181" i="34"/>
  <c r="F213" i="1"/>
  <c r="G181" i="1"/>
  <c r="H155" i="1"/>
  <c r="B155" i="1"/>
  <c r="E16" i="33"/>
  <c r="I188" i="34"/>
  <c r="G187" i="34"/>
  <c r="F145" i="1"/>
  <c r="V32" i="4"/>
  <c r="F145" i="34"/>
  <c r="F87" i="26"/>
  <c r="F87" i="1"/>
  <c r="V28" i="4"/>
  <c r="F141" i="1"/>
  <c r="F83" i="1"/>
  <c r="F83" i="26"/>
  <c r="F141" i="34"/>
  <c r="F83" i="34"/>
  <c r="F141" i="26"/>
  <c r="F128" i="34"/>
  <c r="F70" i="26"/>
  <c r="V15" i="4"/>
  <c r="F70" i="1"/>
  <c r="F128" i="26"/>
  <c r="N90" i="1"/>
  <c r="N206" i="1"/>
  <c r="H136" i="1"/>
  <c r="F194" i="1"/>
  <c r="F146" i="1"/>
  <c r="F146" i="26"/>
  <c r="F146" i="34"/>
  <c r="V33" i="4"/>
  <c r="F88" i="1"/>
  <c r="F88" i="34"/>
  <c r="V29" i="4"/>
  <c r="F142" i="34"/>
  <c r="F84" i="26"/>
  <c r="F142" i="1"/>
  <c r="F84" i="1"/>
  <c r="F142" i="26"/>
  <c r="F79" i="1"/>
  <c r="F137" i="26"/>
  <c r="V24" i="4"/>
  <c r="F79" i="34"/>
  <c r="F137" i="34"/>
  <c r="F79" i="26"/>
  <c r="F137" i="1"/>
  <c r="F136" i="26"/>
  <c r="F78" i="1"/>
  <c r="V23" i="4"/>
  <c r="F78" i="26"/>
  <c r="F78" i="34"/>
  <c r="F136" i="34"/>
  <c r="H140" i="34"/>
  <c r="F198" i="34"/>
  <c r="F204" i="1"/>
  <c r="H146" i="1"/>
  <c r="F94" i="1"/>
  <c r="F152" i="1"/>
  <c r="F94" i="26"/>
  <c r="F152" i="34"/>
  <c r="V39" i="4"/>
  <c r="F144" i="1"/>
  <c r="F144" i="34"/>
  <c r="F86" i="26"/>
  <c r="F144" i="26"/>
  <c r="F86" i="1"/>
  <c r="F86" i="34"/>
  <c r="V27" i="4"/>
  <c r="F82" i="34"/>
  <c r="F82" i="26"/>
  <c r="F140" i="34"/>
  <c r="F140" i="26"/>
  <c r="F82" i="1"/>
  <c r="F209" i="26"/>
  <c r="H151" i="26"/>
  <c r="L226" i="34"/>
  <c r="J165" i="34"/>
  <c r="B165" i="34"/>
  <c r="F204" i="34"/>
  <c r="H146" i="34"/>
  <c r="F156" i="1"/>
  <c r="V43" i="4"/>
  <c r="F98" i="26"/>
  <c r="F98" i="1"/>
  <c r="F156" i="26"/>
  <c r="F178" i="1"/>
  <c r="F178" i="34"/>
  <c r="F171" i="1"/>
  <c r="F171" i="34"/>
  <c r="F113" i="26"/>
  <c r="F134" i="1"/>
  <c r="F76" i="1"/>
  <c r="F76" i="26"/>
  <c r="H231" i="34"/>
  <c r="H150" i="1"/>
  <c r="F208" i="1"/>
  <c r="F95" i="26"/>
  <c r="F113" i="1"/>
  <c r="V65" i="4"/>
  <c r="F134" i="26"/>
  <c r="F104" i="34"/>
  <c r="F104" i="26"/>
  <c r="F162" i="1"/>
  <c r="F161" i="1"/>
  <c r="F103" i="1"/>
  <c r="F92" i="34"/>
  <c r="V37" i="4"/>
  <c r="F120" i="34"/>
  <c r="F134" i="34"/>
  <c r="F113" i="34"/>
  <c r="F116" i="1"/>
  <c r="V61" i="4"/>
  <c r="F174" i="34"/>
  <c r="F174" i="26"/>
  <c r="F75" i="26"/>
  <c r="F133" i="34"/>
  <c r="H228" i="26"/>
  <c r="B84" i="34"/>
  <c r="B166" i="1"/>
  <c r="H134" i="1"/>
  <c r="H149" i="26"/>
  <c r="I198" i="34" l="1"/>
  <c r="I231" i="1"/>
  <c r="I185" i="1"/>
  <c r="O8" i="32"/>
  <c r="O17" i="32"/>
  <c r="O54" i="5"/>
  <c r="O38" i="32"/>
  <c r="O10" i="32"/>
  <c r="O27" i="32"/>
  <c r="O9" i="32"/>
  <c r="O36" i="32"/>
  <c r="O26" i="32"/>
  <c r="O19" i="32"/>
  <c r="H9" i="32"/>
  <c r="D9" i="32" s="1"/>
  <c r="H25" i="34" s="1"/>
  <c r="L140" i="34" s="1"/>
  <c r="H31" i="32"/>
  <c r="D31" i="32" s="1"/>
  <c r="H46" i="34" s="1"/>
  <c r="J103" i="34" s="1"/>
  <c r="O15" i="32"/>
  <c r="O6" i="5"/>
  <c r="O3" i="32"/>
  <c r="O34" i="5"/>
  <c r="O50" i="5"/>
  <c r="I220" i="34"/>
  <c r="I198" i="26"/>
  <c r="I219" i="1"/>
  <c r="I230" i="1"/>
  <c r="M232" i="34"/>
  <c r="J82" i="34"/>
  <c r="L176" i="34"/>
  <c r="S176" i="34" s="1"/>
  <c r="K235" i="34"/>
  <c r="O213" i="34"/>
  <c r="I227" i="1"/>
  <c r="O217" i="26"/>
  <c r="I185" i="26"/>
  <c r="H27" i="32"/>
  <c r="D27" i="32" s="1"/>
  <c r="H42" i="34" s="1"/>
  <c r="J99" i="34" s="1"/>
  <c r="H17" i="32"/>
  <c r="D17" i="32" s="1"/>
  <c r="H51" i="34" s="1"/>
  <c r="L166" i="34" s="1"/>
  <c r="H15" i="32"/>
  <c r="D15" i="32" s="1"/>
  <c r="H31" i="34" s="1"/>
  <c r="L146" i="34" s="1"/>
  <c r="O7" i="32"/>
  <c r="O46" i="32"/>
  <c r="O21" i="32"/>
  <c r="O42" i="5"/>
  <c r="O44" i="32"/>
  <c r="O2" i="5"/>
  <c r="O12" i="32"/>
  <c r="O4" i="5"/>
  <c r="O55" i="32"/>
  <c r="O24" i="32"/>
  <c r="O5" i="32"/>
  <c r="O23" i="32"/>
  <c r="H23" i="32" s="1"/>
  <c r="D23" i="32" s="1"/>
  <c r="H38" i="34" s="1"/>
  <c r="O46" i="5"/>
  <c r="O52" i="5"/>
  <c r="O43" i="32"/>
  <c r="O42" i="32"/>
  <c r="O33" i="5"/>
  <c r="O4" i="32"/>
  <c r="O49" i="32"/>
  <c r="O47" i="32"/>
  <c r="O51" i="5"/>
  <c r="O49" i="5"/>
  <c r="O54" i="32"/>
  <c r="K222" i="34"/>
  <c r="AG9" i="40"/>
  <c r="AH9" i="40" s="1"/>
  <c r="AI9" i="40" s="1"/>
  <c r="AJ9" i="40" s="1"/>
  <c r="AK9" i="40" s="1"/>
  <c r="AL9" i="40" s="1"/>
  <c r="AM9" i="40" s="1"/>
  <c r="AN9" i="40" s="1"/>
  <c r="AO9" i="40" s="1"/>
  <c r="AP9" i="40" s="1"/>
  <c r="AQ9" i="40" s="1"/>
  <c r="AR9" i="40" s="1"/>
  <c r="AS9" i="40" s="1"/>
  <c r="AT9" i="40" s="1"/>
  <c r="AU9" i="40" s="1"/>
  <c r="AV9" i="40" s="1"/>
  <c r="AW9" i="40" s="1"/>
  <c r="AX9" i="40" s="1"/>
  <c r="AY9" i="40" s="1"/>
  <c r="AZ9" i="40" s="1"/>
  <c r="C4" i="40"/>
  <c r="C5" i="40" s="1"/>
  <c r="H26" i="32"/>
  <c r="D26" i="32" s="1"/>
  <c r="H41" i="34" s="1"/>
  <c r="L156" i="34" s="1"/>
  <c r="H36" i="32"/>
  <c r="D36" i="32" s="1"/>
  <c r="H52" i="34" s="1"/>
  <c r="L167" i="34" s="1"/>
  <c r="O20" i="32"/>
  <c r="O40" i="32"/>
  <c r="O6" i="32"/>
  <c r="O48" i="5"/>
  <c r="O32" i="32"/>
  <c r="O33" i="32"/>
  <c r="O40" i="5"/>
  <c r="O13" i="32"/>
  <c r="H13" i="32" s="1"/>
  <c r="D13" i="32" s="1"/>
  <c r="H29" i="34" s="1"/>
  <c r="L144" i="34" s="1"/>
  <c r="O51" i="32"/>
  <c r="O11" i="32"/>
  <c r="H11" i="32" s="1"/>
  <c r="D11" i="32" s="1"/>
  <c r="H27" i="34" s="1"/>
  <c r="O22" i="32"/>
  <c r="O48" i="32"/>
  <c r="O28" i="32"/>
  <c r="H28" i="32" s="1"/>
  <c r="D28" i="32" s="1"/>
  <c r="H43" i="34" s="1"/>
  <c r="O38" i="5"/>
  <c r="O43" i="5"/>
  <c r="O41" i="5"/>
  <c r="O34" i="32"/>
  <c r="O25" i="32"/>
  <c r="H25" i="32" s="1"/>
  <c r="D25" i="32" s="1"/>
  <c r="H40" i="34" s="1"/>
  <c r="I222" i="34"/>
  <c r="H10" i="32"/>
  <c r="D10" i="32" s="1"/>
  <c r="H26" i="34" s="1"/>
  <c r="J83" i="34" s="1"/>
  <c r="O207" i="34"/>
  <c r="O3" i="5"/>
  <c r="O39" i="5"/>
  <c r="O44" i="5"/>
  <c r="O14" i="32"/>
  <c r="H14" i="32" s="1"/>
  <c r="D14" i="32" s="1"/>
  <c r="H30" i="34" s="1"/>
  <c r="L145" i="34" s="1"/>
  <c r="O52" i="32"/>
  <c r="O2" i="32"/>
  <c r="O53" i="32"/>
  <c r="O39" i="32"/>
  <c r="O29" i="32"/>
  <c r="H29" i="32" s="1"/>
  <c r="D29" i="32" s="1"/>
  <c r="H44" i="34" s="1"/>
  <c r="J101" i="34" s="1"/>
  <c r="O47" i="5"/>
  <c r="O16" i="32"/>
  <c r="H16" i="32" s="1"/>
  <c r="D16" i="32" s="1"/>
  <c r="H32" i="34" s="1"/>
  <c r="O35" i="32"/>
  <c r="H35" i="32" s="1"/>
  <c r="D35" i="32" s="1"/>
  <c r="H50" i="34" s="1"/>
  <c r="O41" i="32"/>
  <c r="O7" i="5"/>
  <c r="O55" i="5"/>
  <c r="O18" i="32"/>
  <c r="H18" i="32" s="1"/>
  <c r="D18" i="32" s="1"/>
  <c r="H33" i="34" s="1"/>
  <c r="O50" i="32"/>
  <c r="O37" i="32"/>
  <c r="H37" i="32" s="1"/>
  <c r="D37" i="32" s="1"/>
  <c r="H53" i="34" s="1"/>
  <c r="O5" i="5"/>
  <c r="O30" i="32"/>
  <c r="H30" i="32" s="1"/>
  <c r="D30" i="32" s="1"/>
  <c r="H45" i="34" s="1"/>
  <c r="F22" i="5"/>
  <c r="F54" i="5"/>
  <c r="F53" i="5"/>
  <c r="F45" i="5"/>
  <c r="F19" i="5"/>
  <c r="F27" i="5"/>
  <c r="F43" i="5"/>
  <c r="F55" i="5"/>
  <c r="F7" i="5"/>
  <c r="F23" i="5"/>
  <c r="F32" i="5"/>
  <c r="F47" i="5"/>
  <c r="F39" i="5"/>
  <c r="F44" i="5"/>
  <c r="F3" i="5"/>
  <c r="F31" i="5"/>
  <c r="F36" i="5"/>
  <c r="F12" i="5"/>
  <c r="F5" i="5"/>
  <c r="F17" i="5"/>
  <c r="F29" i="5"/>
  <c r="F26" i="5"/>
  <c r="F33" i="5"/>
  <c r="F20" i="5"/>
  <c r="F25" i="5"/>
  <c r="F8" i="5"/>
  <c r="F48" i="5"/>
  <c r="F9" i="5"/>
  <c r="F15" i="5"/>
  <c r="F2" i="5"/>
  <c r="AE8" i="40"/>
  <c r="AF8" i="40" s="1"/>
  <c r="AG8" i="40" s="1"/>
  <c r="AH8" i="40" s="1"/>
  <c r="AI8" i="40" s="1"/>
  <c r="AJ8" i="40" s="1"/>
  <c r="AK8" i="40" s="1"/>
  <c r="AL8" i="40" s="1"/>
  <c r="AM8" i="40" s="1"/>
  <c r="AN8" i="40" s="1"/>
  <c r="AO8" i="40" s="1"/>
  <c r="AP8" i="40" s="1"/>
  <c r="AQ8" i="40" s="1"/>
  <c r="AR8" i="40" s="1"/>
  <c r="AS8" i="40" s="1"/>
  <c r="AT8" i="40" s="1"/>
  <c r="AU8" i="40" s="1"/>
  <c r="AV8" i="40" s="1"/>
  <c r="AW8" i="40" s="1"/>
  <c r="AX8" i="40" s="1"/>
  <c r="AY8" i="40" s="1"/>
  <c r="AZ8" i="40" s="1"/>
  <c r="BA8" i="40" s="1"/>
  <c r="F4" i="40"/>
  <c r="K238" i="34"/>
  <c r="I221" i="26"/>
  <c r="K194" i="34"/>
  <c r="I234" i="1"/>
  <c r="I202" i="26"/>
  <c r="I200" i="34"/>
  <c r="M234" i="34"/>
  <c r="I185" i="34"/>
  <c r="O225" i="1"/>
  <c r="I190" i="26"/>
  <c r="I205" i="34"/>
  <c r="I223" i="1"/>
  <c r="K230" i="34"/>
  <c r="R230" i="34" s="1"/>
  <c r="I222" i="26"/>
  <c r="O214" i="1"/>
  <c r="O224" i="1"/>
  <c r="I219" i="34"/>
  <c r="I201" i="34"/>
  <c r="I202" i="1"/>
  <c r="I202" i="34"/>
  <c r="O215" i="26"/>
  <c r="I189" i="1"/>
  <c r="F16" i="33"/>
  <c r="I187" i="26"/>
  <c r="H16" i="33"/>
  <c r="D16" i="33"/>
  <c r="C70" i="34"/>
  <c r="G16" i="33"/>
  <c r="I198" i="1"/>
  <c r="I234" i="26"/>
  <c r="O206" i="26"/>
  <c r="P239" i="1"/>
  <c r="N239" i="34"/>
  <c r="O207" i="26"/>
  <c r="P239" i="34"/>
  <c r="K198" i="34"/>
  <c r="I204" i="34"/>
  <c r="I234" i="34"/>
  <c r="O208" i="34"/>
  <c r="Q119" i="34"/>
  <c r="K231" i="34"/>
  <c r="R231" i="34" s="1"/>
  <c r="I235" i="1"/>
  <c r="I219" i="26"/>
  <c r="O213" i="1"/>
  <c r="I200" i="26"/>
  <c r="J239" i="1"/>
  <c r="O208" i="26"/>
  <c r="I233" i="26"/>
  <c r="J239" i="26"/>
  <c r="H239" i="1"/>
  <c r="L239" i="1"/>
  <c r="O197" i="26"/>
  <c r="L239" i="26"/>
  <c r="I199" i="26"/>
  <c r="O224" i="26"/>
  <c r="O212" i="34"/>
  <c r="I232" i="34"/>
  <c r="R232" i="34" s="1"/>
  <c r="S175" i="34"/>
  <c r="K227" i="34"/>
  <c r="N239" i="26"/>
  <c r="O214" i="26"/>
  <c r="K233" i="34"/>
  <c r="R233" i="34" s="1"/>
  <c r="C128" i="34"/>
  <c r="C129" i="34" s="1"/>
  <c r="P239" i="26"/>
  <c r="O213" i="26"/>
  <c r="I192" i="1"/>
  <c r="I231" i="26"/>
  <c r="D70" i="34"/>
  <c r="C71" i="34"/>
  <c r="I227" i="26"/>
  <c r="I218" i="34"/>
  <c r="K237" i="34"/>
  <c r="L239" i="34"/>
  <c r="O214" i="34"/>
  <c r="O209" i="34"/>
  <c r="O206" i="34"/>
  <c r="Q114" i="34"/>
  <c r="O209" i="1"/>
  <c r="I235" i="26"/>
  <c r="F123" i="34"/>
  <c r="F123" i="1"/>
  <c r="I228" i="1"/>
  <c r="C70" i="26"/>
  <c r="D70" i="26" s="1"/>
  <c r="I17" i="25" s="1"/>
  <c r="O212" i="26"/>
  <c r="J239" i="34"/>
  <c r="O216" i="34"/>
  <c r="K189" i="34"/>
  <c r="I204" i="1"/>
  <c r="S177" i="34"/>
  <c r="H24" i="32"/>
  <c r="D24" i="32" s="1"/>
  <c r="H39" i="34" s="1"/>
  <c r="J96" i="34" s="1"/>
  <c r="H20" i="32"/>
  <c r="D20" i="32" s="1"/>
  <c r="H35" i="34" s="1"/>
  <c r="L150" i="34" s="1"/>
  <c r="K188" i="34"/>
  <c r="H65" i="26"/>
  <c r="H65" i="1"/>
  <c r="H21" i="32"/>
  <c r="D21" i="32" s="1"/>
  <c r="H36" i="34" s="1"/>
  <c r="L151" i="34" s="1"/>
  <c r="K197" i="34"/>
  <c r="L157" i="34"/>
  <c r="J108" i="34"/>
  <c r="H12" i="32"/>
  <c r="D12" i="32" s="1"/>
  <c r="H28" i="34" s="1"/>
  <c r="H32" i="32"/>
  <c r="D32" i="32" s="1"/>
  <c r="H47" i="34" s="1"/>
  <c r="H22" i="32"/>
  <c r="D22" i="32" s="1"/>
  <c r="H37" i="34" s="1"/>
  <c r="K228" i="34"/>
  <c r="I218" i="1"/>
  <c r="I186" i="34"/>
  <c r="L141" i="34"/>
  <c r="N123" i="26"/>
  <c r="I192" i="34"/>
  <c r="K190" i="34"/>
  <c r="K236" i="34"/>
  <c r="I218" i="26"/>
  <c r="Q116" i="34"/>
  <c r="K229" i="34"/>
  <c r="R229" i="34" s="1"/>
  <c r="K192" i="34"/>
  <c r="H123" i="26"/>
  <c r="O212" i="1"/>
  <c r="O210" i="34"/>
  <c r="K191" i="34"/>
  <c r="Q118" i="34"/>
  <c r="N123" i="1"/>
  <c r="O209" i="26"/>
  <c r="I223" i="26"/>
  <c r="K221" i="34"/>
  <c r="N123" i="34"/>
  <c r="O210" i="1"/>
  <c r="K186" i="34"/>
  <c r="I186" i="26"/>
  <c r="Q117" i="34"/>
  <c r="I233" i="1"/>
  <c r="S173" i="34"/>
  <c r="H123" i="34"/>
  <c r="K196" i="34"/>
  <c r="K234" i="34"/>
  <c r="G186" i="26"/>
  <c r="P53" i="5"/>
  <c r="I53" i="5" s="1"/>
  <c r="P51" i="5"/>
  <c r="I51" i="5" s="1"/>
  <c r="P45" i="5"/>
  <c r="I45" i="5" s="1"/>
  <c r="P39" i="5"/>
  <c r="I39" i="5" s="1"/>
  <c r="P22" i="5"/>
  <c r="I22" i="5" s="1"/>
  <c r="P21" i="5"/>
  <c r="I21" i="5" s="1"/>
  <c r="P18" i="5"/>
  <c r="I18" i="5" s="1"/>
  <c r="P17" i="5"/>
  <c r="P12" i="5"/>
  <c r="I12" i="5" s="1"/>
  <c r="P26" i="5"/>
  <c r="P23" i="5"/>
  <c r="I23" i="5" s="1"/>
  <c r="P20" i="5"/>
  <c r="I20" i="5" s="1"/>
  <c r="P15" i="5"/>
  <c r="I15" i="5" s="1"/>
  <c r="P14" i="5"/>
  <c r="I14" i="5" s="1"/>
  <c r="P4" i="5"/>
  <c r="I4" i="5" s="1"/>
  <c r="P3" i="5"/>
  <c r="I3" i="5" s="1"/>
  <c r="P25" i="5"/>
  <c r="I25" i="5" s="1"/>
  <c r="P13" i="5"/>
  <c r="I13" i="5" s="1"/>
  <c r="P9" i="5"/>
  <c r="I9" i="5" s="1"/>
  <c r="P6" i="5"/>
  <c r="P5" i="5"/>
  <c r="I5" i="5" s="1"/>
  <c r="P16" i="5"/>
  <c r="I16" i="5" s="1"/>
  <c r="P54" i="5"/>
  <c r="I54" i="5" s="1"/>
  <c r="P48" i="5"/>
  <c r="I48" i="5" s="1"/>
  <c r="P37" i="5"/>
  <c r="I37" i="5" s="1"/>
  <c r="P11" i="5"/>
  <c r="P49" i="5"/>
  <c r="I49" i="5" s="1"/>
  <c r="P19" i="5"/>
  <c r="I19" i="5" s="1"/>
  <c r="R17" i="5"/>
  <c r="R23" i="5"/>
  <c r="R29" i="5"/>
  <c r="R22" i="5"/>
  <c r="P24" i="5"/>
  <c r="I24" i="5" s="1"/>
  <c r="P2" i="5"/>
  <c r="R27" i="5"/>
  <c r="R20" i="5"/>
  <c r="R19" i="5"/>
  <c r="R21" i="5"/>
  <c r="P7" i="5"/>
  <c r="I7" i="5" s="1"/>
  <c r="P50" i="5"/>
  <c r="I50" i="5" s="1"/>
  <c r="R24" i="5"/>
  <c r="P8" i="5"/>
  <c r="I8" i="5" s="1"/>
  <c r="R26" i="5"/>
  <c r="R28" i="5"/>
  <c r="P55" i="5"/>
  <c r="I55" i="5" s="1"/>
  <c r="P38" i="5"/>
  <c r="I38" i="5" s="1"/>
  <c r="R25" i="5"/>
  <c r="R36" i="5"/>
  <c r="P10" i="5"/>
  <c r="I10" i="5" s="1"/>
  <c r="R18" i="5"/>
  <c r="P52" i="5"/>
  <c r="I52" i="5" s="1"/>
  <c r="P43" i="5"/>
  <c r="I43" i="5" s="1"/>
  <c r="G200" i="1"/>
  <c r="I222" i="1"/>
  <c r="I188" i="1"/>
  <c r="H123" i="1"/>
  <c r="I203" i="1"/>
  <c r="O215" i="34"/>
  <c r="P181" i="34"/>
  <c r="G201" i="1"/>
  <c r="I235" i="34"/>
  <c r="H19" i="32"/>
  <c r="D19" i="32" s="1"/>
  <c r="H34" i="34" s="1"/>
  <c r="K193" i="34"/>
  <c r="P181" i="1"/>
  <c r="I230" i="26"/>
  <c r="O211" i="34"/>
  <c r="P6" i="32"/>
  <c r="P51" i="32"/>
  <c r="I51" i="32" s="1"/>
  <c r="I24" i="34" s="1"/>
  <c r="P20" i="32"/>
  <c r="I20" i="32" s="1"/>
  <c r="I35" i="34" s="1"/>
  <c r="P25" i="32"/>
  <c r="I25" i="32" s="1"/>
  <c r="I40" i="34" s="1"/>
  <c r="P12" i="32"/>
  <c r="I12" i="32" s="1"/>
  <c r="I28" i="34" s="1"/>
  <c r="P2" i="32"/>
  <c r="P39" i="32"/>
  <c r="I39" i="32" s="1"/>
  <c r="I55" i="34" s="1"/>
  <c r="P48" i="32"/>
  <c r="I48" i="32" s="1"/>
  <c r="I64" i="34" s="1"/>
  <c r="P22" i="32"/>
  <c r="I22" i="32" s="1"/>
  <c r="I37" i="34" s="1"/>
  <c r="P53" i="32"/>
  <c r="I53" i="32" s="1"/>
  <c r="I21" i="34" s="1"/>
  <c r="P38" i="32"/>
  <c r="I38" i="32" s="1"/>
  <c r="I54" i="34" s="1"/>
  <c r="P4" i="32"/>
  <c r="I4" i="32" s="1"/>
  <c r="I15" i="34" s="1"/>
  <c r="P10" i="32"/>
  <c r="I10" i="32" s="1"/>
  <c r="I26" i="34" s="1"/>
  <c r="P13" i="32"/>
  <c r="I13" i="32" s="1"/>
  <c r="I29" i="34" s="1"/>
  <c r="P37" i="32"/>
  <c r="I37" i="32" s="1"/>
  <c r="I53" i="34" s="1"/>
  <c r="P52" i="32"/>
  <c r="I52" i="32" s="1"/>
  <c r="I20" i="34" s="1"/>
  <c r="P5" i="32"/>
  <c r="I5" i="32" s="1"/>
  <c r="I16" i="34" s="1"/>
  <c r="R24" i="32"/>
  <c r="P55" i="32"/>
  <c r="I55" i="32" s="1"/>
  <c r="I23" i="34" s="1"/>
  <c r="P54" i="32"/>
  <c r="I54" i="32" s="1"/>
  <c r="I22" i="34" s="1"/>
  <c r="P15" i="32"/>
  <c r="I15" i="32" s="1"/>
  <c r="I31" i="34" s="1"/>
  <c r="P23" i="32"/>
  <c r="I23" i="32" s="1"/>
  <c r="I38" i="34" s="1"/>
  <c r="P50" i="32"/>
  <c r="I50" i="32" s="1"/>
  <c r="I13" i="34" s="1"/>
  <c r="P19" i="32"/>
  <c r="I19" i="32" s="1"/>
  <c r="I34" i="34" s="1"/>
  <c r="P16" i="32"/>
  <c r="I16" i="32" s="1"/>
  <c r="I32" i="34" s="1"/>
  <c r="R22" i="32"/>
  <c r="R21" i="32"/>
  <c r="P11" i="32"/>
  <c r="P14" i="32"/>
  <c r="I14" i="32" s="1"/>
  <c r="I30" i="34" s="1"/>
  <c r="P7" i="32"/>
  <c r="I7" i="32" s="1"/>
  <c r="I18" i="34" s="1"/>
  <c r="P17" i="32"/>
  <c r="R20" i="32"/>
  <c r="R29" i="32"/>
  <c r="P26" i="32"/>
  <c r="P18" i="32"/>
  <c r="I18" i="32" s="1"/>
  <c r="I33" i="34" s="1"/>
  <c r="R18" i="32"/>
  <c r="P24" i="32"/>
  <c r="I24" i="32" s="1"/>
  <c r="I39" i="34" s="1"/>
  <c r="R17" i="32"/>
  <c r="R25" i="32"/>
  <c r="R36" i="32"/>
  <c r="P3" i="32"/>
  <c r="I3" i="32" s="1"/>
  <c r="I14" i="34" s="1"/>
  <c r="R28" i="32"/>
  <c r="R26" i="32"/>
  <c r="P9" i="32"/>
  <c r="I9" i="32" s="1"/>
  <c r="I25" i="34" s="1"/>
  <c r="P49" i="32"/>
  <c r="I49" i="32" s="1"/>
  <c r="I65" i="34" s="1"/>
  <c r="R27" i="32"/>
  <c r="P8" i="32"/>
  <c r="I8" i="32" s="1"/>
  <c r="I19" i="34" s="1"/>
  <c r="R23" i="32"/>
  <c r="P21" i="32"/>
  <c r="I21" i="32" s="1"/>
  <c r="I36" i="34" s="1"/>
  <c r="R19" i="32"/>
  <c r="I200" i="1"/>
  <c r="I227" i="34"/>
  <c r="I232" i="1"/>
  <c r="F123" i="26"/>
  <c r="G207" i="34"/>
  <c r="G219" i="34"/>
  <c r="G235" i="26"/>
  <c r="I203" i="26"/>
  <c r="C128" i="1"/>
  <c r="D128" i="1" s="1"/>
  <c r="S174" i="34"/>
  <c r="J181" i="26"/>
  <c r="G206" i="34"/>
  <c r="G195" i="26"/>
  <c r="I205" i="26"/>
  <c r="I228" i="26"/>
  <c r="D127" i="26"/>
  <c r="C128" i="26"/>
  <c r="G205" i="1"/>
  <c r="D69" i="1"/>
  <c r="C70" i="1"/>
  <c r="G211" i="1"/>
  <c r="G220" i="26"/>
  <c r="I192" i="26"/>
  <c r="I201" i="26"/>
  <c r="E16" i="25"/>
  <c r="I16" i="25"/>
  <c r="H16" i="25"/>
  <c r="D16" i="25"/>
  <c r="G16" i="25"/>
  <c r="F16" i="25"/>
  <c r="F239" i="34"/>
  <c r="P181" i="26"/>
  <c r="I187" i="1"/>
  <c r="J181" i="1"/>
  <c r="G191" i="34"/>
  <c r="G218" i="34"/>
  <c r="I232" i="26"/>
  <c r="G190" i="34"/>
  <c r="I188" i="26"/>
  <c r="F181" i="1"/>
  <c r="G207" i="26"/>
  <c r="H181" i="26"/>
  <c r="I223" i="34"/>
  <c r="G198" i="34"/>
  <c r="J181" i="34"/>
  <c r="G236" i="34"/>
  <c r="S178" i="34"/>
  <c r="G221" i="1"/>
  <c r="G237" i="34"/>
  <c r="G208" i="1"/>
  <c r="G192" i="1"/>
  <c r="H181" i="1"/>
  <c r="G204" i="34"/>
  <c r="G204" i="1"/>
  <c r="F181" i="26"/>
  <c r="F181" i="34"/>
  <c r="H181" i="34"/>
  <c r="H239" i="26"/>
  <c r="H239" i="34"/>
  <c r="O206" i="1"/>
  <c r="G194" i="1"/>
  <c r="F239" i="1"/>
  <c r="G213" i="1"/>
  <c r="G199" i="34"/>
  <c r="G209" i="26"/>
  <c r="N239" i="1"/>
  <c r="F239" i="26"/>
  <c r="L161" i="34" l="1"/>
  <c r="J109" i="34"/>
  <c r="J88" i="34"/>
  <c r="K204" i="34" s="1"/>
  <c r="L154" i="34"/>
  <c r="K212" i="34" s="1"/>
  <c r="R235" i="34"/>
  <c r="L168" i="34"/>
  <c r="J110" i="34"/>
  <c r="J89" i="34"/>
  <c r="K205" i="34" s="1"/>
  <c r="L147" i="34"/>
  <c r="L160" i="34"/>
  <c r="J102" i="34"/>
  <c r="J90" i="34"/>
  <c r="L148" i="34"/>
  <c r="J107" i="34"/>
  <c r="L165" i="34"/>
  <c r="L159" i="34"/>
  <c r="K217" i="34" s="1"/>
  <c r="J87" i="34"/>
  <c r="K203" i="34" s="1"/>
  <c r="E33" i="5"/>
  <c r="H33" i="5" s="1"/>
  <c r="D33" i="5" s="1"/>
  <c r="E8" i="5"/>
  <c r="H8" i="5" s="1"/>
  <c r="D8" i="5" s="1"/>
  <c r="E51" i="5"/>
  <c r="H51" i="5" s="1"/>
  <c r="D51" i="5" s="1"/>
  <c r="E22" i="5"/>
  <c r="E5" i="5"/>
  <c r="H5" i="5" s="1"/>
  <c r="D5" i="5" s="1"/>
  <c r="E52" i="5"/>
  <c r="H52" i="5" s="1"/>
  <c r="D52" i="5" s="1"/>
  <c r="E25" i="5"/>
  <c r="E36" i="5"/>
  <c r="E37" i="5"/>
  <c r="E34" i="5"/>
  <c r="H34" i="5" s="1"/>
  <c r="D34" i="5" s="1"/>
  <c r="E53" i="5"/>
  <c r="H53" i="5" s="1"/>
  <c r="D53" i="5" s="1"/>
  <c r="E27" i="5"/>
  <c r="E21" i="5"/>
  <c r="E29" i="5"/>
  <c r="E24" i="5"/>
  <c r="E20" i="5"/>
  <c r="E4" i="5"/>
  <c r="H4" i="5" s="1"/>
  <c r="D4" i="5" s="1"/>
  <c r="E38" i="5"/>
  <c r="H38" i="5" s="1"/>
  <c r="D38" i="5" s="1"/>
  <c r="E28" i="5"/>
  <c r="E40" i="5"/>
  <c r="H40" i="5" s="1"/>
  <c r="D40" i="5" s="1"/>
  <c r="E26" i="5"/>
  <c r="E15" i="5"/>
  <c r="E6" i="5"/>
  <c r="H6" i="5" s="1"/>
  <c r="D6" i="5" s="1"/>
  <c r="E18" i="5"/>
  <c r="E46" i="5"/>
  <c r="H46" i="5" s="1"/>
  <c r="D46" i="5" s="1"/>
  <c r="E10" i="5"/>
  <c r="E35" i="5"/>
  <c r="E13" i="5"/>
  <c r="E32" i="5"/>
  <c r="E31" i="5"/>
  <c r="E47" i="5"/>
  <c r="H47" i="5" s="1"/>
  <c r="D47" i="5" s="1"/>
  <c r="E2" i="5"/>
  <c r="H2" i="5" s="1"/>
  <c r="D2" i="5" s="1"/>
  <c r="E42" i="5"/>
  <c r="H42" i="5" s="1"/>
  <c r="D42" i="5" s="1"/>
  <c r="E19" i="5"/>
  <c r="E30" i="5"/>
  <c r="E16" i="5"/>
  <c r="E49" i="5"/>
  <c r="E3" i="5"/>
  <c r="H3" i="5" s="1"/>
  <c r="D3" i="5" s="1"/>
  <c r="E17" i="5"/>
  <c r="E45" i="5"/>
  <c r="H45" i="5" s="1"/>
  <c r="D45" i="5" s="1"/>
  <c r="E23" i="5"/>
  <c r="E7" i="5"/>
  <c r="H7" i="5" s="1"/>
  <c r="D7" i="5" s="1"/>
  <c r="E12" i="5"/>
  <c r="E44" i="5"/>
  <c r="H44" i="5" s="1"/>
  <c r="D44" i="5" s="1"/>
  <c r="E11" i="5"/>
  <c r="E14" i="5"/>
  <c r="E39" i="5"/>
  <c r="H39" i="5" s="1"/>
  <c r="D39" i="5" s="1"/>
  <c r="E43" i="5"/>
  <c r="H43" i="5" s="1"/>
  <c r="D43" i="5" s="1"/>
  <c r="E9" i="5"/>
  <c r="E55" i="5"/>
  <c r="H55" i="5" s="1"/>
  <c r="D55" i="5" s="1"/>
  <c r="E50" i="5"/>
  <c r="H50" i="5" s="1"/>
  <c r="D50" i="5" s="1"/>
  <c r="E41" i="5"/>
  <c r="H41" i="5" s="1"/>
  <c r="D41" i="5" s="1"/>
  <c r="E48" i="5"/>
  <c r="H48" i="5" s="1"/>
  <c r="D48" i="5" s="1"/>
  <c r="E54" i="5"/>
  <c r="H54" i="5" s="1"/>
  <c r="D54" i="5" s="1"/>
  <c r="E3" i="40"/>
  <c r="E5" i="40" s="1"/>
  <c r="H3" i="40"/>
  <c r="H5" i="40" s="1"/>
  <c r="F3" i="40"/>
  <c r="F5" i="40" s="1"/>
  <c r="H9" i="5" s="1"/>
  <c r="G3" i="40"/>
  <c r="G5" i="40" s="1"/>
  <c r="BB8" i="40"/>
  <c r="BC8" i="40" s="1"/>
  <c r="BD8" i="40" s="1"/>
  <c r="BE8" i="40" s="1"/>
  <c r="BF8" i="40" s="1"/>
  <c r="BG8" i="40" s="1"/>
  <c r="BH8" i="40" s="1"/>
  <c r="BI8" i="40" s="1"/>
  <c r="BJ8" i="40" s="1"/>
  <c r="BK8" i="40" s="1"/>
  <c r="BL8" i="40" s="1"/>
  <c r="BM8" i="40" s="1"/>
  <c r="BN8" i="40" s="1"/>
  <c r="BO8" i="40" s="1"/>
  <c r="BP8" i="40" s="1"/>
  <c r="BQ8" i="40" s="1"/>
  <c r="BR8" i="40" s="1"/>
  <c r="BS8" i="40" s="1"/>
  <c r="BT8" i="40" s="1"/>
  <c r="BU8" i="40" s="1"/>
  <c r="BV8" i="40" s="1"/>
  <c r="BW8" i="40" s="1"/>
  <c r="BX8" i="40" s="1"/>
  <c r="BY8" i="40" s="1"/>
  <c r="BZ8" i="40" s="1"/>
  <c r="CA8" i="40" s="1"/>
  <c r="CB8" i="40" s="1"/>
  <c r="CC8" i="40" s="1"/>
  <c r="CD8" i="40" s="1"/>
  <c r="CE8" i="40" s="1"/>
  <c r="CF8" i="40" s="1"/>
  <c r="CG8" i="40" s="1"/>
  <c r="CH8" i="40" s="1"/>
  <c r="CI8" i="40" s="1"/>
  <c r="CJ8" i="40" s="1"/>
  <c r="CK8" i="40" s="1"/>
  <c r="CL8" i="40" s="1"/>
  <c r="CM8" i="40" s="1"/>
  <c r="CN8" i="40" s="1"/>
  <c r="CO8" i="40" s="1"/>
  <c r="CP8" i="40" s="1"/>
  <c r="CQ8" i="40" s="1"/>
  <c r="CR8" i="40" s="1"/>
  <c r="CS8" i="40" s="1"/>
  <c r="CT8" i="40" s="1"/>
  <c r="CU8" i="40" s="1"/>
  <c r="CV8" i="40" s="1"/>
  <c r="CW8" i="40" s="1"/>
  <c r="CX8" i="40" s="1"/>
  <c r="CY8" i="40" s="1"/>
  <c r="CZ8" i="40" s="1"/>
  <c r="DA8" i="40" s="1"/>
  <c r="DB8" i="40" s="1"/>
  <c r="DC8" i="40" s="1"/>
  <c r="DD8" i="40" s="1"/>
  <c r="DE8" i="40" s="1"/>
  <c r="DF8" i="40" s="1"/>
  <c r="DG8" i="40" s="1"/>
  <c r="DH8" i="40" s="1"/>
  <c r="DI8" i="40" s="1"/>
  <c r="DJ8" i="40" s="1"/>
  <c r="DK8" i="40" s="1"/>
  <c r="DL8" i="40" s="1"/>
  <c r="DM8" i="40" s="1"/>
  <c r="DN8" i="40" s="1"/>
  <c r="DO8" i="40" s="1"/>
  <c r="DP8" i="40" s="1"/>
  <c r="DQ8" i="40" s="1"/>
  <c r="DR8" i="40" s="1"/>
  <c r="DS8" i="40" s="1"/>
  <c r="DT8" i="40" s="1"/>
  <c r="DU8" i="40" s="1"/>
  <c r="DV8" i="40" s="1"/>
  <c r="DW8" i="40" s="1"/>
  <c r="DX8" i="40" s="1"/>
  <c r="DY8" i="40" s="1"/>
  <c r="DZ8" i="40" s="1"/>
  <c r="EA8" i="40" s="1"/>
  <c r="EB8" i="40" s="1"/>
  <c r="EC8" i="40" s="1"/>
  <c r="ED8" i="40" s="1"/>
  <c r="EE8" i="40" s="1"/>
  <c r="EF8" i="40" s="1"/>
  <c r="EG8" i="40" s="1"/>
  <c r="EH8" i="40" s="1"/>
  <c r="EI8" i="40" s="1"/>
  <c r="EJ8" i="40" s="1"/>
  <c r="EK8" i="40" s="1"/>
  <c r="EL8" i="40" s="1"/>
  <c r="EM8" i="40" s="1"/>
  <c r="EN8" i="40" s="1"/>
  <c r="EO8" i="40" s="1"/>
  <c r="EP8" i="40" s="1"/>
  <c r="EQ8" i="40" s="1"/>
  <c r="ER8" i="40" s="1"/>
  <c r="ES8" i="40" s="1"/>
  <c r="ET8" i="40" s="1"/>
  <c r="EU8" i="40" s="1"/>
  <c r="EV8" i="40" s="1"/>
  <c r="EW8" i="40" s="1"/>
  <c r="EX8" i="40" s="1"/>
  <c r="EY8" i="40" s="1"/>
  <c r="EZ8" i="40" s="1"/>
  <c r="FA8" i="40" s="1"/>
  <c r="FB8" i="40" s="1"/>
  <c r="FC8" i="40" s="1"/>
  <c r="FD8" i="40" s="1"/>
  <c r="FE8" i="40" s="1"/>
  <c r="FF8" i="40" s="1"/>
  <c r="FG8" i="40" s="1"/>
  <c r="FH8" i="40" s="1"/>
  <c r="FI8" i="40" s="1"/>
  <c r="FJ8" i="40" s="1"/>
  <c r="FK8" i="40" s="1"/>
  <c r="FL8" i="40" s="1"/>
  <c r="FM8" i="40" s="1"/>
  <c r="FN8" i="40" s="1"/>
  <c r="FO8" i="40" s="1"/>
  <c r="FP8" i="40" s="1"/>
  <c r="FQ8" i="40" s="1"/>
  <c r="FR8" i="40" s="1"/>
  <c r="FS8" i="40" s="1"/>
  <c r="FT8" i="40" s="1"/>
  <c r="FU8" i="40" s="1"/>
  <c r="FV8" i="40" s="1"/>
  <c r="FW8" i="40" s="1"/>
  <c r="FX8" i="40" s="1"/>
  <c r="FY8" i="40" s="1"/>
  <c r="FZ8" i="40" s="1"/>
  <c r="GA8" i="40" s="1"/>
  <c r="GB8" i="40" s="1"/>
  <c r="GC8" i="40" s="1"/>
  <c r="GD8" i="40" s="1"/>
  <c r="GE8" i="40" s="1"/>
  <c r="GF8" i="40" s="1"/>
  <c r="GG8" i="40" s="1"/>
  <c r="GH8" i="40" s="1"/>
  <c r="GI8" i="40" s="1"/>
  <c r="GJ8" i="40" s="1"/>
  <c r="GK8" i="40" s="1"/>
  <c r="GL8" i="40" s="1"/>
  <c r="GM8" i="40" s="1"/>
  <c r="GN8" i="40" s="1"/>
  <c r="GO8" i="40" s="1"/>
  <c r="GP8" i="40" s="1"/>
  <c r="GQ8" i="40" s="1"/>
  <c r="GR8" i="40" s="1"/>
  <c r="GS8" i="40" s="1"/>
  <c r="GT8" i="40" s="1"/>
  <c r="GU8" i="40" s="1"/>
  <c r="GV8" i="40" s="1"/>
  <c r="GW8" i="40" s="1"/>
  <c r="D128" i="34"/>
  <c r="J98" i="34"/>
  <c r="K214" i="34" s="1"/>
  <c r="R236" i="34"/>
  <c r="R234" i="34"/>
  <c r="C71" i="26"/>
  <c r="C129" i="1"/>
  <c r="D129" i="1" s="1"/>
  <c r="C130" i="34"/>
  <c r="D130" i="34" s="1"/>
  <c r="D129" i="34"/>
  <c r="O239" i="26"/>
  <c r="E17" i="25"/>
  <c r="C72" i="34"/>
  <c r="D71" i="34"/>
  <c r="I17" i="33"/>
  <c r="G17" i="33"/>
  <c r="F17" i="33"/>
  <c r="E17" i="33"/>
  <c r="H17" i="33"/>
  <c r="D17" i="33"/>
  <c r="K225" i="34"/>
  <c r="J92" i="34"/>
  <c r="K208" i="34" s="1"/>
  <c r="J122" i="1"/>
  <c r="L180" i="1"/>
  <c r="J93" i="34"/>
  <c r="K209" i="34" s="1"/>
  <c r="L180" i="26"/>
  <c r="J122" i="26"/>
  <c r="K199" i="34"/>
  <c r="J86" i="34"/>
  <c r="K202" i="34" s="1"/>
  <c r="K215" i="34"/>
  <c r="J97" i="34"/>
  <c r="L155" i="34"/>
  <c r="L153" i="34"/>
  <c r="J95" i="34"/>
  <c r="J85" i="34"/>
  <c r="L143" i="34"/>
  <c r="L149" i="34"/>
  <c r="J91" i="34"/>
  <c r="K219" i="34"/>
  <c r="J94" i="34"/>
  <c r="L152" i="34"/>
  <c r="J84" i="34"/>
  <c r="L142" i="34"/>
  <c r="L158" i="34"/>
  <c r="J100" i="34"/>
  <c r="J104" i="34"/>
  <c r="L162" i="34"/>
  <c r="K224" i="34"/>
  <c r="O239" i="34"/>
  <c r="O239" i="1"/>
  <c r="L82" i="34"/>
  <c r="Q82" i="34" s="1"/>
  <c r="N140" i="34"/>
  <c r="K18" i="32"/>
  <c r="K33" i="34" s="1"/>
  <c r="M18" i="32"/>
  <c r="N18" i="32"/>
  <c r="L18" i="32"/>
  <c r="L91" i="34"/>
  <c r="N149" i="34"/>
  <c r="L79" i="34"/>
  <c r="Q79" i="34" s="1"/>
  <c r="N137" i="34"/>
  <c r="L72" i="34"/>
  <c r="Q72" i="34" s="1"/>
  <c r="N130" i="34"/>
  <c r="K23" i="32"/>
  <c r="K38" i="34" s="1"/>
  <c r="L23" i="32"/>
  <c r="N23" i="32"/>
  <c r="M23" i="32"/>
  <c r="N36" i="32"/>
  <c r="M36" i="32"/>
  <c r="K20" i="32"/>
  <c r="K35" i="34" s="1"/>
  <c r="N20" i="32"/>
  <c r="M20" i="32"/>
  <c r="L20" i="32"/>
  <c r="I11" i="32"/>
  <c r="I27" i="34" s="1"/>
  <c r="P31" i="32"/>
  <c r="I31" i="32" s="1"/>
  <c r="I46" i="34" s="1"/>
  <c r="P30" i="32"/>
  <c r="I30" i="32" s="1"/>
  <c r="I45" i="34" s="1"/>
  <c r="P32" i="32"/>
  <c r="I32" i="32" s="1"/>
  <c r="I47" i="34" s="1"/>
  <c r="N135" i="34"/>
  <c r="L77" i="34"/>
  <c r="Q77" i="34" s="1"/>
  <c r="N179" i="34"/>
  <c r="L121" i="34"/>
  <c r="Q121" i="34" s="1"/>
  <c r="L97" i="34"/>
  <c r="N155" i="34"/>
  <c r="I59" i="1"/>
  <c r="I59" i="26"/>
  <c r="N36" i="5"/>
  <c r="M36" i="5"/>
  <c r="N28" i="5"/>
  <c r="M28" i="5"/>
  <c r="I13" i="1"/>
  <c r="I13" i="26"/>
  <c r="N20" i="5"/>
  <c r="L20" i="5"/>
  <c r="M20" i="5"/>
  <c r="K20" i="5"/>
  <c r="L22" i="5"/>
  <c r="N22" i="5"/>
  <c r="M22" i="5"/>
  <c r="K22" i="5"/>
  <c r="I34" i="26"/>
  <c r="I34" i="1"/>
  <c r="I64" i="1"/>
  <c r="I64" i="26"/>
  <c r="P34" i="5"/>
  <c r="I34" i="5" s="1"/>
  <c r="I6" i="5"/>
  <c r="I14" i="1"/>
  <c r="I14" i="26"/>
  <c r="I35" i="1"/>
  <c r="I35" i="26"/>
  <c r="P36" i="5"/>
  <c r="I36" i="5" s="1"/>
  <c r="I17" i="5"/>
  <c r="I55" i="1"/>
  <c r="I55" i="26"/>
  <c r="N134" i="34"/>
  <c r="L76" i="34"/>
  <c r="Q76" i="34" s="1"/>
  <c r="M26" i="32"/>
  <c r="N26" i="32"/>
  <c r="K25" i="32"/>
  <c r="K40" i="34" s="1"/>
  <c r="N25" i="32"/>
  <c r="L25" i="32"/>
  <c r="M25" i="32"/>
  <c r="L90" i="34"/>
  <c r="N148" i="34"/>
  <c r="I17" i="32"/>
  <c r="I51" i="34" s="1"/>
  <c r="P36" i="32"/>
  <c r="I36" i="32" s="1"/>
  <c r="I52" i="34" s="1"/>
  <c r="N21" i="32"/>
  <c r="L21" i="32"/>
  <c r="K21" i="32"/>
  <c r="K36" i="34" s="1"/>
  <c r="M21" i="32"/>
  <c r="L70" i="34"/>
  <c r="Q70" i="34" s="1"/>
  <c r="J17" i="33" s="1"/>
  <c r="N128" i="34"/>
  <c r="N138" i="34"/>
  <c r="L80" i="34"/>
  <c r="Q80" i="34" s="1"/>
  <c r="L110" i="34"/>
  <c r="Q110" i="34" s="1"/>
  <c r="N168" i="34"/>
  <c r="N169" i="34"/>
  <c r="L111" i="34"/>
  <c r="Q111" i="34" s="1"/>
  <c r="N170" i="34"/>
  <c r="L112" i="34"/>
  <c r="Q112" i="34" s="1"/>
  <c r="N150" i="34"/>
  <c r="L92" i="34"/>
  <c r="I20" i="1"/>
  <c r="I20" i="26"/>
  <c r="M25" i="5"/>
  <c r="K25" i="5"/>
  <c r="N25" i="5"/>
  <c r="L25" i="5"/>
  <c r="N26" i="5"/>
  <c r="M26" i="5"/>
  <c r="I18" i="26"/>
  <c r="I18" i="1"/>
  <c r="N27" i="5"/>
  <c r="M27" i="5"/>
  <c r="N29" i="5"/>
  <c r="M29" i="5"/>
  <c r="I65" i="1"/>
  <c r="I65" i="26"/>
  <c r="I22" i="26"/>
  <c r="I22" i="1"/>
  <c r="I25" i="1"/>
  <c r="I25" i="26"/>
  <c r="I15" i="1"/>
  <c r="I15" i="26"/>
  <c r="I38" i="26"/>
  <c r="I38" i="1"/>
  <c r="I33" i="1"/>
  <c r="I33" i="26"/>
  <c r="I61" i="26"/>
  <c r="I61" i="1"/>
  <c r="N19" i="32"/>
  <c r="M19" i="32"/>
  <c r="K19" i="32"/>
  <c r="K34" i="34" s="1"/>
  <c r="L19" i="32"/>
  <c r="M27" i="32"/>
  <c r="N27" i="32"/>
  <c r="N28" i="32"/>
  <c r="M28" i="32"/>
  <c r="L17" i="32"/>
  <c r="K17" i="32"/>
  <c r="K51" i="34" s="1"/>
  <c r="M17" i="32"/>
  <c r="N17" i="32"/>
  <c r="P29" i="32"/>
  <c r="I29" i="32" s="1"/>
  <c r="I44" i="34" s="1"/>
  <c r="P28" i="32"/>
  <c r="I28" i="32" s="1"/>
  <c r="I43" i="34" s="1"/>
  <c r="I26" i="32"/>
  <c r="I41" i="34" s="1"/>
  <c r="P27" i="32"/>
  <c r="I27" i="32" s="1"/>
  <c r="I42" i="34" s="1"/>
  <c r="N133" i="34"/>
  <c r="L75" i="34"/>
  <c r="Q75" i="34" s="1"/>
  <c r="M22" i="32"/>
  <c r="N22" i="32"/>
  <c r="L22" i="32"/>
  <c r="K22" i="32"/>
  <c r="K37" i="34" s="1"/>
  <c r="L95" i="34"/>
  <c r="N153" i="34"/>
  <c r="M24" i="32"/>
  <c r="N24" i="32"/>
  <c r="L24" i="32"/>
  <c r="K24" i="32"/>
  <c r="K39" i="34" s="1"/>
  <c r="N144" i="34"/>
  <c r="L86" i="34"/>
  <c r="N136" i="34"/>
  <c r="L78" i="34"/>
  <c r="Q78" i="34" s="1"/>
  <c r="P33" i="32"/>
  <c r="I33" i="32" s="1"/>
  <c r="I48" i="34" s="1"/>
  <c r="I2" i="32"/>
  <c r="I12" i="34" s="1"/>
  <c r="L81" i="34"/>
  <c r="N139" i="34"/>
  <c r="S139" i="34" s="1"/>
  <c r="M18" i="5"/>
  <c r="N18" i="5"/>
  <c r="L18" i="5"/>
  <c r="K18" i="5"/>
  <c r="I54" i="1"/>
  <c r="I54" i="26"/>
  <c r="I19" i="1"/>
  <c r="I19" i="26"/>
  <c r="N21" i="5"/>
  <c r="L21" i="5"/>
  <c r="M21" i="5"/>
  <c r="K21" i="5"/>
  <c r="P33" i="5"/>
  <c r="I33" i="5" s="1"/>
  <c r="I2" i="5"/>
  <c r="P35" i="5"/>
  <c r="I35" i="5" s="1"/>
  <c r="K23" i="5"/>
  <c r="M23" i="5"/>
  <c r="L23" i="5"/>
  <c r="N23" i="5"/>
  <c r="I11" i="5"/>
  <c r="P30" i="5"/>
  <c r="I30" i="5" s="1"/>
  <c r="P32" i="5"/>
  <c r="I32" i="5" s="1"/>
  <c r="P31" i="5"/>
  <c r="I31" i="5" s="1"/>
  <c r="I32" i="26"/>
  <c r="I32" i="1"/>
  <c r="I29" i="26"/>
  <c r="I29" i="1"/>
  <c r="I30" i="1"/>
  <c r="I30" i="26"/>
  <c r="P28" i="5"/>
  <c r="I28" i="5" s="1"/>
  <c r="P29" i="5"/>
  <c r="I29" i="5" s="1"/>
  <c r="P27" i="5"/>
  <c r="I27" i="5" s="1"/>
  <c r="I26" i="5"/>
  <c r="I36" i="26"/>
  <c r="I36" i="1"/>
  <c r="I24" i="1"/>
  <c r="I24" i="26"/>
  <c r="I239" i="26"/>
  <c r="L93" i="34"/>
  <c r="N151" i="34"/>
  <c r="L122" i="34"/>
  <c r="Q122" i="34" s="1"/>
  <c r="N180" i="34"/>
  <c r="L71" i="34"/>
  <c r="N129" i="34"/>
  <c r="S129" i="34" s="1"/>
  <c r="N154" i="34"/>
  <c r="L96" i="34"/>
  <c r="N29" i="32"/>
  <c r="M29" i="32"/>
  <c r="N145" i="34"/>
  <c r="L87" i="34"/>
  <c r="Q87" i="34" s="1"/>
  <c r="L89" i="34"/>
  <c r="N147" i="34"/>
  <c r="N146" i="34"/>
  <c r="L88" i="34"/>
  <c r="L73" i="34"/>
  <c r="Q73" i="34" s="1"/>
  <c r="N131" i="34"/>
  <c r="L83" i="34"/>
  <c r="Q83" i="34" s="1"/>
  <c r="N141" i="34"/>
  <c r="N152" i="34"/>
  <c r="L94" i="34"/>
  <c r="L85" i="34"/>
  <c r="N143" i="34"/>
  <c r="I6" i="32"/>
  <c r="I17" i="34" s="1"/>
  <c r="P34" i="32"/>
  <c r="I34" i="32" s="1"/>
  <c r="I49" i="34" s="1"/>
  <c r="I26" i="26"/>
  <c r="I26" i="1"/>
  <c r="I23" i="1"/>
  <c r="I23" i="26"/>
  <c r="M24" i="5"/>
  <c r="N24" i="5"/>
  <c r="L24" i="5"/>
  <c r="K24" i="5"/>
  <c r="L19" i="5"/>
  <c r="K19" i="5"/>
  <c r="N19" i="5"/>
  <c r="M19" i="5"/>
  <c r="I39" i="26"/>
  <c r="I39" i="1"/>
  <c r="M17" i="5"/>
  <c r="L17" i="5"/>
  <c r="N17" i="5"/>
  <c r="K17" i="5"/>
  <c r="I53" i="26"/>
  <c r="I53" i="1"/>
  <c r="I16" i="1"/>
  <c r="I16" i="26"/>
  <c r="I40" i="1"/>
  <c r="I40" i="26"/>
  <c r="I31" i="26"/>
  <c r="I31" i="1"/>
  <c r="I28" i="26"/>
  <c r="I28" i="1"/>
  <c r="I37" i="1"/>
  <c r="I37" i="26"/>
  <c r="I21" i="1"/>
  <c r="I21" i="26"/>
  <c r="G16" i="15"/>
  <c r="F16" i="15"/>
  <c r="E16" i="15"/>
  <c r="D16" i="15"/>
  <c r="H16" i="15"/>
  <c r="I16" i="15"/>
  <c r="D17" i="25"/>
  <c r="D128" i="26"/>
  <c r="C129" i="26"/>
  <c r="G17" i="25"/>
  <c r="H17" i="25"/>
  <c r="I239" i="34"/>
  <c r="F17" i="25"/>
  <c r="I239" i="1"/>
  <c r="D70" i="1"/>
  <c r="F17" i="15" s="1"/>
  <c r="C71" i="1"/>
  <c r="G239" i="26"/>
  <c r="G239" i="34"/>
  <c r="G239" i="1"/>
  <c r="Q89" i="34" l="1"/>
  <c r="Q88" i="34"/>
  <c r="K206" i="34"/>
  <c r="K223" i="34"/>
  <c r="K226" i="34"/>
  <c r="H23" i="5"/>
  <c r="D23" i="5" s="1"/>
  <c r="H29" i="5"/>
  <c r="D29" i="5" s="1"/>
  <c r="D9" i="5"/>
  <c r="H25" i="26" s="1"/>
  <c r="H32" i="5"/>
  <c r="D32" i="5" s="1"/>
  <c r="H10" i="5"/>
  <c r="D10" i="5" s="1"/>
  <c r="H17" i="5"/>
  <c r="D17" i="5" s="1"/>
  <c r="H31" i="5"/>
  <c r="D31" i="5" s="1"/>
  <c r="H19" i="5"/>
  <c r="D19" i="5" s="1"/>
  <c r="H13" i="5"/>
  <c r="D13" i="5" s="1"/>
  <c r="H25" i="5"/>
  <c r="D25" i="5" s="1"/>
  <c r="H36" i="5"/>
  <c r="D36" i="5" s="1"/>
  <c r="H28" i="5"/>
  <c r="D28" i="5" s="1"/>
  <c r="H14" i="5"/>
  <c r="D14" i="5" s="1"/>
  <c r="H35" i="5"/>
  <c r="D35" i="5" s="1"/>
  <c r="H37" i="5"/>
  <c r="D37" i="5" s="1"/>
  <c r="H12" i="5"/>
  <c r="D12" i="5" s="1"/>
  <c r="H22" i="5"/>
  <c r="D22" i="5" s="1"/>
  <c r="H20" i="5"/>
  <c r="D20" i="5" s="1"/>
  <c r="H24" i="5"/>
  <c r="D24" i="5" s="1"/>
  <c r="H26" i="5"/>
  <c r="D26" i="5" s="1"/>
  <c r="H18" i="5"/>
  <c r="D18" i="5" s="1"/>
  <c r="H27" i="5"/>
  <c r="D27" i="5" s="1"/>
  <c r="H15" i="5"/>
  <c r="D15" i="5" s="1"/>
  <c r="H16" i="5"/>
  <c r="D16" i="5" s="1"/>
  <c r="H30" i="5"/>
  <c r="D30" i="5" s="1"/>
  <c r="H21" i="5"/>
  <c r="D21" i="5" s="1"/>
  <c r="H11" i="5"/>
  <c r="D11" i="5" s="1"/>
  <c r="K218" i="34"/>
  <c r="G54" i="5"/>
  <c r="G22" i="5"/>
  <c r="G2" i="5"/>
  <c r="G44" i="5"/>
  <c r="G30" i="5"/>
  <c r="G5" i="5"/>
  <c r="G37" i="5"/>
  <c r="G24" i="5"/>
  <c r="G25" i="5"/>
  <c r="G38" i="5"/>
  <c r="G14" i="5"/>
  <c r="G55" i="5"/>
  <c r="G8" i="5"/>
  <c r="G39" i="5"/>
  <c r="G3" i="5"/>
  <c r="G52" i="5"/>
  <c r="G9" i="5"/>
  <c r="G34" i="5"/>
  <c r="G13" i="5"/>
  <c r="G32" i="5"/>
  <c r="G43" i="5"/>
  <c r="G28" i="5"/>
  <c r="G11" i="5"/>
  <c r="G45" i="5"/>
  <c r="G50" i="5"/>
  <c r="G26" i="5"/>
  <c r="G53" i="5"/>
  <c r="G4" i="5"/>
  <c r="G27" i="5"/>
  <c r="G23" i="5"/>
  <c r="G51" i="5"/>
  <c r="G46" i="5"/>
  <c r="G29" i="5"/>
  <c r="G19" i="5"/>
  <c r="G36" i="5"/>
  <c r="G10" i="5"/>
  <c r="G17" i="5"/>
  <c r="G49" i="5"/>
  <c r="G41" i="5"/>
  <c r="G6" i="5"/>
  <c r="G31" i="5"/>
  <c r="G40" i="5"/>
  <c r="G15" i="5"/>
  <c r="G35" i="5"/>
  <c r="G48" i="5"/>
  <c r="G7" i="5"/>
  <c r="G18" i="5"/>
  <c r="G42" i="5"/>
  <c r="G33" i="5"/>
  <c r="G16" i="5"/>
  <c r="G21" i="5"/>
  <c r="G47" i="5"/>
  <c r="G12" i="5"/>
  <c r="G20" i="5"/>
  <c r="H57" i="26"/>
  <c r="H57" i="1"/>
  <c r="H59" i="26"/>
  <c r="H59" i="1"/>
  <c r="H60" i="26"/>
  <c r="H60" i="1"/>
  <c r="H61" i="26"/>
  <c r="H61" i="1"/>
  <c r="H12" i="1"/>
  <c r="H12" i="26"/>
  <c r="H56" i="26"/>
  <c r="H56" i="1"/>
  <c r="H13" i="1"/>
  <c r="H13" i="26"/>
  <c r="H55" i="1"/>
  <c r="H55" i="26"/>
  <c r="H63" i="26"/>
  <c r="H63" i="1"/>
  <c r="H17" i="1"/>
  <c r="H17" i="26"/>
  <c r="H21" i="1"/>
  <c r="H21" i="26"/>
  <c r="H24" i="26"/>
  <c r="H24" i="1"/>
  <c r="H22" i="26"/>
  <c r="H22" i="1"/>
  <c r="H23" i="1"/>
  <c r="H23" i="26"/>
  <c r="H18" i="26"/>
  <c r="H18" i="1"/>
  <c r="H14" i="1"/>
  <c r="H14" i="26"/>
  <c r="H54" i="26"/>
  <c r="H54" i="1"/>
  <c r="H49" i="1"/>
  <c r="H49" i="26"/>
  <c r="H20" i="1"/>
  <c r="H20" i="26"/>
  <c r="H19" i="1"/>
  <c r="H19" i="26"/>
  <c r="H64" i="26"/>
  <c r="H64" i="1"/>
  <c r="H58" i="26"/>
  <c r="H58" i="1"/>
  <c r="H62" i="26"/>
  <c r="H62" i="1"/>
  <c r="H15" i="1"/>
  <c r="H15" i="26"/>
  <c r="H16" i="26"/>
  <c r="H16" i="1"/>
  <c r="H48" i="26"/>
  <c r="H48" i="1"/>
  <c r="C131" i="34"/>
  <c r="K216" i="34"/>
  <c r="Q86" i="34"/>
  <c r="D71" i="26"/>
  <c r="C72" i="26"/>
  <c r="C130" i="1"/>
  <c r="D130" i="1" s="1"/>
  <c r="G17" i="15"/>
  <c r="C73" i="34"/>
  <c r="D72" i="34"/>
  <c r="E17" i="15"/>
  <c r="H17" i="15"/>
  <c r="H18" i="33"/>
  <c r="I18" i="33"/>
  <c r="G18" i="33"/>
  <c r="D18" i="33"/>
  <c r="E18" i="33"/>
  <c r="F18" i="33"/>
  <c r="D17" i="15"/>
  <c r="I17" i="15"/>
  <c r="K207" i="34"/>
  <c r="K201" i="34"/>
  <c r="K211" i="34"/>
  <c r="K213" i="34"/>
  <c r="K238" i="1"/>
  <c r="Q85" i="34"/>
  <c r="K210" i="34"/>
  <c r="K238" i="26"/>
  <c r="J123" i="34"/>
  <c r="L181" i="34"/>
  <c r="K220" i="34"/>
  <c r="K200" i="34"/>
  <c r="M213" i="34"/>
  <c r="M212" i="34"/>
  <c r="M211" i="34"/>
  <c r="M208" i="34"/>
  <c r="M210" i="34"/>
  <c r="K51" i="1"/>
  <c r="K51" i="26"/>
  <c r="N154" i="1"/>
  <c r="L96" i="1"/>
  <c r="I45" i="1"/>
  <c r="I45" i="26"/>
  <c r="P94" i="34"/>
  <c r="Q94" i="34" s="1"/>
  <c r="R152" i="34"/>
  <c r="S152" i="34" s="1"/>
  <c r="N153" i="1"/>
  <c r="L95" i="1"/>
  <c r="L82" i="26"/>
  <c r="N140" i="26"/>
  <c r="N180" i="26"/>
  <c r="S180" i="26" s="1"/>
  <c r="L122" i="26"/>
  <c r="I52" i="26"/>
  <c r="I52" i="1"/>
  <c r="N129" i="1"/>
  <c r="L71" i="1"/>
  <c r="L121" i="1"/>
  <c r="N179" i="1"/>
  <c r="N136" i="26"/>
  <c r="L78" i="26"/>
  <c r="N143" i="1"/>
  <c r="L85" i="1"/>
  <c r="N155" i="26"/>
  <c r="L97" i="26"/>
  <c r="N168" i="1"/>
  <c r="L110" i="1"/>
  <c r="K39" i="1"/>
  <c r="K39" i="26"/>
  <c r="L80" i="26"/>
  <c r="N138" i="26"/>
  <c r="L74" i="34"/>
  <c r="Q74" i="34" s="1"/>
  <c r="N132" i="34"/>
  <c r="M187" i="34"/>
  <c r="R187" i="34" s="1"/>
  <c r="Q71" i="34"/>
  <c r="J18" i="33" s="1"/>
  <c r="L93" i="1"/>
  <c r="N151" i="1"/>
  <c r="I44" i="26"/>
  <c r="I44" i="1"/>
  <c r="N144" i="1"/>
  <c r="L86" i="1"/>
  <c r="I46" i="26"/>
  <c r="I46" i="1"/>
  <c r="N134" i="1"/>
  <c r="L76" i="1"/>
  <c r="M197" i="34"/>
  <c r="R197" i="34" s="1"/>
  <c r="Q81" i="34"/>
  <c r="R154" i="34"/>
  <c r="S154" i="34" s="1"/>
  <c r="P96" i="34"/>
  <c r="N157" i="34"/>
  <c r="L99" i="34"/>
  <c r="Q99" i="34" s="1"/>
  <c r="N148" i="26"/>
  <c r="L90" i="26"/>
  <c r="L72" i="26"/>
  <c r="N130" i="26"/>
  <c r="N137" i="1"/>
  <c r="L79" i="1"/>
  <c r="N133" i="1"/>
  <c r="L75" i="1"/>
  <c r="L77" i="26"/>
  <c r="N135" i="26"/>
  <c r="M227" i="34"/>
  <c r="R227" i="34" s="1"/>
  <c r="S169" i="34"/>
  <c r="M196" i="34"/>
  <c r="R196" i="34" s="1"/>
  <c r="S138" i="34"/>
  <c r="R151" i="34"/>
  <c r="S151" i="34" s="1"/>
  <c r="P93" i="34"/>
  <c r="Q93" i="34" s="1"/>
  <c r="L108" i="34"/>
  <c r="N166" i="34"/>
  <c r="N170" i="1"/>
  <c r="L112" i="1"/>
  <c r="L92" i="1"/>
  <c r="N150" i="1"/>
  <c r="I49" i="26"/>
  <c r="I49" i="1"/>
  <c r="N149" i="26"/>
  <c r="L91" i="26"/>
  <c r="L116" i="1"/>
  <c r="N174" i="1"/>
  <c r="N162" i="34"/>
  <c r="L104" i="34"/>
  <c r="Q104" i="34" s="1"/>
  <c r="I50" i="1"/>
  <c r="I50" i="26"/>
  <c r="N136" i="1"/>
  <c r="L78" i="1"/>
  <c r="L85" i="26"/>
  <c r="N143" i="26"/>
  <c r="L97" i="1"/>
  <c r="N155" i="1"/>
  <c r="N168" i="26"/>
  <c r="L110" i="26"/>
  <c r="N138" i="1"/>
  <c r="L80" i="1"/>
  <c r="S143" i="34"/>
  <c r="M201" i="34"/>
  <c r="M199" i="34"/>
  <c r="R199" i="34" s="1"/>
  <c r="S141" i="34"/>
  <c r="M238" i="34"/>
  <c r="R238" i="34" s="1"/>
  <c r="S180" i="34"/>
  <c r="N151" i="26"/>
  <c r="L93" i="26"/>
  <c r="I43" i="26"/>
  <c r="I43" i="1"/>
  <c r="L86" i="26"/>
  <c r="N144" i="26"/>
  <c r="I47" i="1"/>
  <c r="I47" i="26"/>
  <c r="I12" i="26"/>
  <c r="I12" i="1"/>
  <c r="L111" i="26"/>
  <c r="N169" i="26"/>
  <c r="P35" i="32"/>
  <c r="I35" i="32" s="1"/>
  <c r="I50" i="34" s="1"/>
  <c r="M194" i="34"/>
  <c r="R194" i="34" s="1"/>
  <c r="S136" i="34"/>
  <c r="N156" i="34"/>
  <c r="L98" i="34"/>
  <c r="Q98" i="34" s="1"/>
  <c r="R149" i="34"/>
  <c r="S149" i="34" s="1"/>
  <c r="P91" i="34"/>
  <c r="Q91" i="34" s="1"/>
  <c r="N148" i="1"/>
  <c r="L90" i="1"/>
  <c r="N130" i="1"/>
  <c r="L72" i="1"/>
  <c r="L79" i="26"/>
  <c r="N137" i="26"/>
  <c r="L75" i="26"/>
  <c r="N133" i="26"/>
  <c r="N135" i="1"/>
  <c r="L77" i="1"/>
  <c r="M226" i="34"/>
  <c r="R226" i="34" s="1"/>
  <c r="S168" i="34"/>
  <c r="M186" i="34"/>
  <c r="R186" i="34" s="1"/>
  <c r="S128" i="34"/>
  <c r="M206" i="34"/>
  <c r="I51" i="1"/>
  <c r="I51" i="26"/>
  <c r="L71" i="26"/>
  <c r="N129" i="26"/>
  <c r="L121" i="26"/>
  <c r="N179" i="26"/>
  <c r="K37" i="26"/>
  <c r="K37" i="1"/>
  <c r="K35" i="26"/>
  <c r="K35" i="1"/>
  <c r="L70" i="26"/>
  <c r="N128" i="26"/>
  <c r="M237" i="34"/>
  <c r="R237" i="34" s="1"/>
  <c r="S179" i="34"/>
  <c r="L102" i="34"/>
  <c r="Q102" i="34" s="1"/>
  <c r="N160" i="34"/>
  <c r="P95" i="34"/>
  <c r="R153" i="34"/>
  <c r="S153" i="34" s="1"/>
  <c r="M188" i="34"/>
  <c r="R188" i="34" s="1"/>
  <c r="S130" i="34"/>
  <c r="M207" i="34"/>
  <c r="L94" i="26"/>
  <c r="N152" i="26"/>
  <c r="N146" i="1"/>
  <c r="L88" i="1"/>
  <c r="L73" i="26"/>
  <c r="N131" i="26"/>
  <c r="M204" i="34"/>
  <c r="R204" i="34" s="1"/>
  <c r="S146" i="34"/>
  <c r="M203" i="34"/>
  <c r="R203" i="34" s="1"/>
  <c r="S145" i="34"/>
  <c r="I41" i="1"/>
  <c r="I41" i="26"/>
  <c r="N145" i="26"/>
  <c r="L87" i="26"/>
  <c r="L89" i="1"/>
  <c r="N147" i="1"/>
  <c r="I48" i="1"/>
  <c r="I48" i="26"/>
  <c r="L111" i="1"/>
  <c r="N169" i="1"/>
  <c r="L69" i="34"/>
  <c r="N127" i="34"/>
  <c r="N158" i="34"/>
  <c r="L100" i="34"/>
  <c r="Q100" i="34" s="1"/>
  <c r="K40" i="1"/>
  <c r="K40" i="26"/>
  <c r="M228" i="34"/>
  <c r="R228" i="34" s="1"/>
  <c r="S170" i="34"/>
  <c r="R155" i="34"/>
  <c r="S155" i="34" s="1"/>
  <c r="P97" i="34"/>
  <c r="Q97" i="34" s="1"/>
  <c r="S134" i="34"/>
  <c r="M192" i="34"/>
  <c r="R192" i="34" s="1"/>
  <c r="N161" i="34"/>
  <c r="L103" i="34"/>
  <c r="Q103" i="34" s="1"/>
  <c r="P90" i="34"/>
  <c r="R148" i="34"/>
  <c r="K34" i="1"/>
  <c r="K34" i="26"/>
  <c r="L83" i="1"/>
  <c r="N141" i="1"/>
  <c r="L81" i="26"/>
  <c r="N139" i="26"/>
  <c r="P108" i="34"/>
  <c r="R166" i="34"/>
  <c r="L118" i="1"/>
  <c r="N176" i="1"/>
  <c r="L70" i="1"/>
  <c r="N128" i="1"/>
  <c r="N152" i="1"/>
  <c r="L94" i="1"/>
  <c r="N146" i="26"/>
  <c r="L88" i="26"/>
  <c r="L73" i="1"/>
  <c r="N131" i="1"/>
  <c r="N154" i="26"/>
  <c r="L96" i="26"/>
  <c r="L83" i="26"/>
  <c r="N141" i="26"/>
  <c r="L106" i="34"/>
  <c r="N164" i="34"/>
  <c r="S164" i="34" s="1"/>
  <c r="M189" i="34"/>
  <c r="R189" i="34" s="1"/>
  <c r="S131" i="34"/>
  <c r="M205" i="34"/>
  <c r="R205" i="34" s="1"/>
  <c r="S147" i="34"/>
  <c r="M209" i="34"/>
  <c r="N139" i="1"/>
  <c r="L81" i="1"/>
  <c r="I42" i="26"/>
  <c r="I42" i="1"/>
  <c r="L87" i="1"/>
  <c r="N145" i="1"/>
  <c r="N147" i="26"/>
  <c r="L89" i="26"/>
  <c r="I27" i="1"/>
  <c r="I27" i="26"/>
  <c r="K38" i="26"/>
  <c r="K38" i="1"/>
  <c r="K36" i="1"/>
  <c r="K36" i="26"/>
  <c r="L76" i="26"/>
  <c r="N134" i="26"/>
  <c r="K33" i="1"/>
  <c r="K33" i="26"/>
  <c r="L105" i="34"/>
  <c r="Q105" i="34" s="1"/>
  <c r="N163" i="34"/>
  <c r="M202" i="34"/>
  <c r="R202" i="34" s="1"/>
  <c r="S144" i="34"/>
  <c r="M191" i="34"/>
  <c r="R191" i="34" s="1"/>
  <c r="S133" i="34"/>
  <c r="N159" i="34"/>
  <c r="L101" i="34"/>
  <c r="Q101" i="34" s="1"/>
  <c r="N176" i="26"/>
  <c r="L118" i="26"/>
  <c r="L95" i="26"/>
  <c r="N153" i="26"/>
  <c r="L82" i="1"/>
  <c r="N140" i="1"/>
  <c r="N180" i="1"/>
  <c r="L122" i="1"/>
  <c r="Q122" i="1" s="1"/>
  <c r="N167" i="34"/>
  <c r="L109" i="34"/>
  <c r="Q109" i="34" s="1"/>
  <c r="N170" i="26"/>
  <c r="L112" i="26"/>
  <c r="N150" i="26"/>
  <c r="L92" i="26"/>
  <c r="I17" i="26"/>
  <c r="I17" i="1"/>
  <c r="L91" i="1"/>
  <c r="N149" i="1"/>
  <c r="N174" i="26"/>
  <c r="L116" i="26"/>
  <c r="M193" i="34"/>
  <c r="R193" i="34" s="1"/>
  <c r="S135" i="34"/>
  <c r="N142" i="34"/>
  <c r="S142" i="34" s="1"/>
  <c r="L84" i="34"/>
  <c r="R150" i="34"/>
  <c r="S150" i="34" s="1"/>
  <c r="P92" i="34"/>
  <c r="Q92" i="34" s="1"/>
  <c r="M195" i="34"/>
  <c r="R195" i="34" s="1"/>
  <c r="S137" i="34"/>
  <c r="M198" i="34"/>
  <c r="R198" i="34" s="1"/>
  <c r="S140" i="34"/>
  <c r="D129" i="26"/>
  <c r="C130" i="26"/>
  <c r="D71" i="1"/>
  <c r="I18" i="15" s="1"/>
  <c r="C72" i="1"/>
  <c r="D131" i="34"/>
  <c r="C132" i="34"/>
  <c r="R201" i="34" l="1"/>
  <c r="L163" i="26"/>
  <c r="J105" i="26"/>
  <c r="J106" i="1"/>
  <c r="L164" i="1"/>
  <c r="J80" i="1"/>
  <c r="Q80" i="1" s="1"/>
  <c r="L138" i="1"/>
  <c r="J112" i="1"/>
  <c r="Q112" i="1" s="1"/>
  <c r="L170" i="1"/>
  <c r="S170" i="1" s="1"/>
  <c r="L176" i="26"/>
  <c r="S176" i="26" s="1"/>
  <c r="J118" i="26"/>
  <c r="Q118" i="26" s="1"/>
  <c r="J73" i="1"/>
  <c r="Q73" i="1" s="1"/>
  <c r="L131" i="1"/>
  <c r="S131" i="1" s="1"/>
  <c r="L179" i="1"/>
  <c r="S179" i="1" s="1"/>
  <c r="J121" i="1"/>
  <c r="L169" i="1"/>
  <c r="J111" i="1"/>
  <c r="Q111" i="1" s="1"/>
  <c r="J79" i="1"/>
  <c r="Q79" i="1" s="1"/>
  <c r="L137" i="1"/>
  <c r="L178" i="1"/>
  <c r="J120" i="1"/>
  <c r="Q120" i="1" s="1"/>
  <c r="J69" i="26"/>
  <c r="L127" i="26"/>
  <c r="L175" i="1"/>
  <c r="S175" i="1" s="1"/>
  <c r="J117" i="1"/>
  <c r="H32" i="1"/>
  <c r="H32" i="26"/>
  <c r="H41" i="1"/>
  <c r="H41" i="26"/>
  <c r="H28" i="26"/>
  <c r="H28" i="1"/>
  <c r="H34" i="1"/>
  <c r="H34" i="26"/>
  <c r="H47" i="26"/>
  <c r="H47" i="1"/>
  <c r="Q121" i="1"/>
  <c r="L131" i="26"/>
  <c r="S131" i="26" s="1"/>
  <c r="J73" i="26"/>
  <c r="Q73" i="26" s="1"/>
  <c r="J119" i="26"/>
  <c r="Q119" i="26" s="1"/>
  <c r="L177" i="26"/>
  <c r="L179" i="26"/>
  <c r="J121" i="26"/>
  <c r="Q121" i="26" s="1"/>
  <c r="L135" i="1"/>
  <c r="J77" i="1"/>
  <c r="Q77" i="1" s="1"/>
  <c r="L169" i="26"/>
  <c r="J111" i="26"/>
  <c r="Q111" i="26" s="1"/>
  <c r="J75" i="26"/>
  <c r="Q75" i="26" s="1"/>
  <c r="L133" i="26"/>
  <c r="J79" i="26"/>
  <c r="Q79" i="26" s="1"/>
  <c r="L137" i="26"/>
  <c r="S137" i="26" s="1"/>
  <c r="J78" i="1"/>
  <c r="L136" i="1"/>
  <c r="J120" i="26"/>
  <c r="Q120" i="26" s="1"/>
  <c r="L178" i="26"/>
  <c r="L128" i="1"/>
  <c r="J70" i="1"/>
  <c r="Q70" i="1" s="1"/>
  <c r="J17" i="15" s="1"/>
  <c r="J69" i="1"/>
  <c r="L127" i="1"/>
  <c r="J117" i="26"/>
  <c r="Q117" i="26" s="1"/>
  <c r="L175" i="26"/>
  <c r="L172" i="26"/>
  <c r="J114" i="26"/>
  <c r="Q114" i="26" s="1"/>
  <c r="H27" i="26"/>
  <c r="H27" i="1"/>
  <c r="H31" i="26"/>
  <c r="H31" i="1"/>
  <c r="H39" i="26"/>
  <c r="H39" i="1"/>
  <c r="H53" i="26"/>
  <c r="H53" i="1"/>
  <c r="H52" i="1"/>
  <c r="H52" i="26"/>
  <c r="H46" i="26"/>
  <c r="H46" i="1"/>
  <c r="H25" i="1"/>
  <c r="J115" i="26"/>
  <c r="Q115" i="26" s="1"/>
  <c r="L173" i="26"/>
  <c r="J76" i="1"/>
  <c r="Q76" i="1" s="1"/>
  <c r="L134" i="1"/>
  <c r="S134" i="1" s="1"/>
  <c r="J71" i="1"/>
  <c r="Q71" i="1" s="1"/>
  <c r="J18" i="15" s="1"/>
  <c r="L129" i="1"/>
  <c r="L139" i="26"/>
  <c r="J81" i="26"/>
  <c r="Q81" i="26" s="1"/>
  <c r="J113" i="26"/>
  <c r="Q113" i="26" s="1"/>
  <c r="L171" i="26"/>
  <c r="L174" i="26"/>
  <c r="J116" i="26"/>
  <c r="L177" i="1"/>
  <c r="J119" i="1"/>
  <c r="Q119" i="1" s="1"/>
  <c r="J77" i="26"/>
  <c r="Q77" i="26" s="1"/>
  <c r="L135" i="26"/>
  <c r="J75" i="1"/>
  <c r="Q75" i="1" s="1"/>
  <c r="L133" i="1"/>
  <c r="L136" i="26"/>
  <c r="S136" i="26" s="1"/>
  <c r="J78" i="26"/>
  <c r="J70" i="26"/>
  <c r="Q70" i="26" s="1"/>
  <c r="J17" i="25" s="1"/>
  <c r="L128" i="26"/>
  <c r="L172" i="1"/>
  <c r="J114" i="1"/>
  <c r="Q114" i="1" s="1"/>
  <c r="H43" i="1"/>
  <c r="H43" i="26"/>
  <c r="Q116" i="26"/>
  <c r="Q78" i="1"/>
  <c r="Q78" i="26"/>
  <c r="L163" i="1"/>
  <c r="J105" i="1"/>
  <c r="L130" i="26"/>
  <c r="S130" i="26" s="1"/>
  <c r="J72" i="26"/>
  <c r="L173" i="1"/>
  <c r="J115" i="1"/>
  <c r="Q115" i="1" s="1"/>
  <c r="L134" i="26"/>
  <c r="S134" i="26" s="1"/>
  <c r="J76" i="26"/>
  <c r="Q76" i="26" s="1"/>
  <c r="J106" i="26"/>
  <c r="L164" i="26"/>
  <c r="L129" i="26"/>
  <c r="S129" i="26" s="1"/>
  <c r="J71" i="26"/>
  <c r="Q71" i="26" s="1"/>
  <c r="J18" i="25" s="1"/>
  <c r="L138" i="26"/>
  <c r="J80" i="26"/>
  <c r="Q80" i="26" s="1"/>
  <c r="L139" i="1"/>
  <c r="J81" i="1"/>
  <c r="Q81" i="1" s="1"/>
  <c r="L132" i="26"/>
  <c r="J74" i="26"/>
  <c r="L170" i="26"/>
  <c r="J112" i="26"/>
  <c r="Q112" i="26" s="1"/>
  <c r="J113" i="1"/>
  <c r="Q113" i="1" s="1"/>
  <c r="L171" i="1"/>
  <c r="J118" i="1"/>
  <c r="Q118" i="1" s="1"/>
  <c r="L176" i="1"/>
  <c r="J116" i="1"/>
  <c r="Q116" i="1" s="1"/>
  <c r="L174" i="1"/>
  <c r="S174" i="1" s="1"/>
  <c r="H36" i="1"/>
  <c r="H36" i="26"/>
  <c r="H42" i="26"/>
  <c r="H42" i="1"/>
  <c r="H35" i="26"/>
  <c r="H35" i="1"/>
  <c r="H50" i="26"/>
  <c r="H50" i="1"/>
  <c r="H40" i="1"/>
  <c r="H40" i="26"/>
  <c r="H51" i="1"/>
  <c r="H51" i="26"/>
  <c r="H44" i="26"/>
  <c r="H44" i="1"/>
  <c r="L130" i="1"/>
  <c r="S130" i="1" s="1"/>
  <c r="J72" i="1"/>
  <c r="Q72" i="1" s="1"/>
  <c r="J74" i="1"/>
  <c r="L132" i="1"/>
  <c r="H45" i="26"/>
  <c r="H45" i="1"/>
  <c r="H33" i="26"/>
  <c r="H33" i="1"/>
  <c r="H37" i="26"/>
  <c r="H37" i="1"/>
  <c r="H30" i="26"/>
  <c r="H30" i="1"/>
  <c r="H29" i="1"/>
  <c r="H29" i="26"/>
  <c r="H26" i="26"/>
  <c r="H26" i="1"/>
  <c r="H38" i="26"/>
  <c r="H38" i="1"/>
  <c r="C131" i="1"/>
  <c r="C73" i="26"/>
  <c r="D72" i="26"/>
  <c r="D18" i="25"/>
  <c r="I18" i="25"/>
  <c r="G18" i="25"/>
  <c r="E18" i="25"/>
  <c r="F18" i="25"/>
  <c r="H18" i="25"/>
  <c r="E18" i="15"/>
  <c r="D73" i="34"/>
  <c r="J19" i="33" s="1"/>
  <c r="C74" i="34"/>
  <c r="M212" i="26"/>
  <c r="K239" i="34"/>
  <c r="M207" i="1"/>
  <c r="M208" i="26"/>
  <c r="M207" i="26"/>
  <c r="M209" i="1"/>
  <c r="Q209" i="34"/>
  <c r="R209" i="34" s="1"/>
  <c r="Q208" i="34"/>
  <c r="R208" i="34" s="1"/>
  <c r="M211" i="26"/>
  <c r="M210" i="26"/>
  <c r="M206" i="1"/>
  <c r="Q207" i="34"/>
  <c r="R207" i="34" s="1"/>
  <c r="M213" i="26"/>
  <c r="M232" i="26"/>
  <c r="M238" i="1"/>
  <c r="R238" i="1" s="1"/>
  <c r="S180" i="1"/>
  <c r="M217" i="34"/>
  <c r="R217" i="34" s="1"/>
  <c r="S159" i="34"/>
  <c r="N142" i="1"/>
  <c r="L84" i="1"/>
  <c r="R155" i="26"/>
  <c r="P97" i="26"/>
  <c r="M214" i="34"/>
  <c r="R214" i="34" s="1"/>
  <c r="S156" i="34"/>
  <c r="M227" i="26"/>
  <c r="Q212" i="34"/>
  <c r="R212" i="34" s="1"/>
  <c r="Q96" i="34"/>
  <c r="M226" i="1"/>
  <c r="M234" i="26"/>
  <c r="P95" i="26"/>
  <c r="R153" i="26"/>
  <c r="M205" i="26"/>
  <c r="M197" i="26"/>
  <c r="Q90" i="34"/>
  <c r="P123" i="34"/>
  <c r="M227" i="1"/>
  <c r="M205" i="1"/>
  <c r="L98" i="26"/>
  <c r="N156" i="26"/>
  <c r="Q211" i="34"/>
  <c r="R211" i="34" s="1"/>
  <c r="Q95" i="34"/>
  <c r="R150" i="1"/>
  <c r="P92" i="1"/>
  <c r="M237" i="26"/>
  <c r="N166" i="26"/>
  <c r="L108" i="26"/>
  <c r="M195" i="26"/>
  <c r="N127" i="1"/>
  <c r="L69" i="1"/>
  <c r="M196" i="1"/>
  <c r="S138" i="1"/>
  <c r="M194" i="1"/>
  <c r="N164" i="26"/>
  <c r="L106" i="26"/>
  <c r="M228" i="1"/>
  <c r="L103" i="1"/>
  <c r="N161" i="1"/>
  <c r="N159" i="1"/>
  <c r="L101" i="1"/>
  <c r="R154" i="1"/>
  <c r="P96" i="1"/>
  <c r="M194" i="26"/>
  <c r="N167" i="26"/>
  <c r="L109" i="26"/>
  <c r="N132" i="26"/>
  <c r="L74" i="26"/>
  <c r="R151" i="1"/>
  <c r="P93" i="1"/>
  <c r="R181" i="34"/>
  <c r="S148" i="34"/>
  <c r="M219" i="34"/>
  <c r="R219" i="34" s="1"/>
  <c r="S161" i="34"/>
  <c r="L105" i="26"/>
  <c r="Q105" i="26" s="1"/>
  <c r="N163" i="26"/>
  <c r="M186" i="26"/>
  <c r="N158" i="1"/>
  <c r="L100" i="1"/>
  <c r="L107" i="26"/>
  <c r="N165" i="26"/>
  <c r="M201" i="1"/>
  <c r="R166" i="26"/>
  <c r="P108" i="26"/>
  <c r="M225" i="34"/>
  <c r="R225" i="34" s="1"/>
  <c r="S167" i="34"/>
  <c r="N157" i="26"/>
  <c r="L99" i="26"/>
  <c r="M199" i="26"/>
  <c r="R149" i="26"/>
  <c r="P91" i="26"/>
  <c r="M200" i="34"/>
  <c r="R200" i="34" s="1"/>
  <c r="Q84" i="34"/>
  <c r="N132" i="1"/>
  <c r="L74" i="1"/>
  <c r="R148" i="26"/>
  <c r="P90" i="26"/>
  <c r="P93" i="26"/>
  <c r="R151" i="26"/>
  <c r="L84" i="26"/>
  <c r="N142" i="26"/>
  <c r="M203" i="1"/>
  <c r="M197" i="1"/>
  <c r="M222" i="34"/>
  <c r="R222" i="34" s="1"/>
  <c r="Q106" i="34"/>
  <c r="M204" i="26"/>
  <c r="M186" i="1"/>
  <c r="S128" i="1"/>
  <c r="P91" i="1"/>
  <c r="R149" i="1"/>
  <c r="Q213" i="34"/>
  <c r="R213" i="34" s="1"/>
  <c r="M216" i="34"/>
  <c r="R216" i="34" s="1"/>
  <c r="S158" i="34"/>
  <c r="N156" i="1"/>
  <c r="L98" i="1"/>
  <c r="M204" i="1"/>
  <c r="M218" i="34"/>
  <c r="R218" i="34" s="1"/>
  <c r="S160" i="34"/>
  <c r="R150" i="26"/>
  <c r="P92" i="26"/>
  <c r="L108" i="1"/>
  <c r="N166" i="1"/>
  <c r="M193" i="1"/>
  <c r="S135" i="1"/>
  <c r="N165" i="34"/>
  <c r="N181" i="34" s="1"/>
  <c r="L107" i="34"/>
  <c r="Q107" i="34" s="1"/>
  <c r="L69" i="26"/>
  <c r="N127" i="26"/>
  <c r="M202" i="26"/>
  <c r="M209" i="26"/>
  <c r="M201" i="26"/>
  <c r="M220" i="34"/>
  <c r="R220" i="34" s="1"/>
  <c r="S162" i="34"/>
  <c r="M208" i="1"/>
  <c r="M224" i="34"/>
  <c r="M191" i="1"/>
  <c r="M188" i="26"/>
  <c r="M215" i="34"/>
  <c r="R215" i="34" s="1"/>
  <c r="S157" i="34"/>
  <c r="N161" i="26"/>
  <c r="L103" i="26"/>
  <c r="L101" i="26"/>
  <c r="N159" i="26"/>
  <c r="M196" i="26"/>
  <c r="S138" i="26"/>
  <c r="M187" i="1"/>
  <c r="M238" i="26"/>
  <c r="R238" i="26" s="1"/>
  <c r="Q122" i="26"/>
  <c r="M211" i="1"/>
  <c r="M212" i="1"/>
  <c r="M228" i="26"/>
  <c r="P90" i="1"/>
  <c r="R148" i="1"/>
  <c r="Q224" i="34"/>
  <c r="S166" i="34"/>
  <c r="M199" i="1"/>
  <c r="M185" i="34"/>
  <c r="S127" i="34"/>
  <c r="M203" i="26"/>
  <c r="P94" i="1"/>
  <c r="R152" i="1"/>
  <c r="M187" i="26"/>
  <c r="M191" i="26"/>
  <c r="N162" i="26"/>
  <c r="L104" i="26"/>
  <c r="M226" i="26"/>
  <c r="M193" i="26"/>
  <c r="L102" i="26"/>
  <c r="N160" i="26"/>
  <c r="M198" i="1"/>
  <c r="S163" i="34"/>
  <c r="M221" i="34"/>
  <c r="R221" i="34" s="1"/>
  <c r="M192" i="26"/>
  <c r="R153" i="1"/>
  <c r="P95" i="1"/>
  <c r="N157" i="1"/>
  <c r="L99" i="1"/>
  <c r="M189" i="1"/>
  <c r="M210" i="1"/>
  <c r="M234" i="1"/>
  <c r="Q108" i="34"/>
  <c r="Q206" i="34"/>
  <c r="P97" i="1"/>
  <c r="R155" i="1"/>
  <c r="Q69" i="34"/>
  <c r="J16" i="33" s="1"/>
  <c r="N163" i="1"/>
  <c r="L105" i="1"/>
  <c r="M189" i="26"/>
  <c r="R152" i="26"/>
  <c r="P94" i="26"/>
  <c r="M188" i="1"/>
  <c r="N162" i="1"/>
  <c r="L104" i="1"/>
  <c r="N158" i="26"/>
  <c r="L100" i="26"/>
  <c r="M213" i="1"/>
  <c r="L107" i="1"/>
  <c r="N165" i="1"/>
  <c r="M232" i="1"/>
  <c r="L106" i="1"/>
  <c r="N164" i="1"/>
  <c r="S137" i="1"/>
  <c r="M195" i="1"/>
  <c r="M206" i="26"/>
  <c r="M192" i="1"/>
  <c r="M202" i="1"/>
  <c r="M190" i="34"/>
  <c r="R190" i="34" s="1"/>
  <c r="S132" i="34"/>
  <c r="R154" i="26"/>
  <c r="P96" i="26"/>
  <c r="M237" i="1"/>
  <c r="N167" i="1"/>
  <c r="L109" i="1"/>
  <c r="M198" i="26"/>
  <c r="Q210" i="34"/>
  <c r="R210" i="34" s="1"/>
  <c r="N160" i="1"/>
  <c r="L102" i="1"/>
  <c r="P108" i="1"/>
  <c r="R166" i="1"/>
  <c r="F18" i="15"/>
  <c r="D72" i="1"/>
  <c r="C73" i="1"/>
  <c r="G18" i="15"/>
  <c r="D18" i="15"/>
  <c r="H18" i="15"/>
  <c r="C131" i="26"/>
  <c r="D130" i="26"/>
  <c r="C132" i="1"/>
  <c r="D131" i="1"/>
  <c r="C133" i="34"/>
  <c r="D132" i="34"/>
  <c r="Q106" i="26" l="1"/>
  <c r="S132" i="26"/>
  <c r="K194" i="1"/>
  <c r="K191" i="26"/>
  <c r="R191" i="26" s="1"/>
  <c r="K232" i="1"/>
  <c r="R232" i="1" s="1"/>
  <c r="K222" i="26"/>
  <c r="K221" i="1"/>
  <c r="K227" i="26"/>
  <c r="R227" i="26" s="1"/>
  <c r="K237" i="26"/>
  <c r="R237" i="26" s="1"/>
  <c r="K186" i="26"/>
  <c r="R186" i="26" s="1"/>
  <c r="K191" i="1"/>
  <c r="R191" i="1" s="1"/>
  <c r="K187" i="1"/>
  <c r="R187" i="1" s="1"/>
  <c r="K232" i="26"/>
  <c r="K227" i="1"/>
  <c r="R227" i="1" s="1"/>
  <c r="K197" i="26"/>
  <c r="R197" i="26" s="1"/>
  <c r="Q105" i="1"/>
  <c r="S133" i="1"/>
  <c r="S128" i="26"/>
  <c r="R194" i="1"/>
  <c r="K234" i="1"/>
  <c r="R234" i="1" s="1"/>
  <c r="K188" i="26"/>
  <c r="R188" i="26" s="1"/>
  <c r="K193" i="26"/>
  <c r="R193" i="26" s="1"/>
  <c r="K185" i="26"/>
  <c r="K195" i="1"/>
  <c r="R195" i="1" s="1"/>
  <c r="K196" i="1"/>
  <c r="R196" i="1" s="1"/>
  <c r="S176" i="1"/>
  <c r="S179" i="26"/>
  <c r="S169" i="26"/>
  <c r="R232" i="26"/>
  <c r="K190" i="1"/>
  <c r="S129" i="1"/>
  <c r="K185" i="1"/>
  <c r="J95" i="26"/>
  <c r="Q95" i="26" s="1"/>
  <c r="L153" i="26"/>
  <c r="L159" i="1"/>
  <c r="S159" i="1" s="1"/>
  <c r="J101" i="1"/>
  <c r="Q101" i="1" s="1"/>
  <c r="J93" i="26"/>
  <c r="L151" i="26"/>
  <c r="J84" i="1"/>
  <c r="Q84" i="1" s="1"/>
  <c r="L142" i="1"/>
  <c r="L149" i="1"/>
  <c r="S149" i="1" s="1"/>
  <c r="J91" i="1"/>
  <c r="Q91" i="1" s="1"/>
  <c r="S178" i="1"/>
  <c r="K236" i="1"/>
  <c r="R236" i="1" s="1"/>
  <c r="L141" i="1"/>
  <c r="J83" i="1"/>
  <c r="Q83" i="1" s="1"/>
  <c r="L145" i="1"/>
  <c r="S145" i="1" s="1"/>
  <c r="J87" i="1"/>
  <c r="L148" i="1"/>
  <c r="S148" i="1" s="1"/>
  <c r="J90" i="1"/>
  <c r="Q90" i="1" s="1"/>
  <c r="J101" i="26"/>
  <c r="Q101" i="26" s="1"/>
  <c r="L159" i="26"/>
  <c r="S159" i="26" s="1"/>
  <c r="L155" i="1"/>
  <c r="J97" i="1"/>
  <c r="Q97" i="1" s="1"/>
  <c r="L150" i="26"/>
  <c r="S150" i="26" s="1"/>
  <c r="J92" i="26"/>
  <c r="Q92" i="26" s="1"/>
  <c r="L151" i="1"/>
  <c r="S151" i="1" s="1"/>
  <c r="J93" i="1"/>
  <c r="Q93" i="1" s="1"/>
  <c r="K228" i="26"/>
  <c r="R228" i="26" s="1"/>
  <c r="K197" i="1"/>
  <c r="R197" i="1" s="1"/>
  <c r="K187" i="26"/>
  <c r="R187" i="26" s="1"/>
  <c r="K192" i="26"/>
  <c r="R192" i="26" s="1"/>
  <c r="K230" i="1"/>
  <c r="R230" i="1" s="1"/>
  <c r="S172" i="1"/>
  <c r="K194" i="26"/>
  <c r="R194" i="26" s="1"/>
  <c r="K229" i="26"/>
  <c r="R229" i="26" s="1"/>
  <c r="S171" i="26"/>
  <c r="S173" i="26"/>
  <c r="K231" i="26"/>
  <c r="R231" i="26" s="1"/>
  <c r="L140" i="1"/>
  <c r="J82" i="1"/>
  <c r="Q82" i="1" s="1"/>
  <c r="L167" i="1"/>
  <c r="S167" i="1" s="1"/>
  <c r="J109" i="1"/>
  <c r="Q109" i="1" s="1"/>
  <c r="L154" i="26"/>
  <c r="S154" i="26" s="1"/>
  <c r="J96" i="26"/>
  <c r="L142" i="26"/>
  <c r="S142" i="26" s="1"/>
  <c r="J84" i="26"/>
  <c r="K186" i="1"/>
  <c r="R186" i="1" s="1"/>
  <c r="K193" i="1"/>
  <c r="R193" i="1" s="1"/>
  <c r="J104" i="1"/>
  <c r="Q104" i="1" s="1"/>
  <c r="L162" i="1"/>
  <c r="S162" i="1" s="1"/>
  <c r="J85" i="1"/>
  <c r="Q85" i="1" s="1"/>
  <c r="L143" i="1"/>
  <c r="L147" i="26"/>
  <c r="J89" i="26"/>
  <c r="Q89" i="26" s="1"/>
  <c r="J94" i="26"/>
  <c r="L152" i="26"/>
  <c r="J92" i="1"/>
  <c r="Q92" i="1" s="1"/>
  <c r="L150" i="1"/>
  <c r="S150" i="1" s="1"/>
  <c r="L140" i="26"/>
  <c r="J82" i="26"/>
  <c r="L154" i="1"/>
  <c r="S154" i="1" s="1"/>
  <c r="J96" i="1"/>
  <c r="Q96" i="1" s="1"/>
  <c r="K235" i="26"/>
  <c r="R235" i="26" s="1"/>
  <c r="S177" i="26"/>
  <c r="J98" i="1"/>
  <c r="Q98" i="1" s="1"/>
  <c r="L156" i="1"/>
  <c r="S156" i="1" s="1"/>
  <c r="Q106" i="1"/>
  <c r="S135" i="26"/>
  <c r="Q93" i="26"/>
  <c r="S132" i="1"/>
  <c r="J83" i="26"/>
  <c r="Q83" i="26" s="1"/>
  <c r="L141" i="26"/>
  <c r="J87" i="26"/>
  <c r="Q87" i="26" s="1"/>
  <c r="L145" i="26"/>
  <c r="J90" i="26"/>
  <c r="Q90" i="26" s="1"/>
  <c r="L148" i="26"/>
  <c r="L166" i="26"/>
  <c r="S166" i="26" s="1"/>
  <c r="J108" i="26"/>
  <c r="Q108" i="26" s="1"/>
  <c r="J107" i="1"/>
  <c r="Q107" i="1" s="1"/>
  <c r="L165" i="1"/>
  <c r="J99" i="1"/>
  <c r="Q99" i="1" s="1"/>
  <c r="L157" i="1"/>
  <c r="S157" i="1" s="1"/>
  <c r="K229" i="1"/>
  <c r="R229" i="1" s="1"/>
  <c r="S171" i="1"/>
  <c r="J100" i="26"/>
  <c r="Q100" i="26" s="1"/>
  <c r="L158" i="26"/>
  <c r="S158" i="26" s="1"/>
  <c r="L161" i="1"/>
  <c r="S161" i="1" s="1"/>
  <c r="J103" i="1"/>
  <c r="Q103" i="1" s="1"/>
  <c r="J110" i="1"/>
  <c r="Q110" i="1" s="1"/>
  <c r="L168" i="1"/>
  <c r="L146" i="1"/>
  <c r="J88" i="1"/>
  <c r="Q88" i="1" s="1"/>
  <c r="S178" i="26"/>
  <c r="K236" i="26"/>
  <c r="R236" i="26" s="1"/>
  <c r="K195" i="26"/>
  <c r="R195" i="26" s="1"/>
  <c r="L162" i="26"/>
  <c r="J104" i="26"/>
  <c r="Q104" i="26" s="1"/>
  <c r="J85" i="26"/>
  <c r="Q85" i="26" s="1"/>
  <c r="L143" i="26"/>
  <c r="J89" i="1"/>
  <c r="Q89" i="1" s="1"/>
  <c r="L147" i="1"/>
  <c r="K237" i="1"/>
  <c r="R237" i="1" s="1"/>
  <c r="K234" i="26"/>
  <c r="R234" i="26" s="1"/>
  <c r="K221" i="26"/>
  <c r="L144" i="1"/>
  <c r="S144" i="1" s="1"/>
  <c r="J86" i="1"/>
  <c r="L160" i="26"/>
  <c r="J102" i="26"/>
  <c r="Q102" i="26" s="1"/>
  <c r="J97" i="26"/>
  <c r="Q97" i="26" s="1"/>
  <c r="L155" i="26"/>
  <c r="L167" i="26"/>
  <c r="J109" i="26"/>
  <c r="Q109" i="26" s="1"/>
  <c r="S175" i="26"/>
  <c r="K233" i="26"/>
  <c r="R233" i="26" s="1"/>
  <c r="Q94" i="26"/>
  <c r="S133" i="26"/>
  <c r="S170" i="26"/>
  <c r="Q72" i="26"/>
  <c r="S136" i="1"/>
  <c r="S169" i="1"/>
  <c r="S139" i="26"/>
  <c r="S174" i="26"/>
  <c r="J95" i="1"/>
  <c r="Q95" i="1" s="1"/>
  <c r="L153" i="1"/>
  <c r="S153" i="1" s="1"/>
  <c r="L144" i="26"/>
  <c r="J86" i="26"/>
  <c r="Q86" i="26" s="1"/>
  <c r="J94" i="1"/>
  <c r="Q94" i="1" s="1"/>
  <c r="L152" i="1"/>
  <c r="S152" i="1" s="1"/>
  <c r="J102" i="1"/>
  <c r="Q102" i="1" s="1"/>
  <c r="L160" i="1"/>
  <c r="K188" i="1"/>
  <c r="R188" i="1" s="1"/>
  <c r="S139" i="1"/>
  <c r="L166" i="1"/>
  <c r="S166" i="1" s="1"/>
  <c r="J108" i="1"/>
  <c r="Q108" i="1" s="1"/>
  <c r="L165" i="26"/>
  <c r="S165" i="26" s="1"/>
  <c r="J107" i="26"/>
  <c r="Q107" i="26" s="1"/>
  <c r="L157" i="26"/>
  <c r="S157" i="26" s="1"/>
  <c r="J99" i="26"/>
  <c r="Q99" i="26" s="1"/>
  <c r="K190" i="26"/>
  <c r="K196" i="26"/>
  <c r="R196" i="26" s="1"/>
  <c r="S173" i="1"/>
  <c r="K231" i="1"/>
  <c r="R231" i="1" s="1"/>
  <c r="J100" i="1"/>
  <c r="Q100" i="1" s="1"/>
  <c r="L158" i="1"/>
  <c r="S158" i="1" s="1"/>
  <c r="S177" i="1"/>
  <c r="K235" i="1"/>
  <c r="R235" i="1" s="1"/>
  <c r="K192" i="1"/>
  <c r="R192" i="1" s="1"/>
  <c r="J103" i="26"/>
  <c r="Q103" i="26" s="1"/>
  <c r="L161" i="26"/>
  <c r="S161" i="26" s="1"/>
  <c r="L168" i="26"/>
  <c r="J110" i="26"/>
  <c r="Q110" i="26" s="1"/>
  <c r="L146" i="26"/>
  <c r="J88" i="26"/>
  <c r="Q88" i="26" s="1"/>
  <c r="S172" i="26"/>
  <c r="K230" i="26"/>
  <c r="R230" i="26" s="1"/>
  <c r="K189" i="26"/>
  <c r="R189" i="26" s="1"/>
  <c r="J91" i="26"/>
  <c r="Q91" i="26" s="1"/>
  <c r="L149" i="26"/>
  <c r="J98" i="26"/>
  <c r="Q98" i="26" s="1"/>
  <c r="L156" i="26"/>
  <c r="S156" i="26" s="1"/>
  <c r="K233" i="1"/>
  <c r="R233" i="1" s="1"/>
  <c r="Q117" i="1"/>
  <c r="K189" i="1"/>
  <c r="R189" i="1" s="1"/>
  <c r="K228" i="1"/>
  <c r="R228" i="1" s="1"/>
  <c r="K222" i="1"/>
  <c r="C74" i="26"/>
  <c r="D73" i="26"/>
  <c r="G19" i="25" s="1"/>
  <c r="C75" i="34"/>
  <c r="D74" i="34"/>
  <c r="D20" i="33" s="1"/>
  <c r="F19" i="33"/>
  <c r="G19" i="33"/>
  <c r="I19" i="33"/>
  <c r="D19" i="33"/>
  <c r="H19" i="33"/>
  <c r="E19" i="33"/>
  <c r="M224" i="26"/>
  <c r="Q206" i="26"/>
  <c r="R224" i="34"/>
  <c r="M224" i="1"/>
  <c r="Q224" i="1"/>
  <c r="Q212" i="26"/>
  <c r="Q224" i="26"/>
  <c r="L123" i="34"/>
  <c r="Q123" i="34" s="1"/>
  <c r="L4" i="34" s="1"/>
  <c r="J13" i="33" s="1"/>
  <c r="M222" i="1"/>
  <c r="S164" i="1"/>
  <c r="M223" i="1"/>
  <c r="M216" i="26"/>
  <c r="M190" i="26"/>
  <c r="Q74" i="26"/>
  <c r="Q210" i="26"/>
  <c r="R181" i="1"/>
  <c r="M185" i="26"/>
  <c r="S127" i="26"/>
  <c r="N181" i="26"/>
  <c r="Q208" i="26"/>
  <c r="M214" i="1"/>
  <c r="Q207" i="1"/>
  <c r="R181" i="26"/>
  <c r="Q212" i="1"/>
  <c r="M217" i="1"/>
  <c r="L123" i="1"/>
  <c r="Q69" i="1"/>
  <c r="J16" i="15" s="1"/>
  <c r="Q211" i="26"/>
  <c r="M200" i="1"/>
  <c r="Q239" i="34"/>
  <c r="R206" i="34"/>
  <c r="M215" i="1"/>
  <c r="R185" i="34"/>
  <c r="M216" i="1"/>
  <c r="M220" i="1"/>
  <c r="Q213" i="1"/>
  <c r="S155" i="1"/>
  <c r="Q211" i="1"/>
  <c r="M218" i="26"/>
  <c r="M219" i="26"/>
  <c r="M221" i="1"/>
  <c r="S163" i="1"/>
  <c r="M220" i="26"/>
  <c r="P123" i="1"/>
  <c r="M217" i="26"/>
  <c r="Q69" i="26"/>
  <c r="J16" i="25" s="1"/>
  <c r="L123" i="26"/>
  <c r="M200" i="26"/>
  <c r="M190" i="1"/>
  <c r="Q74" i="1"/>
  <c r="Q207" i="26"/>
  <c r="M221" i="26"/>
  <c r="S163" i="26"/>
  <c r="M225" i="26"/>
  <c r="M219" i="1"/>
  <c r="S127" i="1"/>
  <c r="N181" i="1"/>
  <c r="M185" i="1"/>
  <c r="Q208" i="1"/>
  <c r="M214" i="26"/>
  <c r="Q213" i="26"/>
  <c r="M218" i="1"/>
  <c r="S160" i="1"/>
  <c r="M225" i="1"/>
  <c r="Q210" i="1"/>
  <c r="Q206" i="1"/>
  <c r="M223" i="34"/>
  <c r="R223" i="34" s="1"/>
  <c r="S165" i="34"/>
  <c r="S181" i="34" s="1"/>
  <c r="L5" i="34" s="1"/>
  <c r="S13" i="33" s="1"/>
  <c r="Q209" i="26"/>
  <c r="P123" i="26"/>
  <c r="M215" i="26"/>
  <c r="M223" i="26"/>
  <c r="Q209" i="1"/>
  <c r="S164" i="26"/>
  <c r="M222" i="26"/>
  <c r="D131" i="26"/>
  <c r="C132" i="26"/>
  <c r="D73" i="1"/>
  <c r="E19" i="15" s="1"/>
  <c r="C74" i="1"/>
  <c r="D133" i="34"/>
  <c r="C134" i="34"/>
  <c r="C133" i="1"/>
  <c r="D132" i="1"/>
  <c r="R190" i="1" l="1"/>
  <c r="R221" i="1"/>
  <c r="K213" i="26"/>
  <c r="R213" i="26" s="1"/>
  <c r="K225" i="1"/>
  <c r="R225" i="1" s="1"/>
  <c r="K209" i="26"/>
  <c r="R209" i="26" s="1"/>
  <c r="K211" i="26"/>
  <c r="R222" i="26"/>
  <c r="K225" i="26"/>
  <c r="R225" i="26" s="1"/>
  <c r="K218" i="26"/>
  <c r="R218" i="26" s="1"/>
  <c r="R211" i="26"/>
  <c r="K212" i="26"/>
  <c r="R212" i="26" s="1"/>
  <c r="R222" i="1"/>
  <c r="K210" i="26"/>
  <c r="R210" i="26" s="1"/>
  <c r="K212" i="1"/>
  <c r="R212" i="1" s="1"/>
  <c r="K207" i="26"/>
  <c r="R207" i="26" s="1"/>
  <c r="K218" i="1"/>
  <c r="R218" i="1" s="1"/>
  <c r="K223" i="1"/>
  <c r="R223" i="1" s="1"/>
  <c r="K206" i="26"/>
  <c r="R206" i="26" s="1"/>
  <c r="K220" i="1"/>
  <c r="R220" i="1" s="1"/>
  <c r="R221" i="26"/>
  <c r="S167" i="26"/>
  <c r="S148" i="26"/>
  <c r="S160" i="26"/>
  <c r="S149" i="26"/>
  <c r="K200" i="26"/>
  <c r="R200" i="26" s="1"/>
  <c r="K223" i="26"/>
  <c r="R223" i="26" s="1"/>
  <c r="R190" i="26"/>
  <c r="K219" i="26"/>
  <c r="R219" i="26" s="1"/>
  <c r="S153" i="26"/>
  <c r="S151" i="26"/>
  <c r="K208" i="1"/>
  <c r="R208" i="1" s="1"/>
  <c r="K200" i="1"/>
  <c r="R200" i="1" s="1"/>
  <c r="K226" i="26"/>
  <c r="R226" i="26" s="1"/>
  <c r="S168" i="26"/>
  <c r="K220" i="26"/>
  <c r="R220" i="26" s="1"/>
  <c r="K199" i="26"/>
  <c r="R199" i="26" s="1"/>
  <c r="S141" i="26"/>
  <c r="Q96" i="26"/>
  <c r="S140" i="26"/>
  <c r="K198" i="26"/>
  <c r="L181" i="26"/>
  <c r="K198" i="1"/>
  <c r="R198" i="1" s="1"/>
  <c r="S140" i="1"/>
  <c r="K217" i="1"/>
  <c r="R217" i="1" s="1"/>
  <c r="K205" i="1"/>
  <c r="R205" i="1" s="1"/>
  <c r="S147" i="1"/>
  <c r="K215" i="26"/>
  <c r="R215" i="26" s="1"/>
  <c r="K224" i="1"/>
  <c r="R224" i="1" s="1"/>
  <c r="K202" i="26"/>
  <c r="R202" i="26" s="1"/>
  <c r="S144" i="26"/>
  <c r="L181" i="1"/>
  <c r="K201" i="26"/>
  <c r="R201" i="26" s="1"/>
  <c r="S143" i="26"/>
  <c r="S146" i="1"/>
  <c r="K204" i="1"/>
  <c r="R204" i="1" s="1"/>
  <c r="K219" i="1"/>
  <c r="R219" i="1" s="1"/>
  <c r="S162" i="26"/>
  <c r="S152" i="26"/>
  <c r="K214" i="1"/>
  <c r="R214" i="1" s="1"/>
  <c r="K209" i="1"/>
  <c r="R209" i="1" s="1"/>
  <c r="K213" i="1"/>
  <c r="R213" i="1" s="1"/>
  <c r="K206" i="1"/>
  <c r="R206" i="1" s="1"/>
  <c r="K199" i="1"/>
  <c r="R199" i="1" s="1"/>
  <c r="S141" i="1"/>
  <c r="K202" i="1"/>
  <c r="R202" i="1" s="1"/>
  <c r="Q86" i="1"/>
  <c r="J123" i="1"/>
  <c r="Q123" i="1" s="1"/>
  <c r="L4" i="1" s="1"/>
  <c r="J13" i="15" s="1"/>
  <c r="Q82" i="26"/>
  <c r="J123" i="26"/>
  <c r="Q123" i="26" s="1"/>
  <c r="L4" i="26" s="1"/>
  <c r="J13" i="25" s="1"/>
  <c r="K201" i="1"/>
  <c r="R201" i="1" s="1"/>
  <c r="S143" i="1"/>
  <c r="S155" i="26"/>
  <c r="S165" i="1"/>
  <c r="K214" i="26"/>
  <c r="R214" i="26" s="1"/>
  <c r="S146" i="26"/>
  <c r="K204" i="26"/>
  <c r="R204" i="26" s="1"/>
  <c r="K216" i="1"/>
  <c r="R216" i="1" s="1"/>
  <c r="K210" i="1"/>
  <c r="R210" i="1" s="1"/>
  <c r="K211" i="1"/>
  <c r="R211" i="1" s="1"/>
  <c r="K226" i="1"/>
  <c r="R226" i="1" s="1"/>
  <c r="S168" i="1"/>
  <c r="K216" i="26"/>
  <c r="R216" i="26" s="1"/>
  <c r="K215" i="1"/>
  <c r="R215" i="1" s="1"/>
  <c r="K224" i="26"/>
  <c r="R224" i="26" s="1"/>
  <c r="K203" i="26"/>
  <c r="R203" i="26" s="1"/>
  <c r="S145" i="26"/>
  <c r="S142" i="1"/>
  <c r="K205" i="26"/>
  <c r="R205" i="26" s="1"/>
  <c r="S147" i="26"/>
  <c r="K208" i="26"/>
  <c r="R208" i="26" s="1"/>
  <c r="K217" i="26"/>
  <c r="R217" i="26" s="1"/>
  <c r="K203" i="1"/>
  <c r="R203" i="1" s="1"/>
  <c r="Q87" i="1"/>
  <c r="K207" i="1"/>
  <c r="R207" i="1" s="1"/>
  <c r="Q84" i="26"/>
  <c r="D19" i="25"/>
  <c r="F19" i="25"/>
  <c r="H19" i="25"/>
  <c r="E19" i="25"/>
  <c r="C75" i="26"/>
  <c r="D74" i="26"/>
  <c r="I19" i="25"/>
  <c r="J19" i="25"/>
  <c r="G20" i="33"/>
  <c r="F19" i="15"/>
  <c r="H20" i="33"/>
  <c r="I20" i="33"/>
  <c r="F20" i="33"/>
  <c r="D75" i="34"/>
  <c r="J21" i="33" s="1"/>
  <c r="C76" i="34"/>
  <c r="I19" i="15"/>
  <c r="E20" i="33"/>
  <c r="D21" i="33"/>
  <c r="J20" i="33"/>
  <c r="M239" i="34"/>
  <c r="R239" i="34" s="1"/>
  <c r="L6" i="34" s="1"/>
  <c r="P71" i="33" s="1"/>
  <c r="Q239" i="26"/>
  <c r="R185" i="26"/>
  <c r="M239" i="26"/>
  <c r="R185" i="1"/>
  <c r="M239" i="1"/>
  <c r="Q239" i="1"/>
  <c r="D19" i="15"/>
  <c r="H19" i="15"/>
  <c r="G19" i="15"/>
  <c r="C133" i="26"/>
  <c r="D132" i="26"/>
  <c r="J19" i="15"/>
  <c r="D74" i="1"/>
  <c r="G20" i="15" s="1"/>
  <c r="C75" i="1"/>
  <c r="D133" i="1"/>
  <c r="C134" i="1"/>
  <c r="C135" i="34"/>
  <c r="D134" i="34"/>
  <c r="S181" i="1" l="1"/>
  <c r="L5" i="1" s="1"/>
  <c r="S13" i="15" s="1"/>
  <c r="S181" i="26"/>
  <c r="L5" i="26" s="1"/>
  <c r="S13" i="25" s="1"/>
  <c r="K239" i="26"/>
  <c r="R239" i="26" s="1"/>
  <c r="L6" i="26" s="1"/>
  <c r="P70" i="25" s="1"/>
  <c r="R198" i="26"/>
  <c r="K239" i="1"/>
  <c r="F20" i="25"/>
  <c r="E20" i="25"/>
  <c r="H20" i="25"/>
  <c r="G20" i="25"/>
  <c r="D75" i="26"/>
  <c r="H21" i="25" s="1"/>
  <c r="C76" i="26"/>
  <c r="D20" i="25"/>
  <c r="I20" i="25"/>
  <c r="J20" i="25"/>
  <c r="G21" i="33"/>
  <c r="I21" i="33"/>
  <c r="I20" i="15"/>
  <c r="H21" i="33"/>
  <c r="D20" i="15"/>
  <c r="F21" i="33"/>
  <c r="E20" i="15"/>
  <c r="D76" i="34"/>
  <c r="C77" i="34"/>
  <c r="E21" i="33"/>
  <c r="R239" i="1"/>
  <c r="L6" i="1" s="1"/>
  <c r="P70" i="15" s="1"/>
  <c r="M74" i="33"/>
  <c r="M76" i="33"/>
  <c r="L75" i="33"/>
  <c r="L76" i="33"/>
  <c r="L74" i="33"/>
  <c r="M75" i="33"/>
  <c r="H20" i="15"/>
  <c r="F20" i="15"/>
  <c r="D75" i="1"/>
  <c r="D21" i="15" s="1"/>
  <c r="C76" i="1"/>
  <c r="C134" i="26"/>
  <c r="D133" i="26"/>
  <c r="J21" i="15"/>
  <c r="J20" i="15"/>
  <c r="D135" i="34"/>
  <c r="C136" i="34"/>
  <c r="D134" i="1"/>
  <c r="C135" i="1"/>
  <c r="F21" i="25" l="1"/>
  <c r="I21" i="25"/>
  <c r="G21" i="25"/>
  <c r="D21" i="25"/>
  <c r="E21" i="25"/>
  <c r="C77" i="26"/>
  <c r="D76" i="26"/>
  <c r="J21" i="25"/>
  <c r="F22" i="33"/>
  <c r="J22" i="33"/>
  <c r="D22" i="33"/>
  <c r="E22" i="33"/>
  <c r="G22" i="33"/>
  <c r="H22" i="33"/>
  <c r="C78" i="34"/>
  <c r="D77" i="34"/>
  <c r="D23" i="33" s="1"/>
  <c r="I22" i="33"/>
  <c r="L78" i="25"/>
  <c r="K75" i="25"/>
  <c r="L76" i="25"/>
  <c r="K74" i="25"/>
  <c r="L73" i="25"/>
  <c r="M73" i="25"/>
  <c r="K73" i="25"/>
  <c r="K76" i="25"/>
  <c r="L75" i="25"/>
  <c r="L74" i="25"/>
  <c r="L77" i="25"/>
  <c r="L76" i="15"/>
  <c r="L75" i="15"/>
  <c r="L74" i="15"/>
  <c r="N73" i="15"/>
  <c r="M74" i="15"/>
  <c r="M75" i="15"/>
  <c r="M73" i="15"/>
  <c r="L73" i="15"/>
  <c r="M77" i="15"/>
  <c r="M76" i="15"/>
  <c r="M78" i="15"/>
  <c r="F21" i="15"/>
  <c r="I21" i="15"/>
  <c r="E21" i="15"/>
  <c r="C135" i="26"/>
  <c r="D134" i="26"/>
  <c r="G21" i="15"/>
  <c r="H21" i="15"/>
  <c r="C77" i="1"/>
  <c r="D76" i="1"/>
  <c r="C136" i="1"/>
  <c r="D135" i="1"/>
  <c r="D136" i="34"/>
  <c r="C137" i="34"/>
  <c r="C78" i="26" l="1"/>
  <c r="D77" i="26"/>
  <c r="H23" i="25" s="1"/>
  <c r="E22" i="25"/>
  <c r="G22" i="25"/>
  <c r="J22" i="25"/>
  <c r="I22" i="25"/>
  <c r="F22" i="25"/>
  <c r="I23" i="33"/>
  <c r="F23" i="33"/>
  <c r="H23" i="33"/>
  <c r="E23" i="33"/>
  <c r="G23" i="33"/>
  <c r="C79" i="34"/>
  <c r="D78" i="34"/>
  <c r="J23" i="33"/>
  <c r="H22" i="15"/>
  <c r="C136" i="26"/>
  <c r="D135" i="26"/>
  <c r="F22" i="15"/>
  <c r="D22" i="15"/>
  <c r="D77" i="1"/>
  <c r="D23" i="15" s="1"/>
  <c r="C78" i="1"/>
  <c r="I22" i="15"/>
  <c r="J22" i="15"/>
  <c r="G22" i="15"/>
  <c r="H23" i="15"/>
  <c r="E22" i="15"/>
  <c r="C137" i="1"/>
  <c r="D136" i="1"/>
  <c r="D137" i="34"/>
  <c r="C138" i="34"/>
  <c r="G23" i="25" l="1"/>
  <c r="I23" i="25"/>
  <c r="D78" i="26"/>
  <c r="C79" i="26"/>
  <c r="E23" i="15"/>
  <c r="I23" i="15"/>
  <c r="F23" i="15"/>
  <c r="C80" i="34"/>
  <c r="D79" i="34"/>
  <c r="H24" i="33" s="1"/>
  <c r="J23" i="15"/>
  <c r="G23" i="15"/>
  <c r="D78" i="1"/>
  <c r="C79" i="1"/>
  <c r="C137" i="26"/>
  <c r="D136" i="26"/>
  <c r="C139" i="34"/>
  <c r="D138" i="34"/>
  <c r="D137" i="1"/>
  <c r="C138" i="1"/>
  <c r="C80" i="26" l="1"/>
  <c r="D79" i="26"/>
  <c r="I24" i="33"/>
  <c r="D24" i="33"/>
  <c r="E24" i="33"/>
  <c r="G24" i="33"/>
  <c r="C81" i="34"/>
  <c r="D80" i="34"/>
  <c r="J24" i="33"/>
  <c r="F24" i="33"/>
  <c r="C80" i="1"/>
  <c r="D79" i="1"/>
  <c r="C138" i="26"/>
  <c r="D137" i="26"/>
  <c r="C140" i="34"/>
  <c r="D139" i="34"/>
  <c r="D138" i="1"/>
  <c r="C139" i="1"/>
  <c r="D80" i="26" l="1"/>
  <c r="C81" i="26"/>
  <c r="D81" i="34"/>
  <c r="C82" i="34"/>
  <c r="C81" i="1"/>
  <c r="D80" i="1"/>
  <c r="C139" i="26"/>
  <c r="D138" i="26"/>
  <c r="D139" i="1"/>
  <c r="C140" i="1"/>
  <c r="C141" i="34"/>
  <c r="D140" i="34"/>
  <c r="D81" i="26" l="1"/>
  <c r="C82" i="26"/>
  <c r="C83" i="34"/>
  <c r="D82" i="34"/>
  <c r="F25" i="33" s="1"/>
  <c r="C82" i="1"/>
  <c r="D81" i="1"/>
  <c r="D139" i="26"/>
  <c r="C140" i="26"/>
  <c r="C141" i="1"/>
  <c r="D140" i="1"/>
  <c r="C142" i="34"/>
  <c r="D141" i="34"/>
  <c r="C83" i="26" l="1"/>
  <c r="D82" i="26"/>
  <c r="D25" i="33"/>
  <c r="E25" i="33"/>
  <c r="H25" i="33"/>
  <c r="D83" i="34"/>
  <c r="C84" i="34"/>
  <c r="J25" i="33"/>
  <c r="I25" i="33"/>
  <c r="G25" i="33"/>
  <c r="D140" i="26"/>
  <c r="C141" i="26"/>
  <c r="C83" i="1"/>
  <c r="D82" i="1"/>
  <c r="C143" i="34"/>
  <c r="D142" i="34"/>
  <c r="C142" i="1"/>
  <c r="D141" i="1"/>
  <c r="D83" i="26" l="1"/>
  <c r="C84" i="26"/>
  <c r="D84" i="34"/>
  <c r="F26" i="33" s="1"/>
  <c r="C85" i="34"/>
  <c r="C142" i="26"/>
  <c r="D141" i="26"/>
  <c r="D83" i="1"/>
  <c r="C84" i="1"/>
  <c r="C144" i="34"/>
  <c r="D143" i="34"/>
  <c r="D142" i="1"/>
  <c r="C143" i="1"/>
  <c r="D26" i="33" l="1"/>
  <c r="C85" i="26"/>
  <c r="D84" i="26"/>
  <c r="H26" i="33"/>
  <c r="D85" i="34"/>
  <c r="J27" i="33" s="1"/>
  <c r="C86" i="34"/>
  <c r="I26" i="33"/>
  <c r="J26" i="33"/>
  <c r="H27" i="33"/>
  <c r="G26" i="33"/>
  <c r="E26" i="33"/>
  <c r="C85" i="1"/>
  <c r="D84" i="1"/>
  <c r="D142" i="26"/>
  <c r="C143" i="26"/>
  <c r="D143" i="1"/>
  <c r="C144" i="1"/>
  <c r="D144" i="34"/>
  <c r="C145" i="34"/>
  <c r="C86" i="26" l="1"/>
  <c r="D85" i="26"/>
  <c r="F27" i="33"/>
  <c r="D27" i="33"/>
  <c r="G27" i="33"/>
  <c r="C87" i="34"/>
  <c r="D86" i="34"/>
  <c r="C144" i="26"/>
  <c r="D143" i="26"/>
  <c r="D85" i="1"/>
  <c r="C86" i="1"/>
  <c r="D145" i="34"/>
  <c r="C146" i="34"/>
  <c r="D144" i="1"/>
  <c r="C145" i="1"/>
  <c r="D86" i="26" l="1"/>
  <c r="C87" i="26"/>
  <c r="C88" i="34"/>
  <c r="D87" i="34"/>
  <c r="D86" i="1"/>
  <c r="C87" i="1"/>
  <c r="C145" i="26"/>
  <c r="D144" i="26"/>
  <c r="D145" i="1"/>
  <c r="C146" i="1"/>
  <c r="D146" i="34"/>
  <c r="C147" i="34"/>
  <c r="D87" i="26" l="1"/>
  <c r="C88" i="26"/>
  <c r="C89" i="34"/>
  <c r="D88" i="34"/>
  <c r="C88" i="1"/>
  <c r="D87" i="1"/>
  <c r="D145" i="26"/>
  <c r="C146" i="26"/>
  <c r="C148" i="34"/>
  <c r="D147" i="34"/>
  <c r="C147" i="1"/>
  <c r="D146" i="1"/>
  <c r="D88" i="26" l="1"/>
  <c r="C89" i="26"/>
  <c r="D89" i="34"/>
  <c r="C90" i="34"/>
  <c r="C147" i="26"/>
  <c r="D146" i="26"/>
  <c r="C89" i="1"/>
  <c r="D88" i="1"/>
  <c r="C149" i="34"/>
  <c r="D148" i="34"/>
  <c r="C148" i="1"/>
  <c r="D147" i="1"/>
  <c r="D89" i="26" l="1"/>
  <c r="C90" i="26"/>
  <c r="C91" i="34"/>
  <c r="D90" i="34"/>
  <c r="D89" i="1"/>
  <c r="C90" i="1"/>
  <c r="C148" i="26"/>
  <c r="D147" i="26"/>
  <c r="D149" i="34"/>
  <c r="C150" i="34"/>
  <c r="D148" i="1"/>
  <c r="C149" i="1"/>
  <c r="C91" i="26" l="1"/>
  <c r="D90" i="26"/>
  <c r="C92" i="34"/>
  <c r="D91" i="34"/>
  <c r="C91" i="1"/>
  <c r="D90" i="1"/>
  <c r="D148" i="26"/>
  <c r="C149" i="26"/>
  <c r="D149" i="1"/>
  <c r="C150" i="1"/>
  <c r="C151" i="34"/>
  <c r="D150" i="34"/>
  <c r="C92" i="26" l="1"/>
  <c r="D91" i="26"/>
  <c r="C93" i="34"/>
  <c r="D92" i="34"/>
  <c r="D149" i="26"/>
  <c r="C150" i="26"/>
  <c r="D91" i="1"/>
  <c r="C92" i="1"/>
  <c r="D150" i="1"/>
  <c r="C151" i="1"/>
  <c r="D151" i="34"/>
  <c r="C152" i="34"/>
  <c r="D92" i="26" l="1"/>
  <c r="C93" i="26"/>
  <c r="D93" i="34"/>
  <c r="C94" i="34"/>
  <c r="C151" i="26"/>
  <c r="D150" i="26"/>
  <c r="D92" i="1"/>
  <c r="C93" i="1"/>
  <c r="C153" i="34"/>
  <c r="D152" i="34"/>
  <c r="D151" i="1"/>
  <c r="C152" i="1"/>
  <c r="D93" i="26" l="1"/>
  <c r="C94" i="26"/>
  <c r="C95" i="34"/>
  <c r="D94" i="34"/>
  <c r="D93" i="1"/>
  <c r="C94" i="1"/>
  <c r="D151" i="26"/>
  <c r="C152" i="26"/>
  <c r="D153" i="34"/>
  <c r="C154" i="34"/>
  <c r="D152" i="1"/>
  <c r="C153" i="1"/>
  <c r="D94" i="26" l="1"/>
  <c r="C95" i="26"/>
  <c r="D95" i="34"/>
  <c r="C96" i="34"/>
  <c r="D152" i="26"/>
  <c r="C153" i="26"/>
  <c r="D94" i="1"/>
  <c r="C95" i="1"/>
  <c r="C155" i="34"/>
  <c r="D154" i="34"/>
  <c r="D153" i="1"/>
  <c r="C154" i="1"/>
  <c r="D95" i="26" l="1"/>
  <c r="C96" i="26"/>
  <c r="C97" i="34"/>
  <c r="D96" i="34"/>
  <c r="C96" i="1"/>
  <c r="D95" i="1"/>
  <c r="C154" i="26"/>
  <c r="D153" i="26"/>
  <c r="D154" i="1"/>
  <c r="C155" i="1"/>
  <c r="D155" i="34"/>
  <c r="C156" i="34"/>
  <c r="C97" i="26" l="1"/>
  <c r="D96" i="26"/>
  <c r="D97" i="34"/>
  <c r="C98" i="34"/>
  <c r="C155" i="26"/>
  <c r="D154" i="26"/>
  <c r="D96" i="1"/>
  <c r="C97" i="1"/>
  <c r="C157" i="34"/>
  <c r="D156" i="34"/>
  <c r="D155" i="1"/>
  <c r="C156" i="1"/>
  <c r="D97" i="26" l="1"/>
  <c r="C98" i="26"/>
  <c r="C99" i="34"/>
  <c r="D98" i="34"/>
  <c r="C156" i="26"/>
  <c r="D155" i="26"/>
  <c r="D97" i="1"/>
  <c r="C98" i="1"/>
  <c r="D156" i="1"/>
  <c r="C157" i="1"/>
  <c r="C158" i="34"/>
  <c r="D157" i="34"/>
  <c r="C99" i="26" l="1"/>
  <c r="D98" i="26"/>
  <c r="C100" i="34"/>
  <c r="D99" i="34"/>
  <c r="C99" i="1"/>
  <c r="D98" i="1"/>
  <c r="C157" i="26"/>
  <c r="D156" i="26"/>
  <c r="D157" i="1"/>
  <c r="C158" i="1"/>
  <c r="C159" i="34"/>
  <c r="D158" i="34"/>
  <c r="D99" i="26" l="1"/>
  <c r="C100" i="26"/>
  <c r="C101" i="34"/>
  <c r="D100" i="34"/>
  <c r="D157" i="26"/>
  <c r="C158" i="26"/>
  <c r="D99" i="1"/>
  <c r="C100" i="1"/>
  <c r="D158" i="1"/>
  <c r="C159" i="1"/>
  <c r="C160" i="34"/>
  <c r="D159" i="34"/>
  <c r="C101" i="26" l="1"/>
  <c r="D100" i="26"/>
  <c r="D101" i="34"/>
  <c r="C102" i="34"/>
  <c r="D158" i="26"/>
  <c r="C159" i="26"/>
  <c r="C101" i="1"/>
  <c r="D100" i="1"/>
  <c r="D159" i="1"/>
  <c r="C160" i="1"/>
  <c r="C161" i="34"/>
  <c r="D160" i="34"/>
  <c r="C102" i="26" l="1"/>
  <c r="D101" i="26"/>
  <c r="D102" i="34"/>
  <c r="C103" i="34"/>
  <c r="C102" i="1"/>
  <c r="D101" i="1"/>
  <c r="C160" i="26"/>
  <c r="D159" i="26"/>
  <c r="D160" i="1"/>
  <c r="C161" i="1"/>
  <c r="C162" i="34"/>
  <c r="D161" i="34"/>
  <c r="C103" i="26" l="1"/>
  <c r="D102" i="26"/>
  <c r="C104" i="34"/>
  <c r="D103" i="34"/>
  <c r="C161" i="26"/>
  <c r="D160" i="26"/>
  <c r="D102" i="1"/>
  <c r="C103" i="1"/>
  <c r="D161" i="1"/>
  <c r="C162" i="1"/>
  <c r="C163" i="34"/>
  <c r="D162" i="34"/>
  <c r="D103" i="26" l="1"/>
  <c r="C104" i="26"/>
  <c r="D104" i="34"/>
  <c r="C105" i="34"/>
  <c r="D161" i="26"/>
  <c r="C162" i="26"/>
  <c r="D103" i="1"/>
  <c r="C104" i="1"/>
  <c r="C164" i="34"/>
  <c r="D163" i="34"/>
  <c r="D162" i="1"/>
  <c r="C163" i="1"/>
  <c r="C105" i="26" l="1"/>
  <c r="D104" i="26"/>
  <c r="C106" i="34"/>
  <c r="D105" i="34"/>
  <c r="C105" i="1"/>
  <c r="D104" i="1"/>
  <c r="D162" i="26"/>
  <c r="C163" i="26"/>
  <c r="D163" i="1"/>
  <c r="C164" i="1"/>
  <c r="D164" i="34"/>
  <c r="C165" i="34"/>
  <c r="D105" i="26" l="1"/>
  <c r="C106" i="26"/>
  <c r="C107" i="34"/>
  <c r="D106" i="34"/>
  <c r="D163" i="26"/>
  <c r="C164" i="26"/>
  <c r="D105" i="1"/>
  <c r="C106" i="1"/>
  <c r="D165" i="34"/>
  <c r="C166" i="34"/>
  <c r="C165" i="1"/>
  <c r="D164" i="1"/>
  <c r="C107" i="26" l="1"/>
  <c r="D106" i="26"/>
  <c r="D107" i="34"/>
  <c r="C108" i="34"/>
  <c r="D164" i="26"/>
  <c r="C165" i="26"/>
  <c r="D106" i="1"/>
  <c r="C107" i="1"/>
  <c r="D166" i="34"/>
  <c r="C167" i="34"/>
  <c r="D165" i="1"/>
  <c r="C166" i="1"/>
  <c r="D107" i="26" l="1"/>
  <c r="C108" i="26"/>
  <c r="D108" i="34"/>
  <c r="C109" i="34"/>
  <c r="D107" i="1"/>
  <c r="C108" i="1"/>
  <c r="C166" i="26"/>
  <c r="D165" i="26"/>
  <c r="D166" i="1"/>
  <c r="C167" i="1"/>
  <c r="C168" i="34"/>
  <c r="D167" i="34"/>
  <c r="D108" i="26" l="1"/>
  <c r="C109" i="26"/>
  <c r="D109" i="34"/>
  <c r="C110" i="34"/>
  <c r="D108" i="1"/>
  <c r="C109" i="1"/>
  <c r="D166" i="26"/>
  <c r="C167" i="26"/>
  <c r="C168" i="1"/>
  <c r="D167" i="1"/>
  <c r="C169" i="34"/>
  <c r="D168" i="34"/>
  <c r="D109" i="26" l="1"/>
  <c r="C110" i="26"/>
  <c r="D110" i="34"/>
  <c r="C111" i="34"/>
  <c r="D109" i="1"/>
  <c r="C110" i="1"/>
  <c r="D167" i="26"/>
  <c r="C168" i="26"/>
  <c r="D168" i="1"/>
  <c r="C169" i="1"/>
  <c r="C170" i="34"/>
  <c r="D169" i="34"/>
  <c r="D110" i="26" l="1"/>
  <c r="C111" i="26"/>
  <c r="C112" i="34"/>
  <c r="D111" i="34"/>
  <c r="D168" i="26"/>
  <c r="C169" i="26"/>
  <c r="C111" i="1"/>
  <c r="D110" i="1"/>
  <c r="D169" i="1"/>
  <c r="C170" i="1"/>
  <c r="C171" i="34"/>
  <c r="D170" i="34"/>
  <c r="C112" i="26" l="1"/>
  <c r="D111" i="26"/>
  <c r="D112" i="34"/>
  <c r="C113" i="34"/>
  <c r="C170" i="26"/>
  <c r="D169" i="26"/>
  <c r="C112" i="1"/>
  <c r="D111" i="1"/>
  <c r="C172" i="34"/>
  <c r="D171" i="34"/>
  <c r="D170" i="1"/>
  <c r="C171" i="1"/>
  <c r="D112" i="26" l="1"/>
  <c r="C113" i="26"/>
  <c r="D113" i="34"/>
  <c r="C114" i="34"/>
  <c r="D170" i="26"/>
  <c r="C171" i="26"/>
  <c r="D112" i="1"/>
  <c r="C113" i="1"/>
  <c r="C172" i="1"/>
  <c r="D171" i="1"/>
  <c r="C173" i="34"/>
  <c r="D172" i="34"/>
  <c r="C114" i="26" l="1"/>
  <c r="D113" i="26"/>
  <c r="C115" i="34"/>
  <c r="D114" i="34"/>
  <c r="C114" i="1"/>
  <c r="D113" i="1"/>
  <c r="C172" i="26"/>
  <c r="D171" i="26"/>
  <c r="D173" i="34"/>
  <c r="C174" i="34"/>
  <c r="F28" i="33"/>
  <c r="J34" i="33"/>
  <c r="H29" i="33"/>
  <c r="D35" i="33"/>
  <c r="E31" i="33"/>
  <c r="I29" i="33"/>
  <c r="E27" i="33"/>
  <c r="I27" i="33"/>
  <c r="D29" i="33"/>
  <c r="I34" i="33"/>
  <c r="G35" i="33"/>
  <c r="I37" i="33"/>
  <c r="E32" i="33"/>
  <c r="H33" i="33"/>
  <c r="F31" i="33"/>
  <c r="I31" i="33"/>
  <c r="J35" i="33"/>
  <c r="J37" i="33"/>
  <c r="E38" i="33"/>
  <c r="D33" i="33"/>
  <c r="I36" i="33"/>
  <c r="I30" i="33"/>
  <c r="H35" i="33"/>
  <c r="J33" i="33"/>
  <c r="D37" i="33"/>
  <c r="E29" i="33"/>
  <c r="J28" i="33"/>
  <c r="F35" i="33"/>
  <c r="E35" i="33"/>
  <c r="G36" i="33"/>
  <c r="E36" i="33"/>
  <c r="E37" i="33"/>
  <c r="H37" i="33"/>
  <c r="I33" i="33"/>
  <c r="F36" i="33"/>
  <c r="E33" i="33"/>
  <c r="J29" i="33"/>
  <c r="H30" i="33"/>
  <c r="D28" i="33"/>
  <c r="H34" i="33"/>
  <c r="G34" i="33"/>
  <c r="J30" i="33"/>
  <c r="D31" i="33"/>
  <c r="G29" i="33"/>
  <c r="G37" i="33"/>
  <c r="H28" i="33"/>
  <c r="H36" i="33"/>
  <c r="I28" i="33"/>
  <c r="F29" i="33"/>
  <c r="D36" i="33"/>
  <c r="D32" i="33"/>
  <c r="F32" i="33"/>
  <c r="E34" i="33"/>
  <c r="D38" i="33"/>
  <c r="F33" i="33"/>
  <c r="I35" i="33"/>
  <c r="F30" i="33"/>
  <c r="J32" i="33"/>
  <c r="G32" i="33"/>
  <c r="G31" i="33"/>
  <c r="H31" i="33"/>
  <c r="J36" i="33"/>
  <c r="G28" i="33"/>
  <c r="G33" i="33"/>
  <c r="G38" i="33"/>
  <c r="J38" i="33"/>
  <c r="E30" i="33"/>
  <c r="D34" i="33"/>
  <c r="H32" i="33"/>
  <c r="G30" i="33"/>
  <c r="I38" i="33"/>
  <c r="F34" i="33"/>
  <c r="H38" i="33"/>
  <c r="J31" i="33"/>
  <c r="F37" i="33"/>
  <c r="D30" i="33"/>
  <c r="F38" i="33"/>
  <c r="I32" i="33"/>
  <c r="E28" i="33"/>
  <c r="D172" i="1"/>
  <c r="C173" i="1"/>
  <c r="D114" i="26" l="1"/>
  <c r="C115" i="26"/>
  <c r="E39" i="33"/>
  <c r="C116" i="34"/>
  <c r="D115" i="34"/>
  <c r="D39" i="33" s="1"/>
  <c r="G39" i="33"/>
  <c r="F39" i="33"/>
  <c r="D172" i="26"/>
  <c r="C173" i="26"/>
  <c r="C115" i="1"/>
  <c r="D114" i="1"/>
  <c r="D174" i="34"/>
  <c r="C175" i="34"/>
  <c r="D173" i="1"/>
  <c r="C174" i="1"/>
  <c r="J39" i="33" l="1"/>
  <c r="D115" i="26"/>
  <c r="C116" i="26"/>
  <c r="I39" i="33"/>
  <c r="H39" i="33"/>
  <c r="D116" i="34"/>
  <c r="H40" i="33" s="1"/>
  <c r="C117" i="34"/>
  <c r="C174" i="26"/>
  <c r="D173" i="26"/>
  <c r="C116" i="1"/>
  <c r="D115" i="1"/>
  <c r="D174" i="1"/>
  <c r="C175" i="1"/>
  <c r="D175" i="34"/>
  <c r="C176" i="34"/>
  <c r="I40" i="33" l="1"/>
  <c r="D116" i="26"/>
  <c r="C117" i="26"/>
  <c r="D40" i="33"/>
  <c r="D117" i="34"/>
  <c r="C118" i="34"/>
  <c r="G40" i="33"/>
  <c r="F40" i="33"/>
  <c r="J40" i="33"/>
  <c r="E40" i="33"/>
  <c r="D116" i="1"/>
  <c r="C117" i="1"/>
  <c r="D174" i="26"/>
  <c r="C175" i="26"/>
  <c r="D176" i="34"/>
  <c r="C177" i="34"/>
  <c r="D175" i="1"/>
  <c r="C176" i="1"/>
  <c r="D117" i="26" l="1"/>
  <c r="C118" i="26"/>
  <c r="D118" i="34"/>
  <c r="F41" i="33" s="1"/>
  <c r="C119" i="34"/>
  <c r="C118" i="1"/>
  <c r="D117" i="1"/>
  <c r="C176" i="26"/>
  <c r="D175" i="26"/>
  <c r="D177" i="34"/>
  <c r="C178" i="34"/>
  <c r="D176" i="1"/>
  <c r="C177" i="1"/>
  <c r="C119" i="26" l="1"/>
  <c r="D118" i="26"/>
  <c r="J41" i="33"/>
  <c r="H41" i="33"/>
  <c r="G41" i="33"/>
  <c r="C120" i="34"/>
  <c r="D119" i="34"/>
  <c r="I42" i="33" s="1"/>
  <c r="E41" i="33"/>
  <c r="D41" i="33"/>
  <c r="I41" i="33"/>
  <c r="D176" i="26"/>
  <c r="C177" i="26"/>
  <c r="D118" i="1"/>
  <c r="C119" i="1"/>
  <c r="D177" i="1"/>
  <c r="C178" i="1"/>
  <c r="C179" i="34"/>
  <c r="D178" i="34"/>
  <c r="D119" i="26" l="1"/>
  <c r="C120" i="26"/>
  <c r="H42" i="33"/>
  <c r="G42" i="33"/>
  <c r="E42" i="33"/>
  <c r="J42" i="33"/>
  <c r="F42" i="33"/>
  <c r="D120" i="34"/>
  <c r="C121" i="34"/>
  <c r="D42" i="33"/>
  <c r="D177" i="26"/>
  <c r="C178" i="26"/>
  <c r="D119" i="1"/>
  <c r="J42" i="15" s="1"/>
  <c r="C120" i="1"/>
  <c r="D178" i="1"/>
  <c r="C179" i="1"/>
  <c r="D27" i="15"/>
  <c r="I35" i="15"/>
  <c r="G28" i="15"/>
  <c r="J30" i="15"/>
  <c r="D40" i="15"/>
  <c r="I38" i="15"/>
  <c r="E29" i="15"/>
  <c r="G24" i="15"/>
  <c r="J41" i="15"/>
  <c r="D25" i="15"/>
  <c r="H38" i="15"/>
  <c r="F36" i="15"/>
  <c r="J33" i="15"/>
  <c r="J35" i="15"/>
  <c r="F35" i="15"/>
  <c r="I26" i="15"/>
  <c r="H39" i="15"/>
  <c r="J27" i="15"/>
  <c r="F25" i="15"/>
  <c r="I39" i="15"/>
  <c r="H24" i="15"/>
  <c r="J36" i="15"/>
  <c r="G25" i="15"/>
  <c r="E40" i="15"/>
  <c r="D39" i="15"/>
  <c r="E36" i="15"/>
  <c r="E25" i="15"/>
  <c r="E33" i="15"/>
  <c r="E27" i="15"/>
  <c r="I27" i="15"/>
  <c r="E35" i="15"/>
  <c r="F37" i="15"/>
  <c r="I41" i="15"/>
  <c r="J39" i="15"/>
  <c r="J29" i="15"/>
  <c r="G31" i="15"/>
  <c r="I37" i="15"/>
  <c r="I29" i="15"/>
  <c r="F29" i="15"/>
  <c r="E37" i="15"/>
  <c r="G35" i="15"/>
  <c r="I25" i="15"/>
  <c r="D30" i="15"/>
  <c r="F41" i="15"/>
  <c r="H27" i="15"/>
  <c r="F34" i="15"/>
  <c r="J28" i="15"/>
  <c r="J34" i="15"/>
  <c r="E31" i="15"/>
  <c r="E26" i="15"/>
  <c r="D29" i="15"/>
  <c r="J26" i="15"/>
  <c r="I28" i="15"/>
  <c r="F38" i="15"/>
  <c r="I32" i="15"/>
  <c r="D32" i="15"/>
  <c r="E41" i="15"/>
  <c r="J31" i="15"/>
  <c r="H31" i="15"/>
  <c r="I34" i="15"/>
  <c r="F28" i="15"/>
  <c r="G33" i="15"/>
  <c r="I30" i="15"/>
  <c r="I36" i="15"/>
  <c r="F31" i="15"/>
  <c r="E42" i="15"/>
  <c r="D35" i="15"/>
  <c r="D24" i="15"/>
  <c r="J40" i="15"/>
  <c r="G26" i="15"/>
  <c r="D33" i="15"/>
  <c r="D28" i="15"/>
  <c r="H29" i="15"/>
  <c r="E32" i="15"/>
  <c r="E39" i="15"/>
  <c r="F40" i="15"/>
  <c r="G41" i="15"/>
  <c r="H28" i="15"/>
  <c r="J38" i="15"/>
  <c r="E30" i="15"/>
  <c r="H37" i="15"/>
  <c r="G39" i="15"/>
  <c r="F26" i="15"/>
  <c r="E34" i="15"/>
  <c r="J32" i="15"/>
  <c r="H26" i="15"/>
  <c r="D34" i="15"/>
  <c r="D37" i="15"/>
  <c r="F39" i="15"/>
  <c r="J25" i="15"/>
  <c r="G32" i="15"/>
  <c r="G34" i="15"/>
  <c r="H36" i="15"/>
  <c r="G29" i="15"/>
  <c r="D26" i="15"/>
  <c r="I31" i="15"/>
  <c r="I33" i="15"/>
  <c r="J37" i="15"/>
  <c r="H30" i="15"/>
  <c r="J24" i="15"/>
  <c r="H33" i="15"/>
  <c r="F24" i="15"/>
  <c r="F27" i="15"/>
  <c r="D36" i="15"/>
  <c r="E28" i="15"/>
  <c r="H41" i="15"/>
  <c r="G27" i="15"/>
  <c r="E24" i="15"/>
  <c r="F30" i="15"/>
  <c r="D31" i="15"/>
  <c r="G38" i="15"/>
  <c r="G40" i="15"/>
  <c r="G37" i="15"/>
  <c r="D41" i="15"/>
  <c r="G30" i="15"/>
  <c r="H25" i="15"/>
  <c r="H34" i="15"/>
  <c r="F32" i="15"/>
  <c r="H32" i="15"/>
  <c r="I24" i="15"/>
  <c r="F33" i="15"/>
  <c r="G36" i="15"/>
  <c r="H40" i="15"/>
  <c r="H35" i="15"/>
  <c r="D38" i="15"/>
  <c r="E38" i="15"/>
  <c r="I40" i="15"/>
  <c r="C180" i="34"/>
  <c r="D180" i="34" s="1"/>
  <c r="D179" i="34"/>
  <c r="D120" i="26" l="1"/>
  <c r="C121" i="26"/>
  <c r="F42" i="15"/>
  <c r="G42" i="15"/>
  <c r="D42" i="15"/>
  <c r="H42" i="15"/>
  <c r="I42" i="15"/>
  <c r="D121" i="34"/>
  <c r="J60" i="33" s="1"/>
  <c r="C122" i="34"/>
  <c r="D122" i="34" s="1"/>
  <c r="D120" i="1"/>
  <c r="C121" i="1"/>
  <c r="D178" i="26"/>
  <c r="C179" i="26"/>
  <c r="D179" i="1"/>
  <c r="C180" i="1"/>
  <c r="D180" i="1" s="1"/>
  <c r="P39" i="33"/>
  <c r="S65" i="33"/>
  <c r="P46" i="33"/>
  <c r="L64" i="33"/>
  <c r="R27" i="33"/>
  <c r="S28" i="33"/>
  <c r="M35" i="33"/>
  <c r="L41" i="33"/>
  <c r="P68" i="33"/>
  <c r="N58" i="33"/>
  <c r="N59" i="33"/>
  <c r="L48" i="33"/>
  <c r="L51" i="33"/>
  <c r="M67" i="33"/>
  <c r="N31" i="33"/>
  <c r="L67" i="33"/>
  <c r="M62" i="33"/>
  <c r="O49" i="33"/>
  <c r="M25" i="33"/>
  <c r="O34" i="33"/>
  <c r="O16" i="33"/>
  <c r="R49" i="33"/>
  <c r="R59" i="33"/>
  <c r="P32" i="33"/>
  <c r="L32" i="33"/>
  <c r="O37" i="33"/>
  <c r="M56" i="33"/>
  <c r="P49" i="33"/>
  <c r="Q56" i="33"/>
  <c r="P19" i="33"/>
  <c r="O52" i="33"/>
  <c r="Q64" i="33"/>
  <c r="N67" i="33"/>
  <c r="R61" i="33"/>
  <c r="Q43" i="33"/>
  <c r="S63" i="33"/>
  <c r="N45" i="33"/>
  <c r="P25" i="33"/>
  <c r="N64" i="33"/>
  <c r="M32" i="33"/>
  <c r="L28" i="33"/>
  <c r="R63" i="33"/>
  <c r="O23" i="33"/>
  <c r="M51" i="33"/>
  <c r="Q68" i="33"/>
  <c r="R69" i="33"/>
  <c r="P33" i="33"/>
  <c r="S53" i="33"/>
  <c r="N24" i="33"/>
  <c r="R51" i="33"/>
  <c r="L40" i="33"/>
  <c r="O29" i="33"/>
  <c r="L39" i="33"/>
  <c r="S39" i="33"/>
  <c r="O69" i="33"/>
  <c r="M55" i="33"/>
  <c r="N54" i="33"/>
  <c r="O36" i="33"/>
  <c r="N65" i="33"/>
  <c r="Q28" i="33"/>
  <c r="Q29" i="33"/>
  <c r="O35" i="33"/>
  <c r="O53" i="33"/>
  <c r="R41" i="33"/>
  <c r="R48" i="33"/>
  <c r="L68" i="33"/>
  <c r="O32" i="33"/>
  <c r="Q61" i="33"/>
  <c r="P59" i="33"/>
  <c r="N52" i="33"/>
  <c r="L65" i="33"/>
  <c r="S40" i="33"/>
  <c r="N29" i="33"/>
  <c r="R54" i="33"/>
  <c r="N68" i="33"/>
  <c r="Q16" i="33"/>
  <c r="P55" i="33"/>
  <c r="Q32" i="33"/>
  <c r="S60" i="33"/>
  <c r="R42" i="33"/>
  <c r="L44" i="33"/>
  <c r="L56" i="33"/>
  <c r="M19" i="33"/>
  <c r="R40" i="33"/>
  <c r="L21" i="33"/>
  <c r="P35" i="33"/>
  <c r="R18" i="33"/>
  <c r="O50" i="33"/>
  <c r="L37" i="33"/>
  <c r="P31" i="33"/>
  <c r="Q51" i="33"/>
  <c r="L46" i="33"/>
  <c r="M21" i="33"/>
  <c r="O46" i="33"/>
  <c r="M63" i="33"/>
  <c r="M57" i="33"/>
  <c r="Q17" i="33"/>
  <c r="O54" i="33"/>
  <c r="M31" i="33"/>
  <c r="Q34" i="33"/>
  <c r="S36" i="33"/>
  <c r="S64" i="33"/>
  <c r="S62" i="33"/>
  <c r="L29" i="33"/>
  <c r="R52" i="33"/>
  <c r="L63" i="33"/>
  <c r="S17" i="33"/>
  <c r="M40" i="33"/>
  <c r="R57" i="33"/>
  <c r="N62" i="33"/>
  <c r="M69" i="33"/>
  <c r="S47" i="33"/>
  <c r="R32" i="33"/>
  <c r="S61" i="33"/>
  <c r="R55" i="33"/>
  <c r="R64" i="33"/>
  <c r="Q22" i="33"/>
  <c r="Q38" i="33"/>
  <c r="P60" i="33"/>
  <c r="N33" i="33"/>
  <c r="S23" i="33"/>
  <c r="L35" i="33"/>
  <c r="N55" i="33"/>
  <c r="M37" i="33"/>
  <c r="O41" i="33"/>
  <c r="O22" i="33"/>
  <c r="S16" i="33"/>
  <c r="O27" i="33"/>
  <c r="R22" i="33"/>
  <c r="N63" i="33"/>
  <c r="P38" i="33"/>
  <c r="L66" i="33"/>
  <c r="Q21" i="33"/>
  <c r="M44" i="33"/>
  <c r="M58" i="33"/>
  <c r="S58" i="33"/>
  <c r="P65" i="33"/>
  <c r="S50" i="33"/>
  <c r="Q24" i="33"/>
  <c r="R20" i="33"/>
  <c r="P18" i="33"/>
  <c r="P47" i="33"/>
  <c r="L26" i="33"/>
  <c r="Q65" i="33"/>
  <c r="N60" i="33"/>
  <c r="N21" i="33"/>
  <c r="L62" i="33"/>
  <c r="M28" i="33"/>
  <c r="P48" i="33"/>
  <c r="N25" i="33"/>
  <c r="R68" i="33"/>
  <c r="P51" i="33"/>
  <c r="R31" i="33"/>
  <c r="Q36" i="33"/>
  <c r="M68" i="33"/>
  <c r="P64" i="33"/>
  <c r="R38" i="33"/>
  <c r="R30" i="33"/>
  <c r="S51" i="33"/>
  <c r="L18" i="33"/>
  <c r="R21" i="33"/>
  <c r="Q57" i="33"/>
  <c r="M33" i="33"/>
  <c r="N50" i="33"/>
  <c r="P36" i="33"/>
  <c r="L17" i="33"/>
  <c r="P66" i="33"/>
  <c r="P61" i="33"/>
  <c r="Q33" i="33"/>
  <c r="N19" i="33"/>
  <c r="S31" i="33"/>
  <c r="R53" i="33"/>
  <c r="M43" i="33"/>
  <c r="L27" i="33"/>
  <c r="R17" i="33"/>
  <c r="S43" i="33"/>
  <c r="N53" i="33"/>
  <c r="S34" i="33"/>
  <c r="S69" i="33"/>
  <c r="R29" i="33"/>
  <c r="S46" i="33"/>
  <c r="N41" i="33"/>
  <c r="M65" i="33"/>
  <c r="N42" i="33"/>
  <c r="Q59" i="33"/>
  <c r="O31" i="33"/>
  <c r="Q23" i="33"/>
  <c r="S67" i="33"/>
  <c r="L16" i="33"/>
  <c r="M26" i="33"/>
  <c r="M53" i="33"/>
  <c r="Q45" i="33"/>
  <c r="M59" i="33"/>
  <c r="N23" i="33"/>
  <c r="M45" i="33"/>
  <c r="L34" i="33"/>
  <c r="P30" i="33"/>
  <c r="S45" i="33"/>
  <c r="Q69" i="33"/>
  <c r="N26" i="33"/>
  <c r="M24" i="33"/>
  <c r="Q20" i="33"/>
  <c r="L52" i="33"/>
  <c r="P52" i="33"/>
  <c r="Q44" i="33"/>
  <c r="P37" i="33"/>
  <c r="O43" i="33"/>
  <c r="S33" i="33"/>
  <c r="N17" i="33"/>
  <c r="N38" i="33"/>
  <c r="Q42" i="33"/>
  <c r="R43" i="33"/>
  <c r="R16" i="33"/>
  <c r="P67" i="33"/>
  <c r="O58" i="33"/>
  <c r="O62" i="33"/>
  <c r="N36" i="33"/>
  <c r="S56" i="33"/>
  <c r="P26" i="33"/>
  <c r="R67" i="33"/>
  <c r="P50" i="33"/>
  <c r="Q31" i="33"/>
  <c r="N27" i="33"/>
  <c r="N47" i="33"/>
  <c r="S52" i="33"/>
  <c r="O61" i="33"/>
  <c r="N61" i="33"/>
  <c r="M64" i="33"/>
  <c r="O47" i="33"/>
  <c r="S27" i="33"/>
  <c r="L54" i="33"/>
  <c r="R65" i="33"/>
  <c r="Q39" i="33"/>
  <c r="N16" i="33"/>
  <c r="P24" i="33"/>
  <c r="L43" i="33"/>
  <c r="M47" i="33"/>
  <c r="O25" i="33"/>
  <c r="M18" i="33"/>
  <c r="P44" i="33"/>
  <c r="Q49" i="33"/>
  <c r="L25" i="33"/>
  <c r="L59" i="33"/>
  <c r="O20" i="33"/>
  <c r="P54" i="33"/>
  <c r="O21" i="33"/>
  <c r="S68" i="33"/>
  <c r="L33" i="33"/>
  <c r="O45" i="33"/>
  <c r="Q62" i="33"/>
  <c r="M48" i="33"/>
  <c r="P20" i="33"/>
  <c r="R60" i="33"/>
  <c r="P43" i="33"/>
  <c r="L19" i="33"/>
  <c r="S22" i="33"/>
  <c r="N43" i="33"/>
  <c r="P27" i="33"/>
  <c r="S48" i="33"/>
  <c r="S18" i="33"/>
  <c r="R33" i="33"/>
  <c r="Q63" i="33"/>
  <c r="R23" i="33"/>
  <c r="P42" i="33"/>
  <c r="Q58" i="33"/>
  <c r="L58" i="33"/>
  <c r="P17" i="33"/>
  <c r="N18" i="33"/>
  <c r="O24" i="33"/>
  <c r="O64" i="33"/>
  <c r="L38" i="33"/>
  <c r="O67" i="33"/>
  <c r="Q60" i="33"/>
  <c r="L23" i="33"/>
  <c r="L45" i="33"/>
  <c r="N22" i="33"/>
  <c r="R46" i="33"/>
  <c r="O56" i="33"/>
  <c r="S54" i="33"/>
  <c r="S42" i="33"/>
  <c r="Q30" i="33"/>
  <c r="L53" i="33"/>
  <c r="O66" i="33"/>
  <c r="P69" i="33"/>
  <c r="N20" i="33"/>
  <c r="R28" i="33"/>
  <c r="Q25" i="33"/>
  <c r="O38" i="33"/>
  <c r="S49" i="33"/>
  <c r="Q67" i="33"/>
  <c r="O65" i="33"/>
  <c r="L20" i="33"/>
  <c r="M54" i="33"/>
  <c r="Q37" i="33"/>
  <c r="S29" i="33"/>
  <c r="O28" i="33"/>
  <c r="S44" i="33"/>
  <c r="N69" i="33"/>
  <c r="R58" i="33"/>
  <c r="O59" i="33"/>
  <c r="O63" i="33"/>
  <c r="N28" i="33"/>
  <c r="S24" i="33"/>
  <c r="Q55" i="33"/>
  <c r="Q50" i="33"/>
  <c r="P22" i="33"/>
  <c r="O42" i="33"/>
  <c r="L24" i="33"/>
  <c r="O18" i="33"/>
  <c r="S55" i="33"/>
  <c r="S41" i="33"/>
  <c r="N34" i="33"/>
  <c r="N56" i="33"/>
  <c r="N44" i="33"/>
  <c r="M42" i="33"/>
  <c r="M30" i="33"/>
  <c r="S30" i="33"/>
  <c r="R26" i="33"/>
  <c r="P58" i="33"/>
  <c r="N46" i="33"/>
  <c r="P62" i="33"/>
  <c r="P16" i="33"/>
  <c r="M46" i="33"/>
  <c r="L49" i="33"/>
  <c r="Q48" i="33"/>
  <c r="M22" i="33"/>
  <c r="R44" i="33"/>
  <c r="O68" i="33"/>
  <c r="O26" i="33"/>
  <c r="P23" i="33"/>
  <c r="Q40" i="33"/>
  <c r="P21" i="33"/>
  <c r="O17" i="33"/>
  <c r="L61" i="33"/>
  <c r="S59" i="33"/>
  <c r="P28" i="33"/>
  <c r="L57" i="33"/>
  <c r="M49" i="33"/>
  <c r="N37" i="33"/>
  <c r="P34" i="33"/>
  <c r="Q19" i="33"/>
  <c r="O60" i="33"/>
  <c r="L60" i="33"/>
  <c r="L50" i="33"/>
  <c r="Q41" i="33"/>
  <c r="M39" i="33"/>
  <c r="P63" i="33"/>
  <c r="S32" i="33"/>
  <c r="N49" i="33"/>
  <c r="R66" i="33"/>
  <c r="O30" i="33"/>
  <c r="R25" i="33"/>
  <c r="Q26" i="33"/>
  <c r="R37" i="33"/>
  <c r="M17" i="33"/>
  <c r="R47" i="33"/>
  <c r="Q66" i="33"/>
  <c r="M66" i="33"/>
  <c r="S25" i="33"/>
  <c r="L42" i="33"/>
  <c r="N30" i="33"/>
  <c r="N40" i="33"/>
  <c r="S20" i="33"/>
  <c r="P29" i="33"/>
  <c r="S66" i="33"/>
  <c r="R36" i="33"/>
  <c r="P40" i="33"/>
  <c r="Q35" i="33"/>
  <c r="O33" i="33"/>
  <c r="R35" i="33"/>
  <c r="R45" i="33"/>
  <c r="L31" i="33"/>
  <c r="P57" i="33"/>
  <c r="R19" i="33"/>
  <c r="Q46" i="33"/>
  <c r="S57" i="33"/>
  <c r="Q47" i="33"/>
  <c r="M23" i="33"/>
  <c r="L69" i="33"/>
  <c r="L36" i="33"/>
  <c r="N51" i="33"/>
  <c r="O57" i="33"/>
  <c r="M38" i="33"/>
  <c r="L47" i="33"/>
  <c r="L22" i="33"/>
  <c r="S26" i="33"/>
  <c r="N35" i="33"/>
  <c r="N57" i="33"/>
  <c r="N32" i="33"/>
  <c r="R50" i="33"/>
  <c r="O19" i="33"/>
  <c r="Q54" i="33"/>
  <c r="N48" i="33"/>
  <c r="O39" i="33"/>
  <c r="N39" i="33"/>
  <c r="M61" i="33"/>
  <c r="L55" i="33"/>
  <c r="R34" i="33"/>
  <c r="Q18" i="33"/>
  <c r="M41" i="33"/>
  <c r="R62" i="33"/>
  <c r="S19" i="33"/>
  <c r="R39" i="33"/>
  <c r="M20" i="33"/>
  <c r="O51" i="33"/>
  <c r="M16" i="33"/>
  <c r="N66" i="33"/>
  <c r="O44" i="33"/>
  <c r="P53" i="33"/>
  <c r="M50" i="33"/>
  <c r="P56" i="33"/>
  <c r="L30" i="33"/>
  <c r="S21" i="33"/>
  <c r="R56" i="33"/>
  <c r="O40" i="33"/>
  <c r="S35" i="33"/>
  <c r="Q53" i="33"/>
  <c r="O55" i="33"/>
  <c r="S37" i="33"/>
  <c r="M36" i="33"/>
  <c r="Q27" i="33"/>
  <c r="S38" i="33"/>
  <c r="O48" i="33"/>
  <c r="Q52" i="33"/>
  <c r="R24" i="33"/>
  <c r="M29" i="33"/>
  <c r="P41" i="33"/>
  <c r="M60" i="33"/>
  <c r="P45" i="33"/>
  <c r="M27" i="33"/>
  <c r="M52" i="33"/>
  <c r="M34" i="33"/>
  <c r="I27" i="25"/>
  <c r="I29" i="25"/>
  <c r="G33" i="25"/>
  <c r="E24" i="25"/>
  <c r="I35" i="25"/>
  <c r="F36" i="25"/>
  <c r="F24" i="25"/>
  <c r="I40" i="25"/>
  <c r="H41" i="25"/>
  <c r="F33" i="25"/>
  <c r="I25" i="25"/>
  <c r="G40" i="25"/>
  <c r="E26" i="25"/>
  <c r="J23" i="25"/>
  <c r="J36" i="25"/>
  <c r="I30" i="25"/>
  <c r="H35" i="25"/>
  <c r="J42" i="25"/>
  <c r="H38" i="25"/>
  <c r="G41" i="25"/>
  <c r="F27" i="25"/>
  <c r="F40" i="25"/>
  <c r="I34" i="25"/>
  <c r="J26" i="25"/>
  <c r="D22" i="25"/>
  <c r="F28" i="25"/>
  <c r="J40" i="25"/>
  <c r="J25" i="25"/>
  <c r="H29" i="25"/>
  <c r="D37" i="25"/>
  <c r="D24" i="25"/>
  <c r="D36" i="25"/>
  <c r="G35" i="25"/>
  <c r="E31" i="25"/>
  <c r="J39" i="25"/>
  <c r="E23" i="25"/>
  <c r="J29" i="25"/>
  <c r="F41" i="25"/>
  <c r="I28" i="25"/>
  <c r="G30" i="25"/>
  <c r="G27" i="25"/>
  <c r="F31" i="25"/>
  <c r="H22" i="25"/>
  <c r="D33" i="25"/>
  <c r="D41" i="25"/>
  <c r="I32" i="25"/>
  <c r="J32" i="25"/>
  <c r="J41" i="25"/>
  <c r="I24" i="25"/>
  <c r="D30" i="25"/>
  <c r="H33" i="25"/>
  <c r="E36" i="25"/>
  <c r="D39" i="25"/>
  <c r="E42" i="25"/>
  <c r="D26" i="25"/>
  <c r="I37" i="25"/>
  <c r="E27" i="25"/>
  <c r="E33" i="25"/>
  <c r="J24" i="25"/>
  <c r="D40" i="25"/>
  <c r="F23" i="25"/>
  <c r="J37" i="25"/>
  <c r="F29" i="25"/>
  <c r="G24" i="25"/>
  <c r="I33" i="25"/>
  <c r="G25" i="25"/>
  <c r="D38" i="25"/>
  <c r="E29" i="25"/>
  <c r="E35" i="25"/>
  <c r="H42" i="25"/>
  <c r="H37" i="25"/>
  <c r="G28" i="25"/>
  <c r="E38" i="25"/>
  <c r="H34" i="25"/>
  <c r="F35" i="25"/>
  <c r="I42" i="25"/>
  <c r="H39" i="25"/>
  <c r="G39" i="25"/>
  <c r="G36" i="25"/>
  <c r="D23" i="25"/>
  <c r="J30" i="25"/>
  <c r="J27" i="25"/>
  <c r="F26" i="25"/>
  <c r="D29" i="25"/>
  <c r="H26" i="25"/>
  <c r="H27" i="25"/>
  <c r="D25" i="25"/>
  <c r="H24" i="25"/>
  <c r="F38" i="25"/>
  <c r="D27" i="25"/>
  <c r="G38" i="25"/>
  <c r="D32" i="25"/>
  <c r="F37" i="25"/>
  <c r="H31" i="25"/>
  <c r="H36" i="25"/>
  <c r="I41" i="25"/>
  <c r="D35" i="25"/>
  <c r="H32" i="25"/>
  <c r="D42" i="25"/>
  <c r="G26" i="25"/>
  <c r="J35" i="25"/>
  <c r="J28" i="25"/>
  <c r="D31" i="25"/>
  <c r="E40" i="25"/>
  <c r="E34" i="25"/>
  <c r="G37" i="25"/>
  <c r="I36" i="25"/>
  <c r="F42" i="25"/>
  <c r="F39" i="25"/>
  <c r="F30" i="25"/>
  <c r="H28" i="25"/>
  <c r="F25" i="25"/>
  <c r="E37" i="25"/>
  <c r="G29" i="25"/>
  <c r="J34" i="25"/>
  <c r="I38" i="25"/>
  <c r="J31" i="25"/>
  <c r="I31" i="25"/>
  <c r="E32" i="25"/>
  <c r="J38" i="25"/>
  <c r="G32" i="25"/>
  <c r="G34" i="25"/>
  <c r="D34" i="25"/>
  <c r="E30" i="25"/>
  <c r="H40" i="25"/>
  <c r="E28" i="25"/>
  <c r="I39" i="25"/>
  <c r="H30" i="25"/>
  <c r="E39" i="25"/>
  <c r="E41" i="25"/>
  <c r="D28" i="25"/>
  <c r="H25" i="25"/>
  <c r="F34" i="25"/>
  <c r="I26" i="25"/>
  <c r="G31" i="25"/>
  <c r="F32" i="25"/>
  <c r="G42" i="25"/>
  <c r="J33" i="25"/>
  <c r="E25" i="25"/>
  <c r="J69" i="33" l="1"/>
  <c r="G43" i="33"/>
  <c r="E54" i="33"/>
  <c r="G44" i="33"/>
  <c r="G54" i="33"/>
  <c r="C122" i="26"/>
  <c r="D122" i="26" s="1"/>
  <c r="D121" i="26"/>
  <c r="G55" i="33"/>
  <c r="I63" i="33"/>
  <c r="I48" i="33"/>
  <c r="H44" i="33"/>
  <c r="D55" i="33"/>
  <c r="F67" i="33"/>
  <c r="D62" i="33"/>
  <c r="H52" i="33"/>
  <c r="F55" i="33"/>
  <c r="E46" i="33"/>
  <c r="G66" i="33"/>
  <c r="I57" i="33"/>
  <c r="E43" i="33"/>
  <c r="J63" i="33"/>
  <c r="G59" i="33"/>
  <c r="G56" i="33"/>
  <c r="E55" i="33"/>
  <c r="J49" i="33"/>
  <c r="J61" i="33"/>
  <c r="J48" i="33"/>
  <c r="F60" i="33"/>
  <c r="H67" i="33"/>
  <c r="E60" i="33"/>
  <c r="G67" i="33"/>
  <c r="G52" i="33"/>
  <c r="E50" i="33"/>
  <c r="F68" i="33"/>
  <c r="G57" i="33"/>
  <c r="F57" i="33"/>
  <c r="F44" i="33"/>
  <c r="J65" i="33"/>
  <c r="I67" i="33"/>
  <c r="E58" i="33"/>
  <c r="E44" i="33"/>
  <c r="G62" i="33"/>
  <c r="H66" i="33"/>
  <c r="D58" i="33"/>
  <c r="H49" i="33"/>
  <c r="I52" i="33"/>
  <c r="G46" i="33"/>
  <c r="E47" i="33"/>
  <c r="J44" i="33"/>
  <c r="I47" i="33"/>
  <c r="H43" i="33"/>
  <c r="J66" i="33"/>
  <c r="I44" i="33"/>
  <c r="I45" i="33"/>
  <c r="D50" i="33"/>
  <c r="F47" i="33"/>
  <c r="F65" i="33"/>
  <c r="G47" i="33"/>
  <c r="D67" i="33"/>
  <c r="I50" i="33"/>
  <c r="I62" i="33"/>
  <c r="F61" i="33"/>
  <c r="G64" i="33"/>
  <c r="F59" i="33"/>
  <c r="H64" i="33"/>
  <c r="E69" i="33"/>
  <c r="H53" i="33"/>
  <c r="I55" i="33"/>
  <c r="I69" i="33"/>
  <c r="H50" i="33"/>
  <c r="I66" i="33"/>
  <c r="F52" i="33"/>
  <c r="H60" i="33"/>
  <c r="E59" i="33"/>
  <c r="G68" i="33"/>
  <c r="E68" i="33"/>
  <c r="H47" i="33"/>
  <c r="F63" i="33"/>
  <c r="D54" i="33"/>
  <c r="G63" i="33"/>
  <c r="I58" i="33"/>
  <c r="E53" i="33"/>
  <c r="E45" i="33"/>
  <c r="G45" i="33"/>
  <c r="G69" i="33"/>
  <c r="F53" i="33"/>
  <c r="G58" i="33"/>
  <c r="F46" i="33"/>
  <c r="F62" i="33"/>
  <c r="D49" i="33"/>
  <c r="G48" i="33"/>
  <c r="F48" i="33"/>
  <c r="F51" i="33"/>
  <c r="D53" i="33"/>
  <c r="H59" i="33"/>
  <c r="I56" i="33"/>
  <c r="I65" i="33"/>
  <c r="J47" i="33"/>
  <c r="H55" i="33"/>
  <c r="H57" i="33"/>
  <c r="F49" i="33"/>
  <c r="J62" i="33"/>
  <c r="E64" i="33"/>
  <c r="J46" i="33"/>
  <c r="G61" i="33"/>
  <c r="D68" i="33"/>
  <c r="E49" i="33"/>
  <c r="H56" i="33"/>
  <c r="I51" i="33"/>
  <c r="E51" i="33"/>
  <c r="H69" i="33"/>
  <c r="F43" i="33"/>
  <c r="H54" i="33"/>
  <c r="J51" i="33"/>
  <c r="F58" i="33"/>
  <c r="D47" i="33"/>
  <c r="F45" i="33"/>
  <c r="J45" i="33"/>
  <c r="G53" i="33"/>
  <c r="D64" i="33"/>
  <c r="I64" i="33"/>
  <c r="F50" i="33"/>
  <c r="D60" i="33"/>
  <c r="D46" i="33"/>
  <c r="G65" i="33"/>
  <c r="I43" i="33"/>
  <c r="D57" i="33"/>
  <c r="H65" i="33"/>
  <c r="H45" i="33"/>
  <c r="E65" i="33"/>
  <c r="H61" i="33"/>
  <c r="J58" i="33"/>
  <c r="G60" i="33"/>
  <c r="H62" i="33"/>
  <c r="D59" i="33"/>
  <c r="E56" i="33"/>
  <c r="E63" i="33"/>
  <c r="J53" i="33"/>
  <c r="H58" i="33"/>
  <c r="J55" i="33"/>
  <c r="D48" i="33"/>
  <c r="D43" i="33"/>
  <c r="D52" i="33"/>
  <c r="G49" i="33"/>
  <c r="G50" i="33"/>
  <c r="E48" i="33"/>
  <c r="H68" i="33"/>
  <c r="I60" i="33"/>
  <c r="D61" i="33"/>
  <c r="I46" i="33"/>
  <c r="H51" i="33"/>
  <c r="E66" i="33"/>
  <c r="D45" i="33"/>
  <c r="J67" i="33"/>
  <c r="G51" i="33"/>
  <c r="F66" i="33"/>
  <c r="I49" i="33"/>
  <c r="J59" i="33"/>
  <c r="H46" i="33"/>
  <c r="J54" i="33"/>
  <c r="J68" i="33"/>
  <c r="F69" i="33"/>
  <c r="E57" i="33"/>
  <c r="J52" i="33"/>
  <c r="J57" i="33"/>
  <c r="H48" i="33"/>
  <c r="F56" i="33"/>
  <c r="F54" i="33"/>
  <c r="I53" i="33"/>
  <c r="J64" i="33"/>
  <c r="J43" i="33"/>
  <c r="I54" i="33"/>
  <c r="I59" i="33"/>
  <c r="D69" i="33"/>
  <c r="D51" i="33"/>
  <c r="I61" i="33"/>
  <c r="D63" i="33"/>
  <c r="I68" i="33"/>
  <c r="F64" i="33"/>
  <c r="J56" i="33"/>
  <c r="D65" i="33"/>
  <c r="J50" i="33"/>
  <c r="D56" i="33"/>
  <c r="D66" i="33"/>
  <c r="D44" i="33"/>
  <c r="E62" i="33"/>
  <c r="E61" i="33"/>
  <c r="H63" i="33"/>
  <c r="E52" i="33"/>
  <c r="E67" i="33"/>
  <c r="U34" i="33"/>
  <c r="U23" i="33"/>
  <c r="U36" i="33"/>
  <c r="U17" i="33"/>
  <c r="U20" i="33"/>
  <c r="U27" i="33"/>
  <c r="U29" i="33"/>
  <c r="U16" i="33"/>
  <c r="U22" i="33"/>
  <c r="C180" i="26"/>
  <c r="D180" i="26" s="1"/>
  <c r="D179" i="26"/>
  <c r="D121" i="1"/>
  <c r="C122" i="1"/>
  <c r="D122" i="1" s="1"/>
  <c r="O61" i="25"/>
  <c r="U38" i="33"/>
  <c r="U42" i="33"/>
  <c r="U39" i="33"/>
  <c r="U26" i="33"/>
  <c r="U24" i="33"/>
  <c r="U21" i="33"/>
  <c r="U41" i="33"/>
  <c r="U30" i="33"/>
  <c r="U28" i="33"/>
  <c r="U37" i="33"/>
  <c r="U40" i="33"/>
  <c r="U32" i="33"/>
  <c r="R43" i="15"/>
  <c r="P45" i="15"/>
  <c r="N16" i="15"/>
  <c r="S55" i="15"/>
  <c r="R20" i="15"/>
  <c r="R50" i="15"/>
  <c r="N38" i="15"/>
  <c r="N52" i="15"/>
  <c r="Q29" i="15"/>
  <c r="L63" i="15"/>
  <c r="L65" i="15"/>
  <c r="Q64" i="15"/>
  <c r="M19" i="15"/>
  <c r="R42" i="15"/>
  <c r="S54" i="15"/>
  <c r="O66" i="15"/>
  <c r="P52" i="15"/>
  <c r="S45" i="15"/>
  <c r="M53" i="15"/>
  <c r="M40" i="15"/>
  <c r="S49" i="15"/>
  <c r="R67" i="15"/>
  <c r="R25" i="15"/>
  <c r="S26" i="15"/>
  <c r="O22" i="15"/>
  <c r="S46" i="15"/>
  <c r="S30" i="15"/>
  <c r="Q59" i="15"/>
  <c r="S62" i="15"/>
  <c r="M17" i="15"/>
  <c r="P46" i="15"/>
  <c r="N43" i="15"/>
  <c r="N66" i="15"/>
  <c r="R30" i="15"/>
  <c r="O53" i="15"/>
  <c r="L24" i="15"/>
  <c r="Q68" i="15"/>
  <c r="O47" i="15"/>
  <c r="S23" i="15"/>
  <c r="S37" i="15"/>
  <c r="O44" i="15"/>
  <c r="R40" i="15"/>
  <c r="P37" i="15"/>
  <c r="P31" i="15"/>
  <c r="O68" i="15"/>
  <c r="L27" i="15"/>
  <c r="S22" i="15"/>
  <c r="S25" i="15"/>
  <c r="N49" i="15"/>
  <c r="M55" i="15"/>
  <c r="S16" i="15"/>
  <c r="P18" i="15"/>
  <c r="S63" i="15"/>
  <c r="R61" i="15"/>
  <c r="P17" i="15"/>
  <c r="M34" i="15"/>
  <c r="S20" i="15"/>
  <c r="N39" i="15"/>
  <c r="R46" i="15"/>
  <c r="S50" i="15"/>
  <c r="P47" i="15"/>
  <c r="Q36" i="15"/>
  <c r="O23" i="15"/>
  <c r="L53" i="15"/>
  <c r="O19" i="15"/>
  <c r="M65" i="15"/>
  <c r="N42" i="15"/>
  <c r="Q26" i="15"/>
  <c r="S21" i="15"/>
  <c r="S35" i="15"/>
  <c r="N35" i="15"/>
  <c r="O62" i="15"/>
  <c r="N69" i="15"/>
  <c r="P39" i="15"/>
  <c r="P27" i="15"/>
  <c r="Q28" i="15"/>
  <c r="Q52" i="15"/>
  <c r="M23" i="15"/>
  <c r="O50" i="15"/>
  <c r="P35" i="15"/>
  <c r="P61" i="15"/>
  <c r="O59" i="15"/>
  <c r="R69" i="15"/>
  <c r="S38" i="15"/>
  <c r="S67" i="15"/>
  <c r="N32" i="15"/>
  <c r="S27" i="15"/>
  <c r="R31" i="15"/>
  <c r="P40" i="15"/>
  <c r="L48" i="15"/>
  <c r="M43" i="15"/>
  <c r="R45" i="15"/>
  <c r="L57" i="15"/>
  <c r="O33" i="15"/>
  <c r="O65" i="15"/>
  <c r="N30" i="15"/>
  <c r="L61" i="15"/>
  <c r="Q61" i="15"/>
  <c r="S48" i="15"/>
  <c r="M54" i="15"/>
  <c r="L68" i="15"/>
  <c r="M47" i="15"/>
  <c r="L33" i="15"/>
  <c r="L46" i="15"/>
  <c r="O41" i="15"/>
  <c r="M45" i="15"/>
  <c r="M28" i="15"/>
  <c r="O39" i="15"/>
  <c r="R60" i="15"/>
  <c r="N48" i="15"/>
  <c r="M50" i="15"/>
  <c r="S65" i="15"/>
  <c r="P68" i="15"/>
  <c r="R51" i="15"/>
  <c r="N64" i="15"/>
  <c r="L44" i="15"/>
  <c r="P36" i="15"/>
  <c r="O51" i="15"/>
  <c r="P33" i="15"/>
  <c r="Q34" i="15"/>
  <c r="M51" i="15"/>
  <c r="P20" i="15"/>
  <c r="L49" i="15"/>
  <c r="Q55" i="15"/>
  <c r="O45" i="15"/>
  <c r="Q32" i="15"/>
  <c r="L42" i="15"/>
  <c r="O61" i="15"/>
  <c r="N25" i="15"/>
  <c r="Q43" i="15"/>
  <c r="P44" i="15"/>
  <c r="N37" i="15"/>
  <c r="R44" i="15"/>
  <c r="S42" i="15"/>
  <c r="S57" i="15"/>
  <c r="Q41" i="15"/>
  <c r="N41" i="15"/>
  <c r="O42" i="15"/>
  <c r="P65" i="15"/>
  <c r="O56" i="15"/>
  <c r="Q19" i="15"/>
  <c r="N56" i="15"/>
  <c r="M38" i="15"/>
  <c r="L35" i="15"/>
  <c r="M59" i="15"/>
  <c r="R27" i="15"/>
  <c r="M44" i="15"/>
  <c r="R55" i="15"/>
  <c r="L41" i="15"/>
  <c r="R36" i="15"/>
  <c r="L32" i="15"/>
  <c r="M42" i="15"/>
  <c r="S36" i="15"/>
  <c r="S61" i="15"/>
  <c r="Q37" i="15"/>
  <c r="Q16" i="15"/>
  <c r="N31" i="15"/>
  <c r="L67" i="15"/>
  <c r="L37" i="15"/>
  <c r="L38" i="15"/>
  <c r="P29" i="15"/>
  <c r="O27" i="15"/>
  <c r="L21" i="15"/>
  <c r="O17" i="15"/>
  <c r="S34" i="15"/>
  <c r="R21" i="15"/>
  <c r="L66" i="15"/>
  <c r="L47" i="15"/>
  <c r="R41" i="15"/>
  <c r="M37" i="15"/>
  <c r="M61" i="15"/>
  <c r="S53" i="15"/>
  <c r="S31" i="15"/>
  <c r="L45" i="15"/>
  <c r="L17" i="15"/>
  <c r="O32" i="15"/>
  <c r="N29" i="15"/>
  <c r="S33" i="15"/>
  <c r="R28" i="15"/>
  <c r="O60" i="15"/>
  <c r="M49" i="15"/>
  <c r="N60" i="15"/>
  <c r="L30" i="15"/>
  <c r="P62" i="15"/>
  <c r="R63" i="15"/>
  <c r="S41" i="15"/>
  <c r="N28" i="15"/>
  <c r="L60" i="15"/>
  <c r="O49" i="15"/>
  <c r="M18" i="15"/>
  <c r="N50" i="15"/>
  <c r="R52" i="15"/>
  <c r="P30" i="15"/>
  <c r="Q21" i="15"/>
  <c r="P60" i="15"/>
  <c r="Q39" i="15"/>
  <c r="O25" i="15"/>
  <c r="N26" i="15"/>
  <c r="O26" i="15"/>
  <c r="N53" i="15"/>
  <c r="L29" i="15"/>
  <c r="O36" i="15"/>
  <c r="S18" i="15"/>
  <c r="Q45" i="15"/>
  <c r="M62" i="15"/>
  <c r="O35" i="15"/>
  <c r="P43" i="15"/>
  <c r="R37" i="15"/>
  <c r="M25" i="15"/>
  <c r="S64" i="15"/>
  <c r="N51" i="15"/>
  <c r="P50" i="15"/>
  <c r="L55" i="15"/>
  <c r="L51" i="15"/>
  <c r="N55" i="15"/>
  <c r="N46" i="15"/>
  <c r="Q66" i="15"/>
  <c r="L69" i="15"/>
  <c r="Q38" i="15"/>
  <c r="Q53" i="15"/>
  <c r="S68" i="15"/>
  <c r="S29" i="15"/>
  <c r="O28" i="15"/>
  <c r="L34" i="15"/>
  <c r="L31" i="15"/>
  <c r="S28" i="15"/>
  <c r="L59" i="15"/>
  <c r="Q33" i="15"/>
  <c r="O69" i="15"/>
  <c r="Q69" i="15"/>
  <c r="O58" i="15"/>
  <c r="S44" i="15"/>
  <c r="P28" i="15"/>
  <c r="R57" i="15"/>
  <c r="R59" i="15"/>
  <c r="L25" i="15"/>
  <c r="Q51" i="15"/>
  <c r="L54" i="15"/>
  <c r="Q56" i="15"/>
  <c r="M29" i="15"/>
  <c r="P58" i="15"/>
  <c r="Q62" i="15"/>
  <c r="S47" i="15"/>
  <c r="Q30" i="15"/>
  <c r="O37" i="15"/>
  <c r="P23" i="15"/>
  <c r="Q46" i="15"/>
  <c r="N19" i="15"/>
  <c r="R22" i="15"/>
  <c r="M27" i="15"/>
  <c r="P66" i="15"/>
  <c r="L18" i="15"/>
  <c r="P51" i="15"/>
  <c r="N34" i="15"/>
  <c r="N58" i="15"/>
  <c r="S17" i="15"/>
  <c r="Q44" i="15"/>
  <c r="P34" i="15"/>
  <c r="R65" i="15"/>
  <c r="L40" i="15"/>
  <c r="P42" i="15"/>
  <c r="L50" i="15"/>
  <c r="L20" i="15"/>
  <c r="P19" i="15"/>
  <c r="N45" i="15"/>
  <c r="N21" i="15"/>
  <c r="P64" i="15"/>
  <c r="P22" i="15"/>
  <c r="Q22" i="15"/>
  <c r="Q25" i="15"/>
  <c r="M16" i="15"/>
  <c r="S66" i="15"/>
  <c r="S51" i="15"/>
  <c r="Q67" i="15"/>
  <c r="M68" i="15"/>
  <c r="O38" i="15"/>
  <c r="P21" i="15"/>
  <c r="O29" i="15"/>
  <c r="R38" i="15"/>
  <c r="M58" i="15"/>
  <c r="N63" i="15"/>
  <c r="Q60" i="15"/>
  <c r="O34" i="15"/>
  <c r="M22" i="15"/>
  <c r="R58" i="15"/>
  <c r="M52" i="15"/>
  <c r="M56" i="15"/>
  <c r="R29" i="15"/>
  <c r="O52" i="15"/>
  <c r="P57" i="15"/>
  <c r="M36" i="15"/>
  <c r="L22" i="15"/>
  <c r="Q27" i="15"/>
  <c r="R54" i="15"/>
  <c r="P38" i="15"/>
  <c r="O21" i="15"/>
  <c r="N54" i="15"/>
  <c r="L52" i="15"/>
  <c r="P24" i="15"/>
  <c r="O55" i="15"/>
  <c r="N22" i="15"/>
  <c r="S32" i="15"/>
  <c r="O31" i="15"/>
  <c r="M33" i="15"/>
  <c r="P63" i="15"/>
  <c r="S69" i="15"/>
  <c r="Q17" i="15"/>
  <c r="N18" i="15"/>
  <c r="O67" i="15"/>
  <c r="O57" i="15"/>
  <c r="Q18" i="15"/>
  <c r="L43" i="15"/>
  <c r="N59" i="15"/>
  <c r="P53" i="15"/>
  <c r="S58" i="15"/>
  <c r="S24" i="15"/>
  <c r="O20" i="15"/>
  <c r="R17" i="15"/>
  <c r="N36" i="15"/>
  <c r="M39" i="15"/>
  <c r="S52" i="15"/>
  <c r="O54" i="15"/>
  <c r="M57" i="15"/>
  <c r="L19" i="15"/>
  <c r="R49" i="15"/>
  <c r="R24" i="15"/>
  <c r="M32" i="15"/>
  <c r="R16" i="15"/>
  <c r="O63" i="15"/>
  <c r="O18" i="15"/>
  <c r="Q54" i="15"/>
  <c r="M63" i="15"/>
  <c r="S43" i="15"/>
  <c r="Q20" i="15"/>
  <c r="M64" i="15"/>
  <c r="Q65" i="15"/>
  <c r="R68" i="15"/>
  <c r="Q23" i="15"/>
  <c r="R26" i="15"/>
  <c r="R33" i="15"/>
  <c r="M24" i="15"/>
  <c r="S56" i="15"/>
  <c r="N62" i="15"/>
  <c r="O48" i="15"/>
  <c r="N68" i="15"/>
  <c r="N24" i="15"/>
  <c r="L39" i="15"/>
  <c r="R53" i="15"/>
  <c r="M48" i="15"/>
  <c r="N23" i="15"/>
  <c r="L62" i="15"/>
  <c r="M66" i="15"/>
  <c r="P25" i="15"/>
  <c r="R66" i="15"/>
  <c r="L56" i="15"/>
  <c r="P32" i="15"/>
  <c r="S59" i="15"/>
  <c r="M31" i="15"/>
  <c r="S39" i="15"/>
  <c r="Q40" i="15"/>
  <c r="R39" i="15"/>
  <c r="R62" i="15"/>
  <c r="O16" i="15"/>
  <c r="O30" i="15"/>
  <c r="M60" i="15"/>
  <c r="M20" i="15"/>
  <c r="O40" i="15"/>
  <c r="N20" i="15"/>
  <c r="M41" i="15"/>
  <c r="M67" i="15"/>
  <c r="L28" i="15"/>
  <c r="Q31" i="15"/>
  <c r="P54" i="15"/>
  <c r="R19" i="15"/>
  <c r="M35" i="15"/>
  <c r="Q58" i="15"/>
  <c r="P69" i="15"/>
  <c r="R48" i="15"/>
  <c r="L64" i="15"/>
  <c r="L23" i="15"/>
  <c r="P67" i="15"/>
  <c r="L26" i="15"/>
  <c r="Q47" i="15"/>
  <c r="Q57" i="15"/>
  <c r="O64" i="15"/>
  <c r="Q48" i="15"/>
  <c r="S19" i="15"/>
  <c r="R34" i="15"/>
  <c r="P49" i="15"/>
  <c r="R18" i="15"/>
  <c r="P41" i="15"/>
  <c r="Q42" i="15"/>
  <c r="N65" i="15"/>
  <c r="N40" i="15"/>
  <c r="P56" i="15"/>
  <c r="P59" i="15"/>
  <c r="O43" i="15"/>
  <c r="M46" i="15"/>
  <c r="N27" i="15"/>
  <c r="O46" i="15"/>
  <c r="M21" i="15"/>
  <c r="S60" i="15"/>
  <c r="Q24" i="15"/>
  <c r="Q49" i="15"/>
  <c r="Q35" i="15"/>
  <c r="N33" i="15"/>
  <c r="R35" i="15"/>
  <c r="P55" i="15"/>
  <c r="N47" i="15"/>
  <c r="M69" i="15"/>
  <c r="M26" i="15"/>
  <c r="L16" i="15"/>
  <c r="O24" i="15"/>
  <c r="R23" i="15"/>
  <c r="P48" i="15"/>
  <c r="S40" i="15"/>
  <c r="Q50" i="15"/>
  <c r="L36" i="15"/>
  <c r="P26" i="15"/>
  <c r="N57" i="15"/>
  <c r="N44" i="15"/>
  <c r="N67" i="15"/>
  <c r="P16" i="15"/>
  <c r="M30" i="15"/>
  <c r="R64" i="15"/>
  <c r="N61" i="15"/>
  <c r="R47" i="15"/>
  <c r="Q63" i="15"/>
  <c r="L58" i="15"/>
  <c r="N17" i="15"/>
  <c r="R32" i="15"/>
  <c r="R56" i="15"/>
  <c r="U18" i="33"/>
  <c r="U33" i="33"/>
  <c r="U31" i="33"/>
  <c r="U19" i="33"/>
  <c r="U25" i="33"/>
  <c r="U35" i="33"/>
  <c r="H67" i="15" l="1"/>
  <c r="G43" i="15"/>
  <c r="D49" i="15"/>
  <c r="P32" i="25"/>
  <c r="R53" i="25"/>
  <c r="U53" i="33"/>
  <c r="L68" i="25"/>
  <c r="I68" i="15"/>
  <c r="P44" i="25"/>
  <c r="Q41" i="25"/>
  <c r="M18" i="25"/>
  <c r="O58" i="25"/>
  <c r="R69" i="25"/>
  <c r="R51" i="25"/>
  <c r="U69" i="33"/>
  <c r="U49" i="33"/>
  <c r="O16" i="25"/>
  <c r="R30" i="25"/>
  <c r="P22" i="25"/>
  <c r="Q28" i="25"/>
  <c r="R35" i="25"/>
  <c r="N19" i="25"/>
  <c r="M38" i="25"/>
  <c r="O18" i="25"/>
  <c r="M37" i="25"/>
  <c r="L33" i="25"/>
  <c r="M20" i="25"/>
  <c r="S20" i="25"/>
  <c r="R41" i="25"/>
  <c r="M23" i="25"/>
  <c r="N32" i="25"/>
  <c r="N29" i="25"/>
  <c r="Q29" i="25"/>
  <c r="S34" i="25"/>
  <c r="S22" i="25"/>
  <c r="M22" i="25"/>
  <c r="Q25" i="25"/>
  <c r="N40" i="25"/>
  <c r="N18" i="25"/>
  <c r="P19" i="25"/>
  <c r="Q33" i="25"/>
  <c r="N24" i="25"/>
  <c r="M16" i="25"/>
  <c r="G65" i="25"/>
  <c r="H59" i="25"/>
  <c r="E64" i="25"/>
  <c r="J48" i="25"/>
  <c r="E51" i="25"/>
  <c r="F55" i="25"/>
  <c r="H61" i="25"/>
  <c r="F46" i="25"/>
  <c r="E53" i="25"/>
  <c r="D59" i="25"/>
  <c r="H54" i="25"/>
  <c r="E43" i="25"/>
  <c r="J63" i="25"/>
  <c r="D66" i="25"/>
  <c r="I62" i="25"/>
  <c r="D50" i="25"/>
  <c r="F51" i="25"/>
  <c r="D43" i="25"/>
  <c r="D57" i="25"/>
  <c r="J56" i="25"/>
  <c r="D46" i="25"/>
  <c r="E66" i="25"/>
  <c r="G57" i="25"/>
  <c r="I54" i="25"/>
  <c r="D60" i="25"/>
  <c r="J53" i="25"/>
  <c r="D65" i="25"/>
  <c r="J59" i="25"/>
  <c r="D51" i="25"/>
  <c r="J49" i="25"/>
  <c r="F56" i="25"/>
  <c r="J60" i="25"/>
  <c r="D61" i="25"/>
  <c r="I67" i="25"/>
  <c r="D47" i="25"/>
  <c r="G58" i="25"/>
  <c r="F67" i="25"/>
  <c r="G59" i="25"/>
  <c r="F52" i="25"/>
  <c r="I65" i="25"/>
  <c r="H56" i="25"/>
  <c r="J45" i="25"/>
  <c r="H48" i="25"/>
  <c r="E48" i="25"/>
  <c r="E49" i="25"/>
  <c r="I56" i="25"/>
  <c r="F48" i="25"/>
  <c r="E50" i="25"/>
  <c r="H58" i="25"/>
  <c r="H69" i="25"/>
  <c r="J51" i="25"/>
  <c r="J66" i="25"/>
  <c r="G62" i="25"/>
  <c r="E65" i="25"/>
  <c r="F43" i="25"/>
  <c r="D52" i="25"/>
  <c r="F62" i="25"/>
  <c r="I52" i="25"/>
  <c r="H44" i="25"/>
  <c r="I64" i="25"/>
  <c r="F47" i="25"/>
  <c r="G55" i="25"/>
  <c r="D68" i="25"/>
  <c r="F54" i="25"/>
  <c r="E52" i="25"/>
  <c r="E58" i="25"/>
  <c r="E45" i="25"/>
  <c r="F63" i="25"/>
  <c r="D44" i="25"/>
  <c r="G64" i="25"/>
  <c r="J69" i="25"/>
  <c r="J50" i="25"/>
  <c r="J43" i="25"/>
  <c r="G53" i="25"/>
  <c r="E61" i="25"/>
  <c r="D67" i="25"/>
  <c r="H67" i="25"/>
  <c r="J47" i="25"/>
  <c r="I45" i="25"/>
  <c r="D49" i="25"/>
  <c r="H64" i="25"/>
  <c r="I69" i="25"/>
  <c r="I58" i="25"/>
  <c r="G54" i="25"/>
  <c r="D45" i="25"/>
  <c r="J57" i="25"/>
  <c r="I46" i="25"/>
  <c r="E56" i="25"/>
  <c r="I68" i="25"/>
  <c r="I63" i="25"/>
  <c r="F65" i="25"/>
  <c r="D58" i="25"/>
  <c r="J52" i="25"/>
  <c r="J55" i="25"/>
  <c r="H43" i="25"/>
  <c r="J65" i="25"/>
  <c r="G50" i="25"/>
  <c r="E57" i="25"/>
  <c r="F44" i="25"/>
  <c r="J54" i="25"/>
  <c r="I49" i="25"/>
  <c r="I50" i="25"/>
  <c r="I43" i="25"/>
  <c r="H45" i="25"/>
  <c r="F58" i="25"/>
  <c r="I60" i="25"/>
  <c r="F61" i="25"/>
  <c r="I48" i="25"/>
  <c r="E55" i="25"/>
  <c r="E67" i="25"/>
  <c r="G67" i="25"/>
  <c r="D54" i="25"/>
  <c r="H55" i="25"/>
  <c r="D64" i="25"/>
  <c r="G69" i="25"/>
  <c r="D53" i="25"/>
  <c r="F60" i="25"/>
  <c r="G56" i="25"/>
  <c r="I47" i="25"/>
  <c r="E59" i="25"/>
  <c r="F50" i="25"/>
  <c r="D55" i="25"/>
  <c r="I53" i="25"/>
  <c r="F59" i="25"/>
  <c r="J44" i="25"/>
  <c r="E46" i="25"/>
  <c r="E54" i="25"/>
  <c r="D62" i="25"/>
  <c r="G44" i="25"/>
  <c r="E47" i="25"/>
  <c r="E62" i="25"/>
  <c r="J46" i="25"/>
  <c r="G60" i="25"/>
  <c r="J62" i="25"/>
  <c r="J61" i="25"/>
  <c r="E44" i="25"/>
  <c r="F64" i="25"/>
  <c r="I57" i="25"/>
  <c r="G51" i="25"/>
  <c r="H60" i="25"/>
  <c r="F57" i="25"/>
  <c r="E68" i="25"/>
  <c r="I66" i="25"/>
  <c r="H53" i="25"/>
  <c r="H68" i="25"/>
  <c r="F45" i="25"/>
  <c r="F66" i="25"/>
  <c r="I51" i="25"/>
  <c r="J64" i="25"/>
  <c r="H51" i="25"/>
  <c r="G43" i="25"/>
  <c r="H52" i="25"/>
  <c r="E60" i="25"/>
  <c r="G63" i="25"/>
  <c r="G48" i="25"/>
  <c r="H47" i="25"/>
  <c r="G66" i="25"/>
  <c r="I59" i="25"/>
  <c r="H63" i="25"/>
  <c r="H46" i="25"/>
  <c r="H65" i="25"/>
  <c r="E63" i="25"/>
  <c r="J68" i="25"/>
  <c r="G52" i="25"/>
  <c r="D63" i="25"/>
  <c r="F69" i="25"/>
  <c r="E69" i="25"/>
  <c r="F68" i="25"/>
  <c r="I55" i="25"/>
  <c r="H57" i="25"/>
  <c r="F49" i="25"/>
  <c r="G45" i="25"/>
  <c r="D69" i="25"/>
  <c r="D48" i="25"/>
  <c r="I44" i="25"/>
  <c r="H62" i="25"/>
  <c r="G68" i="25"/>
  <c r="G49" i="25"/>
  <c r="H66" i="25"/>
  <c r="J58" i="25"/>
  <c r="H49" i="25"/>
  <c r="D56" i="25"/>
  <c r="H50" i="25"/>
  <c r="F53" i="25"/>
  <c r="G61" i="25"/>
  <c r="G47" i="25"/>
  <c r="G46" i="25"/>
  <c r="I61" i="25"/>
  <c r="J67" i="25"/>
  <c r="F65" i="15"/>
  <c r="H45" i="15"/>
  <c r="N65" i="25"/>
  <c r="P66" i="25"/>
  <c r="L69" i="25"/>
  <c r="M44" i="25"/>
  <c r="F66" i="15"/>
  <c r="L37" i="25"/>
  <c r="Q23" i="25"/>
  <c r="Q24" i="25"/>
  <c r="P25" i="25"/>
  <c r="O41" i="25"/>
  <c r="R37" i="25"/>
  <c r="L17" i="25"/>
  <c r="M31" i="25"/>
  <c r="R21" i="25"/>
  <c r="Q42" i="25"/>
  <c r="P36" i="25"/>
  <c r="R29" i="25"/>
  <c r="O21" i="25"/>
  <c r="P18" i="25"/>
  <c r="O24" i="25"/>
  <c r="Q38" i="25"/>
  <c r="O17" i="25"/>
  <c r="R33" i="25"/>
  <c r="Q27" i="25"/>
  <c r="Q32" i="25"/>
  <c r="P17" i="25"/>
  <c r="R23" i="25"/>
  <c r="N31" i="25"/>
  <c r="O36" i="25"/>
  <c r="M40" i="25"/>
  <c r="S37" i="25"/>
  <c r="P41" i="25"/>
  <c r="M32" i="25"/>
  <c r="O20" i="25"/>
  <c r="S29" i="25"/>
  <c r="M39" i="25"/>
  <c r="S25" i="25"/>
  <c r="Q40" i="25"/>
  <c r="N25" i="25"/>
  <c r="S42" i="25"/>
  <c r="N34" i="25"/>
  <c r="Q19" i="25"/>
  <c r="N36" i="25"/>
  <c r="M35" i="25"/>
  <c r="P40" i="25"/>
  <c r="R32" i="25"/>
  <c r="R28" i="25"/>
  <c r="P20" i="25"/>
  <c r="N30" i="25"/>
  <c r="P29" i="25"/>
  <c r="N20" i="25"/>
  <c r="R25" i="25"/>
  <c r="M30" i="25"/>
  <c r="R40" i="25"/>
  <c r="Q37" i="25"/>
  <c r="N38" i="25"/>
  <c r="S38" i="25"/>
  <c r="J55" i="15"/>
  <c r="O68" i="25"/>
  <c r="R65" i="25"/>
  <c r="N69" i="25"/>
  <c r="R44" i="25"/>
  <c r="O51" i="25"/>
  <c r="U43" i="33"/>
  <c r="U48" i="33"/>
  <c r="Q34" i="25"/>
  <c r="P21" i="25"/>
  <c r="R16" i="25"/>
  <c r="O39" i="25"/>
  <c r="Q21" i="25"/>
  <c r="M42" i="25"/>
  <c r="O22" i="25"/>
  <c r="S18" i="25"/>
  <c r="P30" i="25"/>
  <c r="O26" i="25"/>
  <c r="P38" i="25"/>
  <c r="O29" i="25"/>
  <c r="L41" i="25"/>
  <c r="L28" i="25"/>
  <c r="L32" i="25"/>
  <c r="L36" i="25"/>
  <c r="M28" i="25"/>
  <c r="P23" i="25"/>
  <c r="P39" i="25"/>
  <c r="L26" i="25"/>
  <c r="O30" i="25"/>
  <c r="L31" i="25"/>
  <c r="R24" i="25"/>
  <c r="L24" i="25"/>
  <c r="O38" i="25"/>
  <c r="L20" i="25"/>
  <c r="N17" i="25"/>
  <c r="U66" i="33"/>
  <c r="U56" i="33"/>
  <c r="N58" i="25"/>
  <c r="M61" i="25"/>
  <c r="L62" i="25"/>
  <c r="O56" i="25"/>
  <c r="L50" i="25"/>
  <c r="N56" i="25"/>
  <c r="R63" i="25"/>
  <c r="N55" i="25"/>
  <c r="S66" i="25"/>
  <c r="P43" i="25"/>
  <c r="M54" i="25"/>
  <c r="L44" i="25"/>
  <c r="S59" i="25"/>
  <c r="R66" i="25"/>
  <c r="J58" i="15"/>
  <c r="G66" i="15"/>
  <c r="R49" i="25"/>
  <c r="O55" i="25"/>
  <c r="S63" i="25"/>
  <c r="L43" i="25"/>
  <c r="M49" i="25"/>
  <c r="M55" i="25"/>
  <c r="L52" i="25"/>
  <c r="N64" i="25"/>
  <c r="N63" i="25"/>
  <c r="M52" i="25"/>
  <c r="Q49" i="25"/>
  <c r="M51" i="25"/>
  <c r="N44" i="25"/>
  <c r="M53" i="25"/>
  <c r="D63" i="15"/>
  <c r="J52" i="15"/>
  <c r="S69" i="25"/>
  <c r="S43" i="25"/>
  <c r="L57" i="25"/>
  <c r="L59" i="25"/>
  <c r="O47" i="25"/>
  <c r="M50" i="25"/>
  <c r="Q55" i="25"/>
  <c r="P49" i="25"/>
  <c r="L56" i="25"/>
  <c r="L54" i="25"/>
  <c r="L63" i="25"/>
  <c r="P54" i="25"/>
  <c r="Q65" i="25"/>
  <c r="N62" i="25"/>
  <c r="Q59" i="25"/>
  <c r="U44" i="33"/>
  <c r="U67" i="33"/>
  <c r="U46" i="33"/>
  <c r="D48" i="15"/>
  <c r="E65" i="15"/>
  <c r="J69" i="15"/>
  <c r="J67" i="15"/>
  <c r="D62" i="15"/>
  <c r="H59" i="15"/>
  <c r="G54" i="15"/>
  <c r="I47" i="15"/>
  <c r="D66" i="15"/>
  <c r="J66" i="15"/>
  <c r="G69" i="15"/>
  <c r="G57" i="15"/>
  <c r="U55" i="33"/>
  <c r="E46" i="15"/>
  <c r="E44" i="15"/>
  <c r="H54" i="15"/>
  <c r="E64" i="15"/>
  <c r="F63" i="15"/>
  <c r="E68" i="15"/>
  <c r="H48" i="15"/>
  <c r="H64" i="15"/>
  <c r="F57" i="15"/>
  <c r="I46" i="15"/>
  <c r="D54" i="15"/>
  <c r="H61" i="15"/>
  <c r="I64" i="15"/>
  <c r="U52" i="33"/>
  <c r="U57" i="33"/>
  <c r="U50" i="33"/>
  <c r="U63" i="33"/>
  <c r="U60" i="33"/>
  <c r="U65" i="33"/>
  <c r="U61" i="33"/>
  <c r="U62" i="33"/>
  <c r="U58" i="33"/>
  <c r="U47" i="33"/>
  <c r="U64" i="33"/>
  <c r="R31" i="25"/>
  <c r="P37" i="25"/>
  <c r="S24" i="25"/>
  <c r="L35" i="25"/>
  <c r="L30" i="25"/>
  <c r="M21" i="25"/>
  <c r="R18" i="25"/>
  <c r="R39" i="25"/>
  <c r="P33" i="25"/>
  <c r="N28" i="25"/>
  <c r="R17" i="25"/>
  <c r="M34" i="25"/>
  <c r="L19" i="25"/>
  <c r="M17" i="25"/>
  <c r="L39" i="25"/>
  <c r="L40" i="25"/>
  <c r="S16" i="25"/>
  <c r="Q22" i="25"/>
  <c r="Q35" i="25"/>
  <c r="R19" i="25"/>
  <c r="L27" i="25"/>
  <c r="Q18" i="25"/>
  <c r="L25" i="25"/>
  <c r="N33" i="25"/>
  <c r="M26" i="25"/>
  <c r="O33" i="25"/>
  <c r="O27" i="25"/>
  <c r="Q36" i="25"/>
  <c r="N23" i="25"/>
  <c r="L29" i="25"/>
  <c r="P28" i="25"/>
  <c r="Q16" i="25"/>
  <c r="O19" i="25"/>
  <c r="M27" i="25"/>
  <c r="R20" i="25"/>
  <c r="S23" i="25"/>
  <c r="R26" i="25"/>
  <c r="Q39" i="25"/>
  <c r="N37" i="25"/>
  <c r="M33" i="25"/>
  <c r="N16" i="25"/>
  <c r="N22" i="25"/>
  <c r="S36" i="25"/>
  <c r="R42" i="25"/>
  <c r="S28" i="25"/>
  <c r="O31" i="25"/>
  <c r="N39" i="25"/>
  <c r="P34" i="25"/>
  <c r="P27" i="25"/>
  <c r="O34" i="25"/>
  <c r="M24" i="25"/>
  <c r="M25" i="25"/>
  <c r="Q17" i="25"/>
  <c r="Q20" i="25"/>
  <c r="H43" i="15"/>
  <c r="I48" i="15"/>
  <c r="H55" i="15"/>
  <c r="D61" i="15"/>
  <c r="I67" i="15"/>
  <c r="D56" i="15"/>
  <c r="F56" i="15"/>
  <c r="F51" i="15"/>
  <c r="I45" i="15"/>
  <c r="J61" i="15"/>
  <c r="E62" i="15"/>
  <c r="S21" i="25"/>
  <c r="O37" i="25"/>
  <c r="S17" i="25"/>
  <c r="P31" i="25"/>
  <c r="N41" i="25"/>
  <c r="S19" i="25"/>
  <c r="L22" i="25"/>
  <c r="N21" i="25"/>
  <c r="N27" i="25"/>
  <c r="L18" i="25"/>
  <c r="M36" i="25"/>
  <c r="S26" i="25"/>
  <c r="Q30" i="25"/>
  <c r="R34" i="25"/>
  <c r="O40" i="25"/>
  <c r="S35" i="25"/>
  <c r="M29" i="25"/>
  <c r="R38" i="25"/>
  <c r="S40" i="25"/>
  <c r="S31" i="25"/>
  <c r="P42" i="25"/>
  <c r="P24" i="25"/>
  <c r="M41" i="25"/>
  <c r="O23" i="25"/>
  <c r="Q31" i="25"/>
  <c r="L42" i="25"/>
  <c r="R27" i="25"/>
  <c r="Q26" i="25"/>
  <c r="L23" i="25"/>
  <c r="O25" i="25"/>
  <c r="S27" i="25"/>
  <c r="M19" i="25"/>
  <c r="L38" i="25"/>
  <c r="L21" i="25"/>
  <c r="S30" i="25"/>
  <c r="O32" i="25"/>
  <c r="S33" i="25"/>
  <c r="P16" i="25"/>
  <c r="S39" i="25"/>
  <c r="O42" i="25"/>
  <c r="N35" i="25"/>
  <c r="P35" i="25"/>
  <c r="R36" i="25"/>
  <c r="R22" i="25"/>
  <c r="N42" i="25"/>
  <c r="S32" i="25"/>
  <c r="O35" i="25"/>
  <c r="O28" i="25"/>
  <c r="L34" i="25"/>
  <c r="N26" i="25"/>
  <c r="P26" i="25"/>
  <c r="L16" i="25"/>
  <c r="S41" i="25"/>
  <c r="U45" i="33"/>
  <c r="U68" i="33"/>
  <c r="U59" i="33"/>
  <c r="U51" i="33"/>
  <c r="U54" i="33"/>
  <c r="L55" i="25"/>
  <c r="O69" i="25"/>
  <c r="Q61" i="25"/>
  <c r="S65" i="25"/>
  <c r="O44" i="25"/>
  <c r="Q53" i="25"/>
  <c r="L49" i="25"/>
  <c r="L53" i="25"/>
  <c r="O60" i="25"/>
  <c r="O46" i="25"/>
  <c r="S54" i="25"/>
  <c r="P63" i="25"/>
  <c r="O53" i="25"/>
  <c r="S53" i="25"/>
  <c r="P48" i="25"/>
  <c r="O48" i="25"/>
  <c r="S55" i="25"/>
  <c r="O62" i="25"/>
  <c r="Q56" i="25"/>
  <c r="M46" i="25"/>
  <c r="L58" i="25"/>
  <c r="O59" i="25"/>
  <c r="P57" i="25"/>
  <c r="S62" i="25"/>
  <c r="R62" i="25"/>
  <c r="R60" i="25"/>
  <c r="P67" i="25"/>
  <c r="R46" i="25"/>
  <c r="P58" i="25"/>
  <c r="O57" i="25"/>
  <c r="N53" i="25"/>
  <c r="N68" i="25"/>
  <c r="N57" i="25"/>
  <c r="S57" i="25"/>
  <c r="P47" i="25"/>
  <c r="R48" i="25"/>
  <c r="L67" i="25"/>
  <c r="S56" i="25"/>
  <c r="L66" i="25"/>
  <c r="L47" i="25"/>
  <c r="R43" i="25"/>
  <c r="Q47" i="25"/>
  <c r="L45" i="25"/>
  <c r="N46" i="25"/>
  <c r="Q44" i="25"/>
  <c r="O49" i="25"/>
  <c r="R57" i="25"/>
  <c r="P52" i="25"/>
  <c r="O64" i="25"/>
  <c r="S52" i="25"/>
  <c r="N59" i="25"/>
  <c r="L65" i="25"/>
  <c r="Q48" i="25"/>
  <c r="M60" i="25"/>
  <c r="R45" i="25"/>
  <c r="L51" i="25"/>
  <c r="P50" i="25"/>
  <c r="M59" i="25"/>
  <c r="Q66" i="25"/>
  <c r="R55" i="25"/>
  <c r="S68" i="25"/>
  <c r="N66" i="25"/>
  <c r="R47" i="25"/>
  <c r="Q50" i="25"/>
  <c r="Q54" i="25"/>
  <c r="M56" i="25"/>
  <c r="M45" i="25"/>
  <c r="O52" i="25"/>
  <c r="Q46" i="25"/>
  <c r="Q64" i="25"/>
  <c r="N60" i="25"/>
  <c r="Q62" i="25"/>
  <c r="S61" i="25"/>
  <c r="P46" i="25"/>
  <c r="R67" i="25"/>
  <c r="L46" i="25"/>
  <c r="O54" i="25"/>
  <c r="O45" i="25"/>
  <c r="N48" i="25"/>
  <c r="P59" i="25"/>
  <c r="L48" i="25"/>
  <c r="N43" i="25"/>
  <c r="M63" i="25"/>
  <c r="R50" i="25"/>
  <c r="S64" i="25"/>
  <c r="S45" i="25"/>
  <c r="P60" i="25"/>
  <c r="P55" i="25"/>
  <c r="M65" i="25"/>
  <c r="N50" i="25"/>
  <c r="M69" i="25"/>
  <c r="R56" i="25"/>
  <c r="P61" i="25"/>
  <c r="M66" i="25"/>
  <c r="P64" i="25"/>
  <c r="R52" i="25"/>
  <c r="S46" i="25"/>
  <c r="N45" i="25"/>
  <c r="N51" i="25"/>
  <c r="Q51" i="25"/>
  <c r="Q60" i="25"/>
  <c r="Q52" i="25"/>
  <c r="N47" i="25"/>
  <c r="S60" i="25"/>
  <c r="P53" i="25"/>
  <c r="P69" i="25"/>
  <c r="P68" i="25"/>
  <c r="S48" i="25"/>
  <c r="M68" i="25"/>
  <c r="S47" i="25"/>
  <c r="Q45" i="25"/>
  <c r="P51" i="25"/>
  <c r="O66" i="25"/>
  <c r="N54" i="25"/>
  <c r="O50" i="25"/>
  <c r="S50" i="25"/>
  <c r="Q68" i="25"/>
  <c r="O43" i="25"/>
  <c r="S67" i="25"/>
  <c r="M57" i="25"/>
  <c r="N61" i="25"/>
  <c r="M48" i="25"/>
  <c r="R58" i="25"/>
  <c r="S51" i="25"/>
  <c r="Q58" i="25"/>
  <c r="Q67" i="25"/>
  <c r="S44" i="25"/>
  <c r="O65" i="25"/>
  <c r="M58" i="25"/>
  <c r="Q43" i="25"/>
  <c r="R59" i="25"/>
  <c r="R68" i="25"/>
  <c r="L60" i="25"/>
  <c r="L61" i="25"/>
  <c r="S49" i="25"/>
  <c r="Q63" i="25"/>
  <c r="M47" i="25"/>
  <c r="M67" i="25"/>
  <c r="L64" i="25"/>
  <c r="R54" i="25"/>
  <c r="R61" i="25"/>
  <c r="Q69" i="25"/>
  <c r="M62" i="25"/>
  <c r="O67" i="25"/>
  <c r="N52" i="25"/>
  <c r="P45" i="25"/>
  <c r="P65" i="25"/>
  <c r="O63" i="25"/>
  <c r="P62" i="25"/>
  <c r="M64" i="25"/>
  <c r="R64" i="25"/>
  <c r="N49" i="25"/>
  <c r="Q57" i="25"/>
  <c r="M43" i="25"/>
  <c r="S58" i="25"/>
  <c r="N67" i="25"/>
  <c r="P56" i="25"/>
  <c r="U30" i="15"/>
  <c r="G50" i="15"/>
  <c r="J57" i="15"/>
  <c r="G63" i="15"/>
  <c r="J59" i="15"/>
  <c r="H62" i="15"/>
  <c r="G47" i="15"/>
  <c r="H47" i="15"/>
  <c r="G44" i="15"/>
  <c r="G55" i="15"/>
  <c r="I69" i="15"/>
  <c r="E69" i="15"/>
  <c r="G64" i="15"/>
  <c r="E49" i="15"/>
  <c r="G56" i="15"/>
  <c r="E55" i="15"/>
  <c r="I54" i="15"/>
  <c r="D68" i="15"/>
  <c r="I66" i="15"/>
  <c r="H60" i="15"/>
  <c r="J45" i="15"/>
  <c r="F60" i="15"/>
  <c r="F43" i="15"/>
  <c r="I55" i="15"/>
  <c r="H44" i="15"/>
  <c r="I58" i="15"/>
  <c r="G48" i="15"/>
  <c r="F68" i="15"/>
  <c r="E58" i="15"/>
  <c r="F58" i="15"/>
  <c r="J64" i="15"/>
  <c r="I49" i="15"/>
  <c r="D50" i="15"/>
  <c r="J53" i="15"/>
  <c r="J44" i="15"/>
  <c r="F50" i="15"/>
  <c r="I60" i="15"/>
  <c r="H66" i="15"/>
  <c r="E53" i="15"/>
  <c r="J43" i="15"/>
  <c r="J63" i="15"/>
  <c r="H63" i="15"/>
  <c r="G45" i="15"/>
  <c r="F48" i="15"/>
  <c r="G67" i="15"/>
  <c r="D43" i="15"/>
  <c r="J60" i="15"/>
  <c r="J51" i="15"/>
  <c r="I53" i="15"/>
  <c r="U21" i="15"/>
  <c r="D47" i="15"/>
  <c r="D69" i="15"/>
  <c r="G61" i="15"/>
  <c r="D45" i="15"/>
  <c r="F46" i="15"/>
  <c r="G65" i="15"/>
  <c r="E48" i="15"/>
  <c r="H65" i="15"/>
  <c r="G52" i="15"/>
  <c r="J50" i="15"/>
  <c r="I62" i="15"/>
  <c r="I43" i="15"/>
  <c r="D60" i="15"/>
  <c r="I50" i="15"/>
  <c r="H68" i="15"/>
  <c r="J62" i="15"/>
  <c r="J49" i="15"/>
  <c r="F49" i="15"/>
  <c r="J48" i="15"/>
  <c r="H57" i="15"/>
  <c r="H56" i="15"/>
  <c r="D65" i="15"/>
  <c r="D58" i="15"/>
  <c r="E59" i="15"/>
  <c r="F67" i="15"/>
  <c r="F62" i="15"/>
  <c r="H50" i="15"/>
  <c r="H46" i="15"/>
  <c r="D44" i="15"/>
  <c r="F44" i="15"/>
  <c r="J47" i="15"/>
  <c r="H52" i="15"/>
  <c r="H58" i="15"/>
  <c r="E52" i="15"/>
  <c r="G60" i="15"/>
  <c r="F52" i="15"/>
  <c r="J65" i="15"/>
  <c r="E51" i="15"/>
  <c r="I52" i="15"/>
  <c r="E63" i="15"/>
  <c r="E57" i="15"/>
  <c r="E45" i="15"/>
  <c r="D57" i="15"/>
  <c r="E66" i="15"/>
  <c r="J54" i="15"/>
  <c r="E60" i="15"/>
  <c r="E56" i="15"/>
  <c r="J68" i="15"/>
  <c r="F47" i="15"/>
  <c r="I51" i="15"/>
  <c r="G68" i="15"/>
  <c r="G58" i="15"/>
  <c r="E50" i="15"/>
  <c r="F53" i="15"/>
  <c r="D52" i="15"/>
  <c r="G51" i="15"/>
  <c r="E54" i="15"/>
  <c r="G62" i="15"/>
  <c r="F54" i="15"/>
  <c r="G59" i="15"/>
  <c r="E47" i="15"/>
  <c r="F45" i="15"/>
  <c r="D46" i="15"/>
  <c r="I44" i="15"/>
  <c r="D55" i="15"/>
  <c r="I63" i="15"/>
  <c r="E61" i="15"/>
  <c r="E67" i="15"/>
  <c r="I57" i="15"/>
  <c r="D53" i="15"/>
  <c r="H49" i="15"/>
  <c r="G49" i="15"/>
  <c r="G46" i="15"/>
  <c r="F55" i="15"/>
  <c r="D64" i="15"/>
  <c r="F59" i="15"/>
  <c r="I59" i="15"/>
  <c r="I61" i="15"/>
  <c r="G53" i="15"/>
  <c r="J56" i="15"/>
  <c r="H51" i="15"/>
  <c r="F64" i="15"/>
  <c r="F61" i="15"/>
  <c r="D51" i="15"/>
  <c r="H69" i="15"/>
  <c r="H53" i="15"/>
  <c r="E43" i="15"/>
  <c r="D59" i="15"/>
  <c r="I56" i="15"/>
  <c r="J46" i="15"/>
  <c r="I65" i="15"/>
  <c r="D67" i="15"/>
  <c r="F69" i="15"/>
  <c r="U20" i="15"/>
  <c r="U31" i="15"/>
  <c r="U27" i="15"/>
  <c r="U18" i="15"/>
  <c r="U37" i="15"/>
  <c r="U23" i="15"/>
  <c r="U17" i="15"/>
  <c r="U41" i="15"/>
  <c r="U24" i="15"/>
  <c r="U25" i="15"/>
  <c r="U19" i="15"/>
  <c r="U39" i="15"/>
  <c r="U33" i="15"/>
  <c r="U22" i="15"/>
  <c r="U29" i="15"/>
  <c r="U42" i="15"/>
  <c r="U34" i="15"/>
  <c r="U40" i="15"/>
  <c r="U26" i="15"/>
  <c r="U35" i="15"/>
  <c r="U32" i="15"/>
  <c r="U36" i="15"/>
  <c r="U16" i="15"/>
  <c r="U38" i="15"/>
  <c r="U28" i="15"/>
  <c r="U62" i="25" l="1"/>
  <c r="U43" i="25"/>
  <c r="U67" i="25"/>
  <c r="U48" i="25"/>
  <c r="U66" i="25"/>
  <c r="U50" i="25"/>
  <c r="U46" i="25"/>
  <c r="U56" i="25"/>
  <c r="U59" i="25"/>
  <c r="U60" i="25"/>
  <c r="U57" i="25"/>
  <c r="U42" i="25"/>
  <c r="U32" i="25"/>
  <c r="U19" i="25"/>
  <c r="U16" i="25"/>
  <c r="U58" i="25"/>
  <c r="U41" i="25"/>
  <c r="U29" i="25"/>
  <c r="U49" i="25"/>
  <c r="U63" i="25"/>
  <c r="U38" i="25"/>
  <c r="U45" i="25"/>
  <c r="U51" i="25"/>
  <c r="U35" i="25"/>
  <c r="U30" i="25"/>
  <c r="U20" i="25"/>
  <c r="U39" i="25"/>
  <c r="U27" i="25"/>
  <c r="U18" i="25"/>
  <c r="U17" i="25"/>
  <c r="U53" i="25"/>
  <c r="U40" i="25"/>
  <c r="U22" i="25"/>
  <c r="U31" i="25"/>
  <c r="U21" i="25"/>
  <c r="U25" i="25"/>
  <c r="U33" i="25"/>
  <c r="U34" i="25"/>
  <c r="U24" i="25"/>
  <c r="U37" i="25"/>
  <c r="U69" i="25"/>
  <c r="U28" i="25"/>
  <c r="U52" i="25"/>
  <c r="U47" i="25"/>
  <c r="U61" i="25"/>
  <c r="U68" i="25"/>
  <c r="U65" i="25"/>
  <c r="U54" i="25"/>
  <c r="U64" i="25"/>
  <c r="U55" i="25"/>
  <c r="U44" i="25"/>
  <c r="U36" i="25"/>
  <c r="U23" i="25"/>
  <c r="U26" i="25"/>
  <c r="U54" i="15"/>
  <c r="U55" i="15"/>
  <c r="U59" i="15"/>
  <c r="U65" i="15"/>
  <c r="U43" i="15"/>
  <c r="U49" i="15"/>
  <c r="U68" i="15"/>
  <c r="U56" i="15"/>
  <c r="U52" i="15"/>
  <c r="U60" i="15"/>
  <c r="U62" i="15"/>
  <c r="U63" i="15"/>
  <c r="U69" i="15"/>
  <c r="U47" i="15"/>
  <c r="U66" i="15"/>
  <c r="U67" i="15"/>
  <c r="U58" i="15"/>
  <c r="U45" i="15"/>
  <c r="U64" i="15"/>
  <c r="U53" i="15"/>
  <c r="U48" i="15"/>
  <c r="U44" i="15"/>
  <c r="U46" i="15"/>
  <c r="U50" i="15"/>
  <c r="U57" i="15"/>
  <c r="U61" i="15"/>
  <c r="U51" i="15"/>
</calcChain>
</file>

<file path=xl/comments1.xml><?xml version="1.0" encoding="utf-8"?>
<comments xmlns="http://schemas.openxmlformats.org/spreadsheetml/2006/main">
  <authors>
    <author>Adam Brundage</author>
    <author>Bobby Renz</author>
    <author>Noam Glick</author>
  </authors>
  <commentList>
    <comment ref="D1" authorId="0" shapeId="0">
      <text>
        <r>
          <rPr>
            <b/>
            <sz val="8"/>
            <color indexed="81"/>
            <rFont val="Tahoma"/>
            <family val="2"/>
          </rPr>
          <t>Adam Brundage:</t>
        </r>
        <r>
          <rPr>
            <sz val="8"/>
            <color indexed="81"/>
            <rFont val="Tahoma"/>
            <family val="2"/>
          </rPr>
          <t xml:space="preserve">
These are the EF's that WARM uses in the actual calculations, depending on whether the user selects "National Average", "No Recovery", or "LFG Recovery" as the input 4a.</t>
        </r>
      </text>
    </comment>
    <comment ref="E1" authorId="0" shapeId="0">
      <text>
        <r>
          <rPr>
            <b/>
            <sz val="8"/>
            <color indexed="81"/>
            <rFont val="Tahoma"/>
            <family val="2"/>
          </rPr>
          <t>Adam Brundage:</t>
        </r>
        <r>
          <rPr>
            <sz val="8"/>
            <color indexed="81"/>
            <rFont val="Tahoma"/>
            <family val="2"/>
          </rPr>
          <t xml:space="preserve">
This column includes the national average net landfilling EF + the user customized transportation distance </t>
        </r>
      </text>
    </comment>
    <comment ref="F1" authorId="0" shapeId="0">
      <text>
        <r>
          <rPr>
            <b/>
            <sz val="8"/>
            <color indexed="81"/>
            <rFont val="Tahoma"/>
            <family val="2"/>
          </rPr>
          <t>Adam Brundage:</t>
        </r>
        <r>
          <rPr>
            <sz val="8"/>
            <color indexed="81"/>
            <rFont val="Tahoma"/>
            <family val="2"/>
          </rPr>
          <t xml:space="preserve">
This column pulls from the landfilling tab in GHG_MSTR </t>
        </r>
      </text>
    </comment>
    <comment ref="G1" authorId="0" shapeId="0">
      <text>
        <r>
          <rPr>
            <b/>
            <sz val="8"/>
            <color indexed="81"/>
            <rFont val="Tahoma"/>
            <family val="2"/>
          </rPr>
          <t>Adam Brundage:</t>
        </r>
        <r>
          <rPr>
            <sz val="8"/>
            <color indexed="81"/>
            <rFont val="Tahoma"/>
            <family val="2"/>
          </rPr>
          <t xml:space="preserve">
The EF breakdown is: 
(Net emissions from LF without recovery) * (% uncaptured methane) + (carbon storage) + (transportation). 
Basically, the flared LFG (i.e.,the % captured of the net emissions) are biogenic and for WARM's purposes, not counted. 
</t>
        </r>
      </text>
    </comment>
    <comment ref="H1" authorId="0" shapeId="0">
      <text>
        <r>
          <rPr>
            <b/>
            <sz val="8"/>
            <color indexed="81"/>
            <rFont val="Tahoma"/>
            <family val="2"/>
          </rPr>
          <t>Adam Brundage:</t>
        </r>
        <r>
          <rPr>
            <sz val="8"/>
            <color indexed="81"/>
            <rFont val="Tahoma"/>
            <family val="2"/>
          </rPr>
          <t xml:space="preserve">
The EF breakdown is: 
(Net emissions from LF without recovery) * (% uncaptured methane) + [(methane generation) * (% captured methane) * (% operational time of recovery system) * (-avoided utility emissions)] + (carbon storage) + (transportation). </t>
        </r>
      </text>
    </comment>
    <comment ref="Q1" authorId="1" shapeId="0">
      <text>
        <r>
          <rPr>
            <b/>
            <sz val="8"/>
            <color indexed="81"/>
            <rFont val="Tahoma"/>
            <family val="2"/>
          </rPr>
          <t>Bobby Renz:</t>
        </r>
        <r>
          <rPr>
            <sz val="8"/>
            <color indexed="81"/>
            <rFont val="Tahoma"/>
            <family val="2"/>
          </rPr>
          <t xml:space="preserve">
This column could possibly be consolidated into a single cell, similar to cell C55 on the Summary Data NRG sheet.</t>
        </r>
      </text>
    </comment>
    <comment ref="G59" authorId="2" shapeId="0">
      <text>
        <r>
          <rPr>
            <b/>
            <sz val="8"/>
            <color indexed="81"/>
            <rFont val="Tahoma"/>
            <family val="2"/>
          </rPr>
          <t>Noam Glick:</t>
        </r>
        <r>
          <rPr>
            <sz val="8"/>
            <color indexed="81"/>
            <rFont val="Tahoma"/>
            <family val="2"/>
          </rPr>
          <t xml:space="preserve">
I used % of total recovery to do weighting.  Should this be % of generation?  I don't think so, but need to verify. </t>
        </r>
      </text>
    </comment>
    <comment ref="H59" authorId="2" shapeId="0">
      <text>
        <r>
          <rPr>
            <b/>
            <sz val="8"/>
            <color indexed="81"/>
            <rFont val="Tahoma"/>
            <family val="2"/>
          </rPr>
          <t>Noam Glick:</t>
        </r>
        <r>
          <rPr>
            <sz val="8"/>
            <color indexed="81"/>
            <rFont val="Tahoma"/>
            <family val="2"/>
          </rPr>
          <t xml:space="preserve">
I used % of total recovery to do weighting.  Should this be % of generation?  I don't think so, but need to verify. </t>
        </r>
      </text>
    </comment>
  </commentList>
</comments>
</file>

<file path=xl/comments2.xml><?xml version="1.0" encoding="utf-8"?>
<comments xmlns="http://schemas.openxmlformats.org/spreadsheetml/2006/main">
  <authors>
    <author>Noam Glick</author>
    <author>Bobby Renz</author>
    <author>Anne Fahrig Choate</author>
  </authors>
  <commentList>
    <comment ref="J1" authorId="0" shapeId="0">
      <text>
        <r>
          <rPr>
            <b/>
            <sz val="8"/>
            <color indexed="81"/>
            <rFont val="Tahoma"/>
            <family val="2"/>
          </rPr>
          <t>Noam Glick:</t>
        </r>
        <r>
          <rPr>
            <sz val="8"/>
            <color indexed="81"/>
            <rFont val="Tahoma"/>
            <family val="2"/>
          </rPr>
          <t xml:space="preserve">
See comment in cell N5 of "composting - net flux" in GHG_MSTR. </t>
        </r>
      </text>
    </comment>
    <comment ref="Q1" authorId="1" shapeId="0">
      <text>
        <r>
          <rPr>
            <b/>
            <sz val="8"/>
            <color indexed="81"/>
            <rFont val="Tahoma"/>
            <family val="2"/>
          </rPr>
          <t>Bobby Renz:</t>
        </r>
        <r>
          <rPr>
            <sz val="8"/>
            <color indexed="81"/>
            <rFont val="Tahoma"/>
            <family val="2"/>
          </rPr>
          <t xml:space="preserve">
This column could possibly be consolidated into a single cell, similar to cell C55 on the Summary Data NRG sheet.</t>
        </r>
      </text>
    </comment>
    <comment ref="H30" authorId="2" shapeId="0">
      <text>
        <r>
          <rPr>
            <b/>
            <sz val="8"/>
            <color indexed="81"/>
            <rFont val="Tahoma"/>
            <family val="2"/>
          </rPr>
          <t>Anne Fahrig Choate:</t>
        </r>
        <r>
          <rPr>
            <sz val="8"/>
            <color indexed="81"/>
            <rFont val="Tahoma"/>
            <family val="2"/>
          </rPr>
          <t xml:space="preserve">
This formula includes values for oxidation and emissions avoided per ton combusted that are NOT specific to mixed paper b/x these values are the same for all material types.
This formula refers to weighted averages of newspaper, office paper, coated paper, and corrugated cardboard calculated below this table.  These averages were calculated separately because they wouldn't fit in this formula.</t>
        </r>
      </text>
    </comment>
    <comment ref="H31" authorId="2" shapeId="0">
      <text>
        <r>
          <rPr>
            <b/>
            <sz val="8"/>
            <color indexed="81"/>
            <rFont val="Tahoma"/>
            <family val="2"/>
          </rPr>
          <t xml:space="preserve">Anne Fahrig Choate:
</t>
        </r>
        <r>
          <rPr>
            <sz val="8"/>
            <color indexed="81"/>
            <rFont val="Tahoma"/>
            <family val="2"/>
          </rPr>
          <t>This formula includes values for oxidation and emissions avoided per ton combusted that are NOT specific to mixed paper b/x these values are the same for all material types.
This formula refers to weighted averages of newspaper, office paper, coated paper, and corrugated cardboard calculated below this table.  These averages were calculated separately because they wouldn't fit in this formula.</t>
        </r>
      </text>
    </comment>
    <comment ref="H32" authorId="2" shapeId="0">
      <text>
        <r>
          <rPr>
            <b/>
            <sz val="8"/>
            <color indexed="81"/>
            <rFont val="Tahoma"/>
            <family val="2"/>
          </rPr>
          <t>Anne Fahrig Choate:</t>
        </r>
        <r>
          <rPr>
            <sz val="8"/>
            <color indexed="81"/>
            <rFont val="Tahoma"/>
            <family val="2"/>
          </rPr>
          <t xml:space="preserve">
This formula includes values for oxidation and emissions avoided per ton combusted that are NOT specific to mixed paper b/x these values are the same for all material types.
This formula refers to weighted averages of newspaper, office paper, coated paper, and corrugated cardboard calculated below this table.  These averages were calculated separately because they wouldn't fit in this formula.</t>
        </r>
      </text>
    </comment>
    <comment ref="H35" authorId="2" shapeId="0">
      <text>
        <r>
          <rPr>
            <b/>
            <sz val="8"/>
            <color indexed="81"/>
            <rFont val="Tahoma"/>
            <family val="2"/>
          </rPr>
          <t>Anne Fahrig Choate:</t>
        </r>
        <r>
          <rPr>
            <sz val="8"/>
            <color indexed="81"/>
            <rFont val="Tahoma"/>
            <family val="2"/>
          </rPr>
          <t xml:space="preserve">
This formula includes values for oxidation and emissions avoided per ton combusted that are NOT specific to mixed paper b/x these values are the same for all material types.
This formula refers to weighted averages of newspaper, office paper, coated paper, and corrugated cardboard calculated below this table.  These averages were calculated separately because they wouldn't fit in this formula.</t>
        </r>
      </text>
    </comment>
    <comment ref="C69" authorId="1" shapeId="0">
      <text>
        <r>
          <rPr>
            <b/>
            <sz val="8"/>
            <color indexed="81"/>
            <rFont val="Tahoma"/>
            <family val="2"/>
          </rPr>
          <t xml:space="preserve">Adam Brundage:
</t>
        </r>
        <r>
          <rPr>
            <sz val="8"/>
            <color indexed="81"/>
            <rFont val="Tahoma"/>
            <family val="2"/>
          </rPr>
          <t xml:space="preserve">To check the original, replace this with 1.0976 (which is 1/cell F21 on Utility Emissions tab in GHG_MSTR). </t>
        </r>
      </text>
    </comment>
    <comment ref="C72" authorId="1" shapeId="0">
      <text>
        <r>
          <rPr>
            <b/>
            <sz val="8"/>
            <color indexed="81"/>
            <rFont val="Tahoma"/>
            <family val="2"/>
          </rPr>
          <t xml:space="preserve">Adam Brundage:
</t>
        </r>
        <r>
          <rPr>
            <sz val="8"/>
            <color indexed="81"/>
            <rFont val="Tahoma"/>
            <family val="2"/>
          </rPr>
          <t xml:space="preserve">This factor also changes based on region selected in "Analysis Inputs" tab. </t>
        </r>
      </text>
    </comment>
  </commentList>
</comments>
</file>

<file path=xl/comments3.xml><?xml version="1.0" encoding="utf-8"?>
<comments xmlns="http://schemas.openxmlformats.org/spreadsheetml/2006/main">
  <authors>
    <author>CJ</author>
  </authors>
  <commentList>
    <comment ref="C77" authorId="0" shapeId="0">
      <text>
        <r>
          <rPr>
            <b/>
            <sz val="9"/>
            <color indexed="81"/>
            <rFont val="Tahoma"/>
            <family val="2"/>
          </rPr>
          <t>CJ:</t>
        </r>
        <r>
          <rPr>
            <sz val="9"/>
            <color indexed="81"/>
            <rFont val="Tahoma"/>
            <family val="2"/>
          </rPr>
          <t xml:space="preserve">
Is this 2nd list necessary? Can't we just combine with above?</t>
        </r>
      </text>
    </comment>
  </commentList>
</comments>
</file>

<file path=xl/comments4.xml><?xml version="1.0" encoding="utf-8"?>
<comments xmlns="http://schemas.openxmlformats.org/spreadsheetml/2006/main">
  <authors>
    <author>Chris Evans</author>
  </authors>
  <commentList>
    <comment ref="C45" authorId="0" shapeId="0">
      <text>
        <r>
          <rPr>
            <b/>
            <sz val="8"/>
            <color indexed="81"/>
            <rFont val="Tahoma"/>
            <family val="2"/>
          </rPr>
          <t>Chris Evans:</t>
        </r>
        <r>
          <rPr>
            <sz val="8"/>
            <color indexed="81"/>
            <rFont val="Tahoma"/>
            <family val="2"/>
          </rPr>
          <t xml:space="preserve">
Calculated based on weighted average of food waste and yard trimmings (nearly 50/50).</t>
        </r>
      </text>
    </comment>
  </commentList>
</comments>
</file>

<file path=xl/comments5.xml><?xml version="1.0" encoding="utf-8"?>
<comments xmlns="http://schemas.openxmlformats.org/spreadsheetml/2006/main">
  <authors>
    <author>Noam Glick</author>
    <author>Adam</author>
  </authors>
  <commentList>
    <comment ref="A4" authorId="0" shapeId="0">
      <text>
        <r>
          <rPr>
            <b/>
            <sz val="8"/>
            <color indexed="81"/>
            <rFont val="Tahoma"/>
            <family val="2"/>
          </rPr>
          <t>Adam Brundage:</t>
        </r>
        <r>
          <rPr>
            <sz val="8"/>
            <color indexed="81"/>
            <rFont val="Tahoma"/>
            <family val="2"/>
          </rPr>
          <t xml:space="preserve">
GHG Equivalency Calculator</t>
        </r>
      </text>
    </comment>
    <comment ref="A6" authorId="0" shapeId="0">
      <text>
        <r>
          <rPr>
            <b/>
            <sz val="8"/>
            <color indexed="81"/>
            <rFont val="Tahoma"/>
            <family val="2"/>
          </rPr>
          <t>Adam Brundage:</t>
        </r>
        <r>
          <rPr>
            <sz val="8"/>
            <color indexed="81"/>
            <rFont val="Tahoma"/>
            <family val="2"/>
          </rPr>
          <t xml:space="preserve">
GHG Equivalency Calculator</t>
        </r>
      </text>
    </comment>
    <comment ref="A12" authorId="0" shapeId="0">
      <text>
        <r>
          <rPr>
            <b/>
            <sz val="8"/>
            <color indexed="81"/>
            <rFont val="Tahoma"/>
            <family val="2"/>
          </rPr>
          <t>Adam Brundage:</t>
        </r>
        <r>
          <rPr>
            <sz val="8"/>
            <color indexed="81"/>
            <rFont val="Tahoma"/>
            <family val="2"/>
          </rPr>
          <t xml:space="preserve">
GHG Equivalency Calculator</t>
        </r>
      </text>
    </comment>
    <comment ref="A16" authorId="0" shapeId="0">
      <text>
        <r>
          <rPr>
            <b/>
            <sz val="8"/>
            <color indexed="81"/>
            <rFont val="Tahoma"/>
            <family val="2"/>
          </rPr>
          <t>Adam Brundage:</t>
        </r>
        <r>
          <rPr>
            <sz val="8"/>
            <color indexed="81"/>
            <rFont val="Tahoma"/>
            <family val="2"/>
          </rPr>
          <t xml:space="preserve">
GHG Equivalency Calculator</t>
        </r>
      </text>
    </comment>
    <comment ref="B21" authorId="1" shapeId="0">
      <text>
        <r>
          <rPr>
            <b/>
            <sz val="8"/>
            <color indexed="81"/>
            <rFont val="Tahoma"/>
            <family val="2"/>
          </rPr>
          <t>Adam:</t>
        </r>
        <r>
          <rPr>
            <sz val="8"/>
            <color indexed="81"/>
            <rFont val="Tahoma"/>
            <family val="2"/>
          </rPr>
          <t xml:space="preserve">
http://www.climatetrust.org/solicitations_Open_Metrics.php</t>
        </r>
      </text>
    </comment>
  </commentList>
</comments>
</file>

<file path=xl/comments6.xml><?xml version="1.0" encoding="utf-8"?>
<comments xmlns="http://schemas.openxmlformats.org/spreadsheetml/2006/main">
  <authors>
    <author>Adam Brundage</author>
    <author>Bobby Renz</author>
    <author>Noam Glick</author>
  </authors>
  <commentList>
    <comment ref="F1" authorId="0" shapeId="0">
      <text>
        <r>
          <rPr>
            <b/>
            <sz val="10"/>
            <color indexed="81"/>
            <rFont val="Tahoma"/>
            <family val="2"/>
          </rPr>
          <t>Adam Brundage:</t>
        </r>
        <r>
          <rPr>
            <sz val="10"/>
            <color indexed="81"/>
            <rFont val="Tahoma"/>
            <family val="2"/>
          </rPr>
          <t xml:space="preserve">
Because the online WARM is not functional for LFG collection differences or regional grid offset differences, the default selections on the Analysis Inputs tab should be set FIRST before mapping to the online version. 
The default settings are: 
- National Average Grid Mix
- Current Mix
- National Average LFG Recovery
- Recover for Energy 
- Average Default Landfill Conditions
-Typical Operation Landfill
- Average conditions (k=0.04)
- Default Transport Distances
We should consider "locking" these cells so that they always reflect these conditions... 
</t>
        </r>
        <r>
          <rPr>
            <b/>
            <sz val="10"/>
            <color indexed="81"/>
            <rFont val="Tahoma"/>
            <family val="2"/>
          </rPr>
          <t xml:space="preserve">BR: </t>
        </r>
        <r>
          <rPr>
            <sz val="10"/>
            <color indexed="81"/>
            <rFont val="Tahoma"/>
            <family val="2"/>
          </rPr>
          <t>These cells are now "locked" and will not change with any changes to user inputs.</t>
        </r>
      </text>
    </comment>
    <comment ref="K1" authorId="1" shapeId="0">
      <text>
        <r>
          <rPr>
            <b/>
            <sz val="10"/>
            <color indexed="81"/>
            <rFont val="Tahoma"/>
            <family val="2"/>
          </rPr>
          <t>Bobby Renz:</t>
        </r>
        <r>
          <rPr>
            <sz val="10"/>
            <color indexed="81"/>
            <rFont val="Tahoma"/>
            <family val="2"/>
          </rPr>
          <t xml:space="preserve">
This value should be brought into the WARM_constants.js file to define constant "cnstTransportationFactor" for when "energyunits = false."</t>
        </r>
      </text>
    </comment>
    <comment ref="L1" authorId="2" shapeId="0">
      <text>
        <r>
          <rPr>
            <b/>
            <sz val="8"/>
            <color indexed="81"/>
            <rFont val="Tahoma"/>
            <family val="2"/>
          </rPr>
          <t>Noam Glick:</t>
        </r>
        <r>
          <rPr>
            <sz val="8"/>
            <color indexed="81"/>
            <rFont val="Tahoma"/>
            <family val="2"/>
          </rPr>
          <t xml:space="preserve">
Calculatied as transportation adjustment factor times the difference b/w the he customized miles and the default miles (20) -- IF OPTION TO "DEFINE DISTANCE" IS SELECTED. </t>
        </r>
      </text>
    </comment>
    <comment ref="G54" authorId="2" shapeId="0">
      <text>
        <r>
          <rPr>
            <b/>
            <sz val="8"/>
            <color indexed="81"/>
            <rFont val="Tahoma"/>
            <family val="2"/>
          </rPr>
          <t>Noam Glick:</t>
        </r>
        <r>
          <rPr>
            <sz val="8"/>
            <color indexed="81"/>
            <rFont val="Tahoma"/>
            <family val="2"/>
          </rPr>
          <t xml:space="preserve">
I used % of total recovery to do weighting.  Should this be % of generation?  I don't think so, but need to verify. </t>
        </r>
      </text>
    </comment>
    <comment ref="H54" authorId="2" shapeId="0">
      <text>
        <r>
          <rPr>
            <b/>
            <sz val="8"/>
            <color indexed="81"/>
            <rFont val="Tahoma"/>
            <family val="2"/>
          </rPr>
          <t>Noam Glick:</t>
        </r>
        <r>
          <rPr>
            <sz val="8"/>
            <color indexed="81"/>
            <rFont val="Tahoma"/>
            <family val="2"/>
          </rPr>
          <t xml:space="preserve">
I used % of total recovery to do weighting.  Should this be % of generation?  I don't think so, but need to verify. </t>
        </r>
      </text>
    </comment>
  </commentList>
</comments>
</file>

<file path=xl/comments7.xml><?xml version="1.0" encoding="utf-8"?>
<comments xmlns="http://schemas.openxmlformats.org/spreadsheetml/2006/main">
  <authors>
    <author>Adam Brundage</author>
    <author>Bobby Renz</author>
    <author>Noam Glick</author>
  </authors>
  <commentList>
    <comment ref="F1" authorId="0" shapeId="0">
      <text>
        <r>
          <rPr>
            <b/>
            <sz val="10"/>
            <color indexed="81"/>
            <rFont val="Tahoma"/>
            <family val="2"/>
          </rPr>
          <t>Adam Brundage:</t>
        </r>
        <r>
          <rPr>
            <sz val="10"/>
            <color indexed="81"/>
            <rFont val="Tahoma"/>
            <family val="2"/>
          </rPr>
          <t xml:space="preserve">
Because the online WARM is not functional for LFG collection differences or regional grid offset differences, the default selections on the Analysis Inputs tab should be set FIRST before mapping to the online version. 
The default settings are: 
- National Average Grid Mix
- Current Mix
- National Average LFG Recovery
- Recover for Energy 
- Average Default Landfill Conditions
-Typical Operation Landfill
- Average conditions (k=0.04)
- Default Transport Distances
We should consider "locking" these cells so that they always reflect these conditions... 
</t>
        </r>
        <r>
          <rPr>
            <b/>
            <sz val="10"/>
            <color indexed="81"/>
            <rFont val="Tahoma"/>
            <family val="2"/>
          </rPr>
          <t xml:space="preserve">BR: </t>
        </r>
        <r>
          <rPr>
            <sz val="10"/>
            <color indexed="81"/>
            <rFont val="Tahoma"/>
            <family val="2"/>
          </rPr>
          <t>These cells are now "locked" and will not change with any changes to user inputs.</t>
        </r>
      </text>
    </comment>
    <comment ref="K1" authorId="1" shapeId="0">
      <text>
        <r>
          <rPr>
            <b/>
            <sz val="10"/>
            <color indexed="81"/>
            <rFont val="Tahoma"/>
            <family val="2"/>
          </rPr>
          <t>Bobby Renz:</t>
        </r>
        <r>
          <rPr>
            <sz val="10"/>
            <color indexed="81"/>
            <rFont val="Tahoma"/>
            <family val="2"/>
          </rPr>
          <t xml:space="preserve">
This value should be brought into the WARM_constants.js file to define constant "cnstTransportationFactor" for when "energyunits = true."</t>
        </r>
      </text>
    </comment>
    <comment ref="G54" authorId="2" shapeId="0">
      <text>
        <r>
          <rPr>
            <b/>
            <sz val="8"/>
            <color indexed="81"/>
            <rFont val="Tahoma"/>
            <family val="2"/>
          </rPr>
          <t>Noam Glick:</t>
        </r>
        <r>
          <rPr>
            <sz val="8"/>
            <color indexed="81"/>
            <rFont val="Tahoma"/>
            <family val="2"/>
          </rPr>
          <t xml:space="preserve">
I used % of total recovery to do weighting.  Should this be % of generation?  I don't think so, but need to verify. </t>
        </r>
      </text>
    </comment>
    <comment ref="H54" authorId="2" shapeId="0">
      <text>
        <r>
          <rPr>
            <b/>
            <sz val="8"/>
            <color indexed="81"/>
            <rFont val="Tahoma"/>
            <family val="2"/>
          </rPr>
          <t>Noam Glick:</t>
        </r>
        <r>
          <rPr>
            <sz val="8"/>
            <color indexed="81"/>
            <rFont val="Tahoma"/>
            <family val="2"/>
          </rPr>
          <t xml:space="preserve">
I used % of total recovery to do weighting.  Should this be % of generation?  I don't think so, but need to verify. </t>
        </r>
      </text>
    </comment>
  </commentList>
</comments>
</file>

<file path=xl/sharedStrings.xml><?xml version="1.0" encoding="utf-8"?>
<sst xmlns="http://schemas.openxmlformats.org/spreadsheetml/2006/main" count="5886" uniqueCount="1013">
  <si>
    <t>Set up as driver for adjustment for landfill methane.  Incorporates flare/recovery question, as well as fossil fuel/avg fuel question from inputs.</t>
  </si>
  <si>
    <t>Change natl avg LF factor to be sensitive to assumption on displacing fossil fuel vs avg fuel mix (input Question 6).</t>
  </si>
  <si>
    <t>Changed sign on Anne's adjustment.  This fixes combustion calcs for fossil fuel vs all fuels (inputs Q6).</t>
  </si>
  <si>
    <t>There are still problems with the way this sheet incorporates answers to Q6 (fossil fuel/ all fuel) -- it doesn't get the distinction right (for all materials, anyway) between CO2 from avoided utility emissions, and CH4.  Max error is about 9% between MTCE from An Results and MTCE from An Results by gas.</t>
  </si>
  <si>
    <t>Dimensional Lumber</t>
  </si>
  <si>
    <t>Name</t>
  </si>
  <si>
    <t>Organization</t>
  </si>
  <si>
    <t>b)  Emissions estimates provided by this model are intended to support voluntary GHG measurement</t>
  </si>
  <si>
    <t>and reporting initiatives.</t>
  </si>
  <si>
    <t>Project Period</t>
  </si>
  <si>
    <t>Note: a negative value (i.e., a value in parentheses) indicates a reduction in energy consumption; a positive value indicates an increase.</t>
  </si>
  <si>
    <t>Report Boolean</t>
  </si>
  <si>
    <t>Lookup</t>
  </si>
  <si>
    <t>Lookup 2</t>
  </si>
  <si>
    <t>Report, Analysis Results, Analysis Results by Gas</t>
  </si>
  <si>
    <t>Footnotes</t>
  </si>
  <si>
    <t>Made edits to footnotes.</t>
  </si>
  <si>
    <t>Column A</t>
  </si>
  <si>
    <t>Renumbered questions.</t>
  </si>
  <si>
    <t>Energy Analysis -- Summary Report</t>
  </si>
  <si>
    <t>Per Ton Estimates of Energy Use for Alternative Management Scenarios</t>
  </si>
  <si>
    <t>Energy Use from Baseline Management of Municipal Solid Wastes</t>
  </si>
  <si>
    <t>Conversion Factors</t>
  </si>
  <si>
    <t>Fuel Consumption and Emissions for an “Average” Passenger Car for One Year</t>
  </si>
  <si>
    <t>Average fuel consumption (gallons/year)</t>
  </si>
  <si>
    <t>Average fuel consumption (Million Btu/year)</t>
  </si>
  <si>
    <r>
      <t>Average CO</t>
    </r>
    <r>
      <rPr>
        <vertAlign val="subscript"/>
        <sz val="10"/>
        <rFont val="Arial"/>
        <family val="2"/>
      </rPr>
      <t>2</t>
    </r>
    <r>
      <rPr>
        <sz val="10"/>
        <rFont val="Arial"/>
        <family val="2"/>
      </rPr>
      <t xml:space="preserve"> emissions (metric tons)</t>
    </r>
  </si>
  <si>
    <t>MTCE</t>
  </si>
  <si>
    <t>http://www.usctcgateway.net/tool/</t>
  </si>
  <si>
    <t>Gallons of Gasoline Saved</t>
  </si>
  <si>
    <t>Energy Content of Crude Oil</t>
  </si>
  <si>
    <t>Million Btu/barrel</t>
  </si>
  <si>
    <t>Energy Content of Gasoline</t>
  </si>
  <si>
    <t>gallons/barrel</t>
  </si>
  <si>
    <t>Million Btu/gallon</t>
  </si>
  <si>
    <t>Energy Consumption for "Average" Household for One Year</t>
  </si>
  <si>
    <t>mmBTU delivered (does not include system losses)</t>
  </si>
  <si>
    <t>MMBtu/household/year (Electricity only. Does not include onsite oil/gas/wood fuel consumption)</t>
  </si>
  <si>
    <t>mmBTU primary (does include system losses)</t>
  </si>
  <si>
    <t>MMBtu/household/year (total primary energy consumption)</t>
  </si>
  <si>
    <t>average energy consumed (delivered)</t>
  </si>
  <si>
    <t>kWh</t>
  </si>
  <si>
    <t>Btu/kWh</t>
  </si>
  <si>
    <t>The emissions from landfilling depends on whether the landfill where your waste is disposed has a landfill gas (LFG) control system.  If you do not know whether your landfill has LFG control, select</t>
  </si>
  <si>
    <t>Delaware</t>
  </si>
  <si>
    <t>District Of Columbia</t>
  </si>
  <si>
    <t xml:space="preserve">Emissions that occur during transport of materials to the management facility are included in this model.  You may use default transport distances, indicated in the table below, or provide information on the </t>
  </si>
  <si>
    <t>If you have chosen to provide information, please fill in the table below.  Distances should be from the curb to the landfill, combustor, or material recovery facility (MRF).</t>
  </si>
  <si>
    <t>*Please note that if you chose to provide information, you must provide distances for both the baseline and the alternative scenarios.</t>
  </si>
  <si>
    <t xml:space="preserve">If you wish to personalize your results report, input your name &amp; organization, and also specify the project period corresponding to the data you entered above.  </t>
  </si>
  <si>
    <t xml:space="preserve">In order to account for the avoided electricity-related emissions in the landfilling and combustion pathways, EPA assigns the appropriate regional "marginal" electricity grid mix emission factor based on your location. </t>
  </si>
  <si>
    <r>
      <t>Total Change in GHG Emissions (MTCO</t>
    </r>
    <r>
      <rPr>
        <b/>
        <vertAlign val="subscript"/>
        <sz val="12"/>
        <rFont val="Arial"/>
        <family val="2"/>
      </rPr>
      <t>2</t>
    </r>
    <r>
      <rPr>
        <b/>
        <sz val="12"/>
        <rFont val="Arial"/>
        <family val="2"/>
      </rPr>
      <t>E):</t>
    </r>
  </si>
  <si>
    <t>Total Change in Energy Use (million BTU):</t>
  </si>
  <si>
    <t>Asphalt Concrete</t>
  </si>
  <si>
    <t>Asphalt Shingles</t>
  </si>
  <si>
    <t>Drywall</t>
  </si>
  <si>
    <t>Fiberglass Insulation</t>
  </si>
  <si>
    <t>Vinyl Flooring</t>
  </si>
  <si>
    <t>Wood Flooring</t>
  </si>
  <si>
    <t>Corrugated Containers</t>
  </si>
  <si>
    <t>Changed food waste to Food Scraps, changed yard waste to yard trimmings</t>
  </si>
  <si>
    <t>Added a cell formula to calculate baseline emissions for food scraps. (used to be a zero in the cell)</t>
  </si>
  <si>
    <t>NO LONGER USED</t>
  </si>
  <si>
    <t>NOT USED</t>
  </si>
  <si>
    <t xml:space="preserve">Which of the following moisture conditions and associated bulk MSW decay rate (k) most accurately describes the average conditions at the landfill? </t>
  </si>
  <si>
    <t xml:space="preserve">The decay rates, also referred to as k values, describe the rate of change per year (yr-1) for the decomposition of organic waste in landfills. A higher average decay rate means that waste decomposes faster in the landfill.  </t>
  </si>
  <si>
    <t>Landfill gas collection efficiency (%) assumptions</t>
  </si>
  <si>
    <t xml:space="preserve">Typical </t>
  </si>
  <si>
    <t>Worst-case</t>
  </si>
  <si>
    <t>Aggressive</t>
  </si>
  <si>
    <t>Waste Reduction Model (WARM) -- Inputs</t>
  </si>
  <si>
    <t>Summer 2010</t>
  </si>
  <si>
    <t>Wendy Jaglom</t>
  </si>
  <si>
    <t>Added C&amp;D Materials (Asphalt Concrete, Asphalt Shingles, Drywall, Fiberglass Insulation, Vinyl Flooring, Wood Flooring)</t>
  </si>
  <si>
    <t>All relevant tabs</t>
  </si>
  <si>
    <t>Implemented VLOOKUPS for all C&amp;D materials</t>
  </si>
  <si>
    <t>Made naming conventions consistent. WARM now consistently uses "Food Scraps", "Corrugated Containers", "Mixed Paper (general)", "Mixed Paper (primarily residential)", "Mixed Paper (primarily from offices)"</t>
  </si>
  <si>
    <r>
      <t>Changed "CO</t>
    </r>
    <r>
      <rPr>
        <vertAlign val="subscript"/>
        <sz val="10"/>
        <rFont val="Arial"/>
        <family val="2"/>
      </rPr>
      <t>2</t>
    </r>
    <r>
      <rPr>
        <sz val="10"/>
        <rFont val="Arial"/>
        <family val="2"/>
      </rPr>
      <t>" to "GHG"</t>
    </r>
  </si>
  <si>
    <t>Changed default output from MTCE to MTCO2E</t>
  </si>
  <si>
    <t>Updated formulas to pull from Analysis Results (MTCO2E) instead of  multiplying MTCE Summary Report by conversion factor</t>
  </si>
  <si>
    <t>c) The GHG emissions results estimated in WARM indicate the full life-cycle benefits waste management alternatives. Due to the timing of the GHG emissions from the waste management pathways, (e.g., avoided landfilling and increased recycling), the actual GHG implications may accrue over the long-term. Therefore, one should not interpret the GHG emissions implications as occurring all in one year, but rather through time.</t>
  </si>
  <si>
    <t xml:space="preserve">Select state for which you are conducting this analysis. </t>
  </si>
  <si>
    <t>Waste Reduction Model (WARM) -- Results</t>
  </si>
  <si>
    <t>All Units in MTCO2E/ton</t>
  </si>
  <si>
    <t>Aluminum Ingot</t>
  </si>
  <si>
    <t>PLA</t>
  </si>
  <si>
    <t>LLDPE</t>
  </si>
  <si>
    <t>PP</t>
  </si>
  <si>
    <t>PS</t>
  </si>
  <si>
    <t>PVC</t>
  </si>
  <si>
    <t xml:space="preserve"> MTCO2E/ton-mile</t>
  </si>
  <si>
    <t>Avoided Utility for combustion pathway (MTCO2E/Ton combusted)</t>
  </si>
  <si>
    <r>
      <t>Ratio of MTCO2E avoided utility C per MTCO2E CH</t>
    </r>
    <r>
      <rPr>
        <b/>
        <vertAlign val="subscript"/>
        <sz val="10"/>
        <rFont val="Arial"/>
        <family val="2"/>
      </rPr>
      <t xml:space="preserve">4 </t>
    </r>
    <r>
      <rPr>
        <b/>
        <sz val="10"/>
        <rFont val="Arial"/>
        <family val="2"/>
      </rPr>
      <t>for landfill pathway</t>
    </r>
  </si>
  <si>
    <t>Emission Factor for Delivered Electricity (MMBTU/MTCO2E)</t>
  </si>
  <si>
    <t>Ratio of MTCO2E avoided utility C per MTCO2E CH4</t>
  </si>
  <si>
    <t>Fall 2011</t>
  </si>
  <si>
    <t>Nikita Pavlenko</t>
  </si>
  <si>
    <t>Efs for Web</t>
  </si>
  <si>
    <t>Efs for Web (energy)</t>
  </si>
  <si>
    <t>Updated the contact email at the bottom of the user's guide writeup.</t>
  </si>
  <si>
    <t>Added rows for new materials. Greyed-out unused cells. Modified all cells to calculate results in units of MTCO2e rather than MTCE.</t>
  </si>
  <si>
    <t>Added rows for new materials. Expanded vlookup counters in column C.</t>
  </si>
  <si>
    <t>Updated formulae to pull from Summary Data and multiply by a conversion factor.</t>
  </si>
  <si>
    <t>Updated formulae to pull from Summary Data.</t>
  </si>
  <si>
    <t>Changed tables so they no longer vary based on analysis inputs and added rows for new materials.</t>
  </si>
  <si>
    <t>Changed tables so they no longer vary based on analysis inputs and added rows for new materials. Greyed-out unused cells.</t>
  </si>
  <si>
    <t>Avoided Utility</t>
  </si>
  <si>
    <t>Added rows for new materials.</t>
  </si>
  <si>
    <t>Landfill Gas Collection</t>
  </si>
  <si>
    <t>MTCESheets</t>
  </si>
  <si>
    <t>MTCO2ESheets</t>
  </si>
  <si>
    <t>Control</t>
  </si>
  <si>
    <t>Summary Repor (energy)</t>
  </si>
  <si>
    <t>Greyed-out unused cells. Deleted unused named ranges related to phased and by gas results.</t>
  </si>
  <si>
    <t>Summary Table of Avoided Utility CO2 Per Ton Combusted at Mass Burn Facilities (MTCO2E)</t>
  </si>
  <si>
    <t>Propane Cylinders Used for Home Barbeques</t>
  </si>
  <si>
    <t>Railroad Cars Worth of Coal</t>
  </si>
  <si>
    <t>Average CO2 emissions (metric tons)/railcar</t>
  </si>
  <si>
    <t>Average CO2 emissions (metric tons)/cylinder</t>
  </si>
  <si>
    <t>Average CO2 emissions (metric tons)/gallon</t>
  </si>
  <si>
    <t xml:space="preserve">Source: </t>
  </si>
  <si>
    <t>Cylinders of Propane Used for Home Barbeques</t>
  </si>
  <si>
    <t>Railway Cars of Coal</t>
  </si>
  <si>
    <t xml:space="preserve">Energy Use from Baseline Waste Management (million BTU): </t>
  </si>
  <si>
    <t xml:space="preserve">Energy Use from Alternative Waste Management Scenario (million BTU): </t>
  </si>
  <si>
    <t>Barrels of Oil</t>
  </si>
  <si>
    <t>Gallons of Gasoline</t>
  </si>
  <si>
    <t>This is equivalent to…</t>
  </si>
  <si>
    <t>Magazines/Third-class Mail</t>
  </si>
  <si>
    <t>All unhidden sheets</t>
  </si>
  <si>
    <t>all</t>
  </si>
  <si>
    <t>Fly Ash</t>
  </si>
  <si>
    <t xml:space="preserve">Fixed fonts to display arial, rather than helvetica or any other fonts.  </t>
  </si>
  <si>
    <t>to</t>
  </si>
  <si>
    <t>GHG Emissions Analysis -- Summary Report</t>
  </si>
  <si>
    <t>Moved Analysis inputs sheet to be first</t>
  </si>
  <si>
    <t>Improves logic of presentation.</t>
  </si>
  <si>
    <t>Minor formatting changes in summary reports sheet.</t>
  </si>
  <si>
    <t>Summary Report</t>
  </si>
  <si>
    <t>Edited text per my conversation with Randy.</t>
  </si>
  <si>
    <t>Hid MDF and solid wood rows.</t>
  </si>
  <si>
    <t>All</t>
  </si>
  <si>
    <t xml:space="preserve">Hid all unneccessary sheets. </t>
  </si>
  <si>
    <t>Protected all unhidden sheets.</t>
  </si>
  <si>
    <t>Revised the website used for the MSW GHG Report.  Added hyperlink only in Summary Report Sheet.</t>
  </si>
  <si>
    <t>Note: a negative value (i.e., a value in parentheses) indicates an emission reduction; a positive value indicates an emission increase.</t>
  </si>
  <si>
    <t>will be blank when you are ready to make another model run.</t>
  </si>
  <si>
    <t xml:space="preserve">Note:  If you wish to save these results, rename this file (e.g., WARM-MN1) and save it.  Then the "Analysis Inputs" sheet of the "WARM" file </t>
  </si>
  <si>
    <t xml:space="preserve">Tons Recycled </t>
  </si>
  <si>
    <t xml:space="preserve">Total MTCE </t>
  </si>
  <si>
    <t>Amanda</t>
  </si>
  <si>
    <t>Analysis Results</t>
  </si>
  <si>
    <t>Fixed the problem that would not allow source reduction to appear on the Summary Report Page</t>
  </si>
  <si>
    <t>Revised all cells that linked to Landfill Calculations Sheet or Franklin Data Sheet so they would pull directly from GHG Master</t>
  </si>
  <si>
    <t>Column H, I, J, K</t>
  </si>
  <si>
    <t xml:space="preserve">Column B, C, D, E, G, H, I, J, AG </t>
  </si>
  <si>
    <t>Continued to revise all cells that linked to landfill calculations, franklin data, or tellus data sheets, so they would pull directly from GHG_MSTR.</t>
  </si>
  <si>
    <t>Revised all cells that linked to Landfill Calculations Sheet, Tellus Data sheet, or Franklin Data Sheet so they would pull directly from GHG Master.</t>
  </si>
  <si>
    <t>Changed numbers and factors so that the type of mixed paper would match between sheets (they were listed in different orders and numbers got mixed up).</t>
  </si>
  <si>
    <t>Cell H16</t>
  </si>
  <si>
    <t>Changed formula: changed a multiplication sign to a plus sign between the if then statement and H21.  It was changed to match all the other cells in this column.</t>
  </si>
  <si>
    <t>Cell H3</t>
  </si>
  <si>
    <t>Changed formula: changed the CH7 Z17 reference to CH7 AA17 to match other formulas, also deleted last multiplication by percent methane from landfills with LFG recovery and elec.gen. So it would match the others.</t>
  </si>
  <si>
    <t>Changed formula: deleted last multiplication by percent methane from landfills with LFG recovery and elec. gen. so it would match the others.</t>
  </si>
  <si>
    <t>Cell H4</t>
  </si>
  <si>
    <t xml:space="preserve">Summary Data </t>
  </si>
  <si>
    <t>Changed formula: added the last section of the formula: H21*Ch7 AA# so that it would match the earlier formulas.</t>
  </si>
  <si>
    <t>H14, H15</t>
  </si>
  <si>
    <t>I14, I15</t>
  </si>
  <si>
    <t>Changed Dim. Lumber and MDF formulas to include the difference bewteen GHG emissions from landfills with and without LFG recovery.  Now it matches the earlier formulas.</t>
  </si>
  <si>
    <t>J8-J13</t>
  </si>
  <si>
    <t>Changed the cell reference to H# rather than I# so it would match the other formulas.</t>
  </si>
  <si>
    <t>J14, J15</t>
  </si>
  <si>
    <t>Updated the cell references to H rather than I and added the rest of the formula that adds incremental GHG emissions related to flaring efficiency minus net GHG emissions.</t>
  </si>
  <si>
    <t>K8-K15</t>
  </si>
  <si>
    <t>Changed the cell reference to H# rather than J# so it would match the other formulas.</t>
  </si>
  <si>
    <t xml:space="preserve">Franklin </t>
  </si>
  <si>
    <t>Deleted sheet</t>
  </si>
  <si>
    <t>K2-4; K14-21</t>
  </si>
  <si>
    <t>Change
(Alt - Base) MTCE</t>
  </si>
  <si>
    <r>
      <t>Change
(Alt - Base) MTCO</t>
    </r>
    <r>
      <rPr>
        <b/>
        <vertAlign val="subscript"/>
        <sz val="8"/>
        <rFont val="Arial"/>
        <family val="2"/>
      </rPr>
      <t>2</t>
    </r>
    <r>
      <rPr>
        <b/>
        <sz val="8"/>
        <rFont val="Arial"/>
        <family val="2"/>
      </rPr>
      <t>E</t>
    </r>
  </si>
  <si>
    <t>Deleted the part of the equation that linked to Analysis Inputs I162 (which was once tied to the toggle button for fossil fuels vs. all fuels).  Since this question no longer exists in Analysis Inputs, there is no need to clutter these equations with the extra if then statement that results in 0 because Analysis I162 will never be anything but 1.</t>
  </si>
  <si>
    <t>M2-M17</t>
  </si>
  <si>
    <t xml:space="preserve">Deleted the part of the equation that linked to Analysis Inputs I162 (which was once tied to the toggle button for fossil fuels vs. all fuels).  Since this question no longer exists in Analysis Inputs, there is no need to clutter these equations with the </t>
  </si>
  <si>
    <t>H21</t>
  </si>
  <si>
    <t>Set this to zero because Analysis Inputs cell I162 will never equal 2.</t>
  </si>
  <si>
    <t>AG22; AJ3-AJ18</t>
  </si>
  <si>
    <t>H2-H20</t>
  </si>
  <si>
    <r>
      <t xml:space="preserve">Corrected the transportation </t>
    </r>
    <r>
      <rPr>
        <i/>
        <sz val="10"/>
        <rFont val="Arial"/>
        <family val="2"/>
      </rPr>
      <t xml:space="preserve">adjustment </t>
    </r>
    <r>
      <rPr>
        <sz val="10"/>
        <rFont val="Arial"/>
        <family val="2"/>
      </rPr>
      <t>"if/then" statements in these cells.  We previously had Distance-Default/Default*Transp. EF.  I changed it to (Distance-Default/Default)* Transp. EF.</t>
    </r>
  </si>
  <si>
    <t>AA3-AA21</t>
  </si>
  <si>
    <t>K5-K7</t>
  </si>
  <si>
    <t>Changed formulas for mixed paper grades to use the value in column H as a starting point, then adjust for recovery efficiency using the weighted average of values from row AB in GHG_MSTR, Chp 7 and then subtracted net CH4 emissions (already included in the H value) using the values in column BA in GHG_MSTR.</t>
  </si>
  <si>
    <t>F2-F20</t>
  </si>
  <si>
    <t>M2-M20</t>
  </si>
  <si>
    <t>AJ2-21</t>
  </si>
  <si>
    <t>V3-V17</t>
  </si>
  <si>
    <r>
      <t xml:space="preserve">Added a transportation </t>
    </r>
    <r>
      <rPr>
        <i/>
        <sz val="10"/>
        <rFont val="Arial"/>
        <family val="2"/>
      </rPr>
      <t xml:space="preserve">adjustment </t>
    </r>
    <r>
      <rPr>
        <sz val="10"/>
        <rFont val="Arial"/>
        <family val="2"/>
      </rPr>
      <t>"if/then" statements in these cells to match those in the Summary Data sheet under Recycling.</t>
    </r>
  </si>
  <si>
    <t>tables</t>
  </si>
  <si>
    <t>Columns A,B, and C rows 51-57, 75-81</t>
  </si>
  <si>
    <t>Fixed hidden formulas so that the Summary Report could "lookup" all of the material types for which data are entered.</t>
  </si>
  <si>
    <t>Copied formulas for the first 15 rows to the last 5 or so rows so that all material types with data entered in the Input sheet would show.</t>
  </si>
  <si>
    <t>B10, B37, and B64</t>
  </si>
  <si>
    <t>Changed string formulas using the round command to round the results to 0 decimal places.</t>
  </si>
  <si>
    <t>Rows 15-16</t>
  </si>
  <si>
    <t>Changed these formulas to link to the correct cell for MDF or DL in GHG master.</t>
  </si>
  <si>
    <t>Changed cell AK10 to match the emission factor calculation found in GHG master.</t>
  </si>
  <si>
    <t>AK10</t>
  </si>
  <si>
    <t>R18</t>
  </si>
  <si>
    <t>Analysis Results by Gas</t>
  </si>
  <si>
    <t>Changed cell formula to match the emission factor calculation found in GHG master.  Steel cans is the only material with CH4 emissions from combustion, it was probably overlooked initially.</t>
  </si>
  <si>
    <t>AG26-AH28</t>
  </si>
  <si>
    <t>Bobby Renz</t>
  </si>
  <si>
    <t>Converted to side-by-side format; added coloring and box formatting.</t>
  </si>
  <si>
    <t>User's Guide</t>
  </si>
  <si>
    <t>Added coloring and box formatting.</t>
  </si>
  <si>
    <t>Analysis Inputs; All report/results sheets</t>
  </si>
  <si>
    <t>Rounded all values (other than equivalencies) to the nearest tenth.</t>
  </si>
  <si>
    <t>Equivalencies Tab</t>
  </si>
  <si>
    <t>Added equivalencies tab to contain all calculations used for GHG and energy equivalencies</t>
  </si>
  <si>
    <t>Added equivalences for % of US Transportation CO2 emissions, % of US Electricity CO2 emissions, gallons of gasoline, cylinders of propane, and railcars of coal.</t>
  </si>
  <si>
    <t>MTCO2e</t>
  </si>
  <si>
    <r>
      <t>Annual CO</t>
    </r>
    <r>
      <rPr>
        <vertAlign val="subscript"/>
        <sz val="10"/>
        <rFont val="Arial"/>
        <family val="2"/>
      </rPr>
      <t>2</t>
    </r>
    <r>
      <rPr>
        <sz val="10"/>
        <rFont val="Arial"/>
        <family val="2"/>
      </rPr>
      <t xml:space="preserve"> emissions from the U.S. transportation sector</t>
    </r>
  </si>
  <si>
    <t>Annual CO2 emissions from the U.S. electricity sector</t>
  </si>
  <si>
    <t xml:space="preserve">Changed the cell formulas to match how GHG master calculated those emission factors.  </t>
  </si>
  <si>
    <t>Broad</t>
  </si>
  <si>
    <t>Residential</t>
  </si>
  <si>
    <t>Office</t>
  </si>
  <si>
    <t>Rows I, J, K</t>
  </si>
  <si>
    <t xml:space="preserve">Changed formulas to exactly match calculations in GHG master for landfills with specific LFG practices.  Some have notes to mark any slight differences from GHG_MSTR.  </t>
  </si>
  <si>
    <t>E117-118</t>
  </si>
  <si>
    <t>Added note to user so that transportation analysis would come out correctly.</t>
  </si>
  <si>
    <r>
      <t xml:space="preserve">Corrected the transportation </t>
    </r>
    <r>
      <rPr>
        <i/>
        <sz val="10"/>
        <rFont val="Arial"/>
        <family val="2"/>
      </rPr>
      <t xml:space="preserve">adjustment </t>
    </r>
    <r>
      <rPr>
        <sz val="10"/>
        <rFont val="Arial"/>
        <family val="2"/>
      </rPr>
      <t xml:space="preserve">"if/then" statements in these cells to Distance-Default/Default*Transp. credit.  </t>
    </r>
  </si>
  <si>
    <t>F18-F20</t>
  </si>
  <si>
    <t>Fixed links to transportation credit in Summary Exhibits.  This had been causing MDF to give a "value" response when transportation distance was provided because the transportation adjustment section was multiplied by the value for the material below MDF in the Summary Exhibit file.</t>
  </si>
  <si>
    <t>F5-F7</t>
  </si>
  <si>
    <t>Transportation - Recycling</t>
  </si>
  <si>
    <t>Transportation - Landfilling</t>
  </si>
  <si>
    <t>Transportation - Combustion</t>
  </si>
  <si>
    <t>Transportation - Composting</t>
  </si>
  <si>
    <t>Changed transportation adjustment factors from rows 14-16 to rows 15-17 in Summary Exhibits.  They were off by one row.</t>
  </si>
  <si>
    <t>H14-H20</t>
  </si>
  <si>
    <t>Changed transportation adjustment factors to appropriate rows in Summary Exhibits.  They were referring to the wrong rows…which didn't matter since all the factors are 0.01</t>
  </si>
  <si>
    <t>Web transp #s</t>
  </si>
  <si>
    <t>Households' Annual Energy Consumption</t>
  </si>
  <si>
    <t>New Sheet -- used to develop transportation adjustment factors for web version of WARM.</t>
  </si>
  <si>
    <t>col F</t>
  </si>
  <si>
    <t>All Units in million BTU/ton</t>
  </si>
  <si>
    <t>Revised if/then statements to account for transportation distances in the portion of the equation dealing with recycled transportation energy.  Previously, transportation adjustment had been applied to loss rates times the difference between recycled and virgin transportation energy.</t>
  </si>
  <si>
    <t>O16, O17</t>
  </si>
  <si>
    <t>Linked cells to matching cells in GHG master (so that there is an emission factor for Yard trimmings and Food waste in WARM.</t>
  </si>
  <si>
    <t>V25, V26</t>
  </si>
  <si>
    <t>AL17, AL18</t>
  </si>
  <si>
    <t>H72, H73</t>
  </si>
  <si>
    <t>Changed cell formula to include emissions from composting.</t>
  </si>
  <si>
    <t>G48, G49</t>
  </si>
  <si>
    <t>Changed cell formula to include emissions from composting. (all others on this page were OK)</t>
  </si>
  <si>
    <t>M101-M105</t>
  </si>
  <si>
    <t>Changed cell formulas for incremental tons of these materials, b/c they were pulling from one row below where they should've been pulling.</t>
  </si>
  <si>
    <t>M53</t>
  </si>
  <si>
    <t>J24-30 and 51-57</t>
  </si>
  <si>
    <t>Adam Brundage</t>
  </si>
  <si>
    <t>Linked to correct values in GHG_MSTR for columns F, G, and H</t>
  </si>
  <si>
    <t>Summary Data NRG</t>
  </si>
  <si>
    <t xml:space="preserve">Linked to correct values in Energy Savings spreadsheet for combustion pathway (column I). </t>
  </si>
  <si>
    <t>updated equivalency factor for "passenger cars removed" to match latest GHG equivalency calculator values</t>
  </si>
  <si>
    <t>Summary Report (energy)</t>
  </si>
  <si>
    <t>updated equivalency factor for "households' energy consumption", "barrels of oil", and "gallons of gasoline" to match latest GHG equivalency calculator values</t>
  </si>
  <si>
    <t>Changed blue input cells to Not Applicable for all MDF, DL, grass, leaves and branches</t>
  </si>
  <si>
    <t>Changed cells from zero to NA and revised sums for MDF, DL, grass, leaves, and branches so that they would NOT include composting.</t>
  </si>
  <si>
    <t>I16-34, L39-57, M39-57, N51-57, N63-81, O63-81, P75-81, M87-105, N87-105, O99-105</t>
  </si>
  <si>
    <t>Changed cells from zero to NA and revised sums for grass, leaves, and branches so that they would NOT include composting.</t>
  </si>
  <si>
    <t>F50-52, G50-52, G74-76, H74-76, F98-100, G98-100</t>
  </si>
  <si>
    <t>Mixed Recyclables</t>
  </si>
  <si>
    <t>Rows 28-31, 56-59</t>
  </si>
  <si>
    <t>Added a row for Mixed Recyclables and hid the rows for grass, leaves, and branches</t>
  </si>
  <si>
    <t>Rows 35, 59, 60, 84, 85, 109, 110</t>
  </si>
  <si>
    <t>Added rows for Mixed Recyclables and added the new row into all summations</t>
  </si>
  <si>
    <t>Rows 106-108, 81-83, 56-58, 32-34</t>
  </si>
  <si>
    <t>Hid rows for grass, leaves and branches</t>
  </si>
  <si>
    <t>Row 21 and 72</t>
  </si>
  <si>
    <t xml:space="preserve">Added rows for Mixed Recyclables </t>
  </si>
  <si>
    <t>Row 22 and 74</t>
  </si>
  <si>
    <t>Added rows for Mixed Recyclables</t>
  </si>
  <si>
    <t xml:space="preserve">Row 22 </t>
  </si>
  <si>
    <t>Added row for Mixed Recyclables</t>
  </si>
  <si>
    <t>Rows 27-29, 51-53, 76-78, 101-103</t>
  </si>
  <si>
    <t>Rows 30, 54, 79, 104</t>
  </si>
  <si>
    <t>Updated the cell formula to include lookup of Mixed Recyclables</t>
  </si>
  <si>
    <t>Re-linked Row 21</t>
  </si>
  <si>
    <t>Relinked cells to distribution of mixed recyclables in GHG_MSTR</t>
  </si>
  <si>
    <t>Magazines/third-class mail</t>
  </si>
  <si>
    <t>Please Select a State…</t>
  </si>
  <si>
    <t>Alabama</t>
  </si>
  <si>
    <t>East South Central</t>
  </si>
  <si>
    <t>Middle Atlantic</t>
  </si>
  <si>
    <t>Alaska</t>
  </si>
  <si>
    <t>Pacific</t>
  </si>
  <si>
    <t>East North Central</t>
  </si>
  <si>
    <t>Arizona</t>
  </si>
  <si>
    <t>West North Central</t>
  </si>
  <si>
    <t>Arkansas</t>
  </si>
  <si>
    <t>West South Central</t>
  </si>
  <si>
    <t>California</t>
  </si>
  <si>
    <t>Colorado</t>
  </si>
  <si>
    <t>Connecticut</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</si>
  <si>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</si>
  <si>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</si>
  <si>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</si>
  <si>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</si>
  <si>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</si>
  <si>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</si>
  <si>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</si>
  <si>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</si>
  <si>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</si>
  <si>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</si>
  <si>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</si>
  <si>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</si>
  <si>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</si>
  <si>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</si>
  <si>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</si>
  <si>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</si>
  <si>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</si>
  <si>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</si>
  <si>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</si>
  <si>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</si>
  <si>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</si>
  <si>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</si>
  <si>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</si>
  <si>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</si>
  <si>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</si>
  <si>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Oklahoma</t>
  </si>
  <si>
    <t>Oregon</t>
  </si>
  <si>
    <t>Pennsylvania</t>
  </si>
  <si>
    <t>Rhode Island</t>
  </si>
  <si>
    <t>South Carolina</t>
  </si>
  <si>
    <t>Tennessee</t>
  </si>
  <si>
    <t>Texas</t>
  </si>
  <si>
    <t>Utah</t>
  </si>
  <si>
    <t>Vermont</t>
  </si>
  <si>
    <t>Virginia</t>
  </si>
  <si>
    <t>Washington</t>
  </si>
  <si>
    <t>West Virginia</t>
  </si>
  <si>
    <t>Wisconsin</t>
  </si>
  <si>
    <t>Wyoming</t>
  </si>
  <si>
    <t xml:space="preserve">Region Location: </t>
  </si>
  <si>
    <t>National Average</t>
  </si>
  <si>
    <t>Please select state or select national average:</t>
  </si>
  <si>
    <t>Summary Table of Ratio of landfill avoided utility ratio</t>
  </si>
  <si>
    <t>For the Landfilling Pathway</t>
  </si>
  <si>
    <t>For Combustion Pathway</t>
  </si>
  <si>
    <t>eGRID Regional GHG per MMBtu</t>
  </si>
  <si>
    <t>kg CE/kWh output</t>
  </si>
  <si>
    <t>kg CE/MMBtu output</t>
  </si>
  <si>
    <t>BTU/kWh</t>
  </si>
  <si>
    <t xml:space="preserve">Pacific </t>
  </si>
  <si>
    <t>Mountain</t>
  </si>
  <si>
    <t>New England</t>
  </si>
  <si>
    <t>South Atlantic</t>
  </si>
  <si>
    <t>Region</t>
  </si>
  <si>
    <t>4.</t>
  </si>
  <si>
    <t>6a.</t>
  </si>
  <si>
    <t>6b.</t>
  </si>
  <si>
    <t>Avoided Utility for combustion pathway (MMBtu/Ton combusted)</t>
  </si>
  <si>
    <t>Assumed efficiency of regional grid (%)</t>
  </si>
  <si>
    <t>Landfill gas collection scenario</t>
  </si>
  <si>
    <t>Landfill moisture conditions:</t>
  </si>
  <si>
    <t>Proxy</t>
  </si>
  <si>
    <t>Typical operation: Phased in collection with improved cover</t>
  </si>
  <si>
    <t>Worst-case collection under EPA New Source Performance Standards (NSPS)</t>
  </si>
  <si>
    <t>Aggressive gas collection, typical bioreactor operation</t>
  </si>
  <si>
    <t>Landfill mositure conditions</t>
  </si>
  <si>
    <t>Dry (k=0.02)</t>
  </si>
  <si>
    <t>Average (k = 0.04)</t>
  </si>
  <si>
    <t>Wet (k = 0.08)</t>
  </si>
  <si>
    <t>Bioreactor (k = 0.12)</t>
  </si>
  <si>
    <t>Landfill gas collection efficiency based on user input</t>
  </si>
  <si>
    <t xml:space="preserve">starting column </t>
  </si>
  <si>
    <t>additional column</t>
  </si>
  <si>
    <t>starting column</t>
  </si>
  <si>
    <t>SUM</t>
  </si>
  <si>
    <t>For Vlookup purposes</t>
  </si>
  <si>
    <t>To estimate the benefits from source reduction, EPA usually assumes that the material that is source reduced would have been manufactured from the current mix of virgin and recycled inputs.</t>
  </si>
  <si>
    <t xml:space="preserve">However, you may choose to estimate the emission reductions from source reduction under the assumption that the material would have been manufactured from 100% virgin inputs in order to obtain an upper </t>
  </si>
  <si>
    <t>Phonebooks</t>
  </si>
  <si>
    <t>Textbooks</t>
  </si>
  <si>
    <t>Mixed Organics</t>
  </si>
  <si>
    <t>Mixed Plastics</t>
  </si>
  <si>
    <t>Recycling of Post-Consumer Material: Default or Customized Transportation Distance</t>
  </si>
  <si>
    <t>Landfilling of Post-Consumer Material: Recovery Assumptions</t>
  </si>
  <si>
    <t>Landfilling, National Average: Default or Customized Transportation Distance</t>
  </si>
  <si>
    <t>Landfilling, No Recovery: Default or Customized Transportation Distance</t>
  </si>
  <si>
    <t>carbon seq</t>
  </si>
  <si>
    <t>weighted ave carbon seq</t>
  </si>
  <si>
    <t>Calculation of LF Mixed Recyclables</t>
  </si>
  <si>
    <t>Calculation of LF Mixed Paper averages</t>
  </si>
  <si>
    <t>Calculation of LF Mixed Organics</t>
  </si>
  <si>
    <t>Susan</t>
  </si>
  <si>
    <t>Increased decimal places showing for CF4 and C2F6</t>
  </si>
  <si>
    <t>Increased decimal places showing for CF4 and C2F7</t>
  </si>
  <si>
    <t>Source Reduction: Current Mix or 100% Virgin</t>
  </si>
  <si>
    <t>Landfilling, Flaring: Default or Customized System Collection Efficiency &amp; Transportation Distance</t>
  </si>
  <si>
    <t>EFs for web</t>
  </si>
  <si>
    <t>Summary Report (MTCE)</t>
  </si>
  <si>
    <t>Summary Report (MTCO2E)</t>
  </si>
  <si>
    <t>Analysis Results (MTCE)</t>
  </si>
  <si>
    <t>Analysis Results (MTCO2E)</t>
  </si>
  <si>
    <t>Summary Report by Gas</t>
  </si>
  <si>
    <t>Summary Report by Gas_Phased</t>
  </si>
  <si>
    <t>Summary Data Phased</t>
  </si>
  <si>
    <t>Summary Data by Gas Phased</t>
  </si>
  <si>
    <t>Emission Factors</t>
  </si>
  <si>
    <t>Revisions</t>
  </si>
  <si>
    <t>Check Calculations</t>
  </si>
  <si>
    <t>Res by Gas</t>
  </si>
  <si>
    <t>Landfilling, Energy Recovery: Default or Customized System Collection Efficiency &amp; Transportation Distance</t>
  </si>
  <si>
    <t>Transportation to MRF/Landfill</t>
  </si>
  <si>
    <t>Landfilling, No Recovery</t>
  </si>
  <si>
    <t>CO2/ton-mile</t>
  </si>
  <si>
    <t>Landfilling, National Average</t>
  </si>
  <si>
    <t>methane generation, for flaring</t>
  </si>
  <si>
    <t>methane generation, for lfgte</t>
  </si>
  <si>
    <t>weighted average methane generation, for flaring</t>
  </si>
  <si>
    <t>weighted average methane generation, for LFGTE</t>
  </si>
  <si>
    <t>Personal Computers</t>
  </si>
  <si>
    <t xml:space="preserve">Added rows and formulas for carpets and personal computers </t>
  </si>
  <si>
    <t>B17:B21</t>
  </si>
  <si>
    <t>Zeroed out organics source reduction to allow this option</t>
  </si>
  <si>
    <t>Annual CO2 emissions from the U.S. Transportation sector (Tg CO2e)</t>
  </si>
  <si>
    <t>Annual CO2 emissions from the U.S. electricity sector (Tg CO2e)</t>
  </si>
  <si>
    <t>O29:O33</t>
  </si>
  <si>
    <t>Removed NA to allow for alternative source reduction option for organics</t>
  </si>
  <si>
    <t>E27:E31</t>
  </si>
  <si>
    <t>Made sure that organics were zeroed out instead of NA</t>
  </si>
  <si>
    <t>Lauren Pederson</t>
  </si>
  <si>
    <r>
      <t>Annual CO</t>
    </r>
    <r>
      <rPr>
        <vertAlign val="subscript"/>
        <sz val="10"/>
        <rFont val="Arial"/>
        <family val="2"/>
      </rPr>
      <t>2</t>
    </r>
    <r>
      <rPr>
        <sz val="10"/>
        <rFont val="Arial"/>
        <family val="2"/>
      </rPr>
      <t xml:space="preserve"> emissions from the U.S. electricity sector</t>
    </r>
  </si>
  <si>
    <t>b)  Emissions estimates provided by this model are intended to support voluntary GHG measurement and reporting initiatives.</t>
  </si>
  <si>
    <t>Insertion of copper for summary data, analysis results, and summary reports!</t>
  </si>
  <si>
    <t>Inserted 1 row.</t>
  </si>
  <si>
    <t>Copper Wire</t>
  </si>
  <si>
    <t>Million Btu/ton-mile</t>
  </si>
  <si>
    <t>Total Energy Use from Baseline MSW Generation and Management (million BTU):</t>
  </si>
  <si>
    <t xml:space="preserve">Total Energy Use from Alternative MSW Generation and Management (million BTU): </t>
  </si>
  <si>
    <t>Incremental Energy Use (million BTU):</t>
  </si>
  <si>
    <t xml:space="preserve">For more detailed analyses of GHG emissions, see the sheet(s) titled "Analysis Results." </t>
  </si>
  <si>
    <t>Tires</t>
  </si>
  <si>
    <r>
      <t>GHG Emissions from Baseline Waste Management (MTCO</t>
    </r>
    <r>
      <rPr>
        <b/>
        <vertAlign val="subscript"/>
        <sz val="10"/>
        <rFont val="Arial"/>
        <family val="2"/>
      </rPr>
      <t>2</t>
    </r>
    <r>
      <rPr>
        <b/>
        <sz val="10"/>
        <rFont val="Arial"/>
        <family val="2"/>
      </rPr>
      <t xml:space="preserve">E):  </t>
    </r>
  </si>
  <si>
    <r>
      <t>GHG Emissions from Alternative Waste Management Scenario (MTCO</t>
    </r>
    <r>
      <rPr>
        <b/>
        <vertAlign val="subscript"/>
        <sz val="10"/>
        <rFont val="Arial"/>
        <family val="2"/>
      </rPr>
      <t>2</t>
    </r>
    <r>
      <rPr>
        <b/>
        <sz val="10"/>
        <rFont val="Arial"/>
        <family val="2"/>
      </rPr>
      <t xml:space="preserve">E):  </t>
    </r>
  </si>
  <si>
    <t>Jeremy/Matt</t>
  </si>
  <si>
    <t>(added 3 rows)</t>
  </si>
  <si>
    <t>Jeremy</t>
  </si>
  <si>
    <t>Emission factors updated based on changes to GHG_MSTR</t>
  </si>
  <si>
    <t>All "Results" Sheets</t>
  </si>
  <si>
    <t>Energy/GHG conversions updated to latest Energy Savings Sheet</t>
  </si>
  <si>
    <t>*** Version 6 Released***</t>
  </si>
  <si>
    <t>Revised the combination truck (transport to LF) factor.  Previous value was incorrect.</t>
  </si>
  <si>
    <t>Clay Bricks</t>
  </si>
  <si>
    <t>Noam</t>
  </si>
  <si>
    <t xml:space="preserve">Changed transportation customization calculation using data on CO2 emissions per mile of freight transport. </t>
  </si>
  <si>
    <t>Misc</t>
  </si>
  <si>
    <t xml:space="preserve">Added new worksheets for phased, by gas, and phased/by gas. </t>
  </si>
  <si>
    <t>All sheets</t>
  </si>
  <si>
    <t>Added new materials, reordered materials.</t>
  </si>
  <si>
    <r>
      <t>Incremental GHG Emissions from Combustion (MTCO</t>
    </r>
    <r>
      <rPr>
        <b/>
        <vertAlign val="subscript"/>
        <sz val="6.5"/>
        <rFont val="Arial"/>
        <family val="2"/>
      </rPr>
      <t>2</t>
    </r>
    <r>
      <rPr>
        <b/>
        <sz val="6.5"/>
        <rFont val="Arial"/>
        <family val="2"/>
      </rPr>
      <t>E)</t>
    </r>
  </si>
  <si>
    <r>
      <t>Incremental GHG Emissions from Composting (MTCO</t>
    </r>
    <r>
      <rPr>
        <b/>
        <vertAlign val="subscript"/>
        <sz val="6.5"/>
        <rFont val="Arial"/>
        <family val="2"/>
      </rPr>
      <t>2</t>
    </r>
    <r>
      <rPr>
        <b/>
        <sz val="6.5"/>
        <rFont val="Arial"/>
        <family val="2"/>
      </rPr>
      <t>E)</t>
    </r>
  </si>
  <si>
    <r>
      <t>Total Incremental GHG Emissions (MTCO</t>
    </r>
    <r>
      <rPr>
        <b/>
        <vertAlign val="subscript"/>
        <sz val="6.5"/>
        <rFont val="Arial"/>
        <family val="2"/>
      </rPr>
      <t>2</t>
    </r>
    <r>
      <rPr>
        <b/>
        <sz val="6.5"/>
        <rFont val="Arial"/>
        <family val="2"/>
      </rPr>
      <t>E)</t>
    </r>
  </si>
  <si>
    <r>
      <t>Incremental GHG Emissions from Source Reduction (MTCO</t>
    </r>
    <r>
      <rPr>
        <b/>
        <vertAlign val="subscript"/>
        <sz val="6.5"/>
        <rFont val="Arial"/>
        <family val="2"/>
      </rPr>
      <t>2</t>
    </r>
    <r>
      <rPr>
        <b/>
        <sz val="6.5"/>
        <rFont val="Arial"/>
        <family val="2"/>
      </rPr>
      <t>E)</t>
    </r>
  </si>
  <si>
    <r>
      <t>Incremental GHG Emissions from Recycling (MTCO</t>
    </r>
    <r>
      <rPr>
        <b/>
        <vertAlign val="subscript"/>
        <sz val="6.5"/>
        <rFont val="Arial"/>
        <family val="2"/>
      </rPr>
      <t>2</t>
    </r>
    <r>
      <rPr>
        <b/>
        <sz val="6.5"/>
        <rFont val="Arial"/>
        <family val="2"/>
      </rPr>
      <t>E)</t>
    </r>
  </si>
  <si>
    <r>
      <t>Incremental GHG Emissions from Landfilling (MTCO</t>
    </r>
    <r>
      <rPr>
        <b/>
        <vertAlign val="subscript"/>
        <sz val="6.5"/>
        <rFont val="Arial"/>
        <family val="2"/>
      </rPr>
      <t>2</t>
    </r>
    <r>
      <rPr>
        <b/>
        <sz val="6.5"/>
        <rFont val="Arial"/>
        <family val="2"/>
      </rPr>
      <t>E)</t>
    </r>
  </si>
  <si>
    <r>
      <t>Total GHG Emissions from Baseline MSW Generation and Management (MTCO</t>
    </r>
    <r>
      <rPr>
        <b/>
        <vertAlign val="subscript"/>
        <sz val="10"/>
        <rFont val="Arial"/>
        <family val="2"/>
      </rPr>
      <t>2</t>
    </r>
    <r>
      <rPr>
        <b/>
        <sz val="10"/>
        <rFont val="Arial"/>
        <family val="2"/>
      </rPr>
      <t>E):</t>
    </r>
  </si>
  <si>
    <r>
      <t>Total GHG Emissions from Alternative MSW Generation and Management (MTCO</t>
    </r>
    <r>
      <rPr>
        <b/>
        <vertAlign val="subscript"/>
        <sz val="10"/>
        <rFont val="Arial"/>
        <family val="2"/>
      </rPr>
      <t>2</t>
    </r>
    <r>
      <rPr>
        <b/>
        <sz val="10"/>
        <rFont val="Arial"/>
        <family val="2"/>
      </rPr>
      <t xml:space="preserve">E): </t>
    </r>
  </si>
  <si>
    <r>
      <t>Incremental GHG Emissions (MTCO</t>
    </r>
    <r>
      <rPr>
        <b/>
        <vertAlign val="subscript"/>
        <sz val="10"/>
        <rFont val="Arial"/>
        <family val="2"/>
      </rPr>
      <t>2</t>
    </r>
    <r>
      <rPr>
        <b/>
        <sz val="10"/>
        <rFont val="Arial"/>
        <family val="2"/>
      </rPr>
      <t>E):</t>
    </r>
  </si>
  <si>
    <r>
      <t>MTCO</t>
    </r>
    <r>
      <rPr>
        <b/>
        <vertAlign val="subscript"/>
        <sz val="10"/>
        <rFont val="Arial"/>
        <family val="2"/>
      </rPr>
      <t>2</t>
    </r>
    <r>
      <rPr>
        <b/>
        <sz val="10"/>
        <rFont val="Arial"/>
        <family val="2"/>
      </rPr>
      <t>E = metric tons of carbon dioxide equivalent</t>
    </r>
  </si>
  <si>
    <t>All Units in MMBTU/ton</t>
  </si>
  <si>
    <t>Phased the LFGTE utility offsets over 30 years, total benefits had been applied in year one</t>
  </si>
  <si>
    <t>AX3:BA35; BG3:BI35</t>
  </si>
  <si>
    <t>N3:Q34; Z3:AC34</t>
  </si>
  <si>
    <t>Concrete</t>
  </si>
  <si>
    <t>Added new materials (clay bricks, Concrete, and fly ash)</t>
  </si>
  <si>
    <t>All Sheets</t>
  </si>
  <si>
    <t>Insertion of tires for summary data, analysis results, and summary reports!</t>
  </si>
  <si>
    <t>Inserted 1 row at the bottom of material type list.</t>
  </si>
  <si>
    <r>
      <t>Total MTCO</t>
    </r>
    <r>
      <rPr>
        <b/>
        <vertAlign val="subscript"/>
        <sz val="8"/>
        <rFont val="Arial"/>
        <family val="2"/>
      </rPr>
      <t>2</t>
    </r>
    <r>
      <rPr>
        <b/>
        <sz val="8"/>
        <rFont val="Arial"/>
        <family val="2"/>
      </rPr>
      <t>E</t>
    </r>
  </si>
  <si>
    <r>
      <t>GHG Emissions per Ton of Material Source Reduced (MTCO</t>
    </r>
    <r>
      <rPr>
        <b/>
        <vertAlign val="subscript"/>
        <sz val="6.5"/>
        <rFont val="Arial"/>
        <family val="2"/>
      </rPr>
      <t>2</t>
    </r>
    <r>
      <rPr>
        <b/>
        <sz val="6.5"/>
        <rFont val="Arial"/>
        <family val="2"/>
      </rPr>
      <t>E)</t>
    </r>
  </si>
  <si>
    <r>
      <t>GHG Emissions per Ton of Material Recycled (MTCO</t>
    </r>
    <r>
      <rPr>
        <b/>
        <vertAlign val="subscript"/>
        <sz val="6.5"/>
        <rFont val="Arial"/>
        <family val="2"/>
      </rPr>
      <t>2</t>
    </r>
    <r>
      <rPr>
        <b/>
        <sz val="6.5"/>
        <rFont val="Arial"/>
        <family val="2"/>
      </rPr>
      <t>E)</t>
    </r>
  </si>
  <si>
    <r>
      <t>GHG Emissions per Ton of Material Landfilled (MTCO</t>
    </r>
    <r>
      <rPr>
        <b/>
        <vertAlign val="subscript"/>
        <sz val="6.5"/>
        <rFont val="Arial"/>
        <family val="2"/>
      </rPr>
      <t>2</t>
    </r>
    <r>
      <rPr>
        <b/>
        <sz val="6.5"/>
        <rFont val="Arial"/>
        <family val="2"/>
      </rPr>
      <t>E)</t>
    </r>
  </si>
  <si>
    <r>
      <t>GHG Emissions per Ton of Material Combusted (MTCO</t>
    </r>
    <r>
      <rPr>
        <b/>
        <vertAlign val="subscript"/>
        <sz val="6.5"/>
        <rFont val="Arial"/>
        <family val="2"/>
      </rPr>
      <t>2</t>
    </r>
    <r>
      <rPr>
        <b/>
        <sz val="6.5"/>
        <rFont val="Arial"/>
        <family val="2"/>
      </rPr>
      <t>E)</t>
    </r>
  </si>
  <si>
    <r>
      <t>GHG Emissions per Ton of Material Composted (MTCO</t>
    </r>
    <r>
      <rPr>
        <b/>
        <vertAlign val="subscript"/>
        <sz val="6.5"/>
        <rFont val="Arial"/>
        <family val="2"/>
      </rPr>
      <t>2</t>
    </r>
    <r>
      <rPr>
        <b/>
        <sz val="6.5"/>
        <rFont val="Arial"/>
        <family val="2"/>
      </rPr>
      <t>E)</t>
    </r>
  </si>
  <si>
    <t xml:space="preserve">GHG Emissions from Alternative Waste Management Scenario (MTCE):  </t>
  </si>
  <si>
    <t xml:space="preserve">GHG Emissions from Baseline Waste Management (MTCE): </t>
  </si>
  <si>
    <t>Columns c,e,f,g,and h</t>
  </si>
  <si>
    <t>Total Change in GHG Emissions (MTCE):</t>
  </si>
  <si>
    <t>Total GHG Emissions from Baseline MSW Generation and Management (MTCE):</t>
  </si>
  <si>
    <t xml:space="preserve">Total GHG Emissions from Alternative MSW Generation and Management (MTCE): </t>
  </si>
  <si>
    <t>Incremental GHG Emissions (MTCE):</t>
  </si>
  <si>
    <t>MTCE = metric tons of carbon equivalent</t>
  </si>
  <si>
    <t>Per Ton Estimates of GHG Emissions for Alternative Management Scenarios</t>
  </si>
  <si>
    <t>Material</t>
  </si>
  <si>
    <t>GHG Emissions per Ton of Material Source Reduced (MTCE)</t>
  </si>
  <si>
    <t>GHG Emissions per Ton of Material Recycled (MTCE)</t>
  </si>
  <si>
    <t>GHG Emissions per Ton of Material Landfilled (MTCE)</t>
  </si>
  <si>
    <t>GHG Emissions per Ton of Material Combusted (MTCE)</t>
  </si>
  <si>
    <t>GHG Emissions per Ton of Material Composted (MTCE)</t>
  </si>
  <si>
    <t>Newspaper</t>
  </si>
  <si>
    <t>NA</t>
  </si>
  <si>
    <t>Incremental Energy Consumption from Source Reduction (million BTU)</t>
  </si>
  <si>
    <t>Incremental Energy Consumption from Recycling (million BTU)</t>
  </si>
  <si>
    <t>Incremental Energy Consumption from Landfilling (million BTU)</t>
  </si>
  <si>
    <t>Incremental Energy Consumption from Combustion (million BTU)</t>
  </si>
  <si>
    <t>Incremental Energy Consumption from Composting (million BTU)</t>
  </si>
  <si>
    <t>Energy Savings per Ton of Material Source Reduced (million BTU)</t>
  </si>
  <si>
    <t>Energy Savings per Ton of Material Recycled (million BTU)</t>
  </si>
  <si>
    <t>Energy Savings per Ton of Material Landfilled (million BTU)</t>
  </si>
  <si>
    <t>Energy Savings per Ton of Material Combusted (million BTU)</t>
  </si>
  <si>
    <t>Energy Savings per Ton of Material Composted (million BTU)</t>
  </si>
  <si>
    <t>Office Paper</t>
  </si>
  <si>
    <t>Aluminum Cans</t>
  </si>
  <si>
    <t>Steel Cans</t>
  </si>
  <si>
    <t>Glass</t>
  </si>
  <si>
    <t>HDPE</t>
  </si>
  <si>
    <t>LDPE</t>
  </si>
  <si>
    <t>PET</t>
  </si>
  <si>
    <t>Grass</t>
  </si>
  <si>
    <t>Leaves</t>
  </si>
  <si>
    <t>Branches</t>
  </si>
  <si>
    <t>GHG Emissions from Baseline Management of Municipal Solid Wastes</t>
  </si>
  <si>
    <t>Baseline Generation of Material (Tons)</t>
  </si>
  <si>
    <t>Total</t>
  </si>
  <si>
    <t>Incremental GHG Emissions from Composting (MTCE)</t>
  </si>
  <si>
    <t>Total Incremental GHG Emissions (MTCE)</t>
  </si>
  <si>
    <t>Source Reduction (Tons)</t>
  </si>
  <si>
    <t>Incremental GHG Emissions from Source Reduction (MTCE)</t>
  </si>
  <si>
    <t>Incremental Recycling (Tons)</t>
  </si>
  <si>
    <t>Incremental GHG Emissions from Recycling (MTCE)</t>
  </si>
  <si>
    <t>Incremental Landfilling (Tons)</t>
  </si>
  <si>
    <t>Incremental GHG Emissions from Landfilling (MTCE)</t>
  </si>
  <si>
    <t>Incremental Combustion (Tons)</t>
  </si>
  <si>
    <t>Incremental GHG Emissions from Combustion (MTCE)</t>
  </si>
  <si>
    <t>Incremental Composting (Tons)</t>
  </si>
  <si>
    <t>1.</t>
  </si>
  <si>
    <t>Tons Generated</t>
  </si>
  <si>
    <t>Tons Recycled</t>
  </si>
  <si>
    <t>Tons Landfilled</t>
  </si>
  <si>
    <t>Tons Combusted</t>
  </si>
  <si>
    <t>Tons Composted</t>
  </si>
  <si>
    <t>2.</t>
  </si>
  <si>
    <t>Combination Truck EF calcs</t>
  </si>
  <si>
    <t>gal/ton-mile</t>
  </si>
  <si>
    <t>litre/ton-mile</t>
  </si>
  <si>
    <t>pre-comb factor</t>
  </si>
  <si>
    <t>MT CO2/litre</t>
  </si>
  <si>
    <t>MTCO2/ton-mile</t>
  </si>
  <si>
    <t>MTCE/ton-mile</t>
  </si>
  <si>
    <t>(EPA,1998)</t>
  </si>
  <si>
    <t>Any decrease in generation should be entered in the Source Reduction column.</t>
  </si>
  <si>
    <t>Any increase in generation should be entered in the Source Reduction column as a negative value.</t>
  </si>
  <si>
    <t>Tons Source Reduced</t>
  </si>
  <si>
    <t>3.</t>
  </si>
  <si>
    <t>If your landfill has gas recovery, does it recover the methane for energy or flare it?</t>
  </si>
  <si>
    <t>Medium-density Fiberboard</t>
  </si>
  <si>
    <t>transport distances for the various MSW management options.</t>
  </si>
  <si>
    <t>Management Option</t>
  </si>
  <si>
    <t>Default Distance (Miles)</t>
  </si>
  <si>
    <t>Distance (Miles)</t>
  </si>
  <si>
    <t>Landfill</t>
  </si>
  <si>
    <t>Combustion</t>
  </si>
  <si>
    <t>Recycling</t>
  </si>
  <si>
    <t>Tellus</t>
  </si>
  <si>
    <t>Source Reduction</t>
  </si>
  <si>
    <t xml:space="preserve">Congratulations! You have finished all the inputs.  </t>
  </si>
  <si>
    <t xml:space="preserve">A summary of your results awaits you on the sheet(s) titled "Summary Report."  </t>
  </si>
  <si>
    <t>From</t>
  </si>
  <si>
    <t>Composting</t>
  </si>
  <si>
    <t>Edited a formula that previously exluded the tire emission factors</t>
  </si>
  <si>
    <t>Carpet</t>
  </si>
  <si>
    <t>Mixed MSW</t>
  </si>
  <si>
    <t>Summary Report Phased (MTCE)</t>
  </si>
  <si>
    <t>Summary Report Phased (MTCO2E)</t>
  </si>
  <si>
    <t>Analysis Results Phased (MTCE)</t>
  </si>
  <si>
    <t>Analysis Results Phased(MTCO2E)</t>
  </si>
  <si>
    <t>Analysis Results by Gas_Phased</t>
  </si>
  <si>
    <t>Yard Trimmings</t>
  </si>
  <si>
    <t xml:space="preserve">If the material is not generated in your community or you do not want to analyze it, leave </t>
  </si>
  <si>
    <t>it blank or enter 0.  Make sure that the total quantity generated equals the total quantity managed.</t>
  </si>
  <si>
    <t>Mixed Paper (general)</t>
  </si>
  <si>
    <t>Mixed Paper (primarily residential)</t>
  </si>
  <si>
    <t>Mixed Paper (primarily from offices)</t>
  </si>
  <si>
    <t>DATE</t>
  </si>
  <si>
    <t>NAME</t>
  </si>
  <si>
    <t>WORK SHEET</t>
  </si>
  <si>
    <t>CELL(S)</t>
  </si>
  <si>
    <t>NATURE/REASON FOR REVISION</t>
  </si>
  <si>
    <t>REVISIONS LOG FOR "WARM"</t>
  </si>
  <si>
    <t xml:space="preserve">Anne </t>
  </si>
  <si>
    <t>Analysis Inputs</t>
  </si>
  <si>
    <t>Column D, 36-52</t>
  </si>
  <si>
    <t>Workbook</t>
  </si>
  <si>
    <t xml:space="preserve">Recycling </t>
  </si>
  <si>
    <t xml:space="preserve">Landfilling, Flaring </t>
  </si>
  <si>
    <t>Transportation adjustment factor</t>
  </si>
  <si>
    <t>Landfilling, Energy Recovery</t>
  </si>
  <si>
    <t>Enabled landfill methane capture efficiency user input for each of the different materials.</t>
  </si>
  <si>
    <t>Chris Evans</t>
  </si>
  <si>
    <t>Analysis Results (MTCO2e)</t>
  </si>
  <si>
    <t>Analysis Results (energy)</t>
  </si>
  <si>
    <t>N82, P120, O158</t>
  </si>
  <si>
    <t>O158</t>
  </si>
  <si>
    <t>N82, P120, L158, O158</t>
  </si>
  <si>
    <t>Total Million BTU</t>
  </si>
  <si>
    <t>Fixed cells so that waste generation in the table for question #1 carries over into the waste generation column in question #2 table.</t>
  </si>
  <si>
    <t>Dragged the divider between sheet tabs and the status bar so that you can see the names of the three unhidden sheets (Analysis Results, Analysis Results by Gas, and Analysis Inputs).</t>
  </si>
  <si>
    <t>Sarah Stafford</t>
  </si>
  <si>
    <t>Summary Data by Gas/Analysis Results by Gas</t>
  </si>
  <si>
    <t>Throughout</t>
  </si>
  <si>
    <t>Changed cell formulas to calculate emissions from the proper baseline.  Factors are now calculated from a "waste generation" reference point.</t>
  </si>
  <si>
    <t>Summary Data by Gas</t>
  </si>
  <si>
    <t>Columns B-P, Rows 3-19</t>
  </si>
  <si>
    <t>Linked the third part of the If/then statement (use average of Franklin and Tellus Data) to GHG_MSTR "Summary Exhibits by Gas."</t>
  </si>
  <si>
    <t>Columns V-Z, Rows 3-19</t>
  </si>
  <si>
    <t>Column AA, 3-19</t>
  </si>
  <si>
    <t>Linked to GHG_MSTR "Summary Exhibits by Gas."</t>
  </si>
  <si>
    <t>Linked to GHG_MSTR "Summary Exhibits by Gas," "Chapter 7," and "Assumptions," rather than to internal numbers and to the Landfill Calculations Sheet in WARM.</t>
  </si>
  <si>
    <t>Column AD, 6-8</t>
  </si>
  <si>
    <t>Column BB</t>
  </si>
  <si>
    <t xml:space="preserve">Linked net carbon sequestration to column AT rather than to column R.  This follows the convention used in the Summary Exhibits Sheet, and therefore, in the Executive Summary.  </t>
  </si>
  <si>
    <t>SEE GHG_MSTR Chapter 7</t>
  </si>
  <si>
    <t>Linked to GHG_MSTR as mentioned above, this rectified incorrect cell formulas -- where % composition factors was copied for each paper type but was never changed to reflect each paper type (i.e., Newspaper percentage left as E47 for all three).</t>
  </si>
  <si>
    <t>Columns AC-AF, Rows 3-19</t>
  </si>
  <si>
    <t>Column K</t>
  </si>
  <si>
    <t>Fixed cell formula for material types below glass so that the error message pops up in the right row.</t>
  </si>
  <si>
    <t>Reformatted the note to fit in to three rows…so that it can be read in Excel 95.</t>
  </si>
  <si>
    <t>Summary Data</t>
  </si>
  <si>
    <t>Columns K and M</t>
  </si>
  <si>
    <t>Changed utility factor to Q are R 60 vs. Q and R 59 throughout.</t>
  </si>
  <si>
    <t>Mixed Metals</t>
  </si>
  <si>
    <t>Added utility adjustment (for FF vs All fuels) for mixed paper and adjusted avoided utility CO2 emission factor to use for these (see weighted factor on Landfill Calculation Sheet F42-H42)</t>
  </si>
  <si>
    <t>Column AI</t>
  </si>
  <si>
    <t>Randy</t>
  </si>
  <si>
    <t>Column H</t>
  </si>
  <si>
    <t>H19</t>
  </si>
  <si>
    <t>Removed recycling as a pathway for LDPE; modified the Mixed Plastics material to only include HDPE and PET.</t>
  </si>
  <si>
    <t xml:space="preserve">bound estimate of the benefits from source reduction.  Select which assumption you want to use in the analysis. Note that for materials for which information on the share of recycled inputs used in production is unavailable </t>
  </si>
  <si>
    <t>or is not a common practice; EPA assumes that the current mix is comprised of 100% virgin inputs. Consequently, the source reduction benefits of both the “Current mix” and “100% virgin” inputs are the same.</t>
  </si>
  <si>
    <t>Winter 2012</t>
  </si>
  <si>
    <t>Added more language to question 4 to indicate that for materials for which information on the share of recycled inputs used in production is unavailable or is not a common practice; EPA assumes that the current mix is comprised of 100% virgin inputs. Consequently, the source reduction benefits of both the “Current mix” and “100% virgin” inputs are the same.</t>
  </si>
  <si>
    <t>MMBtu/household/day energy consumed</t>
  </si>
  <si>
    <t>Bread</t>
  </si>
  <si>
    <t>Food Waste (non-meat)</t>
  </si>
  <si>
    <t>Fruits and Vegetables</t>
  </si>
  <si>
    <t>Dairy Products</t>
  </si>
  <si>
    <t>Grains</t>
  </si>
  <si>
    <t>For Vlookup Purposes:</t>
  </si>
  <si>
    <t>Starting Column</t>
  </si>
  <si>
    <t>Additional Column</t>
  </si>
  <si>
    <t>Sum</t>
  </si>
  <si>
    <t>Typical Collection</t>
  </si>
  <si>
    <t>Aggressive Collection</t>
  </si>
  <si>
    <t>k=0.02</t>
  </si>
  <si>
    <t>k=0.04</t>
  </si>
  <si>
    <t>k=0.06</t>
  </si>
  <si>
    <t>k=0.12</t>
  </si>
  <si>
    <t>Landfills Without LFG Recovery</t>
  </si>
  <si>
    <t>Landfills With Recovery and Flaring</t>
  </si>
  <si>
    <t>Net Carbon Storage</t>
  </si>
  <si>
    <t>GHG Emissions from Transportation</t>
  </si>
  <si>
    <t>Landfills With LFG Recovery and Electric Generation</t>
  </si>
  <si>
    <t>Worst-case Collection</t>
  </si>
  <si>
    <t>(a)</t>
  </si>
  <si>
    <t>(b)</t>
  </si>
  <si>
    <t>(c)</t>
  </si>
  <si>
    <t>(d)</t>
  </si>
  <si>
    <t>(e) (e = b + c + d)</t>
  </si>
  <si>
    <t>Net GHG Emissions from Landfilling</t>
  </si>
  <si>
    <t>(MTCO2E/Wet Ton)</t>
  </si>
  <si>
    <t>Landfills With LFG Recovery and Flaring</t>
  </si>
  <si>
    <t>Landfills With  LFG Recovery and Electric Generation</t>
  </si>
  <si>
    <t>Net  Carbon Storage (MTCO2E/Wet Ton)</t>
  </si>
  <si>
    <t>GHG Emissions From Transportation (MTCO2E/Wet Ton)</t>
  </si>
  <si>
    <t>Landfills With  LFG Recovery and Flaring</t>
  </si>
  <si>
    <t>Note that totals may not add due to rounding, and more digits may be displayed than are significant.</t>
  </si>
  <si>
    <t>Material decay rates and landfill gas to energy collection efficiencies (% of gas collected for energy recovery)</t>
  </si>
  <si>
    <t>National Average Decay Rate</t>
  </si>
  <si>
    <t>California Collection</t>
  </si>
  <si>
    <t>Food Waste (Non-Meat)</t>
  </si>
  <si>
    <t>5.</t>
  </si>
  <si>
    <t>Moisture condition assumptions</t>
  </si>
  <si>
    <t>Moderate (k=0.04)</t>
  </si>
  <si>
    <t>Wet (k=0.06)</t>
  </si>
  <si>
    <t>Bioreactor (k=0.12)</t>
  </si>
  <si>
    <t>National average</t>
  </si>
  <si>
    <t>Water is added until the moisture content reaches 40 percent moisture on a wet weight basis</t>
  </si>
  <si>
    <t>California gas collection</t>
  </si>
  <si>
    <t>7.</t>
  </si>
  <si>
    <t>Source: EPA 2014. Inventory of U.S. Greenhouse Gas Emissions and Sinks: 1990–2012, Table ES-2</t>
  </si>
  <si>
    <t>Spring 2014</t>
  </si>
  <si>
    <t>Modified landfilling options under questions 5-7 to reflect expanded landfill data</t>
  </si>
  <si>
    <t>Landfilling EFs</t>
  </si>
  <si>
    <t>Added tab to contain new landfilling data linked to GHG_MSTR</t>
  </si>
  <si>
    <t>Added rows for new materials. Greyed-out unused cells. Updated landfilling columns to link to correct data in GHG_MSTR and the Landfilling EFs tab.</t>
  </si>
  <si>
    <t>Added rows for new materials; implemented rounding error fix in cells P173:P223</t>
  </si>
  <si>
    <t>Added rows for new materials</t>
  </si>
  <si>
    <t>Added rows for new materials; linked to updated data in GHG_MSTR</t>
  </si>
  <si>
    <t>Added rows for new materials; linked to updated data in GHG_MSTR; added columns for new LFG management scenarios</t>
  </si>
  <si>
    <t>Linked to updated data in Energy Savings; updated data source documentation</t>
  </si>
  <si>
    <t>Linked to updated data in GHG_MSTR, other tabs in WARM</t>
  </si>
  <si>
    <t>Linked to updated data in GHG_MSTR, other tabs in WARM, Energy Savings</t>
  </si>
  <si>
    <t xml:space="preserve">"National Average" to calculate emissions based on the estimated proportions of landfills with LFG control in 2012 and proceed to question 7.  If your landfill does not have a LFG system, </t>
  </si>
  <si>
    <t>Less than 20 inches of precipitation per year</t>
  </si>
  <si>
    <t>Between 20 and 40 inches of precipitation per year</t>
  </si>
  <si>
    <t>Greater than 40 inches of precipitation per year</t>
  </si>
  <si>
    <t>Weighted average based on the share of waste received at each landfill type</t>
  </si>
  <si>
    <t>Deanna</t>
  </si>
  <si>
    <t>Updated text to reflect new Facts and Figures, EPA links, and step numbering.</t>
  </si>
  <si>
    <r>
      <t>Solid Waste Management and Greenhouse Gases: A Life-Cycle Assessment of Emissions and Sinks</t>
    </r>
    <r>
      <rPr>
        <sz val="10"/>
        <rFont val="Arial"/>
        <family val="2"/>
      </rPr>
      <t xml:space="preserve"> </t>
    </r>
  </si>
  <si>
    <t>-- available on the Internet at http://epa.gov/epawaste/conserve/tools/warm/SWMGHGreport.html</t>
  </si>
  <si>
    <t>a) For explanation of methodology, see the EPA WARM Documentation:</t>
  </si>
  <si>
    <t>'-- available on the Internet at http://epa.gov/epawaste/conserve/tools/warm/SWMGHGreport.html</t>
  </si>
  <si>
    <t>Summary Report, Analysis Results sheets</t>
  </si>
  <si>
    <t>Updated reference to WARM documentation</t>
  </si>
  <si>
    <t>Analysis Results sheets</t>
  </si>
  <si>
    <t>Changed NAs to linked formulas for Food Waste Source Reduction rows</t>
  </si>
  <si>
    <r>
      <t>Net GHG Emissions from CH</t>
    </r>
    <r>
      <rPr>
        <b/>
        <vertAlign val="subscript"/>
        <sz val="10"/>
        <rFont val="Arial"/>
        <family val="2"/>
      </rPr>
      <t>4</t>
    </r>
    <r>
      <rPr>
        <b/>
        <sz val="10"/>
        <rFont val="Arial"/>
        <family val="2"/>
      </rPr>
      <t xml:space="preserve"> Generation</t>
    </r>
  </si>
  <si>
    <t>For landfills that recover gas, the landfill gas collection efficiency will vary throughout the life of the landfill. Based on a literature review of field measurements and expert discussion, a range of collection</t>
  </si>
  <si>
    <t xml:space="preserve">typical landfill is an approximation of reality.  The worst-case collection scenario represents a landfill that is in compliance with EPA's New Source Performance Standards (NSPS). The aggressive gas </t>
  </si>
  <si>
    <t xml:space="preserve">collection scenario includes landfills where the operator is aggressive in gas collection relative to a typical landfill. Bioreactor landfills, which are operated to accelerate decomposition, are assumed to </t>
  </si>
  <si>
    <t>collect gas aggressively. The California regulatory collection scenario allows users to estimate and view landfill management results based on California regulatory requirements.</t>
  </si>
  <si>
    <t>Bobby</t>
  </si>
  <si>
    <t>Changed landfill-related question numbering, removed NA option for 6a.</t>
  </si>
  <si>
    <t>Modified language under 6b, updated LFG collection efficiency assumptions listed.</t>
  </si>
  <si>
    <t>Added food waste (non-meat) footnote and changed numbering on other footnotes</t>
  </si>
  <si>
    <t>Solid Waste Management and Greenhouse Gases: A Life-Cycle Assessment of Emissions and Sinks</t>
  </si>
  <si>
    <t>BTU = British thermal unit</t>
  </si>
  <si>
    <t>Years 0-1: 0%; Years 2-4: 50%; Years 5-14: 75%; Years 15 to 1 year before final cover: 82.5%; Final cover: 90%</t>
  </si>
  <si>
    <t>Years 0-4: 0%; Years 5-9: 50%; Years 10-14: 75%; Years 15 to 1 year before final cover: 82.5%; Final cover: 90%</t>
  </si>
  <si>
    <t>Year 0: 0%; Year 1: 50%; Years 2-7: 80%; Years 8 to 1 year before final cover: 85%; Final cover: 90%</t>
  </si>
  <si>
    <t>Year 0: 0%; Years 0.5-2: 50%; Years 3-14: 75%; Years 15 to 1 year before final cover: 82.5%; Final cover: 90%</t>
  </si>
  <si>
    <t>select “No LFG Recovery” and proceed to question 8. If a LFG system is in place at your landfill, select “LFG Recovery” and click one of the options in 6a to indicate whether LFG is recovered for energy or flared.</t>
  </si>
  <si>
    <t>North Dakota</t>
  </si>
  <si>
    <t>Ohio</t>
  </si>
  <si>
    <t>South Dakota</t>
  </si>
  <si>
    <t xml:space="preserve">efficiencies was estimated for a series of different landfill scenarios.  The "typical" landfill is judged to represent the average U.S. landfill, although it must be recognized that every landfill is unique and a </t>
  </si>
  <si>
    <t>Food Waste</t>
  </si>
  <si>
    <t>Beef</t>
  </si>
  <si>
    <t>Poultry</t>
  </si>
  <si>
    <r>
      <t xml:space="preserve">Please enter data in short tons (1 short ton = 2,000 lbs.)
Please refer to the User's Guide if you need assistance completing this table.
</t>
    </r>
    <r>
      <rPr>
        <vertAlign val="superscript"/>
        <sz val="10"/>
        <rFont val="Arial"/>
        <family val="2"/>
      </rPr>
      <t>1</t>
    </r>
    <r>
      <rPr>
        <sz val="10"/>
        <rFont val="Arial"/>
        <family val="2"/>
      </rPr>
      <t xml:space="preserve"> Recycled concrete used as aggregate in the production of new concrete.   
</t>
    </r>
    <r>
      <rPr>
        <vertAlign val="superscript"/>
        <sz val="10"/>
        <rFont val="Arial"/>
        <family val="2"/>
      </rPr>
      <t xml:space="preserve">2 </t>
    </r>
    <r>
      <rPr>
        <sz val="10"/>
        <rFont val="Arial"/>
        <family val="2"/>
      </rPr>
      <t xml:space="preserve">Recycled fly ash is utilized to displace portland cement in concrete production.
</t>
    </r>
    <r>
      <rPr>
        <vertAlign val="superscript"/>
        <sz val="10"/>
        <rFont val="Arial"/>
        <family val="2"/>
      </rPr>
      <t>3</t>
    </r>
    <r>
      <rPr>
        <sz val="10"/>
        <rFont val="Arial"/>
        <family val="2"/>
      </rPr>
      <t xml:space="preserve"> Recycling tires is defined in this analysis as using tires for crumb rubber applications and tire-derived aggregate uses in civil engineering applications.</t>
    </r>
  </si>
  <si>
    <t>Food Waste (meat only)</t>
  </si>
  <si>
    <t>Food Waste (Meat only)</t>
  </si>
  <si>
    <t>Winter 2015</t>
  </si>
  <si>
    <t>Added rows for new materials. Fixed error where incorrect lookup values were populating row 9. Fixed error where incorrect lookup values in row 7 were pulling incorrect values from the Landfilling sheet in GHG_MSTR.</t>
  </si>
  <si>
    <t>Added rows for new materials, relinked to corrected regional energy grid values in GHG_MSTR.</t>
  </si>
  <si>
    <t>Added rows for new materials; added source reduction pathway for some mixed materials.</t>
  </si>
  <si>
    <t xml:space="preserve">Added rows for new materials; added source reduction pathway for some mixed materials; linked all data to updated values in GHG_MSTR. </t>
  </si>
  <si>
    <t xml:space="preserve">Added rows for new materials; added source reduction pathway for some mixed materials; linked all data to updated values in GHG_MSTR/Energy Savings. </t>
  </si>
  <si>
    <t>Updated text to reflect new food waste mixed materials categories.</t>
  </si>
  <si>
    <t>Added rows for new materials, used more consistent method for pulling factors from GHG_MSTR/WARM, added source reduction pathway for some mixed materials, linked to updated data in GHG_MSTR, other tabs in WARM</t>
  </si>
  <si>
    <t>EFs for Web (energy)</t>
  </si>
  <si>
    <t>9a.</t>
  </si>
  <si>
    <t>9b.</t>
  </si>
  <si>
    <t>10.</t>
  </si>
  <si>
    <t>Anaerobic Digestion</t>
  </si>
  <si>
    <t>8a.</t>
  </si>
  <si>
    <t>8b.</t>
  </si>
  <si>
    <t>Tons Anaerobically Digested</t>
  </si>
  <si>
    <t>For anaerobic digestion of food waste materials (including beef, poultry, grains, bread, fruits and vegetables, and dairy products), please choose the appropriate type of anaerobic digestion process used.</t>
  </si>
  <si>
    <t>WARM assumes that digestate resulting from anaerobic digestion processes will be applied to land. In many cases, the digestate is cured before land application.</t>
  </si>
  <si>
    <t>When digestate is cured, the digestate is dewatered and any liquids are recovered and returned to the reactor (when using a wet digester). Next, the digestate is aerobically cured in turned windrows, then screened and applied to agricultural fields.</t>
  </si>
  <si>
    <t>Select whether the digestate resulting from your anaerobic digester is cured before land application.</t>
  </si>
  <si>
    <t xml:space="preserve">Wet Digestion with Curing </t>
  </si>
  <si>
    <t>Wet Digestion Direct Application</t>
  </si>
  <si>
    <t>NREL, 2015</t>
  </si>
  <si>
    <t>NREL 2015 Combination Short Haul Diesel Truck OpenLCA https://www.lcacommons.gov/nrel/process/show/54320?qlookup=&amp;max=35&amp;hfacet=%22Truck+Transportation%2FGeneral+Freight+Trucking%22&amp;hfacetCat=%22Truck+Transportation%22&amp;loc=&amp;year=&amp;dtype=&amp;crop=&amp;index=25&amp;numfound=102&amp;offset=</t>
  </si>
  <si>
    <t xml:space="preserve">Dry Digestion with Curing </t>
  </si>
  <si>
    <t>Dry Digestion Direct Application</t>
  </si>
  <si>
    <t>Incremental Anaerobic Digestion (Tons)</t>
  </si>
  <si>
    <t>Incremental Energy Consumption from Anaerobic Digestion (million BTU)</t>
  </si>
  <si>
    <t>GHG Emissions per Ton of Material Anaerobically Digested (MTCE)</t>
  </si>
  <si>
    <t>Version 14</t>
  </si>
  <si>
    <r>
      <t>GHG Emissions from Recycling (MTCO</t>
    </r>
    <r>
      <rPr>
        <b/>
        <vertAlign val="subscript"/>
        <sz val="6.5"/>
        <rFont val="Arial"/>
        <family val="2"/>
      </rPr>
      <t>2</t>
    </r>
    <r>
      <rPr>
        <b/>
        <sz val="6.5"/>
        <rFont val="Arial"/>
        <family val="2"/>
      </rPr>
      <t>E)</t>
    </r>
  </si>
  <si>
    <r>
      <t>GHG Emissions from Landfilling (MTCO</t>
    </r>
    <r>
      <rPr>
        <b/>
        <vertAlign val="subscript"/>
        <sz val="6.5"/>
        <rFont val="Arial"/>
        <family val="2"/>
      </rPr>
      <t>2</t>
    </r>
    <r>
      <rPr>
        <b/>
        <sz val="6.5"/>
        <rFont val="Arial"/>
        <family val="2"/>
      </rPr>
      <t>E)</t>
    </r>
  </si>
  <si>
    <r>
      <t>GHG Emissions from Combustion (MTCO</t>
    </r>
    <r>
      <rPr>
        <b/>
        <vertAlign val="subscript"/>
        <sz val="6.5"/>
        <rFont val="Arial"/>
        <family val="2"/>
      </rPr>
      <t>2</t>
    </r>
    <r>
      <rPr>
        <b/>
        <sz val="6.5"/>
        <rFont val="Arial"/>
        <family val="2"/>
      </rPr>
      <t>E)</t>
    </r>
  </si>
  <si>
    <r>
      <t>GHG Emissions from Composting (MTCO</t>
    </r>
    <r>
      <rPr>
        <b/>
        <vertAlign val="subscript"/>
        <sz val="6.5"/>
        <rFont val="Arial"/>
        <family val="2"/>
      </rPr>
      <t>2</t>
    </r>
    <r>
      <rPr>
        <b/>
        <sz val="6.5"/>
        <rFont val="Arial"/>
        <family val="2"/>
      </rPr>
      <t>E)</t>
    </r>
  </si>
  <si>
    <t>GHG Emissions from Anaerobic Digestion (MTCO2E)</t>
  </si>
  <si>
    <r>
      <t>Total GHG Emissions (MTCO</t>
    </r>
    <r>
      <rPr>
        <b/>
        <vertAlign val="subscript"/>
        <sz val="6.5"/>
        <rFont val="Arial"/>
        <family val="2"/>
      </rPr>
      <t>2</t>
    </r>
    <r>
      <rPr>
        <b/>
        <sz val="6.5"/>
        <rFont val="Arial"/>
        <family val="2"/>
      </rPr>
      <t>E)</t>
    </r>
  </si>
  <si>
    <r>
      <t>GHG Emissions from Source Reduction (MTCO</t>
    </r>
    <r>
      <rPr>
        <b/>
        <vertAlign val="subscript"/>
        <sz val="6.5"/>
        <rFont val="Arial"/>
        <family val="2"/>
      </rPr>
      <t>2</t>
    </r>
    <r>
      <rPr>
        <b/>
        <sz val="6.5"/>
        <rFont val="Arial"/>
        <family val="2"/>
      </rPr>
      <t>E)</t>
    </r>
  </si>
  <si>
    <t>Alternative Source Reduction (Tons)</t>
  </si>
  <si>
    <t>Alternative Recycling (Tons)</t>
  </si>
  <si>
    <t>Alternative Landfilling (Tons)</t>
  </si>
  <si>
    <t>Alternative Combustion (Tons)</t>
  </si>
  <si>
    <t>Alternative Composting (Tons)</t>
  </si>
  <si>
    <t>Alternative Anaerobic Digestion (Tons)</t>
  </si>
  <si>
    <t>Incremental GHG Emissions from Alternative Alternative Management of Municipal Solid Wastes</t>
  </si>
  <si>
    <t>Per Ton Estimates of GHG Emissions for Baseline and Alternative Management Scenarios</t>
  </si>
  <si>
    <t>GHG Emissions from Alternative Management of Municipal Solid Wastes</t>
  </si>
  <si>
    <t>Incremental Energy Use from Alternative Management of Municipal Solid Wastes</t>
  </si>
  <si>
    <t>Energy Use from Alternative Management of Municipal Solid Wastes</t>
  </si>
  <si>
    <t>Incremental GHG Emissions from Alternative Management of Municipal Solid Wastes</t>
  </si>
  <si>
    <t>Energy Consumption from  Anaerobic Digestion (million BTU)</t>
  </si>
  <si>
    <t>Total Energy Consumption (million BTU)</t>
  </si>
  <si>
    <t>Energy Consumption from Recycling (million BTU)</t>
  </si>
  <si>
    <t>Energy Consumption from Landfilling (million BTU)</t>
  </si>
  <si>
    <t>Energy Consumption from Combustion (million BTU)</t>
  </si>
  <si>
    <t>Energy Consumption from Composting (million BTU)</t>
  </si>
  <si>
    <t>Energy Consumption from Source Reduction (million BTU)</t>
  </si>
  <si>
    <t>GHG Emissions from Composting (MTCE)</t>
  </si>
  <si>
    <t>GHG Emissions from Anaerobic Digestion (MTCE)</t>
  </si>
  <si>
    <t>Total GHG Emissions (MTCE)</t>
  </si>
  <si>
    <t>GHG Emissions from Recycling (MTCE)</t>
  </si>
  <si>
    <t>GHG Emissions from Landfilling (MTCE)</t>
  </si>
  <si>
    <t>GHG Emissions from Combustion (MTCE)</t>
  </si>
  <si>
    <t>GHG Emissions from Source Reduction (MTCE)</t>
  </si>
  <si>
    <t>Note that for grass, leaves, branches, yard trimmings and mixed organics, wet digestion is not applicable based on current technology and practices in the United States. Therefore, dry digestion is the only digestion type modeled in WARM for these materials.</t>
  </si>
  <si>
    <r>
      <t>Incremental GHG Emissions from Anaerobic Digestion (MTCO</t>
    </r>
    <r>
      <rPr>
        <b/>
        <vertAlign val="subscript"/>
        <sz val="6.5"/>
        <rFont val="Arial"/>
        <family val="2"/>
      </rPr>
      <t>2</t>
    </r>
    <r>
      <rPr>
        <b/>
        <sz val="6.5"/>
        <rFont val="Arial"/>
        <family val="2"/>
      </rPr>
      <t>E)</t>
    </r>
  </si>
  <si>
    <t>Use this worksheet to describe the baseline and alternative waste management scenarios that you want to compare.  The blue shaded areas indicate where you need to enter information.</t>
  </si>
  <si>
    <t>Describe the baseline generation and management for the waste materials listed below.</t>
  </si>
  <si>
    <t>Describe the alternative management scenario for the waste materials generated in the baseline.</t>
  </si>
  <si>
    <t>eGRID Factors - Combustion</t>
  </si>
  <si>
    <t>Winter 2016</t>
  </si>
  <si>
    <t>Avoided Utility for anaerobic digestion pathway (MTCO2E/Ton combusted)</t>
  </si>
  <si>
    <t>Dry Digestion</t>
  </si>
  <si>
    <t>Direct Application</t>
  </si>
  <si>
    <t>kWh/short ton</t>
  </si>
  <si>
    <t>2014 GHG Inventory, Annex 6 table A-286: Conversion Factors to Energy Units</t>
  </si>
  <si>
    <t>Cured</t>
  </si>
  <si>
    <t>Wet Digestion</t>
  </si>
  <si>
    <t>Food Waste (meat Only)</t>
  </si>
  <si>
    <t>Hannah Wagner</t>
  </si>
  <si>
    <t>All Relevant tabs</t>
  </si>
  <si>
    <t>Updated links to so all old links now pull from newest versions of GHG_MSTR_AD_02_03_16_with energy and Energy Savings_02-02-16</t>
  </si>
  <si>
    <t>Analysis Results and Summary Report Tabs</t>
  </si>
  <si>
    <t xml:space="preserve">Added columns for AD emissions factor, added columns for electricity offset </t>
  </si>
  <si>
    <t>Checked for equivalencies source updates, made changes in Energy Savings Conversions Factors Sheet</t>
  </si>
  <si>
    <t>kg CO2e/kWh output</t>
  </si>
  <si>
    <t>Avoided Utility for anaerobic digestion pathway (MMBTU/Ton combusted)</t>
  </si>
  <si>
    <t xml:space="preserve">Winter 2016 </t>
  </si>
  <si>
    <t xml:space="preserve">Claire Boland </t>
  </si>
  <si>
    <t>Added columns for Anaerobic Digestion; added questions associated with Anaerobic Digestion</t>
  </si>
  <si>
    <t>Added columns for estimated AD and emissions from AD, Added AD to Summary Report; linked to updated values in GHG_MSTR</t>
  </si>
  <si>
    <t>Added anaerobic digestion pathway for food waste and yard trimmings</t>
  </si>
  <si>
    <t>Relinked to corrected regional energy grid values in GHG_MSTR.</t>
  </si>
  <si>
    <t>Updated text to reflect addition of Anaerobic Digestion</t>
  </si>
  <si>
    <t xml:space="preserve">Only one type of digestion process (wet or dry) can be modeled at a time in WARM.  </t>
  </si>
  <si>
    <t>Transmission and Distribution Losses</t>
  </si>
  <si>
    <t>Incremental GHG Emissions from Anaerobic Digestion (MTCE)</t>
  </si>
  <si>
    <t>CURRENTLY NOT IN USE; FACTORS NOT UPDATED FOR WARM VERSION 14</t>
  </si>
  <si>
    <t>http://www.epa.gov/energy/ghg-equivalencies-calculator-calculations-and-references</t>
  </si>
  <si>
    <t>EPA. Greenhouse Gas Equivalencies Calculator- Calculations and References. http://www.epa.gov/energy/ghg-equivalencies-calculator-calculations-and-references</t>
  </si>
  <si>
    <t>Anaerobic Digestion - Electricity generation by material type</t>
  </si>
  <si>
    <t>Make sure that the total quantity generated equals the total quantity managed.</t>
  </si>
  <si>
    <t>Baseline Landfilling (Tons)</t>
  </si>
  <si>
    <t>Baseline Combustion (Tons)</t>
  </si>
  <si>
    <t>Baseline Composting (Tons)</t>
  </si>
  <si>
    <t>Baseline Anaerobic Digestion (Tons)</t>
  </si>
  <si>
    <t>Baseline Recycling (Tons)</t>
  </si>
  <si>
    <t>Energy Consumption from Anaerobic Digestion (million BTU)</t>
  </si>
  <si>
    <t>Total Incremental Energy Consumption (million BTU)</t>
  </si>
  <si>
    <t>Change
(Alt - Base) Million BTU</t>
  </si>
  <si>
    <t>GHG Emission per Ton of Material Anaerobically Digested</t>
  </si>
  <si>
    <t>Energy Savings per Ton of Material Anaerobically Digested (million BTU)</t>
  </si>
  <si>
    <t>RM Material</t>
  </si>
  <si>
    <t>WARM Data Source Definition</t>
  </si>
  <si>
    <t>Primary Data Source</t>
  </si>
  <si>
    <t>Data Source Year</t>
  </si>
  <si>
    <t>Title/Notes</t>
  </si>
  <si>
    <t>Aluminum cans represent cans produced out of sheet rolled aluminum ingot.</t>
  </si>
  <si>
    <t>PE Americas</t>
  </si>
  <si>
    <t>Life Cycle Impact Assessment of Aluminum Beverage Cans</t>
  </si>
  <si>
    <t>Aluminum ingot is processed from molten aluminum in the form of a sheet ingot suitable for rolling, extruding, or shape casting. Thus, it serves as a pre-cursor to manufacture of aluminum products such as aluminum cans. It can serve as a proxy for certain aluminum materials such as electrical transmission and distribution wires, other electrical conductors, some extruded aluminum products, aluminum product cuttings, joinings and weldings, and consumer durable products such as home appliances, computers, and electronics.</t>
  </si>
  <si>
    <t>Aluminum Association</t>
  </si>
  <si>
    <t>Copy of Data for ICF-EPA_Nd.xls. Spreadsheet updated by Neil D'Souza, PE International for ICF International and EPA in response to Life Cycle Impact Assessment of Aluminum Beverage Cans</t>
  </si>
  <si>
    <t>Steel cans represent three-piece welded cans produced from sheet steel which is made in a blast furnace and basic oxygen furnace (for virgin cans) or electric arc furnace (for recycled cans).</t>
  </si>
  <si>
    <t>Franklin Associates</t>
  </si>
  <si>
    <t>Background Document A: A Life Cycle Inventory of Process and Transportation Energy for Eight Different Materials</t>
  </si>
  <si>
    <t>Copper wire is used in various applications including power transmission and generation lines, building wiring, telecommunication, and electrical and electronic products.</t>
  </si>
  <si>
    <t>Energy and Greenhouse Gas Factors for Personal Computers: Final Report</t>
  </si>
  <si>
    <t>Glass represents glass containers (e.g., soft drink bottles and wine bottles)</t>
  </si>
  <si>
    <t>EPA</t>
  </si>
  <si>
    <t>MSW Facts and Figures, (generation data)</t>
  </si>
  <si>
    <t>HDPE (high-density polyethylene) is usually labeled plastic code #2 on the bottom of the container, and refers to a plastic often used to make bottles for milk, juice, water and laundry products. It is also used to make plastic grocery bags.</t>
  </si>
  <si>
    <t>Franklin Associates, American Chemistry Council</t>
  </si>
  <si>
    <t>Cradle-to-Gate Life Cycle Inventory of Nine Plastic Resins and Two Polyurethane Precursors. Revised Final Report</t>
  </si>
  <si>
    <t>LDPE (Low-density polyethylene), usually labeled plastic code #4, is often used to manufacture plastic dry cleaning bags. LDPE is also used to manufacture some flexible lids and bottles.</t>
  </si>
  <si>
    <t>PET (Polyethylene terephthalate) is typically labeled plastic code #1 on the bottom of the container. PET is often used for soft drink and disposable water bottles, but can also include other containers or packaging.</t>
  </si>
  <si>
    <t>LLDPE (linear low-density polyethylene) is used in high-strength film applications. Compared to LDPE, LLDPE's chemical structure contains branches that are much straighter and closely aligned, providing it with a higher tensile strength and making it more resistant to puncturing or shearing.</t>
  </si>
  <si>
    <t>PP (Polypropylene) is used in packaging, automotive parts, or made into synthetic fibres. It can be extruded for use in pipe, conduit, wire, and cable applications. PP's advantages are a high impact strength, high softening point, low density, and resistance to scratching and stress cracking. A drawback is its brittleness at low temperatures</t>
  </si>
  <si>
    <t>Franklin Associates, American Chemistry Council.</t>
  </si>
  <si>
    <t>GPPS has applications in a range of products, primarily domestic appliances, construction, electronics, toys, and food packaging such as containers, produce baskets, and fast food containers (ICIS, 2011d).</t>
  </si>
  <si>
    <t>PVC (Polyvinyl Chloride) is produced as both rigid and flexible resins. Rigid PVC is used for pipe, conduit, and roofing tiles, whereas flexible PVC has applications in wire and cable coating, flooring, coated fabrics, and shower curtains.</t>
  </si>
  <si>
    <t>Polylactic acid or PLA is a thermoplastic biopolymer constructed entirely from annually renewable agricultural products, e.g., corn, and used in manufacturing fresh food packaging and food service ware such as rigid packaging, food containers, disposable plastic cups, cutlery, and plates</t>
  </si>
  <si>
    <t>Natureworks, LLC</t>
  </si>
  <si>
    <t>Technical data sheets by Application.</t>
  </si>
  <si>
    <t>U.S. Life Cycle Inventory Database</t>
  </si>
  <si>
    <t>Data Module Report: NatureWorks Polylactide Biopolymer (Ingeo).</t>
  </si>
  <si>
    <t>Corrugated cardboard boxes made from containerboard (liner and corrugating medium) used in packaging applications.</t>
  </si>
  <si>
    <t>Third Class Mail is now called Standard Mail by the U.S. Postal Service and includes catalogs and other direct bulk mailings such as magazines, which are made of coated, shiny paper. This category represents coated paper produced from mechanical pulp.</t>
  </si>
  <si>
    <t>Newspaper represents uncoated paper made from 70% mechanical pulp and 30% chemical pulp. For the carbon sequestration portion of the factor, it was assumed that the paper was all mechanical pulp.</t>
  </si>
  <si>
    <t>Office paper represents paper made from uncoated bleached chemical pulp.</t>
  </si>
  <si>
    <t>Background Document A, Attachment 1 : Partial LCI for Boxboard and Paper Towels</t>
  </si>
  <si>
    <t>Phonebooks represent telephone books that are made from paper produced from mechanical pulp.</t>
  </si>
  <si>
    <t>Textbooks represent books made from paper produced from chemical pulp.</t>
  </si>
  <si>
    <t>Lumber includes wood used for containers, packaging, and building and includes crates, pallets, furniture and dimensional lumber like two by fours.</t>
  </si>
  <si>
    <t>MSW Facts and Figures (generation data)</t>
  </si>
  <si>
    <t>Fiberboard is a panel product that consists of wood chips pressed and bonded with a resin. Fiberboard is used primarily to make furniture.</t>
  </si>
  <si>
    <t>AP 42, Volume I, Fifth Edition (US EPA)</t>
  </si>
  <si>
    <t>Food Waste (non-meat) is a weighted average category representing non-meat food waste in the U.S. waste stream, based on the share of grains, fruits and vegetables, and dairy products in USDA’s loss-adjusted food availability survey. The mix is assumed to be 22 percent dairy products, 61 percent fruits and vegetables, and 16 percent grains.</t>
  </si>
  <si>
    <t>USDA</t>
  </si>
  <si>
    <t>"Food Availability (per Capita) Data System – 2010". U.S. Department of Agriculture Economic Research Service</t>
  </si>
  <si>
    <t>Food Waste (meat only) is a weighted average category representing meat waste in the U.S. waste stream, based on the share of poultry and beef in USDA’s loss-adjusted food availability survey. The mix is assumed to be 46 percent beef and 54 percent poultry.</t>
  </si>
  <si>
    <t>Beef includes the upstream emissions and energy associated with the production of beef cattle in the United States, including the energy and emissions associated with feed production.</t>
  </si>
  <si>
    <t>Battagliese et al. (2013)</t>
  </si>
  <si>
    <t>Battagliese, T., Andrade, J., Schulze, I., Uhlman, B., and Barcan, C. (2013). More Sustainable Beef Optimization Project. Phase 1 Final Report, June 2013. Submitted by BASF Corporation.</t>
  </si>
  <si>
    <t>Poultry includes the upstream emissions and energy associated with the production of broiler chicken (i.e., domesticated chickens raised specifically for meat production), including the energy and emissions associated with feed production.</t>
  </si>
  <si>
    <t>Pelletier (2008)</t>
  </si>
  <si>
    <t>Pelletier, N. 2008. “Environmental performance in the US broiler poultry sector: Life cycle energy use and greenhouse gas, ozone depleting, acidifying and eutrophying emissions,” Agricultural Systems 98 (2008): 67-73.</t>
  </si>
  <si>
    <t>The Grains emission factor consists of a weighted average of the relative amounts of grain products in the municipal waste stream, consisting of wheat flour, corn and rice.</t>
  </si>
  <si>
    <t>2000-2009</t>
  </si>
  <si>
    <t>LCA Digital Commons</t>
  </si>
  <si>
    <t>The bread emission factor consists of the upstream emissions and energy associated with wheat flour production, as well as the additional energy used to bake it into bread.</t>
  </si>
  <si>
    <t>2004-2009</t>
  </si>
  <si>
    <t>Espinoza-Orias et al.</t>
  </si>
  <si>
    <t>Espinoza-Orias, N., H. Stichnothe, and A. Azapagic. 2011. “The Carbon Footprint of Bread”. International Journal of Life Cycle Assessment, (2011) 16:351–365</t>
  </si>
  <si>
    <t>Fruits and vegetables represents the average fresh fruits and vegetable components of food waste. It consists of a weighted average of the six most common fruits and vegetables in the municipal waste stream, including apples, bananas, melons, oranges, potatoes, and tomatoes.</t>
  </si>
  <si>
    <t>Ecoinvent Centre</t>
  </si>
  <si>
    <t>Ecoinvent data v2.0. Ecoinvent reports No.1-25, Swiss Centre for Life Cycle Inventories, Dübendorf, 2007.</t>
  </si>
  <si>
    <t>Luske, B.</t>
  </si>
  <si>
    <t>Luske, B. 2010. Comprehensive Carbon Footprint Assessment Dole Bananas. Soil and More International.</t>
  </si>
  <si>
    <t>UC Davis</t>
  </si>
  <si>
    <t>UC Davis Cost and Return Studies.</t>
  </si>
  <si>
    <t>Dairy products consists of a weighted average of the emissions associated with nearly the entire dairy product waste stream, including milk, cheese, ice cream, and yogurt.</t>
  </si>
  <si>
    <t>Innovation Center for U.S. Dairy</t>
  </si>
  <si>
    <t>Thoma, G., et al. 2010. “Global Warming Potential of Fluid Milk Consumed in the US: A Life Cycle Assessment.” Innovation Center for U.S. Dairy and University of Arkansas.</t>
  </si>
  <si>
    <t>Yard trimmings are assumed to be 50% grass, 25% leaves, and 25% tree and brush trimmings from residential, institutional, and commercial sources.</t>
  </si>
  <si>
    <t>Grass consists of grass clippings from residential, institutional and commercial sources.</t>
  </si>
  <si>
    <t>n.d.</t>
  </si>
  <si>
    <t>Leaves consist of fallen leaves from deciduous trees recovered from residential, institutional and commercial sources.</t>
  </si>
  <si>
    <t>Branches are assumed to be the woody clippings from trees and brush from residential, intuitional and commercial sources.</t>
  </si>
  <si>
    <t>Mixed paper is assumed to be 24% newspaper, 48% corrugated cardboard, 8% magazines, and 20% office paper.</t>
  </si>
  <si>
    <t>Residential mixed paper is assumed to be 23% newspaper, 53% corrugated cardboard, 10% magazines, and 14% office paper.</t>
  </si>
  <si>
    <t>Office mixed paper is assumed to be 21% newspaper, 5% corrugated cardboard, 36% magazines, and 38% office paper.</t>
  </si>
  <si>
    <t>Mixed metals are made up of 35% aluminum cans and 65% steel cans.</t>
  </si>
  <si>
    <t>Mixed plastics are made up of 39% HDPE and 61% PET plastic.</t>
  </si>
  <si>
    <t>Mixed Recyclables are made up of approximately 1% aluminum cans, 3% steel cans, 6% glass, 1% HDPE, 2% PET, 54% corrugated cardboard, 7% magazines/third-class mail, 11% newspaper, 8% office papers, &lt;1% phonebooks, &lt;1% textbooks, and 5% dimensional lumber. See those definitions for details.</t>
  </si>
  <si>
    <t>Food waste consists of uneaten food and wasted, prepared food from residences, commercial establishments such as grocery stores and restaurants, institutional sources such as school cafeterias, and industrial sources such as factory lunchrooms. This emission factor contains a weighted average of all food types in the waste stream currently modeled in WARM, including beef, poultry, grains, fruits and vegetables, and dairy products. The mix is assumed to be 9% beef, 11% poultry, 13% grains, 49% fruits and vegetables, and 18% dairy products.</t>
  </si>
  <si>
    <t>Mixed organics are made up of 52% food waste and 48% yard trimmings. See those definitions for details.</t>
  </si>
  <si>
    <t>Mixed MSW (municipal solid waste) comprises the waste materials typically discarded by households and collected by curbside collection vehicles; it does not include white goods (e.g., refrigerators, toasters) or industrial waste.</t>
  </si>
  <si>
    <t>Carpet represents broadloom residential carpet containing a mix of nylon, PET and PP components within the face fiber, primary and secondary backing, and latex used for attaching the backings.</t>
  </si>
  <si>
    <t>Plastics Europe</t>
  </si>
  <si>
    <t>Life-Cycle Inventory of Solid Strip Hardwood Flooring in the Eastern United States</t>
  </si>
  <si>
    <t>Realff, M.</t>
  </si>
  <si>
    <t>Personal communication between Dr. Matthew Realff, Georgia Tech. and Adam Brundage and Nikita Pavlenko, ICF International</t>
  </si>
  <si>
    <t>PCs are made up of a central processing unit (CPU) and a cathode ray tube (CRT) monitor. The components of the CPU and monitor include steel housing, internal electric components, the CRT, plastic casing, and circuit boards. In addition to these valuable components, PCs contain lead, brominated flame retardants and other potentially hazardous chemicals.</t>
  </si>
  <si>
    <t>Bricks are produced by firing materials such as clay, kaolin, fire clay, bentonite, or common clay and shale. The majority of the bricks produced in the US are clay. In WARM, clay brick source reduction is considered to be the reuse of full bricks rather than the grinding and reusing of broken or damaged brick.</t>
  </si>
  <si>
    <t>Background Document for Life-Cycle Greenhouse Gas Emission Factors for Clay Brick Reuse and Concrete Recycling</t>
  </si>
  <si>
    <t>Concrete is a high-volume building material produced by mixing cement, water, and coarse and fine aggregates. In WARM, concrete is assumed to be recycled into aggregate, so the GHG benefits are associated with the avoided emissions associated with mining and processing aggregate.</t>
  </si>
  <si>
    <t>Fly ash is a byproduct of coal combustion that is used as a cement replacement in concrete.</t>
  </si>
  <si>
    <t>Background Document for Life-Cycle Greenhouse Gas Emission Factors for Fly Ash Used as a Cement Replacement in Concrete</t>
  </si>
  <si>
    <t>Tires represent scrap tires that have been disposed of by consumers and have several end uses in the U.S. market including as a fuel, in civil engineering, and in various ground rubber applications such as running tracks and molded products.</t>
  </si>
  <si>
    <t>Atech Group</t>
  </si>
  <si>
    <t>A National Approach to Waste Tyres</t>
  </si>
  <si>
    <t>EIA</t>
  </si>
  <si>
    <t>2006 Manufacturing Energy Consumption Survey, Table 3.2: Fuel Consumption, 2006 for Synthetic Rubber</t>
  </si>
  <si>
    <t>Corti, A. and Lombardi, L.</t>
  </si>
  <si>
    <t>End life tyres: Alternative final disposal processes compared by LCA</t>
  </si>
  <si>
    <t>Athena Institute</t>
  </si>
  <si>
    <t>Life Cycle Analysis of Residential Roofing Products</t>
  </si>
  <si>
    <t>Asphalt concrete is composed primarily of aggregate, which consists of hard, graduated fragments of sand, gravel, crushed stone, slag, rock dust, or powder.</t>
  </si>
  <si>
    <t>Census Bureau</t>
  </si>
  <si>
    <t>Fuels and Electric Energy Report. U.S. Economic Census</t>
  </si>
  <si>
    <t>Mining-Subject Series, Product Summary, U.S. Economic Census</t>
  </si>
  <si>
    <t>Athena Sustainable Materials Institute</t>
  </si>
  <si>
    <t>Life Cycle Inventory for Road and Roofing Asphalt</t>
  </si>
  <si>
    <t>National Renewable Energy Laboratory (NREL)</t>
  </si>
  <si>
    <t>U.S. Life-Cycle Inventory Database</t>
  </si>
  <si>
    <t>Natural Resources Canada</t>
  </si>
  <si>
    <t>Canadian Industry Program for Energy Conservation c/o Natural Resources Canada</t>
  </si>
  <si>
    <t>Levis, J.W.</t>
  </si>
  <si>
    <t>A Life-Cycle Analysis of Alternatives for the Management of Waste Hot-Mix Asphalt, Commercial Food Waste, and Construction and Demolition Waste</t>
  </si>
  <si>
    <t>Asphalt shingles are typically made of a felt mat saturated with asphalt. Fiberglass shingles are composed of asphalt cement (36 percent by weight), a mineral stabilizer like limestone or dolomite (40 percent), sand-sized mineral granules (38 percent), in addition to the organic or fiberglass felt backing (15 percent).</t>
  </si>
  <si>
    <t>Cochran, K.</t>
  </si>
  <si>
    <t>Construction and Demolition Debris Recycling: Methods, Markets, and Policy</t>
  </si>
  <si>
    <t>Construction Materials Recycling Association (CMRA)</t>
  </si>
  <si>
    <t>Recycling Tear-Off Asphalt Shingles: Best Practices Guide</t>
  </si>
  <si>
    <t>Drywall, also known as wallboard, gypsum board, or plaster board, is manufactured from gypsum plaster and a paper covering.</t>
  </si>
  <si>
    <t>Venta, G.</t>
  </si>
  <si>
    <t>Life Cycle Analysis of Gypsum Board and Associated Finishing Products</t>
  </si>
  <si>
    <t>Fiberglass insulation is produced from a blend of sand, limestone, soda ash, and recycled glass cullet, which accounts for about 40 percent of the raw material inputs.</t>
  </si>
  <si>
    <t>Lippiatt, B.</t>
  </si>
  <si>
    <t>Building for Environmental and Economic Sustainability (BEES)</t>
  </si>
  <si>
    <t>Enviros Consulting</t>
  </si>
  <si>
    <t>Glass Recycling — Life Cycle Carbon Dioxide Emissions</t>
  </si>
  <si>
    <t>All vinyl flooring is comprised of polyvinyl chloride (PVC) resin along with additives such as plasticizers, stabilizers, pigments, and fillers.</t>
  </si>
  <si>
    <t>European Council of Plasticisers and Intermediates (ECPI)</t>
  </si>
  <si>
    <t>Eco-profile of high volume commodity phthalate esters (DEHP/DINP/DIDP)</t>
  </si>
  <si>
    <t>Revised Final Report: Cradle to Gate Life Cycle Inventory of Nine Plastics Resins Polyurethane Precursors</t>
  </si>
  <si>
    <t>ecoinvent Centre</t>
  </si>
  <si>
    <t>ecoinvent Database v2.1. Swiss Centre for Life Cycle Inventories</t>
  </si>
  <si>
    <t>Virgin hardwood flooring is produced from lumber. Coatings and sealants can be applied to wood flooring in “pre-finishing” that occurs at the manufacturing facility, or on-site.</t>
  </si>
  <si>
    <t>Bergman, R. and Bowe, S.A.</t>
  </si>
  <si>
    <t>Environmental impact of producing hardwood lumber using life-cycle inventory</t>
  </si>
  <si>
    <t>Hubbard, S.S. and Bowe, S.A.</t>
  </si>
  <si>
    <t>Bergman, R.</t>
  </si>
  <si>
    <t>Personal communication between Richard Bergman, USDA Forest Service and Robert Renz and Christopher Evans, ICF International</t>
  </si>
  <si>
    <t>Mixed Paper: Broad Definition</t>
  </si>
  <si>
    <t>Mixed Paper: Residential Definition</t>
  </si>
  <si>
    <t>Mixed Paper: Office Paper Definition</t>
  </si>
  <si>
    <t>Material Class</t>
  </si>
  <si>
    <t>Metal</t>
  </si>
  <si>
    <t>Plastic</t>
  </si>
  <si>
    <t>Paper</t>
  </si>
  <si>
    <t>Wood</t>
  </si>
  <si>
    <t>C&amp;D</t>
  </si>
  <si>
    <t>Food</t>
  </si>
  <si>
    <t>Yard</t>
  </si>
  <si>
    <t>Other</t>
  </si>
  <si>
    <t>Stream</t>
  </si>
</sst>
</file>

<file path=xl/styles.xml><?xml version="1.0" encoding="utf-8"?>
<styleSheet xmlns="http://schemas.openxmlformats.org/spreadsheetml/2006/main" xmlns:mc="http://schemas.openxmlformats.org/markup-compatibility/2006" xmlns:x14ac="http://schemas.microsoft.com/office/spreadsheetml/2009/9/ac" mc:Ignorable="x14ac">
  <numFmts count="34">
    <numFmt numFmtId="41" formatCode="_(* #,##0_);_(* \(#,##0\);_(* &quot;-&quot;_);_(@_)"/>
    <numFmt numFmtId="43" formatCode="_(* #,##0.00_);_(* \(#,##0.00\);_(* &quot;-&quot;??_);_(@_)"/>
    <numFmt numFmtId="164" formatCode="0.0"/>
    <numFmt numFmtId="165" formatCode="0.000"/>
    <numFmt numFmtId="166" formatCode="_(* #,##0_);_(* \(#,##0\);_(* &quot;-&quot;??_);_(@_)"/>
    <numFmt numFmtId="167" formatCode="0.00000"/>
    <numFmt numFmtId="168" formatCode="General_)"/>
    <numFmt numFmtId="169" formatCode="0.00_)"/>
    <numFmt numFmtId="170" formatCode="#,##0.0_);\(#,##0.0\)"/>
    <numFmt numFmtId="171" formatCode="_(* #,##0.0000_);_(* \(#,##0.0000\);_(* &quot;-&quot;??_);_(@_)"/>
    <numFmt numFmtId="172" formatCode="#,##0.0000_);\(#,##0.0000\)"/>
    <numFmt numFmtId="173" formatCode="#,##0.00000_);\(#,##0.00000\)"/>
    <numFmt numFmtId="174" formatCode="mm/dd/yy"/>
    <numFmt numFmtId="175" formatCode="_(* #,##0.00000_);_(* \(#,##0.00000\);_(* &quot;-&quot;?????_);_(@_)"/>
    <numFmt numFmtId="176" formatCode="#,##0.000000_);\(#,##0.000000\)"/>
    <numFmt numFmtId="177" formatCode="_(* #,##0.000_);_(* \(#,##0.000\);_(* &quot;-&quot;??_);_(@_)"/>
    <numFmt numFmtId="178" formatCode="_(* #,##0.00000_);_(* \(#,##0.00000\);_(* &quot;-&quot;??_);_(@_)"/>
    <numFmt numFmtId="179" formatCode="#,##0.000000000_);\(#,##0.000000000\)"/>
    <numFmt numFmtId="180" formatCode="_(* #,##0.00000000000_);_(* \(#,##0.00000000000\);_(* &quot;-&quot;??_);_(@_)"/>
    <numFmt numFmtId="181" formatCode="0.00_);\(0.00\)"/>
    <numFmt numFmtId="182" formatCode="_(* #,##0.0_);_(* \(#,##0.0\);_(* &quot;-&quot;??_);_(@_)"/>
    <numFmt numFmtId="183" formatCode="0_);\(0\)"/>
    <numFmt numFmtId="184" formatCode="mm/dd/yy;@"/>
    <numFmt numFmtId="185" formatCode="0.00000%"/>
    <numFmt numFmtId="186" formatCode="_(* #,##0.000000000_);_(* \(#,##0.000000000\);_(* &quot;-&quot;??_);_(@_)"/>
    <numFmt numFmtId="187" formatCode="#,##0.0000000000_);\(#,##0.0000000000\)"/>
    <numFmt numFmtId="188" formatCode="0.0%"/>
    <numFmt numFmtId="189" formatCode="0.000000%"/>
    <numFmt numFmtId="190" formatCode="0.0000000%"/>
    <numFmt numFmtId="191" formatCode="#,##0.0"/>
    <numFmt numFmtId="192" formatCode="0.0000_);\(0.0000\)"/>
    <numFmt numFmtId="193" formatCode="#,##0.000_);\(#,##0.000\)"/>
    <numFmt numFmtId="194" formatCode="0.0000_)"/>
    <numFmt numFmtId="195" formatCode="0.0000"/>
  </numFmts>
  <fonts count="61" x14ac:knownFonts="1">
    <font>
      <sz val="10"/>
      <name val="Arial"/>
    </font>
    <font>
      <b/>
      <sz val="10"/>
      <name val="Arial"/>
      <family val="2"/>
    </font>
    <font>
      <sz val="10"/>
      <name val="Arial"/>
      <family val="2"/>
    </font>
    <font>
      <sz val="7"/>
      <name val="Helv"/>
    </font>
    <font>
      <sz val="8"/>
      <name val="helv"/>
    </font>
    <font>
      <sz val="8"/>
      <name val="Arial"/>
      <family val="2"/>
    </font>
    <font>
      <sz val="10"/>
      <name val="Arial"/>
      <family val="2"/>
    </font>
    <font>
      <sz val="8"/>
      <name val="Helvetica"/>
      <family val="2"/>
    </font>
    <font>
      <sz val="7"/>
      <name val="Helvetica"/>
      <family val="2"/>
    </font>
    <font>
      <b/>
      <sz val="7"/>
      <name val="Helvetica"/>
      <family val="2"/>
    </font>
    <font>
      <sz val="10"/>
      <name val="Helvetica"/>
      <family val="2"/>
    </font>
    <font>
      <b/>
      <sz val="10"/>
      <name val="Helvetica"/>
      <family val="2"/>
    </font>
    <font>
      <i/>
      <sz val="10"/>
      <name val="Arial"/>
      <family val="2"/>
    </font>
    <font>
      <b/>
      <sz val="10"/>
      <name val="Arial"/>
      <family val="2"/>
    </font>
    <font>
      <sz val="8"/>
      <name val="Arial"/>
      <family val="2"/>
    </font>
    <font>
      <vertAlign val="subscript"/>
      <sz val="10"/>
      <name val="Arial"/>
      <family val="2"/>
    </font>
    <font>
      <sz val="10"/>
      <color indexed="10"/>
      <name val="Arial"/>
      <family val="2"/>
    </font>
    <font>
      <b/>
      <sz val="14"/>
      <name val="Arial"/>
      <family val="2"/>
    </font>
    <font>
      <sz val="14"/>
      <name val="Arial"/>
      <family val="2"/>
    </font>
    <font>
      <u/>
      <sz val="10"/>
      <name val="Arial"/>
      <family val="2"/>
    </font>
    <font>
      <b/>
      <sz val="12"/>
      <name val="Arial"/>
      <family val="2"/>
    </font>
    <font>
      <b/>
      <sz val="7"/>
      <name val="Arial"/>
      <family val="2"/>
    </font>
    <font>
      <b/>
      <sz val="6.5"/>
      <name val="Arial"/>
      <family val="2"/>
    </font>
    <font>
      <b/>
      <vertAlign val="subscript"/>
      <sz val="6.5"/>
      <name val="Arial"/>
      <family val="2"/>
    </font>
    <font>
      <i/>
      <sz val="9"/>
      <name val="Arial"/>
      <family val="2"/>
    </font>
    <font>
      <u/>
      <sz val="10"/>
      <color indexed="12"/>
      <name val="Arial"/>
      <family val="2"/>
    </font>
    <font>
      <i/>
      <sz val="8"/>
      <name val="Arial"/>
      <family val="2"/>
    </font>
    <font>
      <b/>
      <sz val="8"/>
      <name val="Arial"/>
      <family val="2"/>
    </font>
    <font>
      <i/>
      <sz val="8"/>
      <color indexed="10"/>
      <name val="Arial"/>
      <family val="2"/>
    </font>
    <font>
      <sz val="8"/>
      <color indexed="81"/>
      <name val="Tahoma"/>
      <family val="2"/>
    </font>
    <font>
      <b/>
      <sz val="8"/>
      <color indexed="81"/>
      <name val="Tahoma"/>
      <family val="2"/>
    </font>
    <font>
      <b/>
      <sz val="11"/>
      <name val="Arial"/>
      <family val="2"/>
    </font>
    <font>
      <sz val="7"/>
      <name val="Arial"/>
      <family val="2"/>
    </font>
    <font>
      <b/>
      <vertAlign val="subscript"/>
      <sz val="10"/>
      <name val="Arial"/>
      <family val="2"/>
    </font>
    <font>
      <b/>
      <vertAlign val="subscript"/>
      <sz val="8"/>
      <name val="Arial"/>
      <family val="2"/>
    </font>
    <font>
      <b/>
      <vertAlign val="subscript"/>
      <sz val="12"/>
      <name val="Arial"/>
      <family val="2"/>
    </font>
    <font>
      <sz val="8"/>
      <name val="Helvetica"/>
      <family val="2"/>
    </font>
    <font>
      <b/>
      <sz val="10"/>
      <color indexed="8"/>
      <name val="Arial"/>
      <family val="2"/>
    </font>
    <font>
      <vertAlign val="superscript"/>
      <sz val="10"/>
      <name val="Arial"/>
      <family val="2"/>
    </font>
    <font>
      <b/>
      <sz val="8"/>
      <name val="Helvetica"/>
      <family val="2"/>
    </font>
    <font>
      <sz val="10"/>
      <color indexed="81"/>
      <name val="Tahoma"/>
      <family val="2"/>
    </font>
    <font>
      <b/>
      <sz val="10"/>
      <color indexed="81"/>
      <name val="Tahoma"/>
      <family val="2"/>
    </font>
    <font>
      <sz val="11"/>
      <color indexed="10"/>
      <name val="Helv"/>
    </font>
    <font>
      <sz val="10"/>
      <color indexed="10"/>
      <name val="Arial"/>
      <family val="2"/>
    </font>
    <font>
      <sz val="10"/>
      <name val="Calibri"/>
      <family val="2"/>
    </font>
    <font>
      <sz val="8"/>
      <name val="Arial"/>
      <family val="2"/>
    </font>
    <font>
      <sz val="10"/>
      <name val="Arial"/>
      <family val="2"/>
    </font>
    <font>
      <sz val="10"/>
      <name val="Arial"/>
      <family val="2"/>
    </font>
    <font>
      <b/>
      <sz val="16"/>
      <color indexed="10"/>
      <name val="Arial"/>
      <family val="2"/>
    </font>
    <font>
      <b/>
      <sz val="10"/>
      <color indexed="10"/>
      <name val="Arial"/>
      <family val="2"/>
    </font>
    <font>
      <sz val="9"/>
      <color indexed="81"/>
      <name val="Tahoma"/>
      <family val="2"/>
    </font>
    <font>
      <b/>
      <sz val="9"/>
      <color indexed="81"/>
      <name val="Tahoma"/>
      <family val="2"/>
    </font>
    <font>
      <sz val="10"/>
      <name val="Arial"/>
      <family val="2"/>
    </font>
    <font>
      <sz val="10"/>
      <name val="Arial"/>
      <family val="2"/>
    </font>
    <font>
      <sz val="7"/>
      <name val="Helvetica"/>
    </font>
    <font>
      <sz val="11"/>
      <color theme="1"/>
      <name val="Calibri"/>
      <family val="2"/>
      <scheme val="minor"/>
    </font>
    <font>
      <u/>
      <sz val="11"/>
      <color theme="10"/>
      <name val="Calibri"/>
      <family val="2"/>
      <scheme val="minor"/>
    </font>
    <font>
      <sz val="10"/>
      <color rgb="FFFF0000"/>
      <name val="Arial"/>
      <family val="2"/>
    </font>
    <font>
      <sz val="7"/>
      <color rgb="FFFF0000"/>
      <name val="Helvetica"/>
      <family val="2"/>
    </font>
    <font>
      <b/>
      <sz val="10"/>
      <color rgb="FFFF0000"/>
      <name val="Arial"/>
      <family val="2"/>
    </font>
    <font>
      <sz val="8"/>
      <color rgb="FF000000"/>
      <name val="Tahoma"/>
      <family val="2"/>
    </font>
  </fonts>
  <fills count="15">
    <fill>
      <patternFill patternType="none"/>
    </fill>
    <fill>
      <patternFill patternType="gray125"/>
    </fill>
    <fill>
      <patternFill patternType="solid">
        <fgColor indexed="22"/>
        <bgColor indexed="64"/>
      </patternFill>
    </fill>
    <fill>
      <patternFill patternType="solid">
        <fgColor indexed="44"/>
        <bgColor indexed="64"/>
      </patternFill>
    </fill>
    <fill>
      <patternFill patternType="solid">
        <fgColor indexed="9"/>
        <bgColor indexed="64"/>
      </patternFill>
    </fill>
    <fill>
      <patternFill patternType="solid">
        <fgColor indexed="13"/>
        <bgColor indexed="64"/>
      </patternFill>
    </fill>
    <fill>
      <patternFill patternType="solid">
        <fgColor indexed="51"/>
        <bgColor indexed="64"/>
      </patternFill>
    </fill>
    <fill>
      <patternFill patternType="lightUp"/>
    </fill>
    <fill>
      <patternFill patternType="mediumGray"/>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6"/>
        <bgColor indexed="64"/>
      </patternFill>
    </fill>
    <fill>
      <patternFill patternType="solid">
        <fgColor theme="6" tint="0.79998168889431442"/>
        <bgColor indexed="64"/>
      </patternFill>
    </fill>
  </fills>
  <borders count="107">
    <border>
      <left/>
      <right/>
      <top/>
      <bottom/>
      <diagonal/>
    </border>
    <border>
      <left style="medium">
        <color indexed="64"/>
      </left>
      <right style="thin">
        <color indexed="8"/>
      </right>
      <top/>
      <bottom/>
      <diagonal/>
    </border>
    <border>
      <left style="medium">
        <color indexed="64"/>
      </left>
      <right style="thin">
        <color indexed="64"/>
      </right>
      <top style="thin">
        <color indexed="8"/>
      </top>
      <bottom style="medium">
        <color indexed="64"/>
      </bottom>
      <diagonal/>
    </border>
    <border>
      <left/>
      <right style="thin">
        <color indexed="8"/>
      </right>
      <top/>
      <bottom/>
      <diagonal/>
    </border>
    <border>
      <left/>
      <right style="medium">
        <color indexed="64"/>
      </right>
      <top/>
      <bottom/>
      <diagonal/>
    </border>
    <border>
      <left/>
      <right/>
      <top/>
      <bottom style="medium">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thin">
        <color indexed="64"/>
      </right>
      <top/>
      <bottom style="thin">
        <color indexed="64"/>
      </bottom>
      <diagonal/>
    </border>
    <border>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8"/>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8"/>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thin">
        <color indexed="8"/>
      </left>
      <right/>
      <top/>
      <bottom/>
      <diagonal/>
    </border>
    <border>
      <left/>
      <right style="thin">
        <color indexed="8"/>
      </right>
      <top style="thin">
        <color indexed="8"/>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8"/>
      </right>
      <top style="thin">
        <color indexed="8"/>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8"/>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style="thin">
        <color indexed="8"/>
      </left>
      <right style="medium">
        <color indexed="64"/>
      </right>
      <top style="thin">
        <color indexed="8"/>
      </top>
      <bottom style="medium">
        <color indexed="64"/>
      </bottom>
      <diagonal/>
    </border>
    <border>
      <left/>
      <right style="thin">
        <color indexed="8"/>
      </right>
      <top style="thin">
        <color indexed="64"/>
      </top>
      <bottom style="medium">
        <color indexed="64"/>
      </bottom>
      <diagonal/>
    </border>
    <border>
      <left style="medium">
        <color indexed="64"/>
      </left>
      <right style="thin">
        <color indexed="64"/>
      </right>
      <top style="thin">
        <color indexed="8"/>
      </top>
      <bottom/>
      <diagonal/>
    </border>
    <border>
      <left/>
      <right style="thin">
        <color indexed="8"/>
      </right>
      <top style="medium">
        <color indexed="64"/>
      </top>
      <bottom/>
      <diagonal/>
    </border>
    <border>
      <left/>
      <right style="thin">
        <color indexed="8"/>
      </right>
      <top/>
      <bottom style="medium">
        <color indexed="64"/>
      </bottom>
      <diagonal/>
    </border>
    <border>
      <left style="thin">
        <color indexed="8"/>
      </left>
      <right style="thin">
        <color indexed="8"/>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thin">
        <color indexed="22"/>
      </right>
      <top/>
      <bottom style="thin">
        <color indexed="64"/>
      </bottom>
      <diagonal/>
    </border>
    <border>
      <left style="thin">
        <color indexed="22"/>
      </left>
      <right style="thin">
        <color indexed="22"/>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medium">
        <color indexed="64"/>
      </right>
      <top style="thin">
        <color indexed="8"/>
      </top>
      <bottom style="medium">
        <color indexed="8"/>
      </bottom>
      <diagonal/>
    </border>
    <border>
      <left style="thin">
        <color indexed="64"/>
      </left>
      <right/>
      <top style="medium">
        <color indexed="64"/>
      </top>
      <bottom style="medium">
        <color indexed="64"/>
      </bottom>
      <diagonal/>
    </border>
    <border>
      <left/>
      <right/>
      <top style="medium">
        <color indexed="64"/>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8"/>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8"/>
      </top>
      <bottom/>
      <diagonal/>
    </border>
    <border>
      <left style="thin">
        <color indexed="8"/>
      </left>
      <right style="thin">
        <color indexed="64"/>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style="thin">
        <color indexed="64"/>
      </left>
      <right/>
      <top style="thin">
        <color indexed="64"/>
      </top>
      <bottom style="medium">
        <color indexed="64"/>
      </bottom>
      <diagonal/>
    </border>
    <border>
      <left style="thin">
        <color indexed="8"/>
      </left>
      <right/>
      <top style="thin">
        <color indexed="8"/>
      </top>
      <bottom/>
      <diagonal/>
    </border>
    <border>
      <left style="thin">
        <color indexed="64"/>
      </left>
      <right style="thin">
        <color indexed="8"/>
      </right>
      <top style="thin">
        <color indexed="64"/>
      </top>
      <bottom/>
      <diagonal/>
    </border>
    <border>
      <left style="thin">
        <color indexed="8"/>
      </left>
      <right style="medium">
        <color indexed="64"/>
      </right>
      <top style="medium">
        <color indexed="64"/>
      </top>
      <bottom style="thin">
        <color indexed="64"/>
      </bottom>
      <diagonal/>
    </border>
    <border>
      <left/>
      <right style="thin">
        <color indexed="64"/>
      </right>
      <top style="medium">
        <color indexed="64"/>
      </top>
      <bottom style="thin">
        <color indexed="8"/>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right style="medium">
        <color indexed="64"/>
      </right>
      <top style="thin">
        <color indexed="64"/>
      </top>
      <bottom style="thin">
        <color indexed="22"/>
      </bottom>
      <diagonal/>
    </border>
  </borders>
  <cellStyleXfs count="11">
    <xf numFmtId="0" fontId="0" fillId="0" borderId="0"/>
    <xf numFmtId="43" fontId="2" fillId="0" borderId="0" applyFont="0" applyFill="0" applyBorder="0" applyAlignment="0" applyProtection="0"/>
    <xf numFmtId="43" fontId="55" fillId="0" borderId="0" applyFont="0" applyFill="0" applyBorder="0" applyAlignment="0" applyProtection="0"/>
    <xf numFmtId="0" fontId="25" fillId="0" borderId="0" applyNumberFormat="0" applyFill="0" applyBorder="0" applyAlignment="0" applyProtection="0">
      <alignment vertical="top"/>
      <protection locked="0"/>
    </xf>
    <xf numFmtId="0" fontId="56" fillId="0" borderId="0" applyNumberFormat="0" applyFill="0" applyBorder="0" applyAlignment="0" applyProtection="0"/>
    <xf numFmtId="0" fontId="2" fillId="0" borderId="0"/>
    <xf numFmtId="0" fontId="55" fillId="0" borderId="0"/>
    <xf numFmtId="168" fontId="3" fillId="0" borderId="0"/>
    <xf numFmtId="168" fontId="4" fillId="0" borderId="0"/>
    <xf numFmtId="168" fontId="10" fillId="0" borderId="0"/>
    <xf numFmtId="9" fontId="2" fillId="0" borderId="0" applyFont="0" applyFill="0" applyBorder="0" applyAlignment="0" applyProtection="0"/>
  </cellStyleXfs>
  <cellXfs count="946">
    <xf numFmtId="0" fontId="0" fillId="0" borderId="0" xfId="0"/>
    <xf numFmtId="0" fontId="0" fillId="0" borderId="0" xfId="0" applyAlignment="1"/>
    <xf numFmtId="0" fontId="0" fillId="0" borderId="0" xfId="0" applyAlignment="1">
      <alignment horizontal="centerContinuous"/>
    </xf>
    <xf numFmtId="0" fontId="0" fillId="0" borderId="0" xfId="0" applyBorder="1"/>
    <xf numFmtId="168" fontId="8" fillId="0" borderId="1" xfId="8" applyNumberFormat="1" applyFont="1" applyBorder="1" applyAlignment="1" applyProtection="1">
      <alignment horizontal="left"/>
    </xf>
    <xf numFmtId="1" fontId="0" fillId="0" borderId="0" xfId="0" applyNumberFormat="1"/>
    <xf numFmtId="0" fontId="0" fillId="2" borderId="0" xfId="0" applyFill="1"/>
    <xf numFmtId="168" fontId="8" fillId="0" borderId="1" xfId="8" applyNumberFormat="1" applyFont="1" applyFill="1" applyBorder="1" applyAlignment="1" applyProtection="1">
      <alignment horizontal="left"/>
    </xf>
    <xf numFmtId="0" fontId="0" fillId="0" borderId="0" xfId="0" applyFill="1"/>
    <xf numFmtId="39" fontId="0" fillId="0" borderId="0" xfId="0" applyNumberFormat="1"/>
    <xf numFmtId="39" fontId="0" fillId="0" borderId="0" xfId="0" applyNumberFormat="1" applyBorder="1"/>
    <xf numFmtId="39" fontId="0" fillId="2" borderId="0" xfId="0" applyNumberFormat="1" applyFill="1" applyBorder="1"/>
    <xf numFmtId="39" fontId="0" fillId="0" borderId="0" xfId="0" applyNumberFormat="1" applyFill="1" applyBorder="1"/>
    <xf numFmtId="168" fontId="9" fillId="0" borderId="2" xfId="8" applyNumberFormat="1" applyFont="1" applyFill="1" applyBorder="1" applyAlignment="1" applyProtection="1">
      <alignment horizontal="left"/>
    </xf>
    <xf numFmtId="0" fontId="0" fillId="2" borderId="0" xfId="0" applyFill="1" applyProtection="1">
      <protection locked="0"/>
    </xf>
    <xf numFmtId="168" fontId="9" fillId="0" borderId="0" xfId="8" applyNumberFormat="1" applyFont="1" applyFill="1" applyBorder="1" applyAlignment="1" applyProtection="1">
      <alignment horizontal="left"/>
    </xf>
    <xf numFmtId="166" fontId="8" fillId="0" borderId="0" xfId="1" applyNumberFormat="1" applyFont="1" applyFill="1" applyBorder="1" applyProtection="1"/>
    <xf numFmtId="39" fontId="8" fillId="0" borderId="3" xfId="1" applyNumberFormat="1" applyFont="1" applyBorder="1" applyProtection="1"/>
    <xf numFmtId="39" fontId="8" fillId="0" borderId="3" xfId="1" applyNumberFormat="1" applyFont="1" applyFill="1" applyBorder="1" applyProtection="1"/>
    <xf numFmtId="39" fontId="3" fillId="0" borderId="3" xfId="1" applyNumberFormat="1" applyFont="1" applyFill="1" applyBorder="1" applyProtection="1"/>
    <xf numFmtId="0" fontId="1" fillId="0" borderId="0" xfId="0" applyFont="1" applyAlignment="1">
      <alignment horizontal="left"/>
    </xf>
    <xf numFmtId="0" fontId="2" fillId="0" borderId="0" xfId="0" applyFont="1"/>
    <xf numFmtId="165" fontId="0" fillId="0" borderId="0" xfId="0" applyNumberFormat="1"/>
    <xf numFmtId="43" fontId="0" fillId="0" borderId="0" xfId="0" applyNumberFormat="1"/>
    <xf numFmtId="39" fontId="8" fillId="0" borderId="4" xfId="1" applyNumberFormat="1" applyFont="1" applyFill="1" applyBorder="1" applyAlignment="1" applyProtection="1">
      <alignment horizontal="right"/>
    </xf>
    <xf numFmtId="0" fontId="0" fillId="0" borderId="0" xfId="0" applyFill="1" applyBorder="1"/>
    <xf numFmtId="39" fontId="8" fillId="0" borderId="3" xfId="1" applyNumberFormat="1" applyFont="1" applyFill="1" applyBorder="1" applyAlignment="1" applyProtection="1">
      <alignment horizontal="right"/>
    </xf>
    <xf numFmtId="0" fontId="0" fillId="0" borderId="0" xfId="0" applyAlignment="1">
      <alignment horizontal="right"/>
    </xf>
    <xf numFmtId="0" fontId="0" fillId="0" borderId="0" xfId="0" applyAlignment="1">
      <alignment wrapText="1"/>
    </xf>
    <xf numFmtId="0" fontId="17" fillId="0" borderId="0" xfId="0" applyFont="1" applyAlignment="1">
      <alignment horizontal="centerContinuous"/>
    </xf>
    <xf numFmtId="168" fontId="11" fillId="0" borderId="0" xfId="8" applyNumberFormat="1" applyFont="1" applyAlignment="1" applyProtection="1">
      <alignment horizontal="left"/>
    </xf>
    <xf numFmtId="39" fontId="3" fillId="0" borderId="3" xfId="1" applyNumberFormat="1" applyFont="1" applyFill="1" applyBorder="1" applyAlignment="1" applyProtection="1">
      <alignment horizontal="right"/>
    </xf>
    <xf numFmtId="172" fontId="0" fillId="0" borderId="0" xfId="0" applyNumberFormat="1"/>
    <xf numFmtId="0" fontId="13" fillId="0" borderId="5" xfId="0" applyFont="1" applyBorder="1" applyAlignment="1">
      <alignment horizontal="left"/>
    </xf>
    <xf numFmtId="0" fontId="0" fillId="0" borderId="5" xfId="0" applyBorder="1"/>
    <xf numFmtId="0" fontId="13" fillId="0" borderId="6" xfId="0" applyFont="1" applyBorder="1" applyAlignment="1">
      <alignment horizontal="center"/>
    </xf>
    <xf numFmtId="0" fontId="13" fillId="0" borderId="7" xfId="0" applyFont="1" applyBorder="1" applyAlignment="1">
      <alignment horizontal="center"/>
    </xf>
    <xf numFmtId="14" fontId="0" fillId="0" borderId="0" xfId="0" applyNumberFormat="1"/>
    <xf numFmtId="0" fontId="0" fillId="0" borderId="8" xfId="0" applyBorder="1"/>
    <xf numFmtId="0" fontId="1" fillId="0" borderId="0" xfId="0" applyFont="1" applyBorder="1"/>
    <xf numFmtId="0" fontId="13" fillId="0" borderId="0" xfId="0" applyFont="1"/>
    <xf numFmtId="0" fontId="6" fillId="0" borderId="0" xfId="0" applyFont="1"/>
    <xf numFmtId="0" fontId="18" fillId="0" borderId="0" xfId="0" applyFont="1" applyAlignment="1">
      <alignment horizontal="centerContinuous"/>
    </xf>
    <xf numFmtId="0" fontId="18" fillId="0" borderId="0" xfId="0" applyFont="1" applyBorder="1" applyAlignment="1">
      <alignment horizontal="centerContinuous"/>
    </xf>
    <xf numFmtId="0" fontId="6" fillId="0" borderId="0" xfId="0" applyFont="1" applyBorder="1" applyAlignment="1">
      <alignment horizontal="centerContinuous"/>
    </xf>
    <xf numFmtId="0" fontId="19" fillId="0" borderId="0" xfId="0" applyFont="1" applyAlignment="1">
      <alignment horizontal="left"/>
    </xf>
    <xf numFmtId="0" fontId="6" fillId="0" borderId="0" xfId="0" applyFont="1" applyAlignment="1">
      <alignment horizontal="left"/>
    </xf>
    <xf numFmtId="37" fontId="0" fillId="0" borderId="0" xfId="0" applyNumberFormat="1"/>
    <xf numFmtId="0" fontId="20" fillId="0" borderId="0" xfId="0" applyFont="1"/>
    <xf numFmtId="0" fontId="6" fillId="2" borderId="0" xfId="0" applyFont="1" applyFill="1"/>
    <xf numFmtId="0" fontId="13" fillId="0" borderId="9" xfId="0" applyFont="1" applyBorder="1"/>
    <xf numFmtId="0" fontId="6" fillId="0" borderId="10" xfId="0" applyFont="1" applyBorder="1"/>
    <xf numFmtId="0" fontId="6" fillId="0" borderId="11" xfId="0" applyFont="1" applyBorder="1"/>
    <xf numFmtId="0" fontId="13" fillId="0" borderId="12" xfId="0" applyFont="1" applyBorder="1"/>
    <xf numFmtId="0" fontId="6" fillId="0" borderId="7" xfId="0" applyFont="1" applyBorder="1"/>
    <xf numFmtId="0" fontId="6" fillId="0" borderId="6" xfId="0" applyFont="1" applyBorder="1"/>
    <xf numFmtId="0" fontId="13" fillId="0" borderId="10" xfId="0" applyFont="1" applyBorder="1"/>
    <xf numFmtId="0" fontId="13" fillId="0" borderId="0" xfId="0" applyFont="1" applyAlignment="1">
      <alignment horizontal="left"/>
    </xf>
    <xf numFmtId="168" fontId="21" fillId="0" borderId="13" xfId="8" applyNumberFormat="1" applyFont="1" applyBorder="1" applyAlignment="1" applyProtection="1">
      <alignment horizontal="left"/>
    </xf>
    <xf numFmtId="168" fontId="22" fillId="0" borderId="14" xfId="8" applyNumberFormat="1" applyFont="1" applyBorder="1" applyAlignment="1" applyProtection="1">
      <alignment horizontal="center" wrapText="1"/>
    </xf>
    <xf numFmtId="2" fontId="22" fillId="0" borderId="14" xfId="8" applyNumberFormat="1" applyFont="1" applyBorder="1" applyAlignment="1" applyProtection="1">
      <alignment horizontal="center" wrapText="1"/>
    </xf>
    <xf numFmtId="3" fontId="22" fillId="0" borderId="14" xfId="8" applyNumberFormat="1" applyFont="1" applyBorder="1" applyAlignment="1" applyProtection="1">
      <alignment horizontal="center" wrapText="1"/>
    </xf>
    <xf numFmtId="168" fontId="22" fillId="0" borderId="15" xfId="8" applyNumberFormat="1" applyFont="1" applyBorder="1" applyAlignment="1" applyProtection="1">
      <alignment horizontal="center" wrapText="1"/>
    </xf>
    <xf numFmtId="0" fontId="0" fillId="3" borderId="16" xfId="0" applyFill="1" applyBorder="1" applyProtection="1">
      <protection locked="0"/>
    </xf>
    <xf numFmtId="174" fontId="0" fillId="3" borderId="16" xfId="0" applyNumberFormat="1" applyFill="1" applyBorder="1" applyProtection="1">
      <protection locked="0"/>
    </xf>
    <xf numFmtId="0" fontId="13" fillId="0" borderId="0" xfId="0" applyFont="1" applyBorder="1"/>
    <xf numFmtId="0" fontId="0" fillId="3" borderId="8" xfId="0" applyFill="1" applyBorder="1" applyProtection="1">
      <protection locked="0"/>
    </xf>
    <xf numFmtId="39" fontId="0" fillId="0" borderId="8" xfId="0" applyNumberFormat="1" applyBorder="1"/>
    <xf numFmtId="1" fontId="6" fillId="3" borderId="17" xfId="1" applyNumberFormat="1" applyFont="1" applyFill="1" applyBorder="1" applyProtection="1">
      <protection locked="0"/>
    </xf>
    <xf numFmtId="43" fontId="6" fillId="0" borderId="0" xfId="1" applyNumberFormat="1" applyFont="1" applyBorder="1"/>
    <xf numFmtId="168" fontId="8" fillId="0" borderId="18" xfId="8" applyNumberFormat="1" applyFont="1" applyFill="1" applyBorder="1" applyAlignment="1" applyProtection="1">
      <alignment horizontal="left"/>
    </xf>
    <xf numFmtId="39" fontId="0" fillId="0" borderId="0" xfId="0" applyNumberFormat="1" applyFill="1" applyBorder="1" applyAlignment="1">
      <alignment horizontal="right"/>
    </xf>
    <xf numFmtId="0" fontId="0" fillId="0" borderId="8" xfId="0" applyBorder="1" applyAlignment="1">
      <alignment wrapText="1"/>
    </xf>
    <xf numFmtId="0" fontId="31" fillId="0" borderId="0" xfId="0" applyFont="1"/>
    <xf numFmtId="168" fontId="32" fillId="0" borderId="1" xfId="8" applyNumberFormat="1" applyFont="1" applyBorder="1" applyAlignment="1" applyProtection="1">
      <alignment horizontal="left"/>
    </xf>
    <xf numFmtId="0" fontId="0" fillId="0" borderId="19" xfId="0" applyBorder="1" applyAlignment="1">
      <alignment wrapText="1"/>
    </xf>
    <xf numFmtId="178" fontId="0" fillId="0" borderId="16" xfId="0" applyNumberFormat="1" applyBorder="1"/>
    <xf numFmtId="176" fontId="0" fillId="0" borderId="0" xfId="0" applyNumberFormat="1" applyFill="1" applyBorder="1"/>
    <xf numFmtId="43" fontId="2" fillId="2" borderId="0" xfId="1" applyNumberFormat="1" applyFill="1" applyBorder="1"/>
    <xf numFmtId="0" fontId="0" fillId="0" borderId="0" xfId="0" applyBorder="1" applyAlignment="1">
      <alignment wrapText="1"/>
    </xf>
    <xf numFmtId="0" fontId="13" fillId="0" borderId="0" xfId="0" applyFont="1" applyFill="1"/>
    <xf numFmtId="2" fontId="0" fillId="0" borderId="0" xfId="0" applyNumberFormat="1" applyBorder="1"/>
    <xf numFmtId="2" fontId="0" fillId="0" borderId="0" xfId="0" applyNumberFormat="1" applyFill="1" applyBorder="1"/>
    <xf numFmtId="171" fontId="0" fillId="0" borderId="0" xfId="0" applyNumberFormat="1"/>
    <xf numFmtId="39" fontId="0" fillId="0" borderId="4" xfId="0" applyNumberFormat="1" applyFill="1" applyBorder="1"/>
    <xf numFmtId="0" fontId="1" fillId="0" borderId="20" xfId="0" applyFont="1" applyBorder="1"/>
    <xf numFmtId="0" fontId="1" fillId="0" borderId="21" xfId="0" applyFont="1" applyBorder="1" applyAlignment="1">
      <alignment wrapText="1"/>
    </xf>
    <xf numFmtId="0" fontId="1" fillId="0" borderId="22" xfId="0" applyFont="1" applyBorder="1" applyAlignment="1">
      <alignment wrapText="1"/>
    </xf>
    <xf numFmtId="0" fontId="1" fillId="2" borderId="21" xfId="0" applyFont="1" applyFill="1" applyBorder="1" applyAlignment="1">
      <alignment wrapText="1"/>
    </xf>
    <xf numFmtId="0" fontId="0" fillId="0" borderId="23" xfId="0" applyBorder="1"/>
    <xf numFmtId="0" fontId="6" fillId="0" borderId="23" xfId="0" applyFont="1" applyBorder="1"/>
    <xf numFmtId="39" fontId="0" fillId="0" borderId="5" xfId="0" applyNumberFormat="1" applyBorder="1"/>
    <xf numFmtId="39" fontId="0" fillId="0" borderId="5" xfId="0" applyNumberFormat="1" applyFill="1" applyBorder="1"/>
    <xf numFmtId="43" fontId="2" fillId="2" borderId="5" xfId="1" applyNumberFormat="1" applyFill="1" applyBorder="1"/>
    <xf numFmtId="39" fontId="0" fillId="2" borderId="5" xfId="0" applyNumberFormat="1" applyFill="1" applyBorder="1"/>
    <xf numFmtId="43" fontId="0" fillId="0" borderId="0" xfId="1" applyNumberFormat="1" applyFont="1" applyBorder="1" applyAlignment="1">
      <alignment horizontal="right"/>
    </xf>
    <xf numFmtId="43" fontId="6" fillId="0" borderId="0" xfId="1" applyNumberFormat="1" applyFont="1" applyBorder="1" applyAlignment="1">
      <alignment horizontal="right"/>
    </xf>
    <xf numFmtId="168" fontId="8" fillId="0" borderId="23" xfId="8" applyNumberFormat="1" applyFont="1" applyFill="1" applyBorder="1" applyAlignment="1" applyProtection="1">
      <alignment horizontal="left"/>
    </xf>
    <xf numFmtId="39" fontId="8" fillId="0" borderId="24" xfId="1" applyNumberFormat="1" applyFont="1" applyFill="1" applyBorder="1" applyAlignment="1" applyProtection="1">
      <alignment horizontal="right"/>
    </xf>
    <xf numFmtId="39" fontId="8" fillId="0" borderId="25" xfId="1" applyNumberFormat="1" applyFont="1" applyFill="1" applyBorder="1" applyAlignment="1" applyProtection="1">
      <alignment horizontal="right"/>
    </xf>
    <xf numFmtId="0" fontId="0" fillId="0" borderId="26" xfId="0" applyBorder="1"/>
    <xf numFmtId="39" fontId="8" fillId="0" borderId="27" xfId="1" applyNumberFormat="1" applyFont="1" applyFill="1" applyBorder="1" applyAlignment="1" applyProtection="1">
      <alignment horizontal="right"/>
    </xf>
    <xf numFmtId="39" fontId="8" fillId="0" borderId="28" xfId="1" applyNumberFormat="1" applyFont="1" applyFill="1" applyBorder="1" applyAlignment="1" applyProtection="1">
      <alignment horizontal="right"/>
    </xf>
    <xf numFmtId="0" fontId="0" fillId="0" borderId="0" xfId="0" applyAlignment="1">
      <alignment horizontal="left"/>
    </xf>
    <xf numFmtId="39" fontId="8" fillId="0" borderId="24" xfId="1" applyNumberFormat="1" applyFont="1" applyFill="1" applyBorder="1" applyProtection="1"/>
    <xf numFmtId="0" fontId="17" fillId="0" borderId="0" xfId="0" applyFont="1" applyAlignment="1">
      <alignment horizontal="left"/>
    </xf>
    <xf numFmtId="174" fontId="0" fillId="3" borderId="8" xfId="0" applyNumberFormat="1" applyFill="1" applyBorder="1" applyProtection="1">
      <protection locked="0"/>
    </xf>
    <xf numFmtId="0" fontId="0" fillId="0" borderId="0" xfId="0" applyFill="1" applyAlignment="1">
      <alignment wrapText="1"/>
    </xf>
    <xf numFmtId="2" fontId="0" fillId="0" borderId="0" xfId="0" applyNumberFormat="1" applyFill="1"/>
    <xf numFmtId="0" fontId="1" fillId="0" borderId="21" xfId="0" applyFont="1" applyFill="1" applyBorder="1" applyAlignment="1">
      <alignment wrapText="1"/>
    </xf>
    <xf numFmtId="0" fontId="1" fillId="0" borderId="0" xfId="0" applyFont="1" applyFill="1" applyBorder="1" applyAlignment="1">
      <alignment wrapText="1"/>
    </xf>
    <xf numFmtId="0" fontId="0" fillId="0" borderId="23" xfId="0" applyFill="1" applyBorder="1"/>
    <xf numFmtId="39" fontId="0" fillId="0" borderId="0" xfId="0" applyNumberFormat="1" applyFill="1"/>
    <xf numFmtId="0" fontId="6" fillId="0" borderId="23" xfId="0" applyFont="1" applyFill="1" applyBorder="1"/>
    <xf numFmtId="43" fontId="2" fillId="0" borderId="0" xfId="1" applyNumberFormat="1" applyFill="1" applyBorder="1" applyAlignment="1">
      <alignment horizontal="right"/>
    </xf>
    <xf numFmtId="0" fontId="0" fillId="0" borderId="29" xfId="0" applyBorder="1"/>
    <xf numFmtId="0" fontId="0" fillId="0" borderId="30" xfId="0" applyBorder="1"/>
    <xf numFmtId="168" fontId="8" fillId="0" borderId="31" xfId="8" applyNumberFormat="1" applyFont="1" applyFill="1" applyBorder="1" applyAlignment="1" applyProtection="1">
      <alignment horizontal="left"/>
    </xf>
    <xf numFmtId="39" fontId="8" fillId="0" borderId="32" xfId="1" applyNumberFormat="1" applyFont="1" applyFill="1" applyBorder="1" applyAlignment="1" applyProtection="1">
      <alignment horizontal="right"/>
    </xf>
    <xf numFmtId="37" fontId="36" fillId="0" borderId="0" xfId="8" applyNumberFormat="1" applyFont="1" applyBorder="1" applyProtection="1"/>
    <xf numFmtId="0" fontId="2" fillId="0" borderId="0" xfId="0" applyFont="1" applyBorder="1"/>
    <xf numFmtId="0" fontId="1" fillId="0" borderId="0" xfId="0" applyFont="1" applyBorder="1" applyAlignment="1">
      <alignment horizontal="left"/>
    </xf>
    <xf numFmtId="166" fontId="2" fillId="0" borderId="0" xfId="1" applyNumberFormat="1" applyFont="1" applyBorder="1"/>
    <xf numFmtId="43" fontId="2" fillId="0" borderId="0" xfId="1" applyFont="1" applyBorder="1"/>
    <xf numFmtId="43" fontId="2" fillId="0" borderId="0" xfId="1" applyNumberFormat="1" applyBorder="1" applyAlignment="1">
      <alignment horizontal="right"/>
    </xf>
    <xf numFmtId="39" fontId="10" fillId="0" borderId="8" xfId="9" applyNumberFormat="1" applyFont="1" applyBorder="1" applyAlignment="1" applyProtection="1">
      <alignment horizontal="right" wrapText="1"/>
    </xf>
    <xf numFmtId="43" fontId="0" fillId="0" borderId="0" xfId="0" applyNumberFormat="1" applyBorder="1"/>
    <xf numFmtId="43" fontId="2" fillId="0" borderId="0" xfId="1" applyNumberFormat="1" applyFont="1" applyBorder="1" applyAlignment="1">
      <alignment horizontal="right"/>
    </xf>
    <xf numFmtId="168" fontId="32" fillId="0" borderId="31" xfId="8" applyNumberFormat="1" applyFont="1" applyBorder="1" applyAlignment="1" applyProtection="1">
      <alignment horizontal="left"/>
    </xf>
    <xf numFmtId="168" fontId="8" fillId="0" borderId="31" xfId="8" applyNumberFormat="1" applyFont="1" applyBorder="1" applyAlignment="1" applyProtection="1">
      <alignment horizontal="left"/>
    </xf>
    <xf numFmtId="168" fontId="21" fillId="0" borderId="33" xfId="8" applyNumberFormat="1" applyFont="1" applyBorder="1" applyAlignment="1" applyProtection="1">
      <alignment horizontal="left"/>
    </xf>
    <xf numFmtId="168" fontId="22" fillId="0" borderId="34" xfId="8" applyNumberFormat="1" applyFont="1" applyBorder="1" applyAlignment="1" applyProtection="1">
      <alignment horizontal="center" wrapText="1"/>
    </xf>
    <xf numFmtId="0" fontId="0" fillId="0" borderId="35" xfId="0" applyBorder="1"/>
    <xf numFmtId="0" fontId="0" fillId="0" borderId="4" xfId="0" applyBorder="1"/>
    <xf numFmtId="179" fontId="0" fillId="0" borderId="0" xfId="0" applyNumberFormat="1" applyFill="1"/>
    <xf numFmtId="180" fontId="0" fillId="0" borderId="0" xfId="0" applyNumberFormat="1"/>
    <xf numFmtId="0" fontId="0" fillId="0" borderId="36" xfId="0" applyBorder="1"/>
    <xf numFmtId="0" fontId="6" fillId="0" borderId="0" xfId="0" quotePrefix="1" applyFont="1" applyAlignment="1">
      <alignment horizontal="left"/>
    </xf>
    <xf numFmtId="39" fontId="3" fillId="0" borderId="25" xfId="1" applyNumberFormat="1" applyFont="1" applyFill="1" applyBorder="1" applyAlignment="1" applyProtection="1">
      <alignment horizontal="right"/>
    </xf>
    <xf numFmtId="168" fontId="9" fillId="0" borderId="18" xfId="8" applyNumberFormat="1" applyFont="1" applyFill="1" applyBorder="1" applyAlignment="1" applyProtection="1">
      <alignment horizontal="left"/>
    </xf>
    <xf numFmtId="168" fontId="8" fillId="0" borderId="37" xfId="8" applyNumberFormat="1" applyFont="1" applyFill="1" applyBorder="1" applyAlignment="1" applyProtection="1">
      <alignment horizontal="left"/>
    </xf>
    <xf numFmtId="168" fontId="9" fillId="0" borderId="38" xfId="8" applyNumberFormat="1" applyFont="1" applyFill="1" applyBorder="1" applyAlignment="1" applyProtection="1">
      <alignment horizontal="left"/>
    </xf>
    <xf numFmtId="43" fontId="2" fillId="0" borderId="5" xfId="1" applyNumberFormat="1" applyBorder="1" applyAlignment="1">
      <alignment horizontal="right"/>
    </xf>
    <xf numFmtId="167" fontId="13" fillId="0" borderId="7" xfId="0" applyNumberFormat="1" applyFont="1" applyBorder="1"/>
    <xf numFmtId="39" fontId="3" fillId="0" borderId="24" xfId="1" applyNumberFormat="1" applyFont="1" applyFill="1" applyBorder="1" applyAlignment="1" applyProtection="1">
      <alignment horizontal="right"/>
    </xf>
    <xf numFmtId="168" fontId="8" fillId="0" borderId="39" xfId="8" applyNumberFormat="1" applyFont="1" applyFill="1" applyBorder="1" applyAlignment="1" applyProtection="1">
      <alignment horizontal="left"/>
    </xf>
    <xf numFmtId="181" fontId="0" fillId="2" borderId="0" xfId="1" applyNumberFormat="1" applyFont="1" applyFill="1" applyBorder="1"/>
    <xf numFmtId="181" fontId="0" fillId="2" borderId="0" xfId="0" applyNumberFormat="1" applyFill="1" applyBorder="1"/>
    <xf numFmtId="181" fontId="6" fillId="2" borderId="0" xfId="1" applyNumberFormat="1" applyFont="1" applyFill="1" applyBorder="1"/>
    <xf numFmtId="181" fontId="6" fillId="2" borderId="0" xfId="0" applyNumberFormat="1" applyFont="1" applyFill="1" applyBorder="1"/>
    <xf numFmtId="175" fontId="0" fillId="0" borderId="0" xfId="0" applyNumberFormat="1"/>
    <xf numFmtId="14" fontId="0" fillId="0" borderId="0" xfId="0" applyNumberFormat="1" applyFill="1"/>
    <xf numFmtId="0" fontId="0" fillId="4" borderId="0" xfId="0" applyFill="1" applyBorder="1"/>
    <xf numFmtId="166" fontId="0" fillId="4" borderId="17" xfId="1" applyNumberFormat="1" applyFont="1" applyFill="1" applyBorder="1" applyAlignment="1" applyProtection="1">
      <alignment horizontal="center"/>
    </xf>
    <xf numFmtId="166" fontId="0" fillId="4" borderId="24" xfId="1" applyNumberFormat="1" applyFont="1" applyFill="1" applyBorder="1" applyProtection="1">
      <protection locked="0"/>
    </xf>
    <xf numFmtId="166" fontId="0" fillId="4" borderId="24" xfId="1" applyNumberFormat="1" applyFont="1" applyFill="1" applyBorder="1" applyAlignment="1" applyProtection="1">
      <alignment horizontal="center"/>
    </xf>
    <xf numFmtId="166" fontId="0" fillId="4" borderId="17" xfId="1" applyNumberFormat="1" applyFont="1" applyFill="1" applyBorder="1" applyProtection="1">
      <protection locked="0"/>
    </xf>
    <xf numFmtId="0" fontId="6" fillId="4" borderId="0" xfId="0" applyFont="1" applyFill="1" applyBorder="1"/>
    <xf numFmtId="166" fontId="13" fillId="4" borderId="24" xfId="0" applyNumberFormat="1" applyFont="1" applyFill="1" applyBorder="1" applyAlignment="1">
      <alignment horizontal="center" wrapText="1"/>
    </xf>
    <xf numFmtId="0" fontId="0" fillId="4" borderId="0" xfId="0" applyFill="1" applyBorder="1" applyProtection="1">
      <protection locked="0"/>
    </xf>
    <xf numFmtId="0" fontId="0" fillId="4" borderId="35" xfId="0" applyFill="1" applyBorder="1"/>
    <xf numFmtId="0" fontId="1" fillId="4" borderId="0" xfId="0" quotePrefix="1" applyFont="1" applyFill="1" applyBorder="1"/>
    <xf numFmtId="0" fontId="0" fillId="4" borderId="5" xfId="0" applyFill="1" applyBorder="1"/>
    <xf numFmtId="0" fontId="6" fillId="4" borderId="5" xfId="0" applyFont="1" applyFill="1" applyBorder="1"/>
    <xf numFmtId="0" fontId="0" fillId="2" borderId="0" xfId="0" applyFill="1" applyBorder="1"/>
    <xf numFmtId="0" fontId="1" fillId="2" borderId="0" xfId="0" applyFont="1" applyFill="1"/>
    <xf numFmtId="0" fontId="13" fillId="2" borderId="0" xfId="0" applyFont="1" applyFill="1"/>
    <xf numFmtId="0" fontId="0" fillId="4" borderId="40" xfId="0" applyFill="1" applyBorder="1"/>
    <xf numFmtId="0" fontId="0" fillId="4" borderId="41" xfId="0" applyFill="1" applyBorder="1"/>
    <xf numFmtId="0" fontId="0" fillId="4" borderId="23" xfId="0" applyFill="1" applyBorder="1"/>
    <xf numFmtId="0" fontId="13" fillId="4" borderId="0" xfId="0" applyFont="1" applyFill="1" applyBorder="1"/>
    <xf numFmtId="0" fontId="0" fillId="4" borderId="36" xfId="0" applyFill="1" applyBorder="1"/>
    <xf numFmtId="0" fontId="13" fillId="4" borderId="5" xfId="0" applyFont="1" applyFill="1" applyBorder="1"/>
    <xf numFmtId="0" fontId="6" fillId="4" borderId="42" xfId="0" applyFont="1" applyFill="1" applyBorder="1"/>
    <xf numFmtId="0" fontId="0" fillId="4" borderId="4" xfId="0" applyFill="1" applyBorder="1"/>
    <xf numFmtId="0" fontId="13" fillId="4" borderId="9" xfId="0" applyFont="1" applyFill="1" applyBorder="1"/>
    <xf numFmtId="166" fontId="13" fillId="4" borderId="10" xfId="0" applyNumberFormat="1" applyFont="1" applyFill="1" applyBorder="1" applyAlignment="1">
      <alignment horizontal="center" wrapText="1"/>
    </xf>
    <xf numFmtId="0" fontId="13" fillId="4" borderId="11" xfId="0" applyFont="1" applyFill="1" applyBorder="1"/>
    <xf numFmtId="166" fontId="13" fillId="4" borderId="19" xfId="0" applyNumberFormat="1" applyFont="1" applyFill="1" applyBorder="1" applyAlignment="1">
      <alignment horizontal="center" wrapText="1"/>
    </xf>
    <xf numFmtId="0" fontId="13" fillId="4" borderId="19" xfId="0" applyFont="1" applyFill="1" applyBorder="1" applyAlignment="1">
      <alignment horizontal="center" wrapText="1"/>
    </xf>
    <xf numFmtId="0" fontId="13" fillId="4" borderId="0" xfId="0" applyFont="1" applyFill="1" applyBorder="1" applyAlignment="1">
      <alignment horizontal="center" wrapText="1"/>
    </xf>
    <xf numFmtId="168" fontId="6" fillId="4" borderId="9" xfId="8" applyNumberFormat="1" applyFont="1" applyFill="1" applyBorder="1" applyAlignment="1" applyProtection="1">
      <alignment horizontal="left"/>
    </xf>
    <xf numFmtId="0" fontId="0" fillId="4" borderId="10" xfId="0" applyFill="1" applyBorder="1"/>
    <xf numFmtId="0" fontId="0" fillId="4" borderId="11" xfId="0" applyFill="1" applyBorder="1"/>
    <xf numFmtId="0" fontId="0" fillId="4" borderId="0" xfId="1" applyNumberFormat="1" applyFont="1" applyFill="1" applyBorder="1" applyProtection="1"/>
    <xf numFmtId="0" fontId="5" fillId="4" borderId="0" xfId="0" applyFont="1" applyFill="1" applyBorder="1"/>
    <xf numFmtId="168" fontId="6" fillId="4" borderId="43" xfId="8" applyNumberFormat="1" applyFont="1" applyFill="1" applyBorder="1" applyAlignment="1" applyProtection="1">
      <alignment horizontal="left"/>
    </xf>
    <xf numFmtId="0" fontId="0" fillId="4" borderId="17" xfId="0" applyFill="1" applyBorder="1"/>
    <xf numFmtId="168" fontId="10" fillId="4" borderId="44" xfId="9" applyNumberFormat="1" applyFont="1" applyFill="1" applyBorder="1" applyAlignment="1" applyProtection="1">
      <alignment horizontal="left"/>
    </xf>
    <xf numFmtId="0" fontId="0" fillId="4" borderId="17" xfId="0" applyFill="1" applyBorder="1" applyAlignment="1">
      <alignment horizontal="centerContinuous"/>
    </xf>
    <xf numFmtId="168" fontId="6" fillId="4" borderId="43" xfId="8" applyNumberFormat="1" applyFont="1" applyFill="1" applyBorder="1" applyAlignment="1" applyProtection="1"/>
    <xf numFmtId="0" fontId="0" fillId="4" borderId="17" xfId="0" applyFill="1" applyBorder="1" applyAlignment="1"/>
    <xf numFmtId="168" fontId="6" fillId="4" borderId="24" xfId="8" applyNumberFormat="1" applyFont="1" applyFill="1" applyBorder="1" applyAlignment="1" applyProtection="1">
      <alignment horizontal="left"/>
    </xf>
    <xf numFmtId="0" fontId="0" fillId="4" borderId="43" xfId="0" applyFill="1" applyBorder="1"/>
    <xf numFmtId="0" fontId="0" fillId="4" borderId="24" xfId="0" applyFill="1" applyBorder="1"/>
    <xf numFmtId="168" fontId="6" fillId="4" borderId="0" xfId="8" applyNumberFormat="1" applyFont="1" applyFill="1" applyBorder="1" applyAlignment="1" applyProtection="1">
      <alignment horizontal="left" vertical="center" wrapText="1"/>
    </xf>
    <xf numFmtId="0" fontId="0" fillId="4" borderId="42" xfId="0" applyFill="1" applyBorder="1"/>
    <xf numFmtId="182" fontId="0" fillId="3" borderId="19" xfId="1" applyNumberFormat="1" applyFont="1" applyFill="1" applyBorder="1" applyProtection="1">
      <protection locked="0"/>
    </xf>
    <xf numFmtId="182" fontId="0" fillId="3" borderId="24" xfId="1" applyNumberFormat="1" applyFont="1" applyFill="1" applyBorder="1" applyProtection="1">
      <protection locked="0"/>
    </xf>
    <xf numFmtId="182" fontId="0" fillId="3" borderId="17" xfId="1" applyNumberFormat="1" applyFont="1" applyFill="1" applyBorder="1" applyProtection="1">
      <protection locked="0"/>
    </xf>
    <xf numFmtId="170" fontId="8" fillId="0" borderId="3" xfId="1" applyNumberFormat="1" applyFont="1" applyFill="1" applyBorder="1" applyProtection="1"/>
    <xf numFmtId="170" fontId="3" fillId="0" borderId="3" xfId="1" applyNumberFormat="1" applyFont="1" applyFill="1" applyBorder="1" applyProtection="1"/>
    <xf numFmtId="170" fontId="8" fillId="0" borderId="3" xfId="1" applyNumberFormat="1" applyFont="1" applyFill="1" applyBorder="1" applyAlignment="1" applyProtection="1">
      <alignment horizontal="right"/>
    </xf>
    <xf numFmtId="170" fontId="3" fillId="0" borderId="3" xfId="1" applyNumberFormat="1" applyFont="1" applyFill="1" applyBorder="1" applyAlignment="1" applyProtection="1">
      <alignment horizontal="right"/>
    </xf>
    <xf numFmtId="170" fontId="8" fillId="0" borderId="45" xfId="1" applyNumberFormat="1" applyFont="1" applyFill="1" applyBorder="1" applyProtection="1"/>
    <xf numFmtId="170" fontId="3" fillId="0" borderId="32" xfId="1" applyNumberFormat="1" applyFont="1" applyFill="1" applyBorder="1" applyAlignment="1" applyProtection="1">
      <alignment horizontal="right"/>
    </xf>
    <xf numFmtId="170" fontId="8" fillId="0" borderId="46" xfId="1" applyNumberFormat="1" applyFont="1" applyFill="1" applyBorder="1" applyAlignment="1" applyProtection="1">
      <alignment horizontal="right"/>
    </xf>
    <xf numFmtId="170" fontId="8" fillId="0" borderId="47" xfId="1" applyNumberFormat="1" applyFont="1" applyFill="1" applyBorder="1" applyProtection="1"/>
    <xf numFmtId="0" fontId="25" fillId="0" borderId="0" xfId="3" applyAlignment="1" applyProtection="1"/>
    <xf numFmtId="0" fontId="13" fillId="0" borderId="0" xfId="0" applyFont="1" applyAlignment="1">
      <alignment wrapText="1"/>
    </xf>
    <xf numFmtId="0" fontId="0" fillId="0" borderId="0" xfId="0" applyFill="1" applyAlignment="1">
      <alignment horizontal="left"/>
    </xf>
    <xf numFmtId="164" fontId="0" fillId="0" borderId="0" xfId="0" applyNumberFormat="1" applyFill="1"/>
    <xf numFmtId="1" fontId="0" fillId="0" borderId="0" xfId="0" applyNumberFormat="1" applyAlignment="1">
      <alignment horizontal="left"/>
    </xf>
    <xf numFmtId="0" fontId="0" fillId="2" borderId="0" xfId="0" applyFill="1" applyAlignment="1">
      <alignment horizontal="center"/>
    </xf>
    <xf numFmtId="0" fontId="0" fillId="2" borderId="0" xfId="0" applyNumberFormat="1" applyFill="1"/>
    <xf numFmtId="0" fontId="5" fillId="2" borderId="0" xfId="0" applyFont="1" applyFill="1"/>
    <xf numFmtId="0" fontId="19" fillId="2" borderId="0" xfId="0" applyFont="1" applyFill="1" applyAlignment="1">
      <alignment horizontal="left"/>
    </xf>
    <xf numFmtId="0" fontId="6" fillId="2" borderId="0" xfId="0" quotePrefix="1" applyFont="1" applyFill="1" applyAlignment="1">
      <alignment horizontal="left"/>
    </xf>
    <xf numFmtId="0" fontId="6" fillId="2" borderId="0" xfId="0" applyFont="1" applyFill="1" applyAlignment="1">
      <alignment horizontal="left"/>
    </xf>
    <xf numFmtId="0" fontId="20" fillId="2" borderId="0" xfId="0" applyFont="1" applyFill="1"/>
    <xf numFmtId="37" fontId="0" fillId="4" borderId="0" xfId="0" applyNumberFormat="1" applyFill="1" applyBorder="1"/>
    <xf numFmtId="37" fontId="6" fillId="4" borderId="0" xfId="0" applyNumberFormat="1" applyFont="1" applyFill="1" applyBorder="1"/>
    <xf numFmtId="3" fontId="27" fillId="4" borderId="48" xfId="0" applyNumberFormat="1" applyFont="1" applyFill="1" applyBorder="1" applyAlignment="1">
      <alignment horizontal="center" wrapText="1"/>
    </xf>
    <xf numFmtId="0" fontId="27" fillId="4" borderId="48" xfId="0" applyFont="1" applyFill="1" applyBorder="1" applyAlignment="1">
      <alignment horizontal="center" wrapText="1"/>
    </xf>
    <xf numFmtId="0" fontId="27" fillId="4" borderId="49" xfId="0" applyFont="1" applyFill="1" applyBorder="1" applyAlignment="1">
      <alignment horizontal="center" wrapText="1"/>
    </xf>
    <xf numFmtId="0" fontId="5" fillId="4" borderId="37" xfId="0" applyFont="1" applyFill="1" applyBorder="1" applyAlignment="1"/>
    <xf numFmtId="0" fontId="5" fillId="4" borderId="37" xfId="0" applyFont="1" applyFill="1" applyBorder="1"/>
    <xf numFmtId="0" fontId="5" fillId="4" borderId="50" xfId="0" applyFont="1" applyFill="1" applyBorder="1"/>
    <xf numFmtId="1" fontId="0" fillId="4" borderId="0" xfId="0" applyNumberFormat="1" applyFill="1" applyBorder="1"/>
    <xf numFmtId="0" fontId="5" fillId="4" borderId="0" xfId="0" applyFont="1" applyFill="1" applyBorder="1" applyAlignment="1"/>
    <xf numFmtId="166" fontId="5" fillId="4" borderId="0" xfId="1" applyNumberFormat="1" applyFont="1" applyFill="1" applyBorder="1" applyAlignment="1">
      <alignment horizontal="right"/>
    </xf>
    <xf numFmtId="0" fontId="24" fillId="4" borderId="0" xfId="0" applyFont="1" applyFill="1" applyBorder="1"/>
    <xf numFmtId="0" fontId="20" fillId="4" borderId="0" xfId="0" applyFont="1" applyFill="1" applyBorder="1"/>
    <xf numFmtId="37" fontId="20" fillId="4" borderId="0" xfId="0" applyNumberFormat="1" applyFont="1" applyFill="1" applyBorder="1"/>
    <xf numFmtId="0" fontId="26" fillId="4" borderId="0" xfId="0" applyFont="1" applyFill="1" applyBorder="1"/>
    <xf numFmtId="0" fontId="13" fillId="4" borderId="40" xfId="0" applyFont="1" applyFill="1" applyBorder="1"/>
    <xf numFmtId="0" fontId="6" fillId="4" borderId="0" xfId="0" applyFont="1" applyFill="1" applyBorder="1" applyAlignment="1">
      <alignment horizontal="left"/>
    </xf>
    <xf numFmtId="0" fontId="0" fillId="4" borderId="0" xfId="0" applyFill="1" applyBorder="1" applyAlignment="1">
      <alignment wrapText="1"/>
    </xf>
    <xf numFmtId="0" fontId="5" fillId="4" borderId="5" xfId="0" applyFont="1" applyFill="1" applyBorder="1"/>
    <xf numFmtId="0" fontId="28" fillId="4" borderId="0" xfId="0" applyFont="1" applyFill="1" applyBorder="1"/>
    <xf numFmtId="0" fontId="0" fillId="4" borderId="23" xfId="0" applyFill="1" applyBorder="1" applyAlignment="1">
      <alignment horizontal="center"/>
    </xf>
    <xf numFmtId="0" fontId="0" fillId="4" borderId="0" xfId="0" applyFill="1" applyBorder="1" applyAlignment="1">
      <alignment horizontal="center"/>
    </xf>
    <xf numFmtId="0" fontId="17" fillId="4" borderId="0" xfId="0" applyFont="1" applyFill="1" applyBorder="1" applyAlignment="1">
      <alignment horizontal="left"/>
    </xf>
    <xf numFmtId="0" fontId="0" fillId="4" borderId="4" xfId="0" applyFill="1" applyBorder="1" applyAlignment="1">
      <alignment horizontal="center"/>
    </xf>
    <xf numFmtId="0" fontId="14" fillId="4" borderId="0" xfId="0" applyFont="1" applyFill="1" applyBorder="1"/>
    <xf numFmtId="0" fontId="0" fillId="4" borderId="0" xfId="0" applyNumberFormat="1" applyFill="1" applyBorder="1"/>
    <xf numFmtId="0" fontId="6" fillId="4" borderId="0" xfId="0" applyNumberFormat="1" applyFont="1" applyFill="1" applyBorder="1"/>
    <xf numFmtId="0" fontId="13" fillId="4" borderId="0" xfId="0" applyNumberFormat="1" applyFont="1" applyFill="1" applyBorder="1"/>
    <xf numFmtId="174" fontId="6" fillId="4" borderId="0" xfId="0" applyNumberFormat="1" applyFont="1" applyFill="1" applyBorder="1"/>
    <xf numFmtId="0" fontId="13" fillId="4" borderId="0" xfId="0" applyNumberFormat="1" applyFont="1" applyFill="1" applyBorder="1" applyAlignment="1">
      <alignment horizontal="center"/>
    </xf>
    <xf numFmtId="0" fontId="13" fillId="4" borderId="5" xfId="0" applyNumberFormat="1" applyFont="1" applyFill="1" applyBorder="1"/>
    <xf numFmtId="0" fontId="0" fillId="4" borderId="5" xfId="0" applyNumberFormat="1" applyFill="1" applyBorder="1"/>
    <xf numFmtId="174" fontId="6" fillId="4" borderId="5" xfId="0" applyNumberFormat="1" applyFont="1" applyFill="1" applyBorder="1"/>
    <xf numFmtId="0" fontId="13" fillId="4" borderId="5" xfId="0" applyNumberFormat="1" applyFont="1" applyFill="1" applyBorder="1" applyAlignment="1">
      <alignment horizontal="center"/>
    </xf>
    <xf numFmtId="37" fontId="27" fillId="4" borderId="49" xfId="0" applyNumberFormat="1" applyFont="1" applyFill="1" applyBorder="1" applyAlignment="1">
      <alignment horizontal="center" wrapText="1"/>
    </xf>
    <xf numFmtId="0" fontId="5" fillId="4" borderId="23" xfId="0" applyFont="1" applyFill="1" applyBorder="1"/>
    <xf numFmtId="182" fontId="5" fillId="4" borderId="16" xfId="1" applyNumberFormat="1" applyFont="1" applyFill="1" applyBorder="1" applyAlignment="1">
      <alignment horizontal="right"/>
    </xf>
    <xf numFmtId="2" fontId="5" fillId="4" borderId="23" xfId="0" applyNumberFormat="1" applyFont="1" applyFill="1" applyBorder="1"/>
    <xf numFmtId="182" fontId="5" fillId="4" borderId="46" xfId="1" applyNumberFormat="1" applyFont="1" applyFill="1" applyBorder="1" applyAlignment="1">
      <alignment horizontal="right"/>
    </xf>
    <xf numFmtId="43" fontId="0" fillId="4" borderId="4" xfId="0" applyNumberFormat="1" applyFill="1" applyBorder="1"/>
    <xf numFmtId="0" fontId="20" fillId="4" borderId="5" xfId="0" applyFont="1" applyFill="1" applyBorder="1"/>
    <xf numFmtId="37" fontId="20" fillId="4" borderId="5" xfId="0" applyNumberFormat="1" applyFont="1" applyFill="1" applyBorder="1"/>
    <xf numFmtId="0" fontId="0" fillId="4" borderId="5" xfId="0" applyFill="1" applyBorder="1" applyProtection="1">
      <protection locked="0"/>
    </xf>
    <xf numFmtId="37" fontId="5" fillId="4" borderId="37" xfId="0" applyNumberFormat="1" applyFont="1" applyFill="1" applyBorder="1" applyAlignment="1"/>
    <xf numFmtId="166" fontId="5" fillId="4" borderId="37" xfId="1" applyNumberFormat="1" applyFont="1" applyFill="1" applyBorder="1"/>
    <xf numFmtId="37" fontId="5" fillId="4" borderId="38" xfId="0" applyNumberFormat="1" applyFont="1" applyFill="1" applyBorder="1" applyAlignment="1"/>
    <xf numFmtId="166" fontId="5" fillId="4" borderId="38" xfId="1" applyNumberFormat="1" applyFont="1" applyFill="1" applyBorder="1"/>
    <xf numFmtId="37" fontId="5" fillId="4" borderId="0" xfId="0" applyNumberFormat="1" applyFont="1" applyFill="1" applyBorder="1" applyAlignment="1"/>
    <xf numFmtId="37" fontId="5" fillId="4" borderId="0" xfId="0" applyNumberFormat="1" applyFont="1" applyFill="1" applyBorder="1" applyAlignment="1">
      <alignment horizontal="right"/>
    </xf>
    <xf numFmtId="166" fontId="5" fillId="4" borderId="0" xfId="1" applyNumberFormat="1" applyFont="1" applyFill="1" applyBorder="1"/>
    <xf numFmtId="183" fontId="5" fillId="4" borderId="0" xfId="0" applyNumberFormat="1" applyFont="1" applyFill="1" applyBorder="1"/>
    <xf numFmtId="0" fontId="13" fillId="4" borderId="35" xfId="0" applyFont="1" applyFill="1" applyBorder="1"/>
    <xf numFmtId="0" fontId="13" fillId="4" borderId="0" xfId="0" applyFont="1" applyFill="1" applyBorder="1" applyAlignment="1">
      <alignment wrapText="1"/>
    </xf>
    <xf numFmtId="0" fontId="13" fillId="4" borderId="0" xfId="0" applyFont="1" applyFill="1" applyBorder="1" applyAlignment="1"/>
    <xf numFmtId="0" fontId="5" fillId="4" borderId="5" xfId="0" applyFont="1" applyFill="1" applyBorder="1" applyAlignment="1">
      <alignment horizontal="left"/>
    </xf>
    <xf numFmtId="184" fontId="0" fillId="0" borderId="0" xfId="0" applyNumberFormat="1" applyFill="1" applyAlignment="1">
      <alignment horizontal="right"/>
    </xf>
    <xf numFmtId="185" fontId="13" fillId="4" borderId="0" xfId="10" applyNumberFormat="1" applyFont="1" applyFill="1" applyBorder="1"/>
    <xf numFmtId="166" fontId="20" fillId="4" borderId="0" xfId="0" applyNumberFormat="1" applyFont="1" applyFill="1" applyBorder="1"/>
    <xf numFmtId="37" fontId="20" fillId="4" borderId="0" xfId="1" applyNumberFormat="1" applyFont="1" applyFill="1" applyBorder="1"/>
    <xf numFmtId="166" fontId="0" fillId="0" borderId="11" xfId="1" applyNumberFormat="1" applyFont="1" applyBorder="1" applyAlignment="1"/>
    <xf numFmtId="166" fontId="0" fillId="0" borderId="6" xfId="1" applyNumberFormat="1" applyFont="1" applyBorder="1"/>
    <xf numFmtId="37" fontId="20" fillId="4" borderId="35" xfId="0" applyNumberFormat="1" applyFont="1" applyFill="1" applyBorder="1"/>
    <xf numFmtId="0" fontId="0" fillId="4" borderId="23" xfId="0" applyFill="1" applyBorder="1" applyAlignment="1">
      <alignment vertical="center"/>
    </xf>
    <xf numFmtId="37" fontId="13" fillId="4" borderId="0" xfId="1" applyNumberFormat="1" applyFont="1" applyFill="1" applyBorder="1" applyAlignment="1">
      <alignment vertical="center"/>
    </xf>
    <xf numFmtId="185" fontId="13" fillId="4" borderId="0" xfId="10" applyNumberFormat="1" applyFont="1" applyFill="1" applyBorder="1" applyAlignment="1">
      <alignment vertical="center"/>
    </xf>
    <xf numFmtId="185" fontId="13" fillId="4" borderId="5" xfId="10" applyNumberFormat="1" applyFont="1" applyFill="1" applyBorder="1" applyAlignment="1">
      <alignment vertical="center"/>
    </xf>
    <xf numFmtId="9" fontId="7" fillId="0" borderId="40" xfId="7" applyNumberFormat="1" applyFont="1" applyBorder="1" applyProtection="1"/>
    <xf numFmtId="9" fontId="39" fillId="0" borderId="35" xfId="7" applyNumberFormat="1" applyFont="1" applyBorder="1" applyProtection="1"/>
    <xf numFmtId="2" fontId="7" fillId="0" borderId="35" xfId="7" applyNumberFormat="1" applyFont="1" applyBorder="1" applyProtection="1"/>
    <xf numFmtId="169" fontId="7" fillId="0" borderId="35" xfId="7" applyNumberFormat="1" applyFont="1" applyBorder="1" applyProtection="1"/>
    <xf numFmtId="169" fontId="7" fillId="0" borderId="41" xfId="7" applyNumberFormat="1" applyFont="1" applyBorder="1" applyProtection="1"/>
    <xf numFmtId="9" fontId="7" fillId="0" borderId="23" xfId="7" applyNumberFormat="1" applyFont="1" applyBorder="1" applyAlignment="1" applyProtection="1">
      <alignment wrapText="1"/>
    </xf>
    <xf numFmtId="168" fontId="3" fillId="0" borderId="0" xfId="7" applyBorder="1" applyAlignment="1">
      <alignment wrapText="1"/>
    </xf>
    <xf numFmtId="2" fontId="7" fillId="0" borderId="0" xfId="7" applyNumberFormat="1" applyFont="1" applyBorder="1" applyAlignment="1" applyProtection="1">
      <alignment wrapText="1"/>
    </xf>
    <xf numFmtId="169" fontId="7" fillId="0" borderId="0" xfId="7" applyNumberFormat="1" applyFont="1" applyBorder="1" applyAlignment="1" applyProtection="1">
      <alignment wrapText="1"/>
    </xf>
    <xf numFmtId="169" fontId="7" fillId="0" borderId="4" xfId="7" applyNumberFormat="1" applyFont="1" applyBorder="1" applyAlignment="1" applyProtection="1">
      <alignment wrapText="1"/>
    </xf>
    <xf numFmtId="9" fontId="7" fillId="0" borderId="23" xfId="7" applyNumberFormat="1" applyFont="1" applyBorder="1" applyProtection="1"/>
    <xf numFmtId="2" fontId="7" fillId="0" borderId="0" xfId="7" applyNumberFormat="1" applyFont="1" applyBorder="1" applyProtection="1"/>
    <xf numFmtId="169" fontId="7" fillId="0" borderId="0" xfId="7" applyNumberFormat="1" applyFont="1" applyBorder="1" applyProtection="1"/>
    <xf numFmtId="169" fontId="7" fillId="0" borderId="4" xfId="7" applyNumberFormat="1" applyFont="1" applyBorder="1" applyProtection="1"/>
    <xf numFmtId="168" fontId="3" fillId="0" borderId="23" xfId="7" applyBorder="1"/>
    <xf numFmtId="168" fontId="3" fillId="0" borderId="0" xfId="7" applyBorder="1"/>
    <xf numFmtId="168" fontId="3" fillId="0" borderId="4" xfId="7" applyBorder="1"/>
    <xf numFmtId="168" fontId="3" fillId="0" borderId="36" xfId="7" applyBorder="1"/>
    <xf numFmtId="168" fontId="3" fillId="0" borderId="5" xfId="7" applyBorder="1"/>
    <xf numFmtId="168" fontId="3" fillId="0" borderId="42" xfId="7" applyBorder="1"/>
    <xf numFmtId="0" fontId="0" fillId="0" borderId="40" xfId="0" applyBorder="1"/>
    <xf numFmtId="0" fontId="13" fillId="0" borderId="35" xfId="0" applyFont="1" applyBorder="1"/>
    <xf numFmtId="0" fontId="0" fillId="0" borderId="41" xfId="0" applyBorder="1"/>
    <xf numFmtId="167" fontId="0" fillId="0" borderId="0" xfId="0" applyNumberFormat="1" applyBorder="1"/>
    <xf numFmtId="0" fontId="2" fillId="0" borderId="23" xfId="0" applyFont="1" applyBorder="1"/>
    <xf numFmtId="0" fontId="0" fillId="0" borderId="42" xfId="0" applyBorder="1"/>
    <xf numFmtId="2" fontId="0" fillId="0" borderId="5" xfId="0" applyNumberFormat="1" applyBorder="1"/>
    <xf numFmtId="0" fontId="0" fillId="4" borderId="0" xfId="0" applyFill="1"/>
    <xf numFmtId="2" fontId="13" fillId="0" borderId="19" xfId="0" applyNumberFormat="1" applyFont="1" applyBorder="1" applyAlignment="1">
      <alignment horizontal="left" wrapText="1"/>
    </xf>
    <xf numFmtId="169" fontId="13" fillId="0" borderId="16" xfId="0" applyNumberFormat="1" applyFont="1" applyBorder="1" applyAlignment="1" applyProtection="1">
      <alignment horizontal="left" wrapText="1"/>
    </xf>
    <xf numFmtId="0" fontId="0" fillId="0" borderId="19" xfId="0" applyBorder="1" applyAlignment="1">
      <alignment horizontal="right"/>
    </xf>
    <xf numFmtId="0" fontId="0" fillId="0" borderId="24" xfId="0" applyBorder="1" applyAlignment="1">
      <alignment horizontal="right"/>
    </xf>
    <xf numFmtId="39" fontId="0" fillId="0" borderId="24" xfId="0" applyNumberFormat="1" applyBorder="1"/>
    <xf numFmtId="39" fontId="0" fillId="0" borderId="24" xfId="0" applyNumberFormat="1" applyBorder="1" applyAlignment="1">
      <alignment horizontal="right"/>
    </xf>
    <xf numFmtId="39" fontId="0" fillId="0" borderId="19" xfId="0" applyNumberFormat="1" applyBorder="1"/>
    <xf numFmtId="39" fontId="2" fillId="0" borderId="24" xfId="0" applyNumberFormat="1" applyFont="1" applyBorder="1" applyAlignment="1">
      <alignment horizontal="right"/>
    </xf>
    <xf numFmtId="0" fontId="2" fillId="0" borderId="8" xfId="0" applyFont="1" applyBorder="1" applyAlignment="1">
      <alignment wrapText="1"/>
    </xf>
    <xf numFmtId="9" fontId="2" fillId="0" borderId="8" xfId="10" applyFont="1" applyBorder="1"/>
    <xf numFmtId="43" fontId="10" fillId="5" borderId="8" xfId="1" applyFont="1" applyFill="1" applyBorder="1" applyAlignment="1" applyProtection="1">
      <alignment horizontal="right"/>
    </xf>
    <xf numFmtId="177" fontId="0" fillId="0" borderId="16" xfId="0" applyNumberFormat="1" applyBorder="1"/>
    <xf numFmtId="181" fontId="2" fillId="2" borderId="0" xfId="0" applyNumberFormat="1" applyFont="1" applyFill="1" applyBorder="1"/>
    <xf numFmtId="0" fontId="2" fillId="4" borderId="0" xfId="0" applyFont="1" applyFill="1" applyBorder="1" applyProtection="1">
      <protection locked="0"/>
    </xf>
    <xf numFmtId="0" fontId="13" fillId="5" borderId="0" xfId="0" applyFont="1" applyFill="1" applyBorder="1" applyAlignment="1">
      <alignment wrapText="1"/>
    </xf>
    <xf numFmtId="0" fontId="2" fillId="5" borderId="0" xfId="0" applyFont="1" applyFill="1" applyBorder="1" applyAlignment="1">
      <alignment horizontal="center" vertical="top" wrapText="1"/>
    </xf>
    <xf numFmtId="0" fontId="43" fillId="0" borderId="0" xfId="0" applyFont="1"/>
    <xf numFmtId="0" fontId="0" fillId="6" borderId="0" xfId="0" applyFill="1"/>
    <xf numFmtId="0" fontId="2" fillId="6" borderId="0" xfId="0" applyFont="1" applyFill="1"/>
    <xf numFmtId="9" fontId="0" fillId="0" borderId="0" xfId="10" applyFont="1" applyAlignment="1">
      <alignment horizontal="center"/>
    </xf>
    <xf numFmtId="0" fontId="0" fillId="6" borderId="0" xfId="0" applyFill="1" applyAlignment="1">
      <alignment horizontal="center"/>
    </xf>
    <xf numFmtId="0" fontId="43" fillId="5" borderId="0" xfId="0" applyFont="1" applyFill="1" applyBorder="1" applyAlignment="1">
      <alignment horizontal="center" vertical="top" wrapText="1"/>
    </xf>
    <xf numFmtId="0" fontId="13" fillId="0" borderId="11" xfId="0" applyFont="1" applyFill="1" applyBorder="1" applyAlignment="1">
      <alignment vertical="top"/>
    </xf>
    <xf numFmtId="0" fontId="2" fillId="0" borderId="0" xfId="0" applyFont="1" applyFill="1" applyBorder="1" applyAlignment="1">
      <alignment horizontal="centerContinuous" vertical="top" wrapText="1"/>
    </xf>
    <xf numFmtId="0" fontId="13" fillId="0" borderId="6" xfId="0" applyFont="1" applyFill="1" applyBorder="1" applyAlignment="1">
      <alignment vertical="top"/>
    </xf>
    <xf numFmtId="0" fontId="13" fillId="0" borderId="17" xfId="0" applyFont="1" applyFill="1" applyBorder="1" applyAlignment="1">
      <alignment vertical="top"/>
    </xf>
    <xf numFmtId="0" fontId="13" fillId="0" borderId="0" xfId="0" applyFont="1" applyFill="1" applyBorder="1" applyAlignment="1">
      <alignment horizontal="centerContinuous" vertical="top"/>
    </xf>
    <xf numFmtId="0" fontId="13" fillId="0" borderId="40" xfId="0" applyFont="1" applyFill="1" applyBorder="1"/>
    <xf numFmtId="0" fontId="13" fillId="0" borderId="23" xfId="0" applyFont="1" applyFill="1" applyBorder="1" applyAlignment="1">
      <alignment vertical="top"/>
    </xf>
    <xf numFmtId="0" fontId="13" fillId="0" borderId="51" xfId="0" applyFont="1" applyFill="1" applyBorder="1" applyAlignment="1">
      <alignment vertical="top"/>
    </xf>
    <xf numFmtId="0" fontId="2" fillId="0" borderId="23" xfId="0" applyFont="1" applyFill="1" applyBorder="1" applyAlignment="1">
      <alignment vertical="top"/>
    </xf>
    <xf numFmtId="0" fontId="44" fillId="4" borderId="0" xfId="0" applyFont="1" applyFill="1" applyBorder="1"/>
    <xf numFmtId="168" fontId="10" fillId="0" borderId="23" xfId="9" applyFont="1" applyBorder="1"/>
    <xf numFmtId="168" fontId="10" fillId="0" borderId="36" xfId="9" applyFont="1" applyBorder="1"/>
    <xf numFmtId="0" fontId="5" fillId="4" borderId="18" xfId="0" applyFont="1" applyFill="1" applyBorder="1" applyAlignment="1"/>
    <xf numFmtId="182" fontId="5" fillId="4" borderId="25" xfId="1" applyNumberFormat="1" applyFont="1" applyFill="1" applyBorder="1" applyAlignment="1">
      <alignment horizontal="right"/>
    </xf>
    <xf numFmtId="182" fontId="5" fillId="4" borderId="8" xfId="1" applyNumberFormat="1" applyFont="1" applyFill="1" applyBorder="1" applyAlignment="1">
      <alignment horizontal="right"/>
    </xf>
    <xf numFmtId="0" fontId="5" fillId="4" borderId="50" xfId="0" applyFont="1" applyFill="1" applyBorder="1" applyAlignment="1"/>
    <xf numFmtId="37" fontId="5" fillId="4" borderId="52" xfId="0" applyNumberFormat="1" applyFont="1" applyFill="1" applyBorder="1" applyAlignment="1"/>
    <xf numFmtId="166" fontId="5" fillId="4" borderId="52" xfId="1" applyNumberFormat="1" applyFont="1" applyFill="1" applyBorder="1"/>
    <xf numFmtId="182" fontId="5" fillId="4" borderId="19" xfId="1" applyNumberFormat="1" applyFont="1" applyFill="1" applyBorder="1" applyAlignment="1">
      <alignment horizontal="right"/>
    </xf>
    <xf numFmtId="0" fontId="0" fillId="4" borderId="29" xfId="0" applyFill="1" applyBorder="1"/>
    <xf numFmtId="168" fontId="8" fillId="0" borderId="53" xfId="8" applyNumberFormat="1" applyFont="1" applyFill="1" applyBorder="1" applyAlignment="1" applyProtection="1">
      <alignment horizontal="left"/>
    </xf>
    <xf numFmtId="182" fontId="0" fillId="3" borderId="24" xfId="1" applyNumberFormat="1" applyFont="1" applyFill="1" applyBorder="1" applyAlignment="1" applyProtection="1">
      <alignment horizontal="center"/>
      <protection locked="0"/>
    </xf>
    <xf numFmtId="43" fontId="2" fillId="0" borderId="5" xfId="1" applyNumberFormat="1" applyFont="1" applyBorder="1" applyAlignment="1">
      <alignment horizontal="right"/>
    </xf>
    <xf numFmtId="39" fontId="2" fillId="0" borderId="0" xfId="0" applyNumberFormat="1" applyFont="1" applyFill="1" applyBorder="1" applyAlignment="1">
      <alignment horizontal="right"/>
    </xf>
    <xf numFmtId="9" fontId="0" fillId="0" borderId="37" xfId="10" applyFont="1" applyBorder="1" applyAlignment="1">
      <alignment horizontal="center"/>
    </xf>
    <xf numFmtId="167" fontId="0" fillId="0" borderId="0" xfId="0" applyNumberFormat="1" applyBorder="1" applyAlignment="1">
      <alignment horizontal="right"/>
    </xf>
    <xf numFmtId="39" fontId="2" fillId="0" borderId="17" xfId="0" applyNumberFormat="1" applyFont="1" applyBorder="1" applyAlignment="1">
      <alignment horizontal="right"/>
    </xf>
    <xf numFmtId="39" fontId="2" fillId="0" borderId="6" xfId="0" applyNumberFormat="1" applyFont="1" applyBorder="1" applyAlignment="1">
      <alignment horizontal="right"/>
    </xf>
    <xf numFmtId="0" fontId="2" fillId="0" borderId="24" xfId="0" applyNumberFormat="1" applyFont="1" applyBorder="1" applyAlignment="1">
      <alignment horizontal="right"/>
    </xf>
    <xf numFmtId="39" fontId="0" fillId="0" borderId="16" xfId="0" applyNumberFormat="1" applyBorder="1" applyAlignment="1">
      <alignment horizontal="right"/>
    </xf>
    <xf numFmtId="0" fontId="13" fillId="7" borderId="0" xfId="0" applyFont="1" applyFill="1"/>
    <xf numFmtId="0" fontId="0" fillId="7" borderId="0" xfId="0" applyFill="1"/>
    <xf numFmtId="39" fontId="0" fillId="7" borderId="8" xfId="0" applyNumberFormat="1" applyFill="1" applyBorder="1"/>
    <xf numFmtId="0" fontId="0" fillId="7" borderId="8" xfId="0" applyFill="1" applyBorder="1" applyAlignment="1">
      <alignment wrapText="1"/>
    </xf>
    <xf numFmtId="0" fontId="0" fillId="7" borderId="8" xfId="0" applyFill="1" applyBorder="1"/>
    <xf numFmtId="39" fontId="0" fillId="7" borderId="0" xfId="0" applyNumberFormat="1" applyFont="1" applyFill="1" applyBorder="1"/>
    <xf numFmtId="39" fontId="48" fillId="7" borderId="0" xfId="0" applyNumberFormat="1" applyFont="1" applyFill="1" applyBorder="1"/>
    <xf numFmtId="43" fontId="0" fillId="7" borderId="8" xfId="0" applyNumberFormat="1" applyFill="1" applyBorder="1"/>
    <xf numFmtId="0" fontId="0" fillId="7" borderId="0" xfId="0" applyFill="1" applyAlignment="1">
      <alignment wrapText="1"/>
    </xf>
    <xf numFmtId="173" fontId="0" fillId="7" borderId="0" xfId="0" applyNumberFormat="1" applyFill="1"/>
    <xf numFmtId="171" fontId="6" fillId="7" borderId="0" xfId="1" applyNumberFormat="1" applyFont="1" applyFill="1" applyBorder="1"/>
    <xf numFmtId="171" fontId="0" fillId="7" borderId="0" xfId="0" applyNumberFormat="1" applyFill="1"/>
    <xf numFmtId="39" fontId="0" fillId="7" borderId="0" xfId="0" applyNumberFormat="1" applyFill="1"/>
    <xf numFmtId="39" fontId="48" fillId="7" borderId="0" xfId="0" applyNumberFormat="1" applyFont="1" applyFill="1"/>
    <xf numFmtId="0" fontId="49" fillId="0" borderId="0" xfId="0" applyFont="1"/>
    <xf numFmtId="2" fontId="0" fillId="0" borderId="24" xfId="0" applyNumberFormat="1" applyBorder="1"/>
    <xf numFmtId="2" fontId="0" fillId="0" borderId="16" xfId="0" applyNumberFormat="1" applyBorder="1"/>
    <xf numFmtId="39" fontId="0" fillId="0" borderId="24" xfId="0" applyNumberFormat="1" applyFill="1" applyBorder="1"/>
    <xf numFmtId="0" fontId="2" fillId="0" borderId="0" xfId="0" applyFont="1" applyFill="1"/>
    <xf numFmtId="0" fontId="0" fillId="0" borderId="0" xfId="0" applyFont="1" applyFill="1"/>
    <xf numFmtId="0" fontId="0" fillId="4" borderId="23" xfId="0" applyFill="1" applyBorder="1" applyAlignment="1">
      <alignment vertical="center" wrapText="1"/>
    </xf>
    <xf numFmtId="0" fontId="0" fillId="4" borderId="23" xfId="0" applyFill="1" applyBorder="1" applyAlignment="1">
      <alignment wrapText="1"/>
    </xf>
    <xf numFmtId="37" fontId="5" fillId="4" borderId="54" xfId="1" applyNumberFormat="1" applyFont="1" applyFill="1" applyBorder="1" applyAlignment="1">
      <alignment horizontal="right"/>
    </xf>
    <xf numFmtId="37" fontId="5" fillId="4" borderId="30" xfId="1" applyNumberFormat="1" applyFont="1" applyFill="1" applyBorder="1" applyAlignment="1">
      <alignment horizontal="right"/>
    </xf>
    <xf numFmtId="186" fontId="0" fillId="7" borderId="8" xfId="0" applyNumberFormat="1" applyFill="1" applyBorder="1"/>
    <xf numFmtId="39" fontId="0" fillId="0" borderId="4" xfId="0" applyNumberFormat="1" applyBorder="1" applyAlignment="1">
      <alignment horizontal="right"/>
    </xf>
    <xf numFmtId="39" fontId="0" fillId="0" borderId="4" xfId="0" applyNumberFormat="1" applyFill="1" applyBorder="1" applyAlignment="1">
      <alignment horizontal="right"/>
    </xf>
    <xf numFmtId="39" fontId="0" fillId="0" borderId="42" xfId="0" applyNumberFormat="1" applyFill="1" applyBorder="1" applyAlignment="1">
      <alignment horizontal="right"/>
    </xf>
    <xf numFmtId="0" fontId="0" fillId="8" borderId="29" xfId="0" applyFill="1" applyBorder="1"/>
    <xf numFmtId="0" fontId="0" fillId="8" borderId="55" xfId="0" applyFill="1" applyBorder="1"/>
    <xf numFmtId="0" fontId="0" fillId="8" borderId="0" xfId="0" applyFill="1"/>
    <xf numFmtId="0" fontId="2" fillId="4" borderId="43" xfId="0" applyFont="1" applyFill="1" applyBorder="1"/>
    <xf numFmtId="0" fontId="38" fillId="4" borderId="0" xfId="0" applyFont="1" applyFill="1" applyBorder="1" applyAlignment="1">
      <alignment horizontal="left"/>
    </xf>
    <xf numFmtId="170" fontId="8" fillId="0" borderId="56" xfId="1" applyNumberFormat="1" applyFont="1" applyFill="1" applyBorder="1" applyProtection="1"/>
    <xf numFmtId="182" fontId="2" fillId="4" borderId="17" xfId="1" applyNumberFormat="1" applyFont="1" applyFill="1" applyBorder="1" applyAlignment="1" applyProtection="1">
      <alignment horizontal="center"/>
    </xf>
    <xf numFmtId="182" fontId="0" fillId="4" borderId="17" xfId="1" applyNumberFormat="1" applyFont="1" applyFill="1" applyBorder="1" applyAlignment="1" applyProtection="1">
      <alignment horizontal="center"/>
    </xf>
    <xf numFmtId="182" fontId="0" fillId="4" borderId="24" xfId="1" applyNumberFormat="1" applyFont="1" applyFill="1" applyBorder="1" applyAlignment="1" applyProtection="1">
      <alignment horizontal="center"/>
    </xf>
    <xf numFmtId="182" fontId="0" fillId="4" borderId="11" xfId="1" applyNumberFormat="1" applyFont="1" applyFill="1" applyBorder="1" applyAlignment="1" applyProtection="1">
      <alignment horizontal="center"/>
    </xf>
    <xf numFmtId="182" fontId="0" fillId="4" borderId="19" xfId="1" applyNumberFormat="1" applyFont="1" applyFill="1" applyBorder="1" applyAlignment="1" applyProtection="1">
      <alignment horizontal="center"/>
    </xf>
    <xf numFmtId="170" fontId="8" fillId="0" borderId="4" xfId="1" applyNumberFormat="1" applyFont="1" applyBorder="1" applyProtection="1"/>
    <xf numFmtId="170" fontId="8" fillId="0" borderId="3" xfId="1" applyNumberFormat="1" applyFont="1" applyBorder="1" applyAlignment="1" applyProtection="1">
      <alignment horizontal="right"/>
    </xf>
    <xf numFmtId="170" fontId="8" fillId="0" borderId="4" xfId="1" applyNumberFormat="1" applyFont="1" applyFill="1" applyBorder="1" applyProtection="1"/>
    <xf numFmtId="170" fontId="8" fillId="0" borderId="57" xfId="1" applyNumberFormat="1" applyFont="1" applyFill="1" applyBorder="1" applyProtection="1"/>
    <xf numFmtId="170" fontId="8" fillId="0" borderId="58" xfId="1" applyNumberFormat="1" applyFont="1" applyFill="1" applyBorder="1" applyProtection="1"/>
    <xf numFmtId="170" fontId="8" fillId="0" borderId="59" xfId="1" applyNumberFormat="1" applyFont="1" applyFill="1" applyBorder="1" applyProtection="1"/>
    <xf numFmtId="168" fontId="8" fillId="0" borderId="60" xfId="8" applyNumberFormat="1" applyFont="1" applyFill="1" applyBorder="1" applyAlignment="1" applyProtection="1">
      <alignment horizontal="left"/>
    </xf>
    <xf numFmtId="0" fontId="0" fillId="9" borderId="0" xfId="0" applyFill="1" applyBorder="1"/>
    <xf numFmtId="0" fontId="0" fillId="9" borderId="35" xfId="0" applyFill="1" applyBorder="1"/>
    <xf numFmtId="182" fontId="0" fillId="3" borderId="43" xfId="1" applyNumberFormat="1" applyFont="1" applyFill="1" applyBorder="1" applyProtection="1">
      <protection locked="0"/>
    </xf>
    <xf numFmtId="170" fontId="8" fillId="0" borderId="0" xfId="1" applyNumberFormat="1" applyFont="1" applyFill="1" applyBorder="1" applyAlignment="1" applyProtection="1">
      <alignment horizontal="right"/>
    </xf>
    <xf numFmtId="2" fontId="22" fillId="0" borderId="61" xfId="8" applyNumberFormat="1" applyFont="1" applyBorder="1" applyAlignment="1" applyProtection="1">
      <alignment horizontal="center" wrapText="1"/>
    </xf>
    <xf numFmtId="170" fontId="8" fillId="0" borderId="62" xfId="1" applyNumberFormat="1" applyFont="1" applyFill="1" applyBorder="1" applyProtection="1"/>
    <xf numFmtId="170" fontId="8" fillId="0" borderId="19" xfId="1" applyNumberFormat="1" applyFont="1" applyBorder="1" applyAlignment="1" applyProtection="1">
      <alignment horizontal="right"/>
    </xf>
    <xf numFmtId="170" fontId="8" fillId="0" borderId="24" xfId="1" applyNumberFormat="1" applyFont="1" applyBorder="1" applyAlignment="1" applyProtection="1">
      <alignment horizontal="right"/>
    </xf>
    <xf numFmtId="170" fontId="8" fillId="0" borderId="16" xfId="1" applyNumberFormat="1" applyFont="1" applyBorder="1" applyAlignment="1" applyProtection="1">
      <alignment horizontal="right"/>
    </xf>
    <xf numFmtId="0" fontId="5" fillId="0" borderId="40" xfId="0" applyFont="1" applyFill="1" applyBorder="1"/>
    <xf numFmtId="0" fontId="0" fillId="0" borderId="35" xfId="0" applyFill="1" applyBorder="1"/>
    <xf numFmtId="0" fontId="14" fillId="0" borderId="0" xfId="0" applyFont="1" applyFill="1" applyBorder="1"/>
    <xf numFmtId="1" fontId="0" fillId="0" borderId="0" xfId="0" applyNumberFormat="1" applyFill="1"/>
    <xf numFmtId="166" fontId="0" fillId="0" borderId="0" xfId="1" applyNumberFormat="1" applyFont="1" applyFill="1"/>
    <xf numFmtId="43" fontId="0" fillId="0" borderId="0" xfId="1" applyNumberFormat="1" applyFont="1" applyFill="1"/>
    <xf numFmtId="182" fontId="0" fillId="0" borderId="0" xfId="1" applyNumberFormat="1" applyFont="1" applyFill="1"/>
    <xf numFmtId="164" fontId="6" fillId="0" borderId="0" xfId="0" applyNumberFormat="1" applyFont="1" applyFill="1"/>
    <xf numFmtId="3" fontId="0" fillId="0" borderId="0" xfId="0" applyNumberFormat="1" applyFill="1"/>
    <xf numFmtId="39" fontId="8" fillId="0" borderId="63" xfId="1" applyNumberFormat="1" applyFont="1" applyFill="1" applyBorder="1" applyAlignment="1" applyProtection="1">
      <alignment horizontal="right"/>
    </xf>
    <xf numFmtId="181" fontId="27" fillId="4" borderId="64" xfId="0" applyNumberFormat="1" applyFont="1" applyFill="1" applyBorder="1" applyAlignment="1">
      <alignment horizontal="center" wrapText="1"/>
    </xf>
    <xf numFmtId="182" fontId="2" fillId="3" borderId="19" xfId="1" applyNumberFormat="1" applyFill="1" applyBorder="1" applyProtection="1">
      <protection locked="0"/>
    </xf>
    <xf numFmtId="182" fontId="2" fillId="3" borderId="24" xfId="1" applyNumberFormat="1" applyFill="1" applyBorder="1" applyProtection="1">
      <protection locked="0"/>
    </xf>
    <xf numFmtId="182" fontId="0" fillId="4" borderId="43" xfId="1" applyNumberFormat="1" applyFont="1" applyFill="1" applyBorder="1" applyAlignment="1" applyProtection="1">
      <alignment horizontal="center"/>
    </xf>
    <xf numFmtId="168" fontId="2" fillId="4" borderId="43" xfId="8" applyNumberFormat="1" applyFont="1" applyFill="1" applyBorder="1" applyAlignment="1" applyProtection="1">
      <alignment horizontal="left"/>
    </xf>
    <xf numFmtId="43" fontId="0" fillId="7" borderId="0" xfId="0" applyNumberFormat="1" applyFill="1" applyAlignment="1">
      <alignment wrapText="1"/>
    </xf>
    <xf numFmtId="175" fontId="0" fillId="7" borderId="16" xfId="0" applyNumberFormat="1" applyFill="1" applyBorder="1"/>
    <xf numFmtId="9" fontId="2" fillId="0" borderId="0" xfId="10" quotePrefix="1" applyFont="1" applyFill="1" applyBorder="1" applyAlignment="1">
      <alignment horizontal="center" vertical="top"/>
    </xf>
    <xf numFmtId="9" fontId="2" fillId="0" borderId="4" xfId="10" quotePrefix="1" applyFont="1" applyFill="1" applyBorder="1" applyAlignment="1">
      <alignment horizontal="center" vertical="top"/>
    </xf>
    <xf numFmtId="9" fontId="2" fillId="0" borderId="5" xfId="10" quotePrefix="1" applyFont="1" applyFill="1" applyBorder="1" applyAlignment="1">
      <alignment horizontal="center" vertical="top"/>
    </xf>
    <xf numFmtId="9" fontId="2" fillId="0" borderId="42" xfId="10" quotePrefix="1" applyFont="1" applyFill="1" applyBorder="1" applyAlignment="1">
      <alignment horizontal="center" vertical="top"/>
    </xf>
    <xf numFmtId="43" fontId="2" fillId="0" borderId="0" xfId="1" applyNumberFormat="1" applyFont="1" applyFill="1" applyBorder="1" applyAlignment="1">
      <alignment horizontal="right"/>
    </xf>
    <xf numFmtId="9" fontId="53" fillId="0" borderId="0" xfId="10" applyFont="1" applyFill="1" applyAlignment="1">
      <alignment horizontal="center"/>
    </xf>
    <xf numFmtId="167" fontId="0" fillId="0" borderId="0" xfId="0" applyNumberFormat="1" applyFill="1" applyBorder="1"/>
    <xf numFmtId="43" fontId="0" fillId="0" borderId="0" xfId="0" applyNumberFormat="1" applyFill="1"/>
    <xf numFmtId="0" fontId="13" fillId="0" borderId="8" xfId="5" applyFont="1" applyBorder="1"/>
    <xf numFmtId="0" fontId="13" fillId="0" borderId="8" xfId="5" applyFont="1" applyBorder="1" applyAlignment="1">
      <alignment horizontal="center" wrapText="1"/>
    </xf>
    <xf numFmtId="168" fontId="3" fillId="0" borderId="0" xfId="7" applyFill="1" applyBorder="1"/>
    <xf numFmtId="168" fontId="42" fillId="0" borderId="0" xfId="7" applyFont="1" applyFill="1" applyBorder="1" applyAlignment="1">
      <alignment horizontal="center"/>
    </xf>
    <xf numFmtId="0" fontId="0" fillId="0" borderId="0" xfId="0" applyFill="1" applyBorder="1" applyAlignment="1">
      <alignment horizontal="center" vertical="top" wrapText="1"/>
    </xf>
    <xf numFmtId="0" fontId="2" fillId="0" borderId="11" xfId="0" applyFont="1" applyFill="1" applyBorder="1" applyAlignment="1">
      <alignment horizontal="center" vertical="top"/>
    </xf>
    <xf numFmtId="0" fontId="2" fillId="0" borderId="7" xfId="0" applyFont="1" applyFill="1" applyBorder="1" applyAlignment="1">
      <alignment horizontal="center" vertical="top"/>
    </xf>
    <xf numFmtId="0" fontId="2" fillId="0" borderId="6" xfId="0" applyFont="1" applyFill="1" applyBorder="1" applyAlignment="1">
      <alignment horizontal="center" vertical="top"/>
    </xf>
    <xf numFmtId="0" fontId="2" fillId="0" borderId="65" xfId="0" applyFont="1" applyFill="1" applyBorder="1" applyAlignment="1">
      <alignment horizontal="center" vertical="top"/>
    </xf>
    <xf numFmtId="0" fontId="2" fillId="0" borderId="65" xfId="0" applyFont="1" applyFill="1" applyBorder="1" applyAlignment="1">
      <alignment horizontal="center" vertical="top" wrapText="1"/>
    </xf>
    <xf numFmtId="9" fontId="2" fillId="0" borderId="10" xfId="10" quotePrefix="1" applyFont="1" applyFill="1" applyBorder="1" applyAlignment="1">
      <alignment horizontal="center" vertical="top"/>
    </xf>
    <xf numFmtId="0" fontId="2" fillId="0" borderId="6" xfId="0" applyFont="1" applyFill="1" applyBorder="1" applyAlignment="1">
      <alignment horizontal="center" vertical="top" wrapText="1"/>
    </xf>
    <xf numFmtId="0" fontId="2" fillId="0" borderId="12" xfId="0" applyFont="1" applyFill="1" applyBorder="1" applyAlignment="1">
      <alignment horizontal="center" vertical="top"/>
    </xf>
    <xf numFmtId="0" fontId="2" fillId="0" borderId="9" xfId="0" applyFont="1" applyFill="1" applyBorder="1" applyAlignment="1">
      <alignment horizontal="center" vertical="top"/>
    </xf>
    <xf numFmtId="0" fontId="2" fillId="0" borderId="10" xfId="0" applyFont="1" applyFill="1" applyBorder="1" applyAlignment="1">
      <alignment horizontal="center" vertical="top"/>
    </xf>
    <xf numFmtId="0" fontId="2" fillId="0" borderId="66" xfId="0" applyFont="1" applyFill="1" applyBorder="1" applyAlignment="1">
      <alignment horizontal="center" vertical="top"/>
    </xf>
    <xf numFmtId="0" fontId="2" fillId="0" borderId="67" xfId="0" applyFont="1" applyFill="1" applyBorder="1" applyAlignment="1">
      <alignment horizontal="center" vertical="top" wrapText="1"/>
    </xf>
    <xf numFmtId="0" fontId="2" fillId="0" borderId="68" xfId="0" applyFont="1" applyFill="1" applyBorder="1" applyAlignment="1">
      <alignment horizontal="center" vertical="top" wrapText="1"/>
    </xf>
    <xf numFmtId="0" fontId="2" fillId="0" borderId="36" xfId="0" applyFont="1" applyFill="1" applyBorder="1" applyAlignment="1">
      <alignment vertical="top"/>
    </xf>
    <xf numFmtId="168" fontId="2" fillId="0" borderId="35" xfId="7" applyFont="1" applyFill="1" applyBorder="1"/>
    <xf numFmtId="1" fontId="2" fillId="0" borderId="35" xfId="7" applyNumberFormat="1" applyFont="1" applyFill="1" applyBorder="1"/>
    <xf numFmtId="2" fontId="2" fillId="0" borderId="35" xfId="7" applyNumberFormat="1" applyFont="1" applyFill="1" applyBorder="1"/>
    <xf numFmtId="165" fontId="2" fillId="0" borderId="35" xfId="7" applyNumberFormat="1" applyFont="1" applyFill="1" applyBorder="1"/>
    <xf numFmtId="168" fontId="2" fillId="0" borderId="41" xfId="7" applyFont="1" applyFill="1" applyBorder="1"/>
    <xf numFmtId="168" fontId="2" fillId="0" borderId="51" xfId="7" applyFont="1" applyFill="1" applyBorder="1"/>
    <xf numFmtId="168" fontId="2" fillId="0" borderId="7" xfId="7" applyFont="1" applyFill="1" applyBorder="1"/>
    <xf numFmtId="168" fontId="16" fillId="0" borderId="7" xfId="7" applyFont="1" applyFill="1" applyBorder="1" applyAlignment="1">
      <alignment horizontal="center"/>
    </xf>
    <xf numFmtId="168" fontId="16" fillId="0" borderId="65" xfId="7" applyFont="1" applyFill="1" applyBorder="1" applyAlignment="1">
      <alignment horizontal="center"/>
    </xf>
    <xf numFmtId="182" fontId="52" fillId="0" borderId="17" xfId="1" applyNumberFormat="1" applyFont="1" applyFill="1" applyBorder="1" applyAlignment="1" applyProtection="1">
      <alignment horizontal="center"/>
    </xf>
    <xf numFmtId="166" fontId="52" fillId="0" borderId="24" xfId="1" applyNumberFormat="1" applyFont="1" applyFill="1" applyBorder="1" applyProtection="1">
      <protection locked="0"/>
    </xf>
    <xf numFmtId="0" fontId="52" fillId="0" borderId="0" xfId="1" applyNumberFormat="1" applyFont="1" applyFill="1" applyBorder="1" applyProtection="1"/>
    <xf numFmtId="170" fontId="8" fillId="0" borderId="24" xfId="1" applyNumberFormat="1" applyFont="1" applyFill="1" applyBorder="1" applyAlignment="1" applyProtection="1">
      <alignment horizontal="right"/>
    </xf>
    <xf numFmtId="0" fontId="2" fillId="4" borderId="0" xfId="0" applyFont="1" applyFill="1" applyBorder="1" applyAlignment="1">
      <alignment horizontal="left"/>
    </xf>
    <xf numFmtId="0" fontId="13" fillId="0" borderId="0" xfId="0" applyFont="1" applyFill="1" applyAlignment="1">
      <alignment horizontal="center"/>
    </xf>
    <xf numFmtId="0" fontId="0" fillId="0" borderId="8" xfId="0" applyFill="1" applyBorder="1"/>
    <xf numFmtId="0" fontId="0" fillId="0" borderId="43" xfId="0" applyFill="1" applyBorder="1" applyAlignment="1">
      <alignment wrapText="1"/>
    </xf>
    <xf numFmtId="0" fontId="0" fillId="0" borderId="0" xfId="0" applyFill="1" applyBorder="1" applyAlignment="1">
      <alignment wrapText="1"/>
    </xf>
    <xf numFmtId="175" fontId="0" fillId="0" borderId="16" xfId="0" applyNumberFormat="1" applyFill="1" applyBorder="1"/>
    <xf numFmtId="0" fontId="0" fillId="0" borderId="43" xfId="0" applyFill="1" applyBorder="1"/>
    <xf numFmtId="0" fontId="49" fillId="0" borderId="0" xfId="0" applyFont="1" applyFill="1"/>
    <xf numFmtId="0" fontId="2" fillId="0" borderId="0" xfId="5" applyFont="1"/>
    <xf numFmtId="0" fontId="2" fillId="0" borderId="0" xfId="5" applyFont="1" applyAlignment="1">
      <alignment wrapText="1"/>
    </xf>
    <xf numFmtId="0" fontId="2" fillId="0" borderId="24" xfId="5" applyFont="1" applyBorder="1"/>
    <xf numFmtId="0" fontId="2" fillId="0" borderId="24" xfId="5" applyFont="1" applyBorder="1" applyAlignment="1">
      <alignment horizontal="center"/>
    </xf>
    <xf numFmtId="0" fontId="2" fillId="0" borderId="16" xfId="5" applyFont="1" applyBorder="1"/>
    <xf numFmtId="0" fontId="2" fillId="0" borderId="16" xfId="5" applyFont="1" applyBorder="1" applyAlignment="1">
      <alignment horizontal="center"/>
    </xf>
    <xf numFmtId="0" fontId="2" fillId="0" borderId="69" xfId="5" applyFont="1" applyBorder="1"/>
    <xf numFmtId="0" fontId="2" fillId="0" borderId="70" xfId="5" applyFont="1" applyBorder="1"/>
    <xf numFmtId="168" fontId="2" fillId="0" borderId="0" xfId="5" applyNumberFormat="1" applyFont="1"/>
    <xf numFmtId="168" fontId="2" fillId="0" borderId="0" xfId="5" applyNumberFormat="1" applyFont="1" applyFill="1"/>
    <xf numFmtId="168" fontId="12" fillId="0" borderId="43" xfId="9" applyNumberFormat="1" applyFont="1" applyFill="1" applyBorder="1" applyAlignment="1" applyProtection="1">
      <alignment horizontal="left"/>
    </xf>
    <xf numFmtId="0" fontId="2" fillId="0" borderId="0" xfId="5" applyFont="1" applyFill="1"/>
    <xf numFmtId="168" fontId="2" fillId="10" borderId="0" xfId="5" applyNumberFormat="1" applyFont="1" applyFill="1"/>
    <xf numFmtId="0" fontId="2" fillId="10" borderId="0" xfId="5" applyFont="1" applyFill="1"/>
    <xf numFmtId="168" fontId="2" fillId="0" borderId="0" xfId="7" applyFont="1" applyAlignment="1">
      <alignment horizontal="left"/>
    </xf>
    <xf numFmtId="168" fontId="2" fillId="0" borderId="0" xfId="7" applyFont="1"/>
    <xf numFmtId="168" fontId="2" fillId="0" borderId="71" xfId="7" applyFont="1" applyBorder="1"/>
    <xf numFmtId="168" fontId="2" fillId="0" borderId="69" xfId="7" applyFont="1" applyBorder="1"/>
    <xf numFmtId="1" fontId="2" fillId="0" borderId="69" xfId="7" applyNumberFormat="1" applyFont="1" applyBorder="1"/>
    <xf numFmtId="2" fontId="2" fillId="0" borderId="69" xfId="7" applyNumberFormat="1" applyFont="1" applyBorder="1"/>
    <xf numFmtId="168" fontId="13" fillId="0" borderId="9" xfId="7" applyFont="1" applyBorder="1" applyAlignment="1" applyProtection="1">
      <alignment horizontal="center"/>
    </xf>
    <xf numFmtId="168" fontId="13" fillId="0" borderId="40" xfId="7" applyFont="1" applyBorder="1" applyAlignment="1" applyProtection="1">
      <alignment horizontal="centerContinuous"/>
    </xf>
    <xf numFmtId="168" fontId="13" fillId="0" borderId="35" xfId="7" applyFont="1" applyBorder="1" applyAlignment="1" applyProtection="1">
      <alignment horizontal="centerContinuous"/>
    </xf>
    <xf numFmtId="168" fontId="13" fillId="0" borderId="41" xfId="7" applyFont="1" applyBorder="1" applyAlignment="1" applyProtection="1">
      <alignment horizontal="centerContinuous"/>
    </xf>
    <xf numFmtId="168" fontId="13" fillId="0" borderId="26" xfId="7" applyFont="1" applyBorder="1" applyAlignment="1" applyProtection="1">
      <alignment horizontal="center"/>
    </xf>
    <xf numFmtId="168" fontId="2" fillId="0" borderId="35" xfId="7" applyFont="1" applyBorder="1" applyAlignment="1" applyProtection="1">
      <alignment horizontal="centerContinuous"/>
    </xf>
    <xf numFmtId="168" fontId="2" fillId="0" borderId="35" xfId="7" applyFont="1" applyBorder="1" applyAlignment="1">
      <alignment horizontal="centerContinuous"/>
    </xf>
    <xf numFmtId="168" fontId="2" fillId="0" borderId="41" xfId="7" applyFont="1" applyBorder="1" applyAlignment="1">
      <alignment horizontal="centerContinuous"/>
    </xf>
    <xf numFmtId="169" fontId="13" fillId="0" borderId="43" xfId="7" applyNumberFormat="1" applyFont="1" applyBorder="1" applyProtection="1"/>
    <xf numFmtId="168" fontId="13" fillId="0" borderId="23" xfId="7" applyFont="1" applyBorder="1" applyAlignment="1" applyProtection="1">
      <alignment horizontal="centerContinuous"/>
    </xf>
    <xf numFmtId="168" fontId="13" fillId="0" borderId="0" xfId="7" applyFont="1" applyBorder="1" applyAlignment="1" applyProtection="1">
      <alignment horizontal="centerContinuous"/>
    </xf>
    <xf numFmtId="168" fontId="13" fillId="0" borderId="4" xfId="7" applyFont="1" applyBorder="1" applyAlignment="1" applyProtection="1">
      <alignment horizontal="centerContinuous"/>
    </xf>
    <xf numFmtId="168" fontId="13" fillId="0" borderId="29" xfId="7" applyFont="1" applyBorder="1"/>
    <xf numFmtId="168" fontId="13" fillId="0" borderId="29" xfId="7" applyFont="1" applyBorder="1" applyAlignment="1" applyProtection="1">
      <alignment horizontal="center"/>
    </xf>
    <xf numFmtId="168" fontId="2" fillId="0" borderId="0" xfId="7" applyFont="1" applyBorder="1" applyAlignment="1">
      <alignment horizontal="centerContinuous"/>
    </xf>
    <xf numFmtId="168" fontId="2" fillId="0" borderId="4" xfId="7" applyFont="1" applyBorder="1" applyAlignment="1">
      <alignment horizontal="centerContinuous"/>
    </xf>
    <xf numFmtId="168" fontId="13" fillId="0" borderId="43" xfId="7" applyFont="1" applyBorder="1"/>
    <xf numFmtId="168" fontId="13" fillId="0" borderId="51" xfId="7" applyFont="1" applyBorder="1" applyAlignment="1" applyProtection="1">
      <alignment horizontal="centerContinuous"/>
    </xf>
    <xf numFmtId="168" fontId="13" fillId="0" borderId="7" xfId="7" applyFont="1" applyBorder="1" applyAlignment="1" applyProtection="1">
      <alignment horizontal="centerContinuous"/>
    </xf>
    <xf numFmtId="168" fontId="13" fillId="0" borderId="65" xfId="7" applyFont="1" applyBorder="1" applyAlignment="1" applyProtection="1">
      <alignment horizontal="centerContinuous"/>
    </xf>
    <xf numFmtId="0" fontId="13" fillId="0" borderId="29" xfId="5" applyFont="1" applyBorder="1" applyAlignment="1">
      <alignment horizontal="center"/>
    </xf>
    <xf numFmtId="168" fontId="2" fillId="0" borderId="7" xfId="7" applyFont="1" applyBorder="1" applyAlignment="1">
      <alignment horizontal="centerContinuous"/>
    </xf>
    <xf numFmtId="168" fontId="2" fillId="0" borderId="65" xfId="7" applyFont="1" applyBorder="1" applyAlignment="1">
      <alignment horizontal="centerContinuous"/>
    </xf>
    <xf numFmtId="168" fontId="13" fillId="0" borderId="12" xfId="7" applyFont="1" applyBorder="1" applyAlignment="1" applyProtection="1">
      <alignment horizontal="center" wrapText="1"/>
    </xf>
    <xf numFmtId="0" fontId="13" fillId="0" borderId="37" xfId="5" applyFont="1" applyBorder="1" applyAlignment="1">
      <alignment horizontal="center" wrapText="1"/>
    </xf>
    <xf numFmtId="0" fontId="13" fillId="0" borderId="6" xfId="5" applyFont="1" applyBorder="1" applyAlignment="1">
      <alignment horizontal="center" wrapText="1"/>
    </xf>
    <xf numFmtId="0" fontId="13" fillId="0" borderId="65" xfId="5" applyFont="1" applyBorder="1" applyAlignment="1">
      <alignment horizontal="center" wrapText="1"/>
    </xf>
    <xf numFmtId="168" fontId="13" fillId="0" borderId="30" xfId="7" applyFont="1" applyBorder="1" applyAlignment="1" applyProtection="1">
      <alignment horizontal="center" wrapText="1"/>
    </xf>
    <xf numFmtId="168" fontId="13" fillId="0" borderId="6" xfId="7" applyFont="1" applyBorder="1" applyAlignment="1" applyProtection="1">
      <alignment horizontal="center" wrapText="1"/>
    </xf>
    <xf numFmtId="168" fontId="13" fillId="0" borderId="65" xfId="7" applyFont="1" applyBorder="1" applyAlignment="1" applyProtection="1">
      <alignment horizontal="center" wrapText="1"/>
    </xf>
    <xf numFmtId="168" fontId="2" fillId="0" borderId="43" xfId="9" applyNumberFormat="1" applyFont="1" applyBorder="1" applyAlignment="1" applyProtection="1">
      <alignment horizontal="left" wrapText="1"/>
    </xf>
    <xf numFmtId="169" fontId="2" fillId="0" borderId="31" xfId="7" applyNumberFormat="1" applyFont="1" applyBorder="1" applyProtection="1"/>
    <xf numFmtId="169" fontId="2" fillId="0" borderId="24" xfId="7" applyNumberFormat="1" applyFont="1" applyBorder="1" applyProtection="1"/>
    <xf numFmtId="169" fontId="2" fillId="0" borderId="27" xfId="7" applyNumberFormat="1" applyFont="1" applyBorder="1" applyProtection="1"/>
    <xf numFmtId="169" fontId="2" fillId="0" borderId="29" xfId="7" applyNumberFormat="1" applyFont="1" applyBorder="1" applyProtection="1"/>
    <xf numFmtId="2" fontId="2" fillId="0" borderId="29" xfId="7" applyNumberFormat="1" applyFont="1" applyBorder="1" applyProtection="1"/>
    <xf numFmtId="169" fontId="2" fillId="0" borderId="17" xfId="7" applyNumberFormat="1" applyFont="1" applyBorder="1" applyProtection="1"/>
    <xf numFmtId="169" fontId="2" fillId="0" borderId="29" xfId="7" applyNumberFormat="1" applyFont="1" applyFill="1" applyBorder="1" applyProtection="1"/>
    <xf numFmtId="2" fontId="2" fillId="0" borderId="29" xfId="7" applyNumberFormat="1" applyFont="1" applyFill="1" applyBorder="1" applyProtection="1"/>
    <xf numFmtId="169" fontId="2" fillId="0" borderId="24" xfId="7" applyNumberFormat="1" applyFont="1" applyFill="1" applyBorder="1" applyProtection="1"/>
    <xf numFmtId="169" fontId="2" fillId="0" borderId="27" xfId="7" applyNumberFormat="1" applyFont="1" applyFill="1" applyBorder="1" applyProtection="1"/>
    <xf numFmtId="168" fontId="2" fillId="10" borderId="43" xfId="9" applyNumberFormat="1" applyFont="1" applyFill="1" applyBorder="1" applyAlignment="1" applyProtection="1">
      <alignment horizontal="left" wrapText="1"/>
    </xf>
    <xf numFmtId="169" fontId="2" fillId="10" borderId="31" xfId="7" applyNumberFormat="1" applyFont="1" applyFill="1" applyBorder="1" applyProtection="1"/>
    <xf numFmtId="169" fontId="2" fillId="10" borderId="24" xfId="7" applyNumberFormat="1" applyFont="1" applyFill="1" applyBorder="1" applyProtection="1"/>
    <xf numFmtId="169" fontId="2" fillId="10" borderId="27" xfId="7" applyNumberFormat="1" applyFont="1" applyFill="1" applyBorder="1" applyProtection="1"/>
    <xf numFmtId="169" fontId="2" fillId="10" borderId="29" xfId="7" applyNumberFormat="1" applyFont="1" applyFill="1" applyBorder="1" applyProtection="1"/>
    <xf numFmtId="2" fontId="2" fillId="10" borderId="29" xfId="7" applyNumberFormat="1" applyFont="1" applyFill="1" applyBorder="1" applyProtection="1"/>
    <xf numFmtId="169" fontId="2" fillId="10" borderId="17" xfId="7" applyNumberFormat="1" applyFont="1" applyFill="1" applyBorder="1" applyProtection="1"/>
    <xf numFmtId="168" fontId="2" fillId="0" borderId="43" xfId="9" applyNumberFormat="1" applyFont="1" applyFill="1" applyBorder="1" applyAlignment="1" applyProtection="1">
      <alignment horizontal="left" wrapText="1"/>
    </xf>
    <xf numFmtId="169" fontId="2" fillId="0" borderId="17" xfId="7" applyNumberFormat="1" applyFont="1" applyFill="1" applyBorder="1" applyProtection="1"/>
    <xf numFmtId="168" fontId="2" fillId="10" borderId="43" xfId="7" applyFont="1" applyFill="1" applyBorder="1"/>
    <xf numFmtId="2" fontId="2" fillId="10" borderId="31" xfId="7" applyNumberFormat="1" applyFont="1" applyFill="1" applyBorder="1"/>
    <xf numFmtId="2" fontId="2" fillId="10" borderId="24" xfId="7" applyNumberFormat="1" applyFont="1" applyFill="1" applyBorder="1"/>
    <xf numFmtId="2" fontId="2" fillId="10" borderId="27" xfId="7" applyNumberFormat="1" applyFont="1" applyFill="1" applyBorder="1"/>
    <xf numFmtId="2" fontId="2" fillId="10" borderId="29" xfId="7" applyNumberFormat="1" applyFont="1" applyFill="1" applyBorder="1"/>
    <xf numFmtId="168" fontId="2" fillId="0" borderId="43" xfId="7" applyFont="1" applyBorder="1"/>
    <xf numFmtId="168" fontId="2" fillId="10" borderId="12" xfId="7" applyFont="1" applyFill="1" applyBorder="1"/>
    <xf numFmtId="2" fontId="2" fillId="10" borderId="18" xfId="7" applyNumberFormat="1" applyFont="1" applyFill="1" applyBorder="1"/>
    <xf numFmtId="2" fontId="2" fillId="10" borderId="25" xfId="7" applyNumberFormat="1" applyFont="1" applyFill="1" applyBorder="1"/>
    <xf numFmtId="2" fontId="2" fillId="10" borderId="28" xfId="7" applyNumberFormat="1" applyFont="1" applyFill="1" applyBorder="1"/>
    <xf numFmtId="2" fontId="2" fillId="10" borderId="55" xfId="7" applyNumberFormat="1" applyFont="1" applyFill="1" applyBorder="1"/>
    <xf numFmtId="2" fontId="2" fillId="10" borderId="55" xfId="7" applyNumberFormat="1" applyFont="1" applyFill="1" applyBorder="1" applyProtection="1"/>
    <xf numFmtId="169" fontId="2" fillId="10" borderId="72" xfId="7" applyNumberFormat="1" applyFont="1" applyFill="1" applyBorder="1" applyProtection="1"/>
    <xf numFmtId="169" fontId="2" fillId="10" borderId="25" xfId="7" applyNumberFormat="1" applyFont="1" applyFill="1" applyBorder="1" applyProtection="1"/>
    <xf numFmtId="169" fontId="2" fillId="10" borderId="28" xfId="7" applyNumberFormat="1" applyFont="1" applyFill="1" applyBorder="1" applyProtection="1"/>
    <xf numFmtId="168" fontId="2" fillId="0" borderId="0" xfId="9" applyFont="1"/>
    <xf numFmtId="1" fontId="2" fillId="0" borderId="0" xfId="7" applyNumberFormat="1" applyFont="1"/>
    <xf numFmtId="2" fontId="2" fillId="0" borderId="0" xfId="7" applyNumberFormat="1" applyFont="1"/>
    <xf numFmtId="182" fontId="52" fillId="0" borderId="24" xfId="1" applyNumberFormat="1" applyFont="1" applyFill="1" applyBorder="1" applyAlignment="1" applyProtection="1">
      <alignment horizontal="center"/>
    </xf>
    <xf numFmtId="0" fontId="1" fillId="4" borderId="35" xfId="0" quotePrefix="1" applyFont="1" applyFill="1" applyBorder="1" applyProtection="1"/>
    <xf numFmtId="0" fontId="0" fillId="4" borderId="35" xfId="0" applyFill="1" applyBorder="1" applyProtection="1"/>
    <xf numFmtId="0" fontId="0" fillId="4" borderId="41" xfId="0" applyFill="1" applyBorder="1" applyProtection="1"/>
    <xf numFmtId="0" fontId="1" fillId="4" borderId="0" xfId="0" quotePrefix="1" applyFont="1" applyFill="1" applyBorder="1" applyProtection="1"/>
    <xf numFmtId="0" fontId="13" fillId="0" borderId="0" xfId="0" applyFont="1" applyBorder="1" applyProtection="1"/>
    <xf numFmtId="0" fontId="0" fillId="4" borderId="0" xfId="0" applyFill="1" applyBorder="1" applyProtection="1"/>
    <xf numFmtId="0" fontId="0" fillId="4" borderId="4" xfId="0" applyFill="1" applyBorder="1" applyProtection="1"/>
    <xf numFmtId="0" fontId="0" fillId="4" borderId="0" xfId="0" applyFill="1" applyProtection="1"/>
    <xf numFmtId="0" fontId="0" fillId="0" borderId="0" xfId="0" applyProtection="1"/>
    <xf numFmtId="0" fontId="2" fillId="0" borderId="0" xfId="0" applyFont="1" applyBorder="1" applyProtection="1"/>
    <xf numFmtId="0" fontId="0" fillId="0" borderId="0" xfId="0" applyBorder="1" applyProtection="1"/>
    <xf numFmtId="0" fontId="2" fillId="0" borderId="0" xfId="0" applyFont="1" applyProtection="1"/>
    <xf numFmtId="0" fontId="0" fillId="0" borderId="0" xfId="0" applyFill="1" applyProtection="1"/>
    <xf numFmtId="0" fontId="13" fillId="4" borderId="0" xfId="0" applyFont="1" applyFill="1" applyBorder="1" applyProtection="1"/>
    <xf numFmtId="0" fontId="6" fillId="4" borderId="0" xfId="0" applyFont="1" applyFill="1" applyBorder="1" applyProtection="1"/>
    <xf numFmtId="0" fontId="13" fillId="4" borderId="0" xfId="0" quotePrefix="1" applyFont="1" applyFill="1" applyBorder="1" applyProtection="1"/>
    <xf numFmtId="0" fontId="13" fillId="4" borderId="0" xfId="0" applyFont="1" applyFill="1" applyBorder="1" applyAlignment="1" applyProtection="1">
      <alignment vertical="top"/>
    </xf>
    <xf numFmtId="0" fontId="2" fillId="4" borderId="0" xfId="0" applyFont="1" applyFill="1" applyBorder="1" applyProtection="1"/>
    <xf numFmtId="0" fontId="5" fillId="4" borderId="0" xfId="0" applyFont="1" applyFill="1" applyBorder="1" applyProtection="1"/>
    <xf numFmtId="9" fontId="46" fillId="4" borderId="0" xfId="10" applyFont="1" applyFill="1" applyBorder="1" applyAlignment="1" applyProtection="1"/>
    <xf numFmtId="0" fontId="12" fillId="4" borderId="0" xfId="0" applyFont="1" applyFill="1" applyBorder="1" applyProtection="1"/>
    <xf numFmtId="0" fontId="13" fillId="4" borderId="0" xfId="0" applyFont="1" applyFill="1" applyProtection="1"/>
    <xf numFmtId="9" fontId="47" fillId="4" borderId="0" xfId="10" applyFont="1" applyFill="1" applyBorder="1" applyAlignment="1" applyProtection="1">
      <alignment horizontal="center"/>
    </xf>
    <xf numFmtId="0" fontId="12" fillId="4" borderId="0" xfId="0" applyFont="1" applyFill="1" applyProtection="1"/>
    <xf numFmtId="0" fontId="13" fillId="4" borderId="73" xfId="0" applyFont="1" applyFill="1" applyBorder="1" applyAlignment="1" applyProtection="1">
      <alignment horizontal="centerContinuous" wrapText="1"/>
    </xf>
    <xf numFmtId="0" fontId="13" fillId="4" borderId="74" xfId="0" applyFont="1" applyFill="1" applyBorder="1" applyAlignment="1" applyProtection="1">
      <alignment horizontal="centerContinuous"/>
    </xf>
    <xf numFmtId="0" fontId="13" fillId="4" borderId="8" xfId="0" applyFont="1" applyFill="1" applyBorder="1" applyAlignment="1" applyProtection="1">
      <alignment horizontal="center" wrapText="1"/>
    </xf>
    <xf numFmtId="0" fontId="0" fillId="4" borderId="17" xfId="0" applyFill="1" applyBorder="1" applyProtection="1"/>
    <xf numFmtId="0" fontId="16" fillId="4" borderId="0" xfId="0" applyFont="1" applyFill="1" applyBorder="1" applyProtection="1"/>
    <xf numFmtId="0" fontId="6" fillId="4" borderId="43" xfId="0" applyFont="1" applyFill="1" applyBorder="1" applyProtection="1"/>
    <xf numFmtId="0" fontId="13" fillId="4" borderId="7" xfId="0" applyFont="1" applyFill="1" applyBorder="1" applyProtection="1"/>
    <xf numFmtId="0" fontId="0" fillId="4" borderId="7" xfId="0" applyFill="1" applyBorder="1" applyProtection="1"/>
    <xf numFmtId="0" fontId="6" fillId="4" borderId="73" xfId="0" applyFont="1" applyFill="1" applyBorder="1" applyProtection="1"/>
    <xf numFmtId="0" fontId="0" fillId="4" borderId="75" xfId="0" applyFill="1" applyBorder="1" applyProtection="1"/>
    <xf numFmtId="0" fontId="0" fillId="4" borderId="74" xfId="0" applyFill="1" applyBorder="1" applyProtection="1"/>
    <xf numFmtId="0" fontId="16" fillId="4" borderId="43" xfId="0" applyFont="1" applyFill="1" applyBorder="1" applyProtection="1"/>
    <xf numFmtId="0" fontId="6" fillId="4" borderId="12" xfId="0" applyFont="1" applyFill="1" applyBorder="1" applyProtection="1"/>
    <xf numFmtId="0" fontId="0" fillId="4" borderId="6" xfId="0" applyFill="1" applyBorder="1" applyProtection="1"/>
    <xf numFmtId="0" fontId="6" fillId="4" borderId="7" xfId="0" applyFont="1" applyFill="1" applyBorder="1" applyProtection="1"/>
    <xf numFmtId="0" fontId="0" fillId="4" borderId="6" xfId="0" applyFill="1" applyBorder="1" applyAlignment="1" applyProtection="1">
      <alignment horizontal="center"/>
    </xf>
    <xf numFmtId="0" fontId="6" fillId="4" borderId="8" xfId="0" applyFont="1" applyFill="1" applyBorder="1" applyAlignment="1" applyProtection="1">
      <alignment horizontal="center"/>
    </xf>
    <xf numFmtId="0" fontId="0" fillId="4" borderId="5" xfId="0" applyFill="1" applyBorder="1" applyProtection="1"/>
    <xf numFmtId="0" fontId="16" fillId="4" borderId="5" xfId="0" applyFont="1" applyFill="1" applyBorder="1" applyProtection="1"/>
    <xf numFmtId="0" fontId="0" fillId="4" borderId="42" xfId="0" applyFill="1" applyBorder="1" applyProtection="1"/>
    <xf numFmtId="0" fontId="2" fillId="0" borderId="0" xfId="5" applyFont="1" applyFill="1" applyAlignment="1"/>
    <xf numFmtId="0" fontId="2" fillId="0" borderId="0" xfId="5" applyFont="1" applyFill="1" applyAlignment="1">
      <alignment wrapText="1"/>
    </xf>
    <xf numFmtId="169" fontId="2" fillId="0" borderId="4" xfId="7" applyNumberFormat="1" applyFont="1" applyBorder="1" applyProtection="1"/>
    <xf numFmtId="169" fontId="2" fillId="0" borderId="23" xfId="7" applyNumberFormat="1" applyFont="1" applyBorder="1" applyProtection="1"/>
    <xf numFmtId="169" fontId="2" fillId="0" borderId="43" xfId="7" applyNumberFormat="1" applyFont="1" applyBorder="1" applyProtection="1"/>
    <xf numFmtId="0" fontId="2" fillId="0" borderId="76" xfId="0" quotePrefix="1" applyFont="1" applyFill="1" applyBorder="1" applyAlignment="1">
      <alignment vertical="top"/>
    </xf>
    <xf numFmtId="0" fontId="2" fillId="0" borderId="77" xfId="0" quotePrefix="1" applyFont="1" applyFill="1" applyBorder="1" applyAlignment="1">
      <alignment vertical="top"/>
    </xf>
    <xf numFmtId="0" fontId="2" fillId="0" borderId="78" xfId="0" quotePrefix="1" applyFont="1" applyFill="1" applyBorder="1" applyAlignment="1">
      <alignment vertical="top"/>
    </xf>
    <xf numFmtId="0" fontId="5" fillId="4" borderId="38" xfId="0" applyFont="1" applyFill="1" applyBorder="1"/>
    <xf numFmtId="0" fontId="0" fillId="11" borderId="23" xfId="0" applyFill="1" applyBorder="1"/>
    <xf numFmtId="0" fontId="5" fillId="11" borderId="0" xfId="0" applyFont="1" applyFill="1" applyBorder="1"/>
    <xf numFmtId="0" fontId="0" fillId="11" borderId="0" xfId="0" applyFill="1" applyBorder="1"/>
    <xf numFmtId="0" fontId="0" fillId="11" borderId="4" xfId="0" applyFill="1" applyBorder="1"/>
    <xf numFmtId="0" fontId="0" fillId="11" borderId="36" xfId="0" applyFill="1" applyBorder="1"/>
    <xf numFmtId="0" fontId="5" fillId="11" borderId="5" xfId="0" applyFont="1" applyFill="1" applyBorder="1"/>
    <xf numFmtId="0" fontId="6" fillId="11" borderId="5" xfId="0" applyFont="1" applyFill="1" applyBorder="1" applyAlignment="1">
      <alignment horizontal="left"/>
    </xf>
    <xf numFmtId="0" fontId="0" fillId="11" borderId="5" xfId="0" applyFill="1" applyBorder="1"/>
    <xf numFmtId="37" fontId="5" fillId="4" borderId="79" xfId="1" applyNumberFormat="1" applyFont="1" applyFill="1" applyBorder="1" applyAlignment="1">
      <alignment horizontal="right"/>
    </xf>
    <xf numFmtId="190" fontId="0" fillId="0" borderId="0" xfId="10" applyNumberFormat="1" applyFont="1" applyFill="1"/>
    <xf numFmtId="185" fontId="0" fillId="0" borderId="0" xfId="10" applyNumberFormat="1" applyFont="1" applyFill="1"/>
    <xf numFmtId="189" fontId="0" fillId="0" borderId="0" xfId="10" applyNumberFormat="1" applyFont="1" applyFill="1"/>
    <xf numFmtId="0" fontId="0" fillId="0" borderId="0" xfId="10" applyNumberFormat="1" applyFont="1" applyFill="1"/>
    <xf numFmtId="0" fontId="27" fillId="4" borderId="80" xfId="0" applyFont="1" applyFill="1" applyBorder="1" applyAlignment="1">
      <alignment horizontal="center"/>
    </xf>
    <xf numFmtId="168" fontId="2" fillId="4" borderId="24" xfId="8" applyNumberFormat="1" applyFont="1" applyFill="1" applyBorder="1" applyAlignment="1" applyProtection="1">
      <alignment horizontal="left"/>
    </xf>
    <xf numFmtId="37" fontId="8" fillId="0" borderId="3" xfId="1" applyNumberFormat="1" applyFont="1" applyFill="1" applyBorder="1" applyAlignment="1" applyProtection="1">
      <alignment horizontal="right"/>
    </xf>
    <xf numFmtId="191" fontId="0" fillId="2" borderId="19" xfId="1" applyNumberFormat="1" applyFont="1" applyFill="1" applyBorder="1" applyProtection="1"/>
    <xf numFmtId="191" fontId="0" fillId="2" borderId="24" xfId="1" applyNumberFormat="1" applyFont="1" applyFill="1" applyBorder="1" applyProtection="1"/>
    <xf numFmtId="0" fontId="13" fillId="4" borderId="0" xfId="0" quotePrefix="1" applyFont="1" applyFill="1" applyProtection="1"/>
    <xf numFmtId="0" fontId="2" fillId="4" borderId="0" xfId="0" applyFont="1" applyFill="1" applyProtection="1"/>
    <xf numFmtId="166" fontId="13" fillId="4" borderId="8" xfId="0" applyNumberFormat="1" applyFont="1" applyFill="1" applyBorder="1" applyAlignment="1">
      <alignment horizontal="center" wrapText="1"/>
    </xf>
    <xf numFmtId="182" fontId="2" fillId="4" borderId="24" xfId="1" applyNumberFormat="1" applyFont="1" applyFill="1" applyBorder="1" applyAlignment="1" applyProtection="1">
      <alignment horizontal="center"/>
    </xf>
    <xf numFmtId="182" fontId="0" fillId="4" borderId="16" xfId="1" applyNumberFormat="1" applyFont="1" applyFill="1" applyBorder="1" applyAlignment="1" applyProtection="1">
      <alignment horizontal="center"/>
    </xf>
    <xf numFmtId="0" fontId="2" fillId="0" borderId="0" xfId="0" applyFont="1" applyAlignment="1">
      <alignment wrapText="1"/>
    </xf>
    <xf numFmtId="39" fontId="0" fillId="0" borderId="0" xfId="0" applyNumberFormat="1" applyAlignment="1">
      <alignment wrapText="1"/>
    </xf>
    <xf numFmtId="39" fontId="0" fillId="0" borderId="0" xfId="0" applyNumberFormat="1" applyBorder="1" applyAlignment="1">
      <alignment wrapText="1"/>
    </xf>
    <xf numFmtId="0" fontId="57" fillId="0" borderId="0" xfId="0" applyFont="1"/>
    <xf numFmtId="39" fontId="0" fillId="0" borderId="0" xfId="0" applyNumberFormat="1" applyBorder="1" applyAlignment="1">
      <alignment horizontal="right"/>
    </xf>
    <xf numFmtId="43" fontId="0" fillId="0" borderId="0" xfId="0" applyNumberFormat="1" applyFill="1" applyBorder="1"/>
    <xf numFmtId="9" fontId="0" fillId="0" borderId="6" xfId="10" applyFont="1" applyBorder="1" applyAlignment="1">
      <alignment horizontal="center"/>
    </xf>
    <xf numFmtId="43" fontId="0" fillId="0" borderId="5" xfId="1" applyNumberFormat="1" applyFont="1" applyBorder="1" applyAlignment="1">
      <alignment horizontal="right"/>
    </xf>
    <xf numFmtId="181" fontId="6" fillId="2" borderId="5" xfId="1" applyNumberFormat="1" applyFont="1" applyFill="1" applyBorder="1"/>
    <xf numFmtId="181" fontId="0" fillId="2" borderId="5" xfId="0" applyNumberFormat="1" applyFill="1" applyBorder="1"/>
    <xf numFmtId="181" fontId="2" fillId="2" borderId="5" xfId="0" applyNumberFormat="1" applyFont="1" applyFill="1" applyBorder="1"/>
    <xf numFmtId="39" fontId="0" fillId="0" borderId="5" xfId="0" applyNumberFormat="1" applyBorder="1" applyAlignment="1">
      <alignment horizontal="right"/>
    </xf>
    <xf numFmtId="39" fontId="8" fillId="0" borderId="62" xfId="1" applyNumberFormat="1" applyFont="1" applyFill="1" applyBorder="1" applyAlignment="1" applyProtection="1">
      <alignment horizontal="right"/>
    </xf>
    <xf numFmtId="3" fontId="22" fillId="0" borderId="34" xfId="8" applyNumberFormat="1" applyFont="1" applyFill="1" applyBorder="1" applyAlignment="1" applyProtection="1">
      <alignment horizontal="center" wrapText="1"/>
    </xf>
    <xf numFmtId="0" fontId="57" fillId="0" borderId="0" xfId="0" applyFont="1" applyAlignment="1">
      <alignment horizontal="centerContinuous"/>
    </xf>
    <xf numFmtId="0" fontId="57" fillId="0" borderId="0" xfId="0" applyFont="1" applyFill="1" applyAlignment="1">
      <alignment horizontal="centerContinuous" wrapText="1"/>
    </xf>
    <xf numFmtId="170" fontId="8" fillId="0" borderId="81" xfId="1" applyNumberFormat="1" applyFont="1" applyBorder="1" applyProtection="1"/>
    <xf numFmtId="166" fontId="58" fillId="0" borderId="0" xfId="1" applyNumberFormat="1" applyFont="1" applyFill="1" applyBorder="1" applyProtection="1"/>
    <xf numFmtId="170" fontId="8" fillId="0" borderId="82" xfId="1" applyNumberFormat="1" applyFont="1" applyFill="1" applyBorder="1" applyProtection="1"/>
    <xf numFmtId="3" fontId="27" fillId="4" borderId="83" xfId="0" applyNumberFormat="1" applyFont="1" applyFill="1" applyBorder="1" applyAlignment="1">
      <alignment horizontal="center" wrapText="1"/>
    </xf>
    <xf numFmtId="182" fontId="5" fillId="4" borderId="12" xfId="1" applyNumberFormat="1" applyFont="1" applyFill="1" applyBorder="1" applyAlignment="1">
      <alignment horizontal="right"/>
    </xf>
    <xf numFmtId="0" fontId="0" fillId="4" borderId="0" xfId="0" applyFill="1" applyBorder="1" applyAlignment="1">
      <alignment horizontal="left" vertical="center" wrapText="1"/>
    </xf>
    <xf numFmtId="3" fontId="22" fillId="0" borderId="84" xfId="8" applyNumberFormat="1" applyFont="1" applyBorder="1" applyAlignment="1" applyProtection="1">
      <alignment horizontal="center" wrapText="1"/>
    </xf>
    <xf numFmtId="170" fontId="8" fillId="0" borderId="0" xfId="1" applyNumberFormat="1" applyFont="1" applyBorder="1" applyAlignment="1" applyProtection="1">
      <alignment horizontal="right"/>
    </xf>
    <xf numFmtId="170" fontId="8" fillId="0" borderId="56" xfId="1" applyNumberFormat="1" applyFont="1" applyFill="1" applyBorder="1" applyAlignment="1" applyProtection="1">
      <alignment horizontal="right"/>
    </xf>
    <xf numFmtId="170" fontId="8" fillId="0" borderId="19" xfId="1" applyNumberFormat="1" applyFont="1" applyFill="1" applyBorder="1" applyAlignment="1" applyProtection="1">
      <alignment horizontal="right"/>
    </xf>
    <xf numFmtId="170" fontId="8" fillId="0" borderId="16" xfId="1" applyNumberFormat="1" applyFont="1" applyFill="1" applyBorder="1" applyAlignment="1" applyProtection="1">
      <alignment horizontal="right"/>
    </xf>
    <xf numFmtId="0" fontId="57" fillId="4" borderId="0" xfId="0" applyFont="1" applyFill="1" applyBorder="1"/>
    <xf numFmtId="170" fontId="8" fillId="0" borderId="85" xfId="1" applyNumberFormat="1" applyFont="1" applyFill="1" applyBorder="1" applyAlignment="1" applyProtection="1">
      <alignment horizontal="right"/>
    </xf>
    <xf numFmtId="170" fontId="8" fillId="0" borderId="86" xfId="1" applyNumberFormat="1" applyFont="1" applyFill="1" applyBorder="1" applyAlignment="1" applyProtection="1">
      <alignment horizontal="right"/>
    </xf>
    <xf numFmtId="170" fontId="8" fillId="0" borderId="87" xfId="1" applyNumberFormat="1" applyFont="1" applyFill="1" applyBorder="1" applyProtection="1"/>
    <xf numFmtId="170" fontId="8" fillId="0" borderId="88" xfId="1" applyNumberFormat="1" applyFont="1" applyBorder="1" applyProtection="1"/>
    <xf numFmtId="170" fontId="8" fillId="0" borderId="89" xfId="1" applyNumberFormat="1" applyFont="1" applyFill="1" applyBorder="1" applyAlignment="1" applyProtection="1">
      <alignment horizontal="right"/>
    </xf>
    <xf numFmtId="170" fontId="8" fillId="0" borderId="88" xfId="1" applyNumberFormat="1" applyFont="1" applyFill="1" applyBorder="1" applyProtection="1"/>
    <xf numFmtId="170" fontId="8" fillId="0" borderId="90" xfId="1" applyNumberFormat="1" applyFont="1" applyFill="1" applyBorder="1" applyProtection="1"/>
    <xf numFmtId="170" fontId="8" fillId="0" borderId="91" xfId="1" applyNumberFormat="1" applyFont="1" applyFill="1" applyBorder="1" applyProtection="1"/>
    <xf numFmtId="182" fontId="5" fillId="4" borderId="92" xfId="1" applyNumberFormat="1" applyFont="1" applyFill="1" applyBorder="1" applyAlignment="1">
      <alignment horizontal="right"/>
    </xf>
    <xf numFmtId="0" fontId="2" fillId="4" borderId="12" xfId="0" applyFont="1" applyFill="1" applyBorder="1" applyProtection="1"/>
    <xf numFmtId="1" fontId="6" fillId="3" borderId="6" xfId="1" applyNumberFormat="1" applyFont="1" applyFill="1" applyBorder="1" applyProtection="1">
      <protection locked="0"/>
    </xf>
    <xf numFmtId="0" fontId="0" fillId="4" borderId="11" xfId="0" applyFill="1" applyBorder="1" applyProtection="1"/>
    <xf numFmtId="1" fontId="2" fillId="3" borderId="17" xfId="1" applyNumberFormat="1" applyFont="1" applyFill="1" applyBorder="1" applyProtection="1">
      <protection locked="0"/>
    </xf>
    <xf numFmtId="166" fontId="6" fillId="4" borderId="19" xfId="1" applyNumberFormat="1" applyFont="1" applyFill="1" applyBorder="1" applyProtection="1"/>
    <xf numFmtId="166" fontId="6" fillId="4" borderId="24" xfId="1" applyNumberFormat="1" applyFont="1" applyFill="1" applyBorder="1" applyProtection="1"/>
    <xf numFmtId="166" fontId="6" fillId="4" borderId="16" xfId="1" applyNumberFormat="1" applyFont="1" applyFill="1" applyBorder="1" applyProtection="1"/>
    <xf numFmtId="0" fontId="0" fillId="12" borderId="0" xfId="0" applyFill="1"/>
    <xf numFmtId="4" fontId="0" fillId="12" borderId="0" xfId="0" applyNumberFormat="1" applyFill="1"/>
    <xf numFmtId="39" fontId="57" fillId="0" borderId="0" xfId="0" applyNumberFormat="1" applyFont="1" applyAlignment="1"/>
    <xf numFmtId="3" fontId="22" fillId="0" borderId="14" xfId="8" applyNumberFormat="1" applyFont="1" applyFill="1" applyBorder="1" applyAlignment="1" applyProtection="1">
      <alignment horizontal="center" wrapText="1"/>
    </xf>
    <xf numFmtId="170" fontId="8" fillId="0" borderId="93" xfId="1" applyNumberFormat="1" applyFont="1" applyFill="1" applyBorder="1" applyAlignment="1" applyProtection="1">
      <alignment horizontal="right"/>
    </xf>
    <xf numFmtId="170" fontId="8" fillId="0" borderId="44" xfId="1" applyNumberFormat="1" applyFont="1" applyFill="1" applyBorder="1" applyAlignment="1" applyProtection="1">
      <alignment horizontal="right"/>
    </xf>
    <xf numFmtId="170" fontId="8" fillId="0" borderId="25" xfId="1" applyNumberFormat="1" applyFont="1" applyFill="1" applyBorder="1" applyProtection="1"/>
    <xf numFmtId="170" fontId="8" fillId="0" borderId="94" xfId="1" applyNumberFormat="1" applyFont="1" applyFill="1" applyBorder="1" applyAlignment="1" applyProtection="1">
      <alignment horizontal="right"/>
    </xf>
    <xf numFmtId="170" fontId="8" fillId="0" borderId="32" xfId="1" applyNumberFormat="1" applyFont="1" applyFill="1" applyBorder="1" applyAlignment="1" applyProtection="1">
      <alignment horizontal="right"/>
    </xf>
    <xf numFmtId="170" fontId="8" fillId="0" borderId="93" xfId="1" applyNumberFormat="1" applyFont="1" applyBorder="1" applyAlignment="1" applyProtection="1">
      <alignment horizontal="right"/>
    </xf>
    <xf numFmtId="170" fontId="8" fillId="0" borderId="44" xfId="1" applyNumberFormat="1" applyFont="1" applyBorder="1" applyAlignment="1" applyProtection="1">
      <alignment horizontal="right"/>
    </xf>
    <xf numFmtId="170" fontId="8" fillId="0" borderId="32" xfId="1" applyNumberFormat="1" applyFont="1" applyBorder="1" applyAlignment="1" applyProtection="1">
      <alignment horizontal="right"/>
    </xf>
    <xf numFmtId="170" fontId="8" fillId="0" borderId="94" xfId="1" applyNumberFormat="1" applyFont="1" applyBorder="1" applyAlignment="1" applyProtection="1">
      <alignment horizontal="right"/>
    </xf>
    <xf numFmtId="2" fontId="0" fillId="0" borderId="4" xfId="0" applyNumberFormat="1" applyBorder="1"/>
    <xf numFmtId="0" fontId="2" fillId="0" borderId="36" xfId="0" applyFont="1" applyBorder="1"/>
    <xf numFmtId="2" fontId="0" fillId="0" borderId="42" xfId="0" applyNumberFormat="1" applyBorder="1"/>
    <xf numFmtId="39" fontId="0" fillId="0" borderId="42" xfId="0" applyNumberFormat="1" applyBorder="1" applyAlignment="1">
      <alignment horizontal="right"/>
    </xf>
    <xf numFmtId="1" fontId="0" fillId="0" borderId="0" xfId="0" applyNumberFormat="1" applyBorder="1"/>
    <xf numFmtId="0" fontId="0" fillId="0" borderId="4" xfId="0" applyFill="1" applyBorder="1"/>
    <xf numFmtId="1" fontId="0" fillId="0" borderId="5" xfId="0" applyNumberFormat="1" applyBorder="1"/>
    <xf numFmtId="9" fontId="0" fillId="0" borderId="0" xfId="10" applyFont="1" applyFill="1" applyAlignment="1">
      <alignment horizontal="center"/>
    </xf>
    <xf numFmtId="39" fontId="0" fillId="0" borderId="24" xfId="0" applyNumberFormat="1" applyFill="1" applyBorder="1" applyAlignment="1">
      <alignment horizontal="right"/>
    </xf>
    <xf numFmtId="0" fontId="13" fillId="0" borderId="17" xfId="0" applyFont="1" applyBorder="1" applyAlignment="1">
      <alignment wrapText="1"/>
    </xf>
    <xf numFmtId="39" fontId="0" fillId="0" borderId="17" xfId="0" applyNumberFormat="1" applyBorder="1" applyAlignment="1">
      <alignment horizontal="right"/>
    </xf>
    <xf numFmtId="39" fontId="0" fillId="0" borderId="17" xfId="0" applyNumberFormat="1" applyFill="1" applyBorder="1" applyAlignment="1">
      <alignment horizontal="right"/>
    </xf>
    <xf numFmtId="0" fontId="5" fillId="0" borderId="0" xfId="0" applyFont="1" applyFill="1" applyBorder="1" applyAlignment="1"/>
    <xf numFmtId="0" fontId="57" fillId="4" borderId="0" xfId="0" applyFont="1" applyFill="1" applyProtection="1"/>
    <xf numFmtId="0" fontId="0" fillId="0" borderId="0" xfId="0" applyFill="1" applyBorder="1" applyProtection="1"/>
    <xf numFmtId="0" fontId="0" fillId="0" borderId="0" xfId="0" applyFill="1" applyBorder="1" applyProtection="1">
      <protection locked="0"/>
    </xf>
    <xf numFmtId="170" fontId="54" fillId="0" borderId="24" xfId="1" applyNumberFormat="1" applyFont="1" applyBorder="1" applyAlignment="1" applyProtection="1">
      <alignment horizontal="right"/>
    </xf>
    <xf numFmtId="170" fontId="54" fillId="0" borderId="3" xfId="1" applyNumberFormat="1" applyFont="1" applyBorder="1" applyAlignment="1" applyProtection="1">
      <alignment horizontal="right"/>
    </xf>
    <xf numFmtId="170" fontId="54" fillId="0" borderId="3" xfId="1" applyNumberFormat="1" applyFont="1" applyFill="1" applyBorder="1" applyAlignment="1" applyProtection="1">
      <alignment horizontal="right"/>
    </xf>
    <xf numFmtId="170" fontId="54" fillId="0" borderId="4" xfId="1" applyNumberFormat="1" applyFont="1" applyBorder="1" applyProtection="1"/>
    <xf numFmtId="170" fontId="54" fillId="0" borderId="24" xfId="1" applyNumberFormat="1" applyFont="1" applyFill="1" applyBorder="1" applyAlignment="1" applyProtection="1">
      <alignment horizontal="right"/>
    </xf>
    <xf numFmtId="170" fontId="54" fillId="0" borderId="16" xfId="1" applyNumberFormat="1" applyFont="1" applyBorder="1" applyAlignment="1" applyProtection="1">
      <alignment horizontal="right"/>
    </xf>
    <xf numFmtId="170" fontId="54" fillId="0" borderId="62" xfId="1" applyNumberFormat="1" applyFont="1" applyFill="1" applyBorder="1" applyProtection="1"/>
    <xf numFmtId="170" fontId="54" fillId="0" borderId="45" xfId="1" applyNumberFormat="1" applyFont="1" applyFill="1" applyBorder="1" applyProtection="1"/>
    <xf numFmtId="170" fontId="54" fillId="0" borderId="46" xfId="0" applyNumberFormat="1" applyFont="1" applyBorder="1"/>
    <xf numFmtId="39" fontId="2" fillId="0" borderId="17" xfId="0" applyNumberFormat="1" applyFont="1" applyFill="1" applyBorder="1" applyAlignment="1">
      <alignment horizontal="right"/>
    </xf>
    <xf numFmtId="0" fontId="57" fillId="0" borderId="0" xfId="0" applyFont="1" applyBorder="1"/>
    <xf numFmtId="0" fontId="22" fillId="0" borderId="95" xfId="0" applyFont="1" applyBorder="1" applyAlignment="1">
      <alignment horizontal="center" wrapText="1"/>
    </xf>
    <xf numFmtId="37" fontId="5" fillId="4" borderId="28" xfId="1" applyNumberFormat="1" applyFont="1" applyFill="1" applyBorder="1" applyAlignment="1">
      <alignment horizontal="right"/>
    </xf>
    <xf numFmtId="37" fontId="5" fillId="4" borderId="55" xfId="1" applyNumberFormat="1" applyFont="1" applyFill="1" applyBorder="1" applyAlignment="1">
      <alignment horizontal="right"/>
    </xf>
    <xf numFmtId="37" fontId="13" fillId="4" borderId="0" xfId="1" applyNumberFormat="1" applyFont="1" applyFill="1" applyBorder="1" applyAlignment="1">
      <alignment wrapText="1"/>
    </xf>
    <xf numFmtId="37" fontId="13" fillId="4" borderId="0" xfId="0" applyNumberFormat="1" applyFont="1" applyFill="1" applyBorder="1" applyAlignment="1">
      <alignment wrapText="1"/>
    </xf>
    <xf numFmtId="188" fontId="0" fillId="0" borderId="0" xfId="10" applyNumberFormat="1" applyFont="1"/>
    <xf numFmtId="168" fontId="11" fillId="0" borderId="0" xfId="8" applyNumberFormat="1" applyFont="1" applyFill="1" applyAlignment="1" applyProtection="1">
      <alignment horizontal="left"/>
    </xf>
    <xf numFmtId="0" fontId="13" fillId="0" borderId="0" xfId="0" applyFont="1" applyFill="1" applyBorder="1" applyAlignment="1">
      <alignment wrapText="1"/>
    </xf>
    <xf numFmtId="41" fontId="20" fillId="4" borderId="0" xfId="0" applyNumberFormat="1" applyFont="1" applyFill="1" applyBorder="1"/>
    <xf numFmtId="41" fontId="37" fillId="4" borderId="0" xfId="1" applyNumberFormat="1" applyFont="1" applyFill="1" applyBorder="1"/>
    <xf numFmtId="41" fontId="13" fillId="4" borderId="0" xfId="1" applyNumberFormat="1" applyFont="1" applyFill="1" applyBorder="1"/>
    <xf numFmtId="41" fontId="13" fillId="4" borderId="5" xfId="1" applyNumberFormat="1" applyFont="1" applyFill="1" applyBorder="1"/>
    <xf numFmtId="39" fontId="8" fillId="0" borderId="24" xfId="1" applyNumberFormat="1" applyFont="1" applyBorder="1" applyAlignment="1" applyProtection="1">
      <alignment horizontal="right"/>
    </xf>
    <xf numFmtId="168" fontId="22" fillId="0" borderId="22" xfId="8" applyNumberFormat="1" applyFont="1" applyBorder="1" applyAlignment="1" applyProtection="1">
      <alignment horizontal="center" wrapText="1"/>
    </xf>
    <xf numFmtId="39" fontId="8" fillId="0" borderId="42" xfId="1" applyNumberFormat="1" applyFont="1" applyFill="1" applyBorder="1" applyAlignment="1" applyProtection="1">
      <alignment horizontal="right"/>
    </xf>
    <xf numFmtId="3" fontId="22" fillId="0" borderId="61" xfId="8" applyNumberFormat="1" applyFont="1" applyBorder="1" applyAlignment="1" applyProtection="1">
      <alignment horizontal="center" wrapText="1"/>
    </xf>
    <xf numFmtId="0" fontId="13" fillId="0" borderId="35" xfId="0" applyFont="1" applyBorder="1" applyAlignment="1">
      <alignment wrapText="1"/>
    </xf>
    <xf numFmtId="0" fontId="13" fillId="0" borderId="41" xfId="0" applyFont="1" applyBorder="1" applyAlignment="1">
      <alignment wrapText="1"/>
    </xf>
    <xf numFmtId="168" fontId="6" fillId="4" borderId="23" xfId="8" applyNumberFormat="1" applyFont="1" applyFill="1" applyBorder="1" applyAlignment="1" applyProtection="1">
      <alignment horizontal="left"/>
    </xf>
    <xf numFmtId="2" fontId="22" fillId="0" borderId="34" xfId="8" applyNumberFormat="1" applyFont="1" applyBorder="1" applyAlignment="1" applyProtection="1">
      <alignment horizontal="center" wrapText="1"/>
    </xf>
    <xf numFmtId="168" fontId="22" fillId="0" borderId="96" xfId="8" applyNumberFormat="1" applyFont="1" applyBorder="1" applyAlignment="1" applyProtection="1">
      <alignment horizontal="center" wrapText="1"/>
    </xf>
    <xf numFmtId="39" fontId="8" fillId="0" borderId="17" xfId="1" applyNumberFormat="1" applyFont="1" applyFill="1" applyBorder="1" applyAlignment="1" applyProtection="1">
      <alignment horizontal="right"/>
    </xf>
    <xf numFmtId="39" fontId="8" fillId="0" borderId="17" xfId="1" applyNumberFormat="1" applyFont="1" applyBorder="1" applyAlignment="1" applyProtection="1">
      <alignment horizontal="right"/>
    </xf>
    <xf numFmtId="39" fontId="8" fillId="0" borderId="86" xfId="1" applyNumberFormat="1" applyFont="1" applyFill="1" applyBorder="1" applyAlignment="1" applyProtection="1">
      <alignment horizontal="right"/>
    </xf>
    <xf numFmtId="0" fontId="1" fillId="7" borderId="20" xfId="0" applyFont="1" applyFill="1" applyBorder="1"/>
    <xf numFmtId="0" fontId="1" fillId="7" borderId="21" xfId="0" applyFont="1" applyFill="1" applyBorder="1" applyAlignment="1">
      <alignment wrapText="1"/>
    </xf>
    <xf numFmtId="0" fontId="1" fillId="7" borderId="97" xfId="0" applyFont="1" applyFill="1" applyBorder="1" applyAlignment="1">
      <alignment wrapText="1"/>
    </xf>
    <xf numFmtId="0" fontId="1" fillId="7" borderId="35" xfId="0" applyFont="1" applyFill="1" applyBorder="1" applyAlignment="1">
      <alignment wrapText="1"/>
    </xf>
    <xf numFmtId="0" fontId="1" fillId="7" borderId="98" xfId="0" applyFont="1" applyFill="1" applyBorder="1" applyAlignment="1">
      <alignment wrapText="1"/>
    </xf>
    <xf numFmtId="0" fontId="1" fillId="7" borderId="41" xfId="0" applyFont="1" applyFill="1" applyBorder="1" applyAlignment="1">
      <alignment wrapText="1"/>
    </xf>
    <xf numFmtId="0" fontId="0" fillId="7" borderId="23" xfId="0" applyFill="1" applyBorder="1"/>
    <xf numFmtId="43" fontId="2" fillId="7" borderId="10" xfId="1" applyNumberFormat="1" applyFill="1" applyBorder="1" applyAlignment="1">
      <alignment horizontal="right"/>
    </xf>
    <xf numFmtId="43" fontId="2" fillId="7" borderId="9" xfId="1" applyNumberFormat="1" applyFill="1" applyBorder="1"/>
    <xf numFmtId="43" fontId="2" fillId="7" borderId="10" xfId="1" applyNumberFormat="1" applyFill="1" applyBorder="1"/>
    <xf numFmtId="43" fontId="2" fillId="7" borderId="11" xfId="1" applyNumberFormat="1" applyFill="1" applyBorder="1"/>
    <xf numFmtId="43" fontId="2" fillId="7" borderId="66" xfId="1" applyNumberFormat="1" applyFill="1" applyBorder="1" applyAlignment="1">
      <alignment horizontal="right"/>
    </xf>
    <xf numFmtId="43" fontId="2" fillId="7" borderId="0" xfId="1" applyNumberFormat="1" applyFill="1" applyBorder="1" applyAlignment="1">
      <alignment horizontal="right"/>
    </xf>
    <xf numFmtId="43" fontId="2" fillId="7" borderId="43" xfId="1" applyNumberFormat="1" applyFill="1" applyBorder="1"/>
    <xf numFmtId="43" fontId="2" fillId="7" borderId="0" xfId="1" applyNumberFormat="1" applyFill="1" applyBorder="1"/>
    <xf numFmtId="43" fontId="2" fillId="7" borderId="17" xfId="1" applyNumberFormat="1" applyFill="1" applyBorder="1"/>
    <xf numFmtId="43" fontId="2" fillId="7" borderId="4" xfId="1" applyNumberFormat="1" applyFill="1" applyBorder="1" applyAlignment="1">
      <alignment horizontal="right"/>
    </xf>
    <xf numFmtId="0" fontId="6" fillId="7" borderId="23" xfId="0" applyFont="1" applyFill="1" applyBorder="1"/>
    <xf numFmtId="43" fontId="2" fillId="7" borderId="43" xfId="1" applyNumberFormat="1" applyFill="1" applyBorder="1" applyAlignment="1">
      <alignment horizontal="right"/>
    </xf>
    <xf numFmtId="177" fontId="2" fillId="7" borderId="43" xfId="1" applyNumberFormat="1" applyFill="1" applyBorder="1" applyAlignment="1">
      <alignment horizontal="right"/>
    </xf>
    <xf numFmtId="0" fontId="0" fillId="7" borderId="36" xfId="0" applyFill="1" applyBorder="1"/>
    <xf numFmtId="43" fontId="2" fillId="7" borderId="5" xfId="1" applyNumberFormat="1" applyFill="1" applyBorder="1" applyAlignment="1">
      <alignment horizontal="right"/>
    </xf>
    <xf numFmtId="43" fontId="2" fillId="7" borderId="99" xfId="1" applyNumberFormat="1" applyFill="1" applyBorder="1"/>
    <xf numFmtId="43" fontId="2" fillId="7" borderId="5" xfId="1" applyNumberFormat="1" applyFill="1" applyBorder="1"/>
    <xf numFmtId="43" fontId="2" fillId="7" borderId="72" xfId="1" applyNumberFormat="1" applyFill="1" applyBorder="1"/>
    <xf numFmtId="43" fontId="2" fillId="7" borderId="99" xfId="1" applyNumberFormat="1" applyFill="1" applyBorder="1" applyAlignment="1">
      <alignment horizontal="right"/>
    </xf>
    <xf numFmtId="43" fontId="2" fillId="7" borderId="42" xfId="1" applyNumberFormat="1" applyFill="1" applyBorder="1" applyAlignment="1">
      <alignment horizontal="right"/>
    </xf>
    <xf numFmtId="187" fontId="0" fillId="7" borderId="0" xfId="0" applyNumberFormat="1" applyFill="1"/>
    <xf numFmtId="0" fontId="59" fillId="0" borderId="0" xfId="0" applyFont="1"/>
    <xf numFmtId="0" fontId="1" fillId="7" borderId="100" xfId="0" applyFont="1" applyFill="1" applyBorder="1" applyAlignment="1">
      <alignment wrapText="1"/>
    </xf>
    <xf numFmtId="0" fontId="1" fillId="7" borderId="101" xfId="0" applyFont="1" applyFill="1" applyBorder="1" applyAlignment="1">
      <alignment wrapText="1"/>
    </xf>
    <xf numFmtId="0" fontId="1" fillId="7" borderId="22" xfId="0" applyFont="1" applyFill="1" applyBorder="1" applyAlignment="1">
      <alignment wrapText="1"/>
    </xf>
    <xf numFmtId="43" fontId="2" fillId="7" borderId="9" xfId="1" applyNumberFormat="1" applyFill="1" applyBorder="1" applyAlignment="1">
      <alignment horizontal="right"/>
    </xf>
    <xf numFmtId="181" fontId="0" fillId="7" borderId="0" xfId="0" applyNumberFormat="1" applyFill="1" applyBorder="1"/>
    <xf numFmtId="181" fontId="2" fillId="7" borderId="0" xfId="0" applyNumberFormat="1" applyFont="1" applyFill="1" applyBorder="1"/>
    <xf numFmtId="43" fontId="2" fillId="7" borderId="11" xfId="1" applyNumberFormat="1" applyFill="1" applyBorder="1" applyAlignment="1">
      <alignment horizontal="right"/>
    </xf>
    <xf numFmtId="43" fontId="2" fillId="7" borderId="17" xfId="1" applyNumberFormat="1" applyFill="1" applyBorder="1" applyAlignment="1">
      <alignment horizontal="right"/>
    </xf>
    <xf numFmtId="43" fontId="2" fillId="7" borderId="0" xfId="0" applyNumberFormat="1" applyFont="1" applyFill="1" applyBorder="1"/>
    <xf numFmtId="181" fontId="0" fillId="7" borderId="5" xfId="0" applyNumberFormat="1" applyFill="1" applyBorder="1"/>
    <xf numFmtId="181" fontId="2" fillId="7" borderId="5" xfId="0" applyNumberFormat="1" applyFont="1" applyFill="1" applyBorder="1"/>
    <xf numFmtId="43" fontId="2" fillId="7" borderId="72" xfId="1" applyNumberFormat="1" applyFill="1" applyBorder="1" applyAlignment="1">
      <alignment horizontal="right"/>
    </xf>
    <xf numFmtId="0" fontId="0" fillId="0" borderId="40" xfId="0" applyBorder="1" applyAlignment="1">
      <alignment horizontal="center" wrapText="1"/>
    </xf>
    <xf numFmtId="0" fontId="0" fillId="0" borderId="35" xfId="0" applyBorder="1" applyAlignment="1">
      <alignment horizontal="center" wrapText="1"/>
    </xf>
    <xf numFmtId="0" fontId="2" fillId="0" borderId="41" xfId="0" applyFont="1" applyBorder="1" applyAlignment="1">
      <alignment horizontal="center" wrapText="1"/>
    </xf>
    <xf numFmtId="0" fontId="0" fillId="0" borderId="40" xfId="0" applyBorder="1" applyAlignment="1">
      <alignment horizontal="center"/>
    </xf>
    <xf numFmtId="0" fontId="2" fillId="0" borderId="35" xfId="0" applyFont="1" applyBorder="1" applyAlignment="1">
      <alignment horizontal="center"/>
    </xf>
    <xf numFmtId="0" fontId="0" fillId="0" borderId="35" xfId="0" applyBorder="1" applyAlignment="1">
      <alignment horizontal="center"/>
    </xf>
    <xf numFmtId="0" fontId="0" fillId="0" borderId="41" xfId="0" applyBorder="1" applyAlignment="1">
      <alignment horizontal="center"/>
    </xf>
    <xf numFmtId="0" fontId="0" fillId="0" borderId="23" xfId="0" applyBorder="1" applyAlignment="1">
      <alignment horizontal="center"/>
    </xf>
    <xf numFmtId="0" fontId="2" fillId="0" borderId="0" xfId="0" applyFont="1" applyBorder="1" applyAlignment="1">
      <alignment horizontal="center"/>
    </xf>
    <xf numFmtId="0" fontId="2" fillId="0" borderId="4" xfId="0" applyFont="1" applyBorder="1" applyAlignment="1">
      <alignment horizontal="center"/>
    </xf>
    <xf numFmtId="0" fontId="0" fillId="12" borderId="0" xfId="0" applyFill="1" applyProtection="1">
      <protection locked="0"/>
    </xf>
    <xf numFmtId="0" fontId="0" fillId="4" borderId="0" xfId="0" applyFill="1" applyProtection="1">
      <protection locked="0"/>
    </xf>
    <xf numFmtId="166" fontId="13" fillId="4" borderId="0" xfId="1" applyNumberFormat="1" applyFont="1" applyFill="1" applyBorder="1" applyAlignment="1"/>
    <xf numFmtId="166" fontId="13" fillId="11" borderId="0" xfId="1" applyNumberFormat="1" applyFont="1" applyFill="1" applyBorder="1" applyAlignment="1"/>
    <xf numFmtId="185" fontId="13" fillId="11" borderId="0" xfId="10" applyNumberFormat="1" applyFont="1" applyFill="1" applyBorder="1" applyAlignment="1"/>
    <xf numFmtId="185" fontId="13" fillId="11" borderId="5" xfId="10" applyNumberFormat="1" applyFont="1" applyFill="1" applyBorder="1" applyAlignment="1"/>
    <xf numFmtId="0" fontId="2" fillId="0" borderId="0" xfId="0" applyFont="1" applyAlignment="1">
      <alignment horizontal="left"/>
    </xf>
    <xf numFmtId="39" fontId="0" fillId="0" borderId="19" xfId="0" applyNumberFormat="1" applyBorder="1" applyAlignment="1">
      <alignment horizontal="right"/>
    </xf>
    <xf numFmtId="39" fontId="0" fillId="0" borderId="24" xfId="0" applyNumberFormat="1" applyFill="1" applyBorder="1" applyAlignment="1">
      <alignment wrapText="1"/>
    </xf>
    <xf numFmtId="0" fontId="0" fillId="0" borderId="0" xfId="0" applyAlignment="1">
      <alignment vertical="top" wrapText="1"/>
    </xf>
    <xf numFmtId="0" fontId="0" fillId="0" borderId="0" xfId="0" applyAlignment="1">
      <alignment vertical="top"/>
    </xf>
    <xf numFmtId="0" fontId="2" fillId="0" borderId="0" xfId="0" applyFont="1" applyAlignment="1">
      <alignment vertical="top" wrapText="1"/>
    </xf>
    <xf numFmtId="0" fontId="13" fillId="0" borderId="0" xfId="0" applyFont="1" applyAlignment="1">
      <alignment vertical="top"/>
    </xf>
    <xf numFmtId="0" fontId="2" fillId="0" borderId="0" xfId="0" applyFont="1" applyAlignment="1">
      <alignment vertical="top"/>
    </xf>
    <xf numFmtId="0" fontId="0" fillId="12" borderId="23" xfId="0" applyFill="1" applyBorder="1"/>
    <xf numFmtId="43" fontId="0" fillId="12" borderId="0" xfId="1" applyNumberFormat="1" applyFont="1" applyFill="1" applyBorder="1" applyAlignment="1">
      <alignment horizontal="right"/>
    </xf>
    <xf numFmtId="43" fontId="6" fillId="12" borderId="0" xfId="1" applyNumberFormat="1" applyFont="1" applyFill="1" applyBorder="1"/>
    <xf numFmtId="39" fontId="0" fillId="12" borderId="0" xfId="0" applyNumberFormat="1" applyFill="1" applyBorder="1"/>
    <xf numFmtId="181" fontId="0" fillId="12" borderId="0" xfId="1" applyNumberFormat="1" applyFont="1" applyFill="1" applyBorder="1"/>
    <xf numFmtId="181" fontId="6" fillId="12" borderId="0" xfId="0" applyNumberFormat="1" applyFont="1" applyFill="1" applyBorder="1"/>
    <xf numFmtId="39" fontId="0" fillId="12" borderId="0" xfId="0" applyNumberFormat="1" applyFill="1" applyBorder="1" applyAlignment="1">
      <alignment horizontal="right"/>
    </xf>
    <xf numFmtId="39" fontId="0" fillId="12" borderId="4" xfId="0" applyNumberFormat="1" applyFill="1" applyBorder="1" applyAlignment="1">
      <alignment horizontal="right"/>
    </xf>
    <xf numFmtId="9" fontId="0" fillId="12" borderId="0" xfId="10" applyFont="1" applyFill="1" applyAlignment="1">
      <alignment horizontal="center"/>
    </xf>
    <xf numFmtId="39" fontId="0" fillId="12" borderId="24" xfId="0" applyNumberFormat="1" applyFill="1" applyBorder="1" applyAlignment="1">
      <alignment horizontal="right"/>
    </xf>
    <xf numFmtId="39" fontId="0" fillId="12" borderId="24" xfId="0" applyNumberFormat="1" applyFill="1" applyBorder="1"/>
    <xf numFmtId="0" fontId="0" fillId="12" borderId="0" xfId="0" applyFill="1" applyAlignment="1">
      <alignment wrapText="1"/>
    </xf>
    <xf numFmtId="169" fontId="2" fillId="12" borderId="31" xfId="7" applyNumberFormat="1" applyFont="1" applyFill="1" applyBorder="1" applyProtection="1"/>
    <xf numFmtId="169" fontId="2" fillId="12" borderId="24" xfId="7" applyNumberFormat="1" applyFont="1" applyFill="1" applyBorder="1" applyProtection="1"/>
    <xf numFmtId="169" fontId="2" fillId="12" borderId="27" xfId="7" applyNumberFormat="1" applyFont="1" applyFill="1" applyBorder="1" applyProtection="1"/>
    <xf numFmtId="169" fontId="2" fillId="12" borderId="29" xfId="7" applyNumberFormat="1" applyFont="1" applyFill="1" applyBorder="1" applyProtection="1"/>
    <xf numFmtId="2" fontId="2" fillId="12" borderId="29" xfId="7" applyNumberFormat="1" applyFont="1" applyFill="1" applyBorder="1" applyProtection="1"/>
    <xf numFmtId="169" fontId="2" fillId="12" borderId="17" xfId="7" applyNumberFormat="1" applyFont="1" applyFill="1" applyBorder="1" applyProtection="1"/>
    <xf numFmtId="192" fontId="2" fillId="13" borderId="0" xfId="0" applyNumberFormat="1" applyFont="1" applyFill="1" applyBorder="1"/>
    <xf numFmtId="168" fontId="2" fillId="12" borderId="0" xfId="5" applyNumberFormat="1" applyFont="1" applyFill="1"/>
    <xf numFmtId="168" fontId="2" fillId="12" borderId="43" xfId="9" applyNumberFormat="1" applyFont="1" applyFill="1" applyBorder="1" applyAlignment="1" applyProtection="1">
      <alignment horizontal="left" wrapText="1"/>
    </xf>
    <xf numFmtId="169" fontId="2" fillId="12" borderId="4" xfId="7" applyNumberFormat="1" applyFont="1" applyFill="1" applyBorder="1" applyProtection="1"/>
    <xf numFmtId="0" fontId="2" fillId="12" borderId="0" xfId="5" applyFont="1" applyFill="1"/>
    <xf numFmtId="0" fontId="2" fillId="14" borderId="0" xfId="5" applyFont="1" applyFill="1"/>
    <xf numFmtId="0" fontId="2" fillId="14" borderId="0" xfId="5" applyFont="1" applyFill="1" applyAlignment="1">
      <alignment wrapText="1"/>
    </xf>
    <xf numFmtId="0" fontId="2" fillId="14" borderId="69" xfId="5" applyFont="1" applyFill="1" applyBorder="1"/>
    <xf numFmtId="168" fontId="2" fillId="14" borderId="71" xfId="7" applyFont="1" applyFill="1" applyBorder="1"/>
    <xf numFmtId="168" fontId="2" fillId="14" borderId="69" xfId="7" applyFont="1" applyFill="1" applyBorder="1"/>
    <xf numFmtId="1" fontId="2" fillId="14" borderId="69" xfId="7" applyNumberFormat="1" applyFont="1" applyFill="1" applyBorder="1"/>
    <xf numFmtId="2" fontId="2" fillId="14" borderId="69" xfId="7" applyNumberFormat="1" applyFont="1" applyFill="1" applyBorder="1"/>
    <xf numFmtId="0" fontId="2" fillId="14" borderId="70" xfId="5" applyFont="1" applyFill="1" applyBorder="1"/>
    <xf numFmtId="168" fontId="13" fillId="14" borderId="40" xfId="7" applyFont="1" applyFill="1" applyBorder="1" applyAlignment="1" applyProtection="1">
      <alignment horizontal="centerContinuous"/>
    </xf>
    <xf numFmtId="168" fontId="13" fillId="14" borderId="35" xfId="7" applyFont="1" applyFill="1" applyBorder="1" applyAlignment="1" applyProtection="1">
      <alignment horizontal="centerContinuous"/>
    </xf>
    <xf numFmtId="168" fontId="13" fillId="14" borderId="41" xfId="7" applyFont="1" applyFill="1" applyBorder="1" applyAlignment="1" applyProtection="1">
      <alignment horizontal="centerContinuous"/>
    </xf>
    <xf numFmtId="168" fontId="13" fillId="14" borderId="26" xfId="7" applyFont="1" applyFill="1" applyBorder="1" applyAlignment="1" applyProtection="1">
      <alignment horizontal="center"/>
    </xf>
    <xf numFmtId="168" fontId="2" fillId="14" borderId="35" xfId="7" applyFont="1" applyFill="1" applyBorder="1" applyAlignment="1" applyProtection="1">
      <alignment horizontal="centerContinuous"/>
    </xf>
    <xf numFmtId="168" fontId="2" fillId="14" borderId="35" xfId="7" applyFont="1" applyFill="1" applyBorder="1" applyAlignment="1">
      <alignment horizontal="centerContinuous"/>
    </xf>
    <xf numFmtId="168" fontId="2" fillId="14" borderId="41" xfId="7" applyFont="1" applyFill="1" applyBorder="1" applyAlignment="1">
      <alignment horizontal="centerContinuous"/>
    </xf>
    <xf numFmtId="168" fontId="13" fillId="14" borderId="23" xfId="7" applyFont="1" applyFill="1" applyBorder="1" applyAlignment="1" applyProtection="1">
      <alignment horizontal="centerContinuous"/>
    </xf>
    <xf numFmtId="168" fontId="13" fillId="14" borderId="0" xfId="7" applyFont="1" applyFill="1" applyBorder="1" applyAlignment="1" applyProtection="1">
      <alignment horizontal="centerContinuous"/>
    </xf>
    <xf numFmtId="168" fontId="13" fillId="14" borderId="4" xfId="7" applyFont="1" applyFill="1" applyBorder="1" applyAlignment="1" applyProtection="1">
      <alignment horizontal="centerContinuous"/>
    </xf>
    <xf numFmtId="168" fontId="13" fillId="14" borderId="29" xfId="7" applyFont="1" applyFill="1" applyBorder="1"/>
    <xf numFmtId="168" fontId="13" fillId="14" borderId="29" xfId="7" applyFont="1" applyFill="1" applyBorder="1" applyAlignment="1" applyProtection="1">
      <alignment horizontal="center"/>
    </xf>
    <xf numFmtId="168" fontId="2" fillId="14" borderId="0" xfId="7" applyFont="1" applyFill="1" applyBorder="1" applyAlignment="1">
      <alignment horizontal="centerContinuous"/>
    </xf>
    <xf numFmtId="168" fontId="2" fillId="14" borderId="4" xfId="7" applyFont="1" applyFill="1" applyBorder="1" applyAlignment="1">
      <alignment horizontal="centerContinuous"/>
    </xf>
    <xf numFmtId="168" fontId="13" fillId="14" borderId="51" xfId="7" applyFont="1" applyFill="1" applyBorder="1" applyAlignment="1" applyProtection="1">
      <alignment horizontal="centerContinuous"/>
    </xf>
    <xf numFmtId="168" fontId="13" fillId="14" borderId="7" xfId="7" applyFont="1" applyFill="1" applyBorder="1" applyAlignment="1" applyProtection="1">
      <alignment horizontal="centerContinuous"/>
    </xf>
    <xf numFmtId="168" fontId="13" fillId="14" borderId="65" xfId="7" applyFont="1" applyFill="1" applyBorder="1" applyAlignment="1" applyProtection="1">
      <alignment horizontal="centerContinuous"/>
    </xf>
    <xf numFmtId="0" fontId="13" fillId="14" borderId="29" xfId="5" applyFont="1" applyFill="1" applyBorder="1" applyAlignment="1">
      <alignment horizontal="center"/>
    </xf>
    <xf numFmtId="168" fontId="2" fillId="14" borderId="7" xfId="7" applyFont="1" applyFill="1" applyBorder="1" applyAlignment="1">
      <alignment horizontal="centerContinuous"/>
    </xf>
    <xf numFmtId="168" fontId="2" fillId="14" borderId="65" xfId="7" applyFont="1" applyFill="1" applyBorder="1" applyAlignment="1">
      <alignment horizontal="centerContinuous"/>
    </xf>
    <xf numFmtId="0" fontId="13" fillId="14" borderId="37" xfId="5" applyFont="1" applyFill="1" applyBorder="1" applyAlignment="1">
      <alignment horizontal="center" wrapText="1"/>
    </xf>
    <xf numFmtId="0" fontId="13" fillId="14" borderId="6" xfId="5" applyFont="1" applyFill="1" applyBorder="1" applyAlignment="1">
      <alignment horizontal="center" wrapText="1"/>
    </xf>
    <xf numFmtId="0" fontId="13" fillId="14" borderId="65" xfId="5" applyFont="1" applyFill="1" applyBorder="1" applyAlignment="1">
      <alignment horizontal="center" wrapText="1"/>
    </xf>
    <xf numFmtId="168" fontId="13" fillId="14" borderId="30" xfId="7" applyFont="1" applyFill="1" applyBorder="1" applyAlignment="1" applyProtection="1">
      <alignment horizontal="center" wrapText="1"/>
    </xf>
    <xf numFmtId="168" fontId="13" fillId="14" borderId="6" xfId="7" applyFont="1" applyFill="1" applyBorder="1" applyAlignment="1" applyProtection="1">
      <alignment horizontal="center" wrapText="1"/>
    </xf>
    <xf numFmtId="168" fontId="13" fillId="14" borderId="65" xfId="7" applyFont="1" applyFill="1" applyBorder="1" applyAlignment="1" applyProtection="1">
      <alignment horizontal="center" wrapText="1"/>
    </xf>
    <xf numFmtId="169" fontId="2" fillId="14" borderId="31" xfId="7" applyNumberFormat="1" applyFont="1" applyFill="1" applyBorder="1" applyProtection="1"/>
    <xf numFmtId="169" fontId="2" fillId="14" borderId="24" xfId="7" applyNumberFormat="1" applyFont="1" applyFill="1" applyBorder="1" applyProtection="1"/>
    <xf numFmtId="169" fontId="2" fillId="14" borderId="27" xfId="7" applyNumberFormat="1" applyFont="1" applyFill="1" applyBorder="1" applyProtection="1"/>
    <xf numFmtId="169" fontId="2" fillId="14" borderId="29" xfId="7" applyNumberFormat="1" applyFont="1" applyFill="1" applyBorder="1" applyProtection="1"/>
    <xf numFmtId="2" fontId="2" fillId="14" borderId="29" xfId="7" applyNumberFormat="1" applyFont="1" applyFill="1" applyBorder="1" applyProtection="1"/>
    <xf numFmtId="169" fontId="2" fillId="14" borderId="17" xfId="7" applyNumberFormat="1" applyFont="1" applyFill="1" applyBorder="1" applyProtection="1"/>
    <xf numFmtId="194" fontId="2" fillId="14" borderId="24" xfId="7" applyNumberFormat="1" applyFont="1" applyFill="1" applyBorder="1" applyProtection="1"/>
    <xf numFmtId="2" fontId="2" fillId="14" borderId="31" xfId="7" applyNumberFormat="1" applyFont="1" applyFill="1" applyBorder="1"/>
    <xf numFmtId="2" fontId="2" fillId="14" borderId="24" xfId="7" applyNumberFormat="1" applyFont="1" applyFill="1" applyBorder="1"/>
    <xf numFmtId="2" fontId="2" fillId="14" borderId="27" xfId="7" applyNumberFormat="1" applyFont="1" applyFill="1" applyBorder="1"/>
    <xf numFmtId="2" fontId="2" fillId="14" borderId="29" xfId="7" applyNumberFormat="1" applyFont="1" applyFill="1" applyBorder="1"/>
    <xf numFmtId="2" fontId="2" fillId="14" borderId="18" xfId="7" applyNumberFormat="1" applyFont="1" applyFill="1" applyBorder="1"/>
    <xf numFmtId="2" fontId="2" fillId="14" borderId="25" xfId="7" applyNumberFormat="1" applyFont="1" applyFill="1" applyBorder="1"/>
    <xf numFmtId="2" fontId="2" fillId="14" borderId="28" xfId="7" applyNumberFormat="1" applyFont="1" applyFill="1" applyBorder="1"/>
    <xf numFmtId="2" fontId="2" fillId="14" borderId="55" xfId="7" applyNumberFormat="1" applyFont="1" applyFill="1" applyBorder="1"/>
    <xf numFmtId="2" fontId="2" fillId="14" borderId="55" xfId="7" applyNumberFormat="1" applyFont="1" applyFill="1" applyBorder="1" applyProtection="1"/>
    <xf numFmtId="169" fontId="2" fillId="14" borderId="72" xfId="7" applyNumberFormat="1" applyFont="1" applyFill="1" applyBorder="1" applyProtection="1"/>
    <xf numFmtId="169" fontId="2" fillId="14" borderId="25" xfId="7" applyNumberFormat="1" applyFont="1" applyFill="1" applyBorder="1" applyProtection="1"/>
    <xf numFmtId="169" fontId="2" fillId="14" borderId="28" xfId="7" applyNumberFormat="1" applyFont="1" applyFill="1" applyBorder="1" applyProtection="1"/>
    <xf numFmtId="194" fontId="2" fillId="12" borderId="24" xfId="7" applyNumberFormat="1" applyFont="1" applyFill="1" applyBorder="1" applyProtection="1"/>
    <xf numFmtId="192" fontId="2" fillId="12" borderId="0" xfId="0" applyNumberFormat="1" applyFont="1" applyFill="1" applyBorder="1"/>
    <xf numFmtId="193" fontId="8" fillId="0" borderId="3" xfId="1" applyNumberFormat="1" applyFont="1" applyFill="1" applyBorder="1" applyProtection="1"/>
    <xf numFmtId="0" fontId="2" fillId="3" borderId="73" xfId="0" applyFont="1" applyFill="1" applyBorder="1" applyAlignment="1" applyProtection="1">
      <alignment horizontal="left"/>
      <protection locked="0"/>
    </xf>
    <xf numFmtId="0" fontId="2" fillId="3" borderId="74" xfId="0" applyFont="1" applyFill="1" applyBorder="1" applyAlignment="1" applyProtection="1">
      <alignment horizontal="left"/>
      <protection locked="0"/>
    </xf>
    <xf numFmtId="168" fontId="2" fillId="4" borderId="10" xfId="8" applyNumberFormat="1" applyFont="1" applyFill="1" applyBorder="1" applyAlignment="1" applyProtection="1">
      <alignment horizontal="left" vertical="center" wrapText="1"/>
    </xf>
    <xf numFmtId="168" fontId="6" fillId="4" borderId="10" xfId="8" applyNumberFormat="1" applyFont="1" applyFill="1" applyBorder="1" applyAlignment="1" applyProtection="1">
      <alignment horizontal="left" vertical="center" wrapText="1"/>
    </xf>
    <xf numFmtId="168" fontId="6" fillId="4" borderId="0" xfId="8" applyNumberFormat="1" applyFont="1" applyFill="1" applyBorder="1" applyAlignment="1" applyProtection="1">
      <alignment horizontal="left" vertical="center" wrapText="1"/>
    </xf>
    <xf numFmtId="0" fontId="17" fillId="4" borderId="23" xfId="0" applyFont="1" applyFill="1" applyBorder="1" applyAlignment="1">
      <alignment horizontal="center"/>
    </xf>
    <xf numFmtId="0" fontId="17" fillId="4" borderId="0" xfId="0" applyFont="1" applyFill="1" applyBorder="1" applyAlignment="1">
      <alignment horizontal="center"/>
    </xf>
    <xf numFmtId="0" fontId="17" fillId="4" borderId="4" xfId="0" applyFont="1" applyFill="1" applyBorder="1" applyAlignment="1">
      <alignment horizontal="center"/>
    </xf>
    <xf numFmtId="0" fontId="13" fillId="4" borderId="23" xfId="0" applyFont="1" applyFill="1" applyBorder="1" applyAlignment="1">
      <alignment horizontal="center"/>
    </xf>
    <xf numFmtId="0" fontId="13" fillId="4" borderId="0" xfId="0" applyFont="1" applyFill="1" applyBorder="1" applyAlignment="1">
      <alignment horizontal="center"/>
    </xf>
    <xf numFmtId="0" fontId="13" fillId="4" borderId="4" xfId="0" applyFont="1" applyFill="1" applyBorder="1" applyAlignment="1">
      <alignment horizontal="center"/>
    </xf>
    <xf numFmtId="0" fontId="0" fillId="11" borderId="0" xfId="0" applyFill="1" applyBorder="1" applyAlignment="1">
      <alignment horizontal="left" wrapText="1"/>
    </xf>
    <xf numFmtId="0" fontId="0" fillId="11" borderId="4" xfId="0" applyFill="1" applyBorder="1" applyAlignment="1">
      <alignment horizontal="left" wrapText="1"/>
    </xf>
    <xf numFmtId="0" fontId="2" fillId="11" borderId="0" xfId="0" applyFont="1" applyFill="1" applyBorder="1" applyAlignment="1">
      <alignment horizontal="left" wrapText="1"/>
    </xf>
    <xf numFmtId="0" fontId="2" fillId="11" borderId="5" xfId="0" applyFont="1" applyFill="1" applyBorder="1" applyAlignment="1">
      <alignment horizontal="left" wrapText="1"/>
    </xf>
    <xf numFmtId="0" fontId="0" fillId="11" borderId="5" xfId="0" applyFill="1" applyBorder="1" applyAlignment="1">
      <alignment horizontal="left" wrapText="1"/>
    </xf>
    <xf numFmtId="0" fontId="0" fillId="11" borderId="42" xfId="0" applyFill="1" applyBorder="1" applyAlignment="1">
      <alignment horizontal="left" wrapText="1"/>
    </xf>
    <xf numFmtId="0" fontId="12" fillId="4" borderId="0" xfId="0" applyFont="1" applyFill="1" applyBorder="1" applyAlignment="1">
      <alignment horizontal="left" wrapText="1"/>
    </xf>
    <xf numFmtId="0" fontId="19" fillId="4" borderId="0" xfId="0" applyFont="1" applyFill="1" applyBorder="1" applyAlignment="1">
      <alignment horizontal="left" wrapText="1"/>
    </xf>
    <xf numFmtId="0" fontId="2" fillId="11" borderId="0" xfId="0" quotePrefix="1" applyFont="1" applyFill="1" applyBorder="1" applyAlignment="1">
      <alignment horizontal="left" wrapText="1"/>
    </xf>
    <xf numFmtId="0" fontId="6" fillId="11" borderId="0" xfId="0" quotePrefix="1" applyFont="1" applyFill="1" applyBorder="1" applyAlignment="1">
      <alignment horizontal="left" wrapText="1"/>
    </xf>
    <xf numFmtId="0" fontId="6" fillId="4" borderId="0" xfId="0" applyFont="1" applyFill="1" applyBorder="1" applyAlignment="1">
      <alignment horizontal="left" wrapText="1"/>
    </xf>
    <xf numFmtId="0" fontId="6" fillId="4" borderId="4" xfId="0" applyFont="1" applyFill="1" applyBorder="1" applyAlignment="1">
      <alignment horizontal="left" wrapText="1"/>
    </xf>
    <xf numFmtId="0" fontId="6" fillId="4" borderId="0" xfId="0" applyFont="1" applyFill="1" applyBorder="1" applyAlignment="1">
      <alignment horizontal="left"/>
    </xf>
    <xf numFmtId="0" fontId="6" fillId="4" borderId="4" xfId="0" applyFont="1" applyFill="1" applyBorder="1" applyAlignment="1">
      <alignment horizontal="left"/>
    </xf>
    <xf numFmtId="0" fontId="6" fillId="11" borderId="5" xfId="0" applyFont="1" applyFill="1" applyBorder="1" applyAlignment="1">
      <alignment horizontal="left"/>
    </xf>
    <xf numFmtId="0" fontId="6" fillId="4" borderId="42" xfId="0" applyFont="1" applyFill="1" applyBorder="1" applyAlignment="1">
      <alignment horizontal="left"/>
    </xf>
    <xf numFmtId="0" fontId="0" fillId="4" borderId="0" xfId="0" applyFill="1" applyBorder="1" applyAlignment="1">
      <alignment horizontal="left" vertical="center" wrapText="1"/>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0" fillId="4" borderId="42" xfId="0" applyFill="1" applyBorder="1" applyAlignment="1">
      <alignment horizontal="left" vertical="center" wrapText="1"/>
    </xf>
    <xf numFmtId="0" fontId="13" fillId="0" borderId="73" xfId="0" applyFont="1" applyFill="1" applyBorder="1" applyAlignment="1">
      <alignment horizontal="center" vertical="top"/>
    </xf>
    <xf numFmtId="0" fontId="13" fillId="0" borderId="75" xfId="0" applyFont="1" applyFill="1" applyBorder="1" applyAlignment="1">
      <alignment horizontal="center" vertical="top"/>
    </xf>
    <xf numFmtId="0" fontId="13" fillId="0" borderId="102" xfId="0" applyFont="1" applyFill="1" applyBorder="1" applyAlignment="1">
      <alignment horizontal="center" vertical="top"/>
    </xf>
    <xf numFmtId="0" fontId="2" fillId="0" borderId="73" xfId="0" applyFont="1" applyFill="1" applyBorder="1" applyAlignment="1">
      <alignment horizontal="center" vertical="top" wrapText="1"/>
    </xf>
    <xf numFmtId="0" fontId="2" fillId="0" borderId="75" xfId="0" applyFont="1" applyFill="1" applyBorder="1" applyAlignment="1">
      <alignment horizontal="center" vertical="top" wrapText="1"/>
    </xf>
    <xf numFmtId="0" fontId="2" fillId="0" borderId="74" xfId="0" applyFont="1" applyFill="1" applyBorder="1" applyAlignment="1">
      <alignment horizontal="center" vertical="top" wrapText="1"/>
    </xf>
    <xf numFmtId="0" fontId="2" fillId="0" borderId="103" xfId="0" applyFont="1" applyFill="1" applyBorder="1" applyAlignment="1">
      <alignment horizontal="center" vertical="top" wrapText="1"/>
    </xf>
    <xf numFmtId="0" fontId="2" fillId="0" borderId="104" xfId="0" applyFont="1" applyFill="1" applyBorder="1" applyAlignment="1">
      <alignment horizontal="center" vertical="top" wrapText="1"/>
    </xf>
    <xf numFmtId="0" fontId="2" fillId="0" borderId="105" xfId="0" applyFont="1" applyFill="1" applyBorder="1" applyAlignment="1">
      <alignment horizontal="center" vertical="top" wrapText="1"/>
    </xf>
    <xf numFmtId="0" fontId="2" fillId="0" borderId="106" xfId="0" applyFont="1" applyFill="1" applyBorder="1" applyAlignment="1">
      <alignment horizontal="center" vertical="top" wrapText="1"/>
    </xf>
    <xf numFmtId="0" fontId="2" fillId="0" borderId="102" xfId="0" applyFont="1" applyFill="1" applyBorder="1" applyAlignment="1">
      <alignment horizontal="center" vertical="top" wrapText="1"/>
    </xf>
    <xf numFmtId="195" fontId="2" fillId="12" borderId="29" xfId="7" applyNumberFormat="1" applyFont="1" applyFill="1" applyBorder="1" applyProtection="1"/>
  </cellXfs>
  <cellStyles count="11">
    <cellStyle name="Comma" xfId="1" builtinId="3"/>
    <cellStyle name="Comma 4" xfId="2"/>
    <cellStyle name="Hyperlink" xfId="3" builtinId="8"/>
    <cellStyle name="Hyperlink 2" xfId="4"/>
    <cellStyle name="Normal" xfId="0" builtinId="0"/>
    <cellStyle name="Normal 2" xfId="5"/>
    <cellStyle name="Normal 3" xfId="6"/>
    <cellStyle name="Normal_EXH7-3" xfId="7"/>
    <cellStyle name="Normal_FRANK_SS" xfId="8"/>
    <cellStyle name="Normal_NEW_TSK5" xfId="9"/>
    <cellStyle name="Percent" xfId="10" builtinId="5"/>
  </cellStyles>
  <dxfs count="1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Radio" checked="Checked" lockText="1" noThreeD="1"/>
</file>

<file path=xl/ctrlProps/ctrlProp11.xml><?xml version="1.0" encoding="utf-8"?>
<formControlPr xmlns="http://schemas.microsoft.com/office/spreadsheetml/2009/9/main" objectType="GBox" noThreeD="1"/>
</file>

<file path=xl/ctrlProps/ctrlProp12.xml><?xml version="1.0" encoding="utf-8"?>
<formControlPr xmlns="http://schemas.microsoft.com/office/spreadsheetml/2009/9/main" objectType="Radio" checked="Checked" firstButton="1" fmlaLink="$N$166"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Radio" firstButton="1" fmlaLink="$N$118"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checked="Checked" lockText="1"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N$86" lockText="1" noThreeD="1"/>
</file>

<file path=xl/ctrlProps/ctrlProp20.xml><?xml version="1.0" encoding="utf-8"?>
<formControlPr xmlns="http://schemas.microsoft.com/office/spreadsheetml/2009/9/main" objectType="Radio" firstButton="1" fmlaLink="$N$131" lockText="1" noThreeD="1"/>
</file>

<file path=xl/ctrlProps/ctrlProp21.xml><?xml version="1.0" encoding="utf-8"?>
<formControlPr xmlns="http://schemas.microsoft.com/office/spreadsheetml/2009/9/main" objectType="Radio" checked="Checked"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checked="Checked" firstButton="1" fmlaLink="$N$146"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Radio" checked="Checked" firstButton="1" fmlaLink="$N$156"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ctrlProps/ctrlProp5.xml><?xml version="1.0" encoding="utf-8"?>
<formControlPr xmlns="http://schemas.microsoft.com/office/spreadsheetml/2009/9/main" objectType="Radio" checked="Checked" firstButton="1" fmlaLink="$N$96"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GBox" noThreeD="1"/>
</file>

<file path=xl/ctrlProps/ctrlProp9.xml><?xml version="1.0" encoding="utf-8"?>
<formControlPr xmlns="http://schemas.microsoft.com/office/spreadsheetml/2009/9/main" objectType="Radio" firstButton="1" fmlaLink="$N$107" lockText="1" noThreeD="1"/>
</file>

<file path=xl/drawings/drawing1.xml><?xml version="1.0" encoding="utf-8"?>
<xdr:wsDr xmlns:xdr="http://schemas.openxmlformats.org/drawingml/2006/spreadsheetDrawing" xmlns:a="http://schemas.openxmlformats.org/drawingml/2006/main">
  <xdr:twoCellAnchor>
    <xdr:from>
      <xdr:col>1</xdr:col>
      <xdr:colOff>0</xdr:colOff>
      <xdr:row>0</xdr:row>
      <xdr:rowOff>158114</xdr:rowOff>
    </xdr:from>
    <xdr:to>
      <xdr:col>15</xdr:col>
      <xdr:colOff>590536</xdr:colOff>
      <xdr:row>88</xdr:row>
      <xdr:rowOff>158114</xdr:rowOff>
    </xdr:to>
    <xdr:sp macro="" textlink="">
      <xdr:nvSpPr>
        <xdr:cNvPr id="27663" name="Text Box 1"/>
        <xdr:cNvSpPr txBox="1">
          <a:spLocks noChangeArrowheads="1"/>
        </xdr:cNvSpPr>
      </xdr:nvSpPr>
      <xdr:spPr bwMode="auto">
        <a:xfrm>
          <a:off x="419100" y="158114"/>
          <a:ext cx="9124936" cy="14258925"/>
        </a:xfrm>
        <a:prstGeom prst="rect">
          <a:avLst/>
        </a:prstGeom>
        <a:solidFill>
          <a:srgbClr val="CCFFCC"/>
        </a:solidFill>
        <a:ln w="19050">
          <a:solidFill>
            <a:srgbClr val="000000"/>
          </a:solidFill>
          <a:miter lim="800000"/>
          <a:headEnd/>
          <a:tailEnd/>
        </a:ln>
      </xdr:spPr>
      <xdr:txBody>
        <a:bodyPr vertOverflow="clip" wrap="square" lIns="27432" tIns="22860" rIns="0" bIns="0" anchor="t" upright="1"/>
        <a:lstStyle/>
        <a:p>
          <a:pPr algn="l" rtl="0">
            <a:defRPr sz="1000"/>
          </a:pPr>
          <a:endParaRPr lang="en-US" sz="1000" b="0" i="0" strike="noStrike">
            <a:solidFill>
              <a:srgbClr val="000000"/>
            </a:solidFill>
            <a:latin typeface="Arial"/>
            <a:cs typeface="Arial"/>
          </a:endParaRPr>
        </a:p>
        <a:p>
          <a:pPr algn="l" rtl="0">
            <a:defRPr sz="1000"/>
          </a:pPr>
          <a:r>
            <a:rPr lang="en-US" sz="1400" b="1" i="0" strike="noStrike">
              <a:solidFill>
                <a:srgbClr val="000000"/>
              </a:solidFill>
              <a:latin typeface="Arial"/>
              <a:cs typeface="Arial"/>
            </a:rPr>
            <a:t>WARM User’s Guide</a:t>
          </a:r>
          <a:endParaRPr lang="en-US" sz="1100" b="0" i="0" strike="noStrike">
            <a:solidFill>
              <a:srgbClr val="000000"/>
            </a:solidFill>
            <a:latin typeface="Arial"/>
            <a:cs typeface="Arial"/>
          </a:endParaRPr>
        </a:p>
        <a:p>
          <a:pPr algn="l" rtl="0">
            <a:defRPr sz="1000"/>
          </a:pPr>
          <a:r>
            <a:rPr lang="en-US" sz="1200" b="1" i="1" strike="noStrike">
              <a:solidFill>
                <a:srgbClr val="000000"/>
              </a:solidFill>
              <a:latin typeface="Arial"/>
              <a:cs typeface="Arial"/>
            </a:rPr>
            <a:t>Calculating Greenhouse Gas Emissions with the Excel</a:t>
          </a:r>
          <a:r>
            <a:rPr lang="en-US" sz="1200" b="1" i="1" strike="noStrike" baseline="30000">
              <a:solidFill>
                <a:srgbClr val="000000"/>
              </a:solidFill>
              <a:latin typeface="Arial"/>
              <a:cs typeface="Arial"/>
            </a:rPr>
            <a:t>©</a:t>
          </a:r>
          <a:r>
            <a:rPr lang="en-US" sz="1200" b="1" i="1" strike="noStrike">
              <a:solidFill>
                <a:srgbClr val="000000"/>
              </a:solidFill>
              <a:latin typeface="Arial"/>
              <a:cs typeface="Arial"/>
            </a:rPr>
            <a:t> Version of the Waste Reduction Model</a:t>
          </a:r>
          <a:endParaRPr lang="en-US" sz="11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 </a:t>
          </a:r>
        </a:p>
        <a:p>
          <a:pPr algn="l" rtl="0">
            <a:defRPr sz="1000"/>
          </a:pPr>
          <a:r>
            <a:rPr lang="en-US" sz="1100" b="1" i="0" strike="noStrike">
              <a:solidFill>
                <a:srgbClr val="000000"/>
              </a:solidFill>
              <a:latin typeface="Arial"/>
              <a:cs typeface="Arial"/>
            </a:rPr>
            <a:t>WHAT IS THE WASTE REDUCTION MODEL?</a:t>
          </a:r>
          <a:endParaRPr lang="en-US" sz="11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The Waste Reduction Model (WARM) was created by the U.S. Environmental Protection Agency (EPA) to help solid waste planners and organizations estimate greenhouse gas (GHG) emission reductions from several different waste management practices. </a:t>
          </a:r>
        </a:p>
        <a:p>
          <a:pPr algn="l" rtl="0">
            <a:defRPr sz="1000"/>
          </a:pPr>
          <a:endParaRPr lang="en-US" sz="11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WARM calculates GHG emissions for baseline and alternative waste management practices, including source reduction, recycling, combustion, composting, and landfilling. The model calculates emissions in metric tons of carbon dioxide equivalent (MTCO</a:t>
          </a:r>
          <a:r>
            <a:rPr lang="en-US" sz="1100" b="0" i="0" strike="noStrike" baseline="-25000">
              <a:solidFill>
                <a:srgbClr val="000000"/>
              </a:solidFill>
              <a:latin typeface="Arial"/>
              <a:cs typeface="Arial"/>
            </a:rPr>
            <a:t>2</a:t>
          </a:r>
          <a:r>
            <a:rPr lang="en-US" sz="1100" b="0" i="0" strike="noStrike">
              <a:solidFill>
                <a:srgbClr val="000000"/>
              </a:solidFill>
              <a:latin typeface="Arial"/>
              <a:cs typeface="Arial"/>
            </a:rPr>
            <a:t>E) and metric</a:t>
          </a:r>
          <a:r>
            <a:rPr lang="en-US" sz="1100" b="0" i="0" strike="noStrike" baseline="0">
              <a:solidFill>
                <a:srgbClr val="000000"/>
              </a:solidFill>
              <a:latin typeface="Arial"/>
              <a:cs typeface="Arial"/>
            </a:rPr>
            <a:t> tons of carbon equivalent (MTCE) </a:t>
          </a:r>
          <a:r>
            <a:rPr lang="en-US" sz="1100" b="0" i="0" strike="noStrike">
              <a:solidFill>
                <a:srgbClr val="000000"/>
              </a:solidFill>
              <a:latin typeface="Arial"/>
              <a:cs typeface="Arial"/>
            </a:rPr>
            <a:t>across a wide range of material types commonly found in municipal solid waste (MSW).</a:t>
          </a:r>
        </a:p>
        <a:p>
          <a:pPr algn="l" rtl="0">
            <a:defRPr sz="1000"/>
          </a:pPr>
          <a:endParaRPr lang="en-US" sz="11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The user can construct various scenarios by simply entering data on the amount of waste handled by material type and by management practice. WARM then automatically applies material-specific emission factors for each management practice to calculate the GHG emissions and energy savings of each scenario. Several key inputs, such as landfill gas recovery practices and transportation distances to MSW facilities, can be modified by the user.</a:t>
          </a:r>
        </a:p>
        <a:p>
          <a:pPr algn="l" rtl="0">
            <a:defRPr sz="1000"/>
          </a:pPr>
          <a:endParaRPr lang="en-US" sz="11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The GHG emission factors were developed following a life-cycle assessment methodology using estimation techniques developed for national inventories of GHG emissions. The methodologies used to develop these emission factors are described in detail in the background reports available for download at the WARM website.  This version also reflects revised data on the average recycled content values for </a:t>
          </a:r>
          <a:r>
            <a:rPr lang="en-US" sz="1100" b="0" i="0" strike="noStrike">
              <a:solidFill>
                <a:sysClr val="windowText" lastClr="000000"/>
              </a:solidFill>
              <a:latin typeface="Arial"/>
              <a:cs typeface="Arial"/>
            </a:rPr>
            <a:t>materials available in the marketplace, and the EPA's latest MSW characterization report </a:t>
          </a:r>
          <a:r>
            <a:rPr lang="en-US" sz="1100" b="0" i="1" strike="noStrike">
              <a:solidFill>
                <a:sysClr val="windowText" lastClr="000000"/>
              </a:solidFill>
              <a:latin typeface="Arial"/>
              <a:cs typeface="Arial"/>
            </a:rPr>
            <a:t>Advancing Sustainable</a:t>
          </a:r>
          <a:r>
            <a:rPr lang="en-US" sz="1100" b="0" i="1" strike="noStrike" baseline="0">
              <a:solidFill>
                <a:sysClr val="windowText" lastClr="000000"/>
              </a:solidFill>
              <a:latin typeface="Arial"/>
              <a:cs typeface="Arial"/>
            </a:rPr>
            <a:t> Materials Management</a:t>
          </a:r>
          <a:r>
            <a:rPr lang="en-US" sz="1100" b="0" i="1" strike="noStrike">
              <a:solidFill>
                <a:sysClr val="windowText" lastClr="000000"/>
              </a:solidFill>
              <a:latin typeface="Arial"/>
              <a:cs typeface="Arial"/>
            </a:rPr>
            <a:t>: Facts and Figures</a:t>
          </a:r>
          <a:r>
            <a:rPr lang="en-US" sz="1100" b="0" i="0" strike="noStrike">
              <a:solidFill>
                <a:sysClr val="windowText" lastClr="000000"/>
              </a:solidFill>
              <a:latin typeface="Arial"/>
              <a:cs typeface="Arial"/>
            </a:rPr>
            <a:t>.  </a:t>
          </a:r>
        </a:p>
        <a:p>
          <a:pPr algn="l" rtl="0">
            <a:defRPr sz="1000"/>
          </a:pPr>
          <a:endParaRPr lang="en-US" sz="1100" b="0" i="0" strike="noStrike">
            <a:solidFill>
              <a:srgbClr val="000000"/>
            </a:solidFill>
            <a:latin typeface="Arial"/>
            <a:cs typeface="Arial"/>
          </a:endParaRPr>
        </a:p>
        <a:p>
          <a:pPr algn="l" rtl="0">
            <a:defRPr sz="1000"/>
          </a:pPr>
          <a:r>
            <a:rPr lang="en-US" sz="1100" b="1" i="0" strike="noStrike">
              <a:solidFill>
                <a:srgbClr val="000000"/>
              </a:solidFill>
              <a:latin typeface="Arial"/>
              <a:cs typeface="Arial"/>
            </a:rPr>
            <a:t>WHO SHOULD USE WARM?</a:t>
          </a:r>
          <a:endParaRPr lang="en-US" sz="11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WARM was developed for solid waste managers (from state and local governments and other organizations) who want to calculate the GHG emissions associated with different waste management options. Emissions estimates provided by WARM are intended to support voluntary GHG measurement and reporting initiatives. These initiatives include waste management components of state and local climate change action plans, and other waste management projects for which an understanding of GHG emissions is desired.</a:t>
          </a:r>
        </a:p>
        <a:p>
          <a:pPr algn="l" rtl="0">
            <a:defRPr sz="1000"/>
          </a:pPr>
          <a:endParaRPr lang="en-US" sz="1100" b="0" i="0" strike="noStrike">
            <a:solidFill>
              <a:srgbClr val="000000"/>
            </a:solidFill>
            <a:latin typeface="Arial"/>
            <a:cs typeface="Arial"/>
          </a:endParaRPr>
        </a:p>
        <a:p>
          <a:pPr algn="l" rtl="0">
            <a:defRPr sz="1000"/>
          </a:pPr>
          <a:r>
            <a:rPr lang="en-US" sz="1100" b="1" i="0" strike="noStrike">
              <a:solidFill>
                <a:srgbClr val="000000"/>
              </a:solidFill>
              <a:latin typeface="Arial"/>
              <a:cs typeface="Arial"/>
            </a:rPr>
            <a:t>USING THE EXCEL</a:t>
          </a:r>
          <a:r>
            <a:rPr lang="en-US" sz="1100" b="1" i="0" strike="noStrike" baseline="30000">
              <a:solidFill>
                <a:srgbClr val="000000"/>
              </a:solidFill>
              <a:latin typeface="Arial"/>
              <a:cs typeface="Arial"/>
            </a:rPr>
            <a:t>©</a:t>
          </a:r>
          <a:r>
            <a:rPr lang="en-US" sz="1100" b="1" i="0" strike="noStrike">
              <a:solidFill>
                <a:srgbClr val="000000"/>
              </a:solidFill>
              <a:latin typeface="Arial"/>
              <a:cs typeface="Arial"/>
            </a:rPr>
            <a:t> VERSION OF WARM</a:t>
          </a:r>
          <a:endParaRPr lang="en-US" sz="11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Before using WARM, you first need to gather data on your baseline waste management practices and an alternative scenario.  In order to effectively use the tool, users should know how many tons of waste you manage (or would manage) for a given time period under each scenario by material type and by management practice. The model allows you to customize your results based on project-specific landfill gas recovery practices, anaerobic</a:t>
          </a:r>
          <a:r>
            <a:rPr lang="en-US" sz="1100" b="0" i="0" strike="noStrike" baseline="0">
              <a:solidFill>
                <a:srgbClr val="000000"/>
              </a:solidFill>
              <a:latin typeface="Arial"/>
              <a:cs typeface="Arial"/>
            </a:rPr>
            <a:t> digestion practices</a:t>
          </a:r>
          <a:r>
            <a:rPr lang="en-US" sz="1100" b="0" i="0" strike="noStrike">
              <a:solidFill>
                <a:srgbClr val="000000"/>
              </a:solidFill>
              <a:latin typeface="Arial"/>
              <a:cs typeface="Arial"/>
            </a:rPr>
            <a:t> and transportation distances. Note that you may use default values if you are unsure of landfill gas recovery practices, anaerobic</a:t>
          </a:r>
          <a:r>
            <a:rPr lang="en-US" sz="1100" b="0" i="0" strike="noStrike" baseline="0">
              <a:solidFill>
                <a:srgbClr val="000000"/>
              </a:solidFill>
              <a:latin typeface="Arial"/>
              <a:cs typeface="Arial"/>
            </a:rPr>
            <a:t> digestion practices</a:t>
          </a:r>
          <a:r>
            <a:rPr lang="en-US" sz="1100" b="0" i="0" strike="noStrike">
              <a:solidFill>
                <a:srgbClr val="000000"/>
              </a:solidFill>
              <a:latin typeface="Arial"/>
              <a:cs typeface="Arial"/>
            </a:rPr>
            <a:t> and/or transportation distances.</a:t>
          </a:r>
        </a:p>
        <a:p>
          <a:pPr algn="l" rtl="0">
            <a:defRPr sz="1000"/>
          </a:pPr>
          <a:endParaRPr lang="en-US" sz="1100" b="0" i="0" strike="noStrike">
            <a:solidFill>
              <a:srgbClr val="000000"/>
            </a:solidFill>
            <a:latin typeface="Arial"/>
            <a:cs typeface="Arial"/>
          </a:endParaRPr>
        </a:p>
        <a:p>
          <a:pPr algn="l" rtl="0">
            <a:defRPr sz="1000"/>
          </a:pPr>
          <a:r>
            <a:rPr lang="en-US" sz="1100" b="1" i="1" strike="noStrike">
              <a:solidFill>
                <a:srgbClr val="000000"/>
              </a:solidFill>
              <a:latin typeface="Arial"/>
              <a:cs typeface="Arial"/>
            </a:rPr>
            <a:t>Instructions:</a:t>
          </a:r>
          <a:endParaRPr lang="en-US" sz="11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 Click on the “Analysis Inputs” tab at the bottom center of the screen to open the input sheet. Follow the instructions for Steps 1 and 2. This involves filling in the tables describing your baseline and proposed alternative waste management scenarios.  The "mixed" material types are defined as the following:</a:t>
          </a:r>
        </a:p>
        <a:p>
          <a:pPr algn="l" rtl="0">
            <a:defRPr sz="1000"/>
          </a:pPr>
          <a:endParaRPr lang="en-US" sz="1100" b="0" i="0" strike="noStrike">
            <a:solidFill>
              <a:srgbClr val="000000"/>
            </a:solidFill>
            <a:latin typeface="Arial"/>
            <a:cs typeface="Arial"/>
          </a:endParaRPr>
        </a:p>
        <a:p>
          <a:pPr algn="l" rtl="0">
            <a:defRPr sz="1000"/>
          </a:pPr>
          <a:r>
            <a:rPr lang="en-US" sz="1100" b="0" i="0" strike="noStrike">
              <a:solidFill>
                <a:sysClr val="windowText" lastClr="000000"/>
              </a:solidFill>
              <a:latin typeface="Arial"/>
              <a:cs typeface="Arial"/>
            </a:rPr>
            <a:t>Mixed Metals: Aluminum Cans 35%, Steel Cans 65%</a:t>
          </a:r>
        </a:p>
        <a:p>
          <a:pPr algn="l" rtl="0">
            <a:defRPr sz="1000"/>
          </a:pPr>
          <a:r>
            <a:rPr lang="en-US" sz="1100" b="0" i="0" strike="noStrike">
              <a:solidFill>
                <a:sysClr val="windowText" lastClr="000000"/>
              </a:solidFill>
              <a:latin typeface="Arial"/>
              <a:cs typeface="Arial"/>
            </a:rPr>
            <a:t>Mixed Plastics: HDPE 38%, PET 62%.</a:t>
          </a:r>
        </a:p>
        <a:p>
          <a:pPr algn="l" rtl="0">
            <a:defRPr sz="1000"/>
          </a:pPr>
          <a:r>
            <a:rPr lang="en-US" sz="1100" b="0" i="0" strike="noStrike">
              <a:solidFill>
                <a:sysClr val="windowText" lastClr="000000"/>
              </a:solidFill>
              <a:latin typeface="Arial"/>
              <a:cs typeface="Arial"/>
            </a:rPr>
            <a:t>Mixed Paper</a:t>
          </a:r>
          <a:r>
            <a:rPr lang="en-US" sz="1100" b="0" i="0" strike="noStrike" baseline="0">
              <a:solidFill>
                <a:sysClr val="windowText" lastClr="000000"/>
              </a:solidFill>
              <a:latin typeface="Arial"/>
              <a:cs typeface="Arial"/>
            </a:rPr>
            <a:t> (general): Corrugated Containers 48%, Magazines/Third-class Mail 8%, Newspaper 24%, Office Paper 20%</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b="0" i="0" strike="noStrike" baseline="0">
              <a:solidFill>
                <a:sysClr val="windowText" lastClr="000000"/>
              </a:solidFill>
              <a:latin typeface="Arial" panose="020B0604020202020204" pitchFamily="34" charset="0"/>
              <a:cs typeface="Arial" panose="020B0604020202020204" pitchFamily="34" charset="0"/>
            </a:rPr>
            <a:t>Mixed Paper (primarily residential)</a:t>
          </a:r>
          <a:r>
            <a:rPr lang="en-US" sz="1100" b="0" i="0" baseline="0">
              <a:effectLst/>
              <a:latin typeface="Arial" panose="020B0604020202020204" pitchFamily="34" charset="0"/>
              <a:ea typeface="+mn-ea"/>
              <a:cs typeface="Arial" panose="020B0604020202020204" pitchFamily="34" charset="0"/>
            </a:rPr>
            <a:t>: Corrugated Containers 53%, Magazines/Third-class Mail 10%, Newspaper 23%, Office Paper 14%</a:t>
          </a:r>
          <a:endParaRPr lang="en-US" sz="1100" b="0" i="0" strike="noStrike" baseline="0">
            <a:solidFill>
              <a:sysClr val="windowText" lastClr="000000"/>
            </a:solidFill>
            <a:latin typeface="Arial" panose="020B0604020202020204" pitchFamily="34" charset="0"/>
            <a:cs typeface="Arial" panose="020B0604020202020204"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b="0" i="0" strike="noStrike" baseline="0">
              <a:solidFill>
                <a:sysClr val="windowText" lastClr="000000"/>
              </a:solidFill>
              <a:latin typeface="Arial" panose="020B0604020202020204" pitchFamily="34" charset="0"/>
              <a:cs typeface="Arial" panose="020B0604020202020204" pitchFamily="34" charset="0"/>
            </a:rPr>
            <a:t>Mixed Paper (primarily from offices)</a:t>
          </a:r>
          <a:r>
            <a:rPr lang="en-US" sz="1100" b="0" i="0" baseline="0">
              <a:effectLst/>
              <a:latin typeface="Arial" panose="020B0604020202020204" pitchFamily="34" charset="0"/>
              <a:ea typeface="+mn-ea"/>
              <a:cs typeface="Arial" panose="020B0604020202020204" pitchFamily="34" charset="0"/>
            </a:rPr>
            <a:t>: Corrugated Containers 5%, Magazines/Third-class Mail 36%, Newspaper 21%, Office Paper 38%</a:t>
          </a:r>
          <a:endParaRPr lang="en-US" sz="1100" b="0" i="0" strike="noStrike">
            <a:solidFill>
              <a:sysClr val="windowText" lastClr="000000"/>
            </a:solidFill>
            <a:latin typeface="Arial" panose="020B0604020202020204" pitchFamily="34" charset="0"/>
            <a:cs typeface="Arial" panose="020B0604020202020204" pitchFamily="34" charset="0"/>
          </a:endParaRPr>
        </a:p>
        <a:p>
          <a:pPr algn="l" rtl="0">
            <a:defRPr sz="1000"/>
          </a:pPr>
          <a:r>
            <a:rPr lang="en-US" sz="1100" b="0" i="0" strike="noStrike">
              <a:solidFill>
                <a:sysClr val="windowText" lastClr="000000"/>
              </a:solidFill>
              <a:latin typeface="Arial"/>
              <a:cs typeface="Arial"/>
            </a:rPr>
            <a:t>Mixed Recyclables: Aluminum Cans 1.4%, Steel Cans 2.7%, Glass 6.4%, HDPE 1.2%, PET 1.9%, Corrugated Containers 54.1%, Magazines/Third-class Mail 7.6%, Newspaper 10.6%, Office Paper 8.1%, Phonebooks 0.4%, Textbooks 0.7%, Dimensional Lumber 5.0%</a:t>
          </a:r>
        </a:p>
        <a:p>
          <a:pPr algn="l" rtl="0">
            <a:defRPr sz="1000"/>
          </a:pPr>
          <a:r>
            <a:rPr lang="en-US" sz="1100" b="0" i="0" strike="noStrike">
              <a:solidFill>
                <a:sysClr val="windowText" lastClr="000000"/>
              </a:solidFill>
              <a:latin typeface="Arial"/>
              <a:cs typeface="Arial"/>
            </a:rPr>
            <a:t>Food Waste:</a:t>
          </a:r>
          <a:r>
            <a:rPr lang="en-US" sz="1100" b="0" i="0" strike="noStrike" baseline="0">
              <a:solidFill>
                <a:sysClr val="windowText" lastClr="000000"/>
              </a:solidFill>
              <a:latin typeface="Arial"/>
              <a:cs typeface="Arial"/>
            </a:rPr>
            <a:t> Beef 9%, Poultry 11%, Grains 13%, Fruits and Vegetables 49%, Dairy Products 18%</a:t>
          </a:r>
        </a:p>
        <a:p>
          <a:pPr algn="l" rtl="0">
            <a:defRPr sz="1000"/>
          </a:pPr>
          <a:r>
            <a:rPr lang="en-US" sz="1100" b="0" i="0" strike="noStrike" baseline="0">
              <a:solidFill>
                <a:sysClr val="windowText" lastClr="000000"/>
              </a:solidFill>
              <a:latin typeface="Arial"/>
              <a:cs typeface="Arial"/>
            </a:rPr>
            <a:t>Food Waste (meat only): Beef 46%, Poultry 54%</a:t>
          </a:r>
        </a:p>
        <a:p>
          <a:pPr algn="l" rtl="0">
            <a:defRPr sz="1000"/>
          </a:pPr>
          <a:r>
            <a:rPr lang="en-US" sz="1100" b="0" i="0" strike="noStrike" baseline="0">
              <a:solidFill>
                <a:sysClr val="windowText" lastClr="000000"/>
              </a:solidFill>
              <a:latin typeface="Arial"/>
              <a:cs typeface="Arial"/>
            </a:rPr>
            <a:t>Food Waste (non-meat): Grains 16%, Fruits and Vegetables 61%, Dairy Products 22%</a:t>
          </a:r>
          <a:endParaRPr lang="en-US" sz="1100" b="0" i="0" strike="noStrike">
            <a:solidFill>
              <a:sysClr val="windowText" lastClr="000000"/>
            </a:solidFill>
            <a:latin typeface="Arial"/>
            <a:cs typeface="Arial"/>
          </a:endParaRPr>
        </a:p>
        <a:p>
          <a:pPr algn="l" rtl="0">
            <a:defRPr sz="1000"/>
          </a:pPr>
          <a:r>
            <a:rPr lang="en-US" sz="1100" b="0" i="0" strike="noStrike">
              <a:solidFill>
                <a:sysClr val="windowText" lastClr="000000"/>
              </a:solidFill>
              <a:latin typeface="Arial"/>
              <a:cs typeface="Arial"/>
            </a:rPr>
            <a:t>Mixed Organics: Food Waste 52%, Yard Trimmings 48%.</a:t>
          </a:r>
        </a:p>
        <a:p>
          <a:pPr algn="l" rtl="0">
            <a:defRPr sz="1000"/>
          </a:pPr>
          <a:r>
            <a:rPr lang="en-US" sz="1100" b="0" i="0" strike="noStrike">
              <a:solidFill>
                <a:sysClr val="windowText" lastClr="000000"/>
              </a:solidFill>
              <a:latin typeface="Arial"/>
              <a:cs typeface="Arial"/>
            </a:rPr>
            <a:t>Mixed MSW- represents the entire municipal solid waste stream as disposed.</a:t>
          </a:r>
          <a:endParaRPr lang="en-US" sz="1000" b="0" i="0" strike="noStrike">
            <a:solidFill>
              <a:sysClr val="windowText" lastClr="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 Fill in the data requested in Steps 3–9. WARM will use the answers to these questions to customize GHG estimates to reflect your waste management situation and location. For example, you are asked for data on transportation distances and on your landfill gas recovery systems, if applicable. If the requested data are not available, WARM will use the national average defaults.</a:t>
          </a:r>
        </a:p>
        <a:p>
          <a:pPr algn="l" rtl="0">
            <a:defRPr sz="1000"/>
          </a:pPr>
          <a:endParaRPr lang="en-US" sz="11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 Step 10 allows you to customize your report, with your name, organization, and project period.</a:t>
          </a:r>
        </a:p>
        <a:p>
          <a:pPr algn="l" rtl="0">
            <a:defRPr sz="1000"/>
          </a:pPr>
          <a:endParaRPr lang="en-US" sz="11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 Once you have completed Steps 1–9 on the “Analysis Inputs” sheet, WARM will calculate the GHG emissions and energy attributable to the baseline and alternative waste management scenarios you have specified. Emissions and energy calculations are presented on separate output sheets, as described below. From the “Analysis Inputs” sheet, click on a tab at the bottom of the screen for the results sheet you want to view first.</a:t>
          </a:r>
        </a:p>
        <a:p>
          <a:pPr algn="l" rtl="0">
            <a:defRPr sz="1000"/>
          </a:pPr>
          <a:r>
            <a:rPr lang="en-US" sz="1100" b="0" i="0" strike="noStrike">
              <a:solidFill>
                <a:srgbClr val="000000"/>
              </a:solidFill>
              <a:latin typeface="Arial"/>
              <a:cs typeface="Arial"/>
            </a:rPr>
            <a:t> </a:t>
          </a:r>
        </a:p>
        <a:p>
          <a:pPr algn="l" rtl="0">
            <a:defRPr sz="1000"/>
          </a:pPr>
          <a:r>
            <a:rPr lang="en-US" sz="1100" b="0" i="0" strike="noStrike">
              <a:solidFill>
                <a:srgbClr val="000000"/>
              </a:solidFill>
              <a:latin typeface="Arial"/>
              <a:cs typeface="Arial"/>
            </a:rPr>
            <a:t>-- The “Summary Report” sheet provides a concise report of GHG emissions or energy results from the baseline and alternative waste management scenarios, as well as an estimate of net emissions or energy.</a:t>
          </a:r>
        </a:p>
        <a:p>
          <a:pPr algn="l" rtl="0">
            <a:defRPr sz="1000"/>
          </a:pPr>
          <a:endParaRPr lang="en-US" sz="1100" b="0" i="0" strike="noStrike">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100" b="0" i="0" strike="noStrike">
              <a:solidFill>
                <a:srgbClr val="000000"/>
              </a:solidFill>
              <a:latin typeface="Arial"/>
              <a:cs typeface="Arial"/>
            </a:rPr>
            <a:t>-- The “Analysis Results” sheet shows GHG emissions or energy results for each scenario in the units selected. You can compare the total impact of the baseline and alternative scenarios, or, if you want more detail, you can scroll down to view GHG emissions or energy results by material type and management practice. The bottom table shows the relative emissions or energy difference between the alternative and baseline scenarios for each material type and management pathway.  </a:t>
          </a:r>
        </a:p>
        <a:p>
          <a:pPr algn="l" rtl="0">
            <a:defRPr sz="1000"/>
          </a:pPr>
          <a:endParaRPr lang="en-US" sz="1000" b="0" i="0" strike="noStrike">
            <a:solidFill>
              <a:srgbClr val="000000"/>
            </a:solidFill>
            <a:latin typeface="Arial"/>
            <a:cs typeface="Arial"/>
          </a:endParaRPr>
        </a:p>
        <a:p>
          <a:pPr algn="l" rtl="0">
            <a:defRPr sz="1000"/>
          </a:pPr>
          <a:endParaRPr lang="en-US" sz="1100" b="0" i="0" strike="noStrike">
            <a:solidFill>
              <a:srgbClr val="000000"/>
            </a:solidFill>
            <a:latin typeface="Arial"/>
            <a:cs typeface="Arial"/>
          </a:endParaRPr>
        </a:p>
        <a:p>
          <a:pPr algn="l" rtl="0">
            <a:defRPr sz="1000"/>
          </a:pPr>
          <a:r>
            <a:rPr lang="en-US" sz="1100" b="1" i="0" strike="noStrike">
              <a:solidFill>
                <a:srgbClr val="000000"/>
              </a:solidFill>
              <a:latin typeface="Arial"/>
              <a:cs typeface="Arial"/>
            </a:rPr>
            <a:t>ASSISTANCE</a:t>
          </a:r>
          <a:endParaRPr lang="en-US" sz="1100" b="0" i="0" strike="noStrike">
            <a:solidFill>
              <a:srgbClr val="000000"/>
            </a:solidFill>
            <a:latin typeface="Arial"/>
            <a:cs typeface="Arial"/>
          </a:endParaRPr>
        </a:p>
        <a:p>
          <a:pPr algn="l" rtl="0">
            <a:defRPr sz="1000"/>
          </a:pPr>
          <a:r>
            <a:rPr lang="en-US" sz="1100" b="0" i="0" strike="noStrike">
              <a:solidFill>
                <a:srgbClr val="000000"/>
              </a:solidFill>
              <a:latin typeface="Arial"/>
              <a:cs typeface="Arial"/>
            </a:rPr>
            <a:t>If you need additional assistance with using WARM, please email orcrWARMquestions@epa.gov.</a:t>
          </a: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a:p>
          <a:pPr algn="l" rtl="0">
            <a:defRPr sz="1000"/>
          </a:pPr>
          <a:endParaRPr lang="en-US" sz="1000" b="0" i="0" strike="noStrike">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12700</xdr:colOff>
          <xdr:row>84</xdr:row>
          <xdr:rowOff>38100</xdr:rowOff>
        </xdr:from>
        <xdr:to>
          <xdr:col>4</xdr:col>
          <xdr:colOff>647700</xdr:colOff>
          <xdr:row>89</xdr:row>
          <xdr:rowOff>76200</xdr:rowOff>
        </xdr:to>
        <xdr:sp macro="" textlink="">
          <xdr:nvSpPr>
            <xdr:cNvPr id="2168" name="Group Box 120" hidden="1">
              <a:extLst>
                <a:ext uri="{63B3BB69-23CF-44E3-9099-C40C66FF867C}">
                  <a14:compatExt spid="_x0000_s21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87</xdr:row>
          <xdr:rowOff>0</xdr:rowOff>
        </xdr:from>
        <xdr:to>
          <xdr:col>4</xdr:col>
          <xdr:colOff>552450</xdr:colOff>
          <xdr:row>88</xdr:row>
          <xdr:rowOff>57150</xdr:rowOff>
        </xdr:to>
        <xdr:sp macro="" textlink="">
          <xdr:nvSpPr>
            <xdr:cNvPr id="2169" name="Option Button 121" hidden="1">
              <a:extLst>
                <a:ext uri="{63B3BB69-23CF-44E3-9099-C40C66FF867C}">
                  <a14:compatExt spid="_x0000_s2169"/>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100% Virgin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84</xdr:row>
          <xdr:rowOff>127000</xdr:rowOff>
        </xdr:from>
        <xdr:to>
          <xdr:col>4</xdr:col>
          <xdr:colOff>533400</xdr:colOff>
          <xdr:row>86</xdr:row>
          <xdr:rowOff>12700</xdr:rowOff>
        </xdr:to>
        <xdr:sp macro="" textlink="">
          <xdr:nvSpPr>
            <xdr:cNvPr id="2170" name="Option Button 122" hidden="1">
              <a:extLst>
                <a:ext uri="{63B3BB69-23CF-44E3-9099-C40C66FF867C}">
                  <a14:compatExt spid="_x0000_s2170"/>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Current Mix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95</xdr:row>
          <xdr:rowOff>31750</xdr:rowOff>
        </xdr:from>
        <xdr:to>
          <xdr:col>4</xdr:col>
          <xdr:colOff>914400</xdr:colOff>
          <xdr:row>102</xdr:row>
          <xdr:rowOff>12700</xdr:rowOff>
        </xdr:to>
        <xdr:sp macro="" textlink="">
          <xdr:nvSpPr>
            <xdr:cNvPr id="2171" name="Group Box 123" hidden="1">
              <a:extLst>
                <a:ext uri="{63B3BB69-23CF-44E3-9099-C40C66FF867C}">
                  <a14:compatExt spid="_x0000_s21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97</xdr:row>
          <xdr:rowOff>114300</xdr:rowOff>
        </xdr:from>
        <xdr:to>
          <xdr:col>4</xdr:col>
          <xdr:colOff>850900</xdr:colOff>
          <xdr:row>99</xdr:row>
          <xdr:rowOff>0</xdr:rowOff>
        </xdr:to>
        <xdr:sp macro="" textlink="">
          <xdr:nvSpPr>
            <xdr:cNvPr id="2172" name="Option Button 124" hidden="1">
              <a:extLst>
                <a:ext uri="{63B3BB69-23CF-44E3-9099-C40C66FF867C}">
                  <a14:compatExt spid="_x0000_s2172"/>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LFG Recovery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99</xdr:row>
          <xdr:rowOff>127000</xdr:rowOff>
        </xdr:from>
        <xdr:to>
          <xdr:col>4</xdr:col>
          <xdr:colOff>838200</xdr:colOff>
          <xdr:row>101</xdr:row>
          <xdr:rowOff>12700</xdr:rowOff>
        </xdr:to>
        <xdr:sp macro="" textlink="">
          <xdr:nvSpPr>
            <xdr:cNvPr id="2173" name="Option Button 125" hidden="1">
              <a:extLst>
                <a:ext uri="{63B3BB69-23CF-44E3-9099-C40C66FF867C}">
                  <a14:compatExt spid="_x0000_s2173"/>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 LFG Recovery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165100</xdr:colOff>
          <xdr:row>95</xdr:row>
          <xdr:rowOff>95250</xdr:rowOff>
        </xdr:from>
        <xdr:to>
          <xdr:col>4</xdr:col>
          <xdr:colOff>819150</xdr:colOff>
          <xdr:row>96</xdr:row>
          <xdr:rowOff>152400</xdr:rowOff>
        </xdr:to>
        <xdr:sp macro="" textlink="">
          <xdr:nvSpPr>
            <xdr:cNvPr id="2174" name="Option Button 126" hidden="1">
              <a:extLst>
                <a:ext uri="{63B3BB69-23CF-44E3-9099-C40C66FF867C}">
                  <a14:compatExt spid="_x0000_s2174"/>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National Average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12700</xdr:rowOff>
        </xdr:from>
        <xdr:to>
          <xdr:col>4</xdr:col>
          <xdr:colOff>914400</xdr:colOff>
          <xdr:row>109</xdr:row>
          <xdr:rowOff>88900</xdr:rowOff>
        </xdr:to>
        <xdr:sp macro="" textlink="">
          <xdr:nvSpPr>
            <xdr:cNvPr id="2175" name="Group Box 127" hidden="1">
              <a:extLst>
                <a:ext uri="{63B3BB69-23CF-44E3-9099-C40C66FF867C}">
                  <a14:compatExt spid="_x0000_s21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105</xdr:row>
          <xdr:rowOff>114300</xdr:rowOff>
        </xdr:from>
        <xdr:to>
          <xdr:col>4</xdr:col>
          <xdr:colOff>850900</xdr:colOff>
          <xdr:row>106</xdr:row>
          <xdr:rowOff>152400</xdr:rowOff>
        </xdr:to>
        <xdr:sp macro="" textlink="">
          <xdr:nvSpPr>
            <xdr:cNvPr id="2176" name="Option Button 128" hidden="1">
              <a:extLst>
                <a:ext uri="{63B3BB69-23CF-44E3-9099-C40C66FF867C}">
                  <a14:compatExt spid="_x0000_s2176"/>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Recover for energy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127000</xdr:colOff>
          <xdr:row>107</xdr:row>
          <xdr:rowOff>88900</xdr:rowOff>
        </xdr:from>
        <xdr:to>
          <xdr:col>4</xdr:col>
          <xdr:colOff>850900</xdr:colOff>
          <xdr:row>108</xdr:row>
          <xdr:rowOff>133350</xdr:rowOff>
        </xdr:to>
        <xdr:sp macro="" textlink="">
          <xdr:nvSpPr>
            <xdr:cNvPr id="2177" name="Option Button 129" hidden="1">
              <a:extLst>
                <a:ext uri="{63B3BB69-23CF-44E3-9099-C40C66FF867C}">
                  <a14:compatExt spid="_x0000_s2177"/>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Flare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xdr:colOff>
          <xdr:row>164</xdr:row>
          <xdr:rowOff>12700</xdr:rowOff>
        </xdr:from>
        <xdr:to>
          <xdr:col>5</xdr:col>
          <xdr:colOff>76200</xdr:colOff>
          <xdr:row>168</xdr:row>
          <xdr:rowOff>107950</xdr:rowOff>
        </xdr:to>
        <xdr:sp macro="" textlink="">
          <xdr:nvSpPr>
            <xdr:cNvPr id="2179" name="Group Box 131" hidden="1">
              <a:extLst>
                <a:ext uri="{63B3BB69-23CF-44E3-9099-C40C66FF867C}">
                  <a14:compatExt spid="_x0000_s21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164</xdr:row>
          <xdr:rowOff>152400</xdr:rowOff>
        </xdr:from>
        <xdr:to>
          <xdr:col>4</xdr:col>
          <xdr:colOff>914400</xdr:colOff>
          <xdr:row>166</xdr:row>
          <xdr:rowOff>38100</xdr:rowOff>
        </xdr:to>
        <xdr:sp macro="" textlink="">
          <xdr:nvSpPr>
            <xdr:cNvPr id="2180" name="Option Button 132" hidden="1">
              <a:extLst>
                <a:ext uri="{63B3BB69-23CF-44E3-9099-C40C66FF867C}">
                  <a14:compatExt spid="_x0000_s2180"/>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Use Default Distances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166</xdr:row>
          <xdr:rowOff>114300</xdr:rowOff>
        </xdr:from>
        <xdr:to>
          <xdr:col>4</xdr:col>
          <xdr:colOff>914400</xdr:colOff>
          <xdr:row>167</xdr:row>
          <xdr:rowOff>152400</xdr:rowOff>
        </xdr:to>
        <xdr:sp macro="" textlink="">
          <xdr:nvSpPr>
            <xdr:cNvPr id="2181" name="Option Button 133" hidden="1">
              <a:extLst>
                <a:ext uri="{63B3BB69-23CF-44E3-9099-C40C66FF867C}">
                  <a14:compatExt spid="_x0000_s2181"/>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Provide Information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190500</xdr:colOff>
          <xdr:row>73</xdr:row>
          <xdr:rowOff>133350</xdr:rowOff>
        </xdr:from>
        <xdr:to>
          <xdr:col>9</xdr:col>
          <xdr:colOff>342900</xdr:colOff>
          <xdr:row>78</xdr:row>
          <xdr:rowOff>133350</xdr:rowOff>
        </xdr:to>
        <xdr:sp macro="" textlink="">
          <xdr:nvSpPr>
            <xdr:cNvPr id="2185" name="Group Box 137" hidden="1">
              <a:extLst>
                <a:ext uri="{63B3BB69-23CF-44E3-9099-C40C66FF867C}">
                  <a14:compatExt spid="_x0000_s21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117</xdr:row>
          <xdr:rowOff>69850</xdr:rowOff>
        </xdr:from>
        <xdr:to>
          <xdr:col>5</xdr:col>
          <xdr:colOff>336550</xdr:colOff>
          <xdr:row>125</xdr:row>
          <xdr:rowOff>50800</xdr:rowOff>
        </xdr:to>
        <xdr:sp macro="" textlink="">
          <xdr:nvSpPr>
            <xdr:cNvPr id="2255" name="Group Box 207" hidden="1">
              <a:extLst>
                <a:ext uri="{63B3BB69-23CF-44E3-9099-C40C66FF867C}">
                  <a14:compatExt spid="_x0000_s22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118</xdr:row>
          <xdr:rowOff>0</xdr:rowOff>
        </xdr:from>
        <xdr:to>
          <xdr:col>5</xdr:col>
          <xdr:colOff>203200</xdr:colOff>
          <xdr:row>119</xdr:row>
          <xdr:rowOff>50800</xdr:rowOff>
        </xdr:to>
        <xdr:sp macro="" textlink="">
          <xdr:nvSpPr>
            <xdr:cNvPr id="2257" name="Option Button 209" hidden="1">
              <a:extLst>
                <a:ext uri="{63B3BB69-23CF-44E3-9099-C40C66FF867C}">
                  <a14:compatExt spid="_x0000_s2257"/>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Typical operation - DEFAULT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119</xdr:row>
          <xdr:rowOff>133350</xdr:rowOff>
        </xdr:from>
        <xdr:to>
          <xdr:col>5</xdr:col>
          <xdr:colOff>203200</xdr:colOff>
          <xdr:row>121</xdr:row>
          <xdr:rowOff>12700</xdr:rowOff>
        </xdr:to>
        <xdr:sp macro="" textlink="">
          <xdr:nvSpPr>
            <xdr:cNvPr id="2258" name="Option Button 210" hidden="1">
              <a:extLst>
                <a:ext uri="{63B3BB69-23CF-44E3-9099-C40C66FF867C}">
                  <a14:compatExt spid="_x0000_s2258"/>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Worst-case collection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121</xdr:row>
          <xdr:rowOff>95250</xdr:rowOff>
        </xdr:from>
        <xdr:to>
          <xdr:col>5</xdr:col>
          <xdr:colOff>190500</xdr:colOff>
          <xdr:row>122</xdr:row>
          <xdr:rowOff>146050</xdr:rowOff>
        </xdr:to>
        <xdr:sp macro="" textlink="">
          <xdr:nvSpPr>
            <xdr:cNvPr id="2259" name="Option Button 211" hidden="1">
              <a:extLst>
                <a:ext uri="{63B3BB69-23CF-44E3-9099-C40C66FF867C}">
                  <a14:compatExt spid="_x0000_s2259"/>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Aggressive gas collection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130</xdr:row>
          <xdr:rowOff>88900</xdr:rowOff>
        </xdr:from>
        <xdr:to>
          <xdr:col>5</xdr:col>
          <xdr:colOff>336550</xdr:colOff>
          <xdr:row>140</xdr:row>
          <xdr:rowOff>133350</xdr:rowOff>
        </xdr:to>
        <xdr:sp macro="" textlink="">
          <xdr:nvSpPr>
            <xdr:cNvPr id="2260" name="Group Box 212" hidden="1">
              <a:extLst>
                <a:ext uri="{63B3BB69-23CF-44E3-9099-C40C66FF867C}">
                  <a14:compatExt spid="_x0000_s22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133</xdr:row>
          <xdr:rowOff>12700</xdr:rowOff>
        </xdr:from>
        <xdr:to>
          <xdr:col>5</xdr:col>
          <xdr:colOff>209550</xdr:colOff>
          <xdr:row>134</xdr:row>
          <xdr:rowOff>69850</xdr:rowOff>
        </xdr:to>
        <xdr:sp macro="" textlink="">
          <xdr:nvSpPr>
            <xdr:cNvPr id="2261" name="Option Button 213" hidden="1">
              <a:extLst>
                <a:ext uri="{63B3BB69-23CF-44E3-9099-C40C66FF867C}">
                  <a14:compatExt spid="_x0000_s2261"/>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Dry (k=0.02)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134</xdr:row>
          <xdr:rowOff>152400</xdr:rowOff>
        </xdr:from>
        <xdr:to>
          <xdr:col>5</xdr:col>
          <xdr:colOff>209550</xdr:colOff>
          <xdr:row>136</xdr:row>
          <xdr:rowOff>50800</xdr:rowOff>
        </xdr:to>
        <xdr:sp macro="" textlink="">
          <xdr:nvSpPr>
            <xdr:cNvPr id="2262" name="Option Button 214" hidden="1">
              <a:extLst>
                <a:ext uri="{63B3BB69-23CF-44E3-9099-C40C66FF867C}">
                  <a14:compatExt spid="_x0000_s2262"/>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Moderate (k = 0.04)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136</xdr:row>
          <xdr:rowOff>133350</xdr:rowOff>
        </xdr:from>
        <xdr:to>
          <xdr:col>5</xdr:col>
          <xdr:colOff>209550</xdr:colOff>
          <xdr:row>138</xdr:row>
          <xdr:rowOff>31750</xdr:rowOff>
        </xdr:to>
        <xdr:sp macro="" textlink="">
          <xdr:nvSpPr>
            <xdr:cNvPr id="2263" name="Option Button 215" hidden="1">
              <a:extLst>
                <a:ext uri="{63B3BB69-23CF-44E3-9099-C40C66FF867C}">
                  <a14:compatExt spid="_x0000_s2263"/>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Wet (k = 0.06)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138</xdr:row>
          <xdr:rowOff>127000</xdr:rowOff>
        </xdr:from>
        <xdr:to>
          <xdr:col>5</xdr:col>
          <xdr:colOff>209550</xdr:colOff>
          <xdr:row>140</xdr:row>
          <xdr:rowOff>19050</xdr:rowOff>
        </xdr:to>
        <xdr:sp macro="" textlink="">
          <xdr:nvSpPr>
            <xdr:cNvPr id="2264" name="Option Button 216" hidden="1">
              <a:extLst>
                <a:ext uri="{63B3BB69-23CF-44E3-9099-C40C66FF867C}">
                  <a14:compatExt spid="_x0000_s2264"/>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Bioreactor (k = 0.12)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131</xdr:row>
          <xdr:rowOff>31750</xdr:rowOff>
        </xdr:from>
        <xdr:to>
          <xdr:col>5</xdr:col>
          <xdr:colOff>222250</xdr:colOff>
          <xdr:row>132</xdr:row>
          <xdr:rowOff>76200</xdr:rowOff>
        </xdr:to>
        <xdr:sp macro="" textlink="">
          <xdr:nvSpPr>
            <xdr:cNvPr id="2333" name="Option Button 285" hidden="1">
              <a:extLst>
                <a:ext uri="{63B3BB69-23CF-44E3-9099-C40C66FF867C}">
                  <a14:compatExt spid="_x0000_s2333"/>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National average - DEFAULT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107950</xdr:colOff>
          <xdr:row>123</xdr:row>
          <xdr:rowOff>50800</xdr:rowOff>
        </xdr:from>
        <xdr:to>
          <xdr:col>5</xdr:col>
          <xdr:colOff>190500</xdr:colOff>
          <xdr:row>124</xdr:row>
          <xdr:rowOff>95250</xdr:rowOff>
        </xdr:to>
        <xdr:sp macro="" textlink="">
          <xdr:nvSpPr>
            <xdr:cNvPr id="2334" name="Option Button 286" hidden="1">
              <a:extLst>
                <a:ext uri="{63B3BB69-23CF-44E3-9099-C40C66FF867C}">
                  <a14:compatExt spid="_x0000_s2334"/>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California regulatory collection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146</xdr:row>
          <xdr:rowOff>88900</xdr:rowOff>
        </xdr:from>
        <xdr:to>
          <xdr:col>5</xdr:col>
          <xdr:colOff>190500</xdr:colOff>
          <xdr:row>147</xdr:row>
          <xdr:rowOff>146050</xdr:rowOff>
        </xdr:to>
        <xdr:sp macro="" textlink="">
          <xdr:nvSpPr>
            <xdr:cNvPr id="2366" name="Option Button 318" hidden="1">
              <a:extLst>
                <a:ext uri="{63B3BB69-23CF-44E3-9099-C40C66FF867C}">
                  <a14:compatExt spid="_x0000_s2366"/>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Wet Digestion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145</xdr:row>
          <xdr:rowOff>114300</xdr:rowOff>
        </xdr:from>
        <xdr:to>
          <xdr:col>5</xdr:col>
          <xdr:colOff>317500</xdr:colOff>
          <xdr:row>150</xdr:row>
          <xdr:rowOff>114300</xdr:rowOff>
        </xdr:to>
        <xdr:sp macro="" textlink="">
          <xdr:nvSpPr>
            <xdr:cNvPr id="2367" name="Group Box 319" hidden="1">
              <a:extLst>
                <a:ext uri="{63B3BB69-23CF-44E3-9099-C40C66FF867C}">
                  <a14:compatExt spid="_x0000_s23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184150</xdr:colOff>
          <xdr:row>154</xdr:row>
          <xdr:rowOff>146050</xdr:rowOff>
        </xdr:from>
        <xdr:to>
          <xdr:col>5</xdr:col>
          <xdr:colOff>19050</xdr:colOff>
          <xdr:row>159</xdr:row>
          <xdr:rowOff>69850</xdr:rowOff>
        </xdr:to>
        <xdr:sp macro="" textlink="">
          <xdr:nvSpPr>
            <xdr:cNvPr id="2377" name="Group Box 329" hidden="1">
              <a:extLst>
                <a:ext uri="{63B3BB69-23CF-44E3-9099-C40C66FF867C}">
                  <a14:compatExt spid="_x0000_s23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155</xdr:row>
          <xdr:rowOff>95250</xdr:rowOff>
        </xdr:from>
        <xdr:to>
          <xdr:col>4</xdr:col>
          <xdr:colOff>857250</xdr:colOff>
          <xdr:row>156</xdr:row>
          <xdr:rowOff>133350</xdr:rowOff>
        </xdr:to>
        <xdr:sp macro="" textlink="">
          <xdr:nvSpPr>
            <xdr:cNvPr id="2385" name="Option Button 337" descr="Yes" hidden="1">
              <a:extLst>
                <a:ext uri="{63B3BB69-23CF-44E3-9099-C40C66FF867C}">
                  <a14:compatExt spid="_x0000_s2385"/>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Cured - DEFAULT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148</xdr:row>
          <xdr:rowOff>69850</xdr:rowOff>
        </xdr:from>
        <xdr:to>
          <xdr:col>5</xdr:col>
          <xdr:colOff>203200</xdr:colOff>
          <xdr:row>150</xdr:row>
          <xdr:rowOff>0</xdr:rowOff>
        </xdr:to>
        <xdr:sp macro="" textlink="">
          <xdr:nvSpPr>
            <xdr:cNvPr id="2387" name="Option Button 339" hidden="1">
              <a:extLst>
                <a:ext uri="{63B3BB69-23CF-44E3-9099-C40C66FF867C}">
                  <a14:compatExt spid="_x0000_s2387"/>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Dry Digestion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157</xdr:row>
          <xdr:rowOff>69850</xdr:rowOff>
        </xdr:from>
        <xdr:to>
          <xdr:col>4</xdr:col>
          <xdr:colOff>857250</xdr:colOff>
          <xdr:row>158</xdr:row>
          <xdr:rowOff>107950</xdr:rowOff>
        </xdr:to>
        <xdr:sp macro="" textlink="">
          <xdr:nvSpPr>
            <xdr:cNvPr id="2394" name="Option Button 346" descr="Yes" hidden="1">
              <a:extLst>
                <a:ext uri="{63B3BB69-23CF-44E3-9099-C40C66FF867C}">
                  <a14:compatExt spid="_x0000_s2394"/>
                </a:ext>
              </a:extLst>
            </xdr:cNvPr>
            <xdr:cNvSpPr/>
          </xdr:nvSpPr>
          <xdr:spPr bwMode="auto">
            <a:xfrm>
              <a:off x="0" y="0"/>
              <a:ext cx="0" cy="0"/>
            </a:xfrm>
            <a:prstGeom prst="rect">
              <a:avLst/>
            </a:prstGeom>
            <a:solidFill>
              <a:srgbClr val="A6CAF0"/>
            </a:solidFill>
            <a:ln w="17145">
              <a:solidFill>
                <a:srgbClr val="000000" mc:Ignorable="a14" a14:legacySpreadsheetColorIndex="8"/>
              </a:solidFill>
              <a:miter lim="800000"/>
              <a:headEnd/>
              <a:tailEnd/>
            </a:ln>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Not cured</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228600</xdr:colOff>
      <xdr:row>0</xdr:row>
      <xdr:rowOff>28576</xdr:rowOff>
    </xdr:from>
    <xdr:to>
      <xdr:col>7</xdr:col>
      <xdr:colOff>960153</xdr:colOff>
      <xdr:row>1</xdr:row>
      <xdr:rowOff>109002</xdr:rowOff>
    </xdr:to>
    <xdr:sp macro="" textlink="">
      <xdr:nvSpPr>
        <xdr:cNvPr id="2" name="TextBox 1"/>
        <xdr:cNvSpPr txBox="1"/>
      </xdr:nvSpPr>
      <xdr:spPr>
        <a:xfrm>
          <a:off x="838200" y="28576"/>
          <a:ext cx="7620000" cy="2476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This tab is linked directly to GHG_MSTR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304800</xdr:colOff>
      <xdr:row>0</xdr:row>
      <xdr:rowOff>47625</xdr:rowOff>
    </xdr:from>
    <xdr:to>
      <xdr:col>11</xdr:col>
      <xdr:colOff>598180</xdr:colOff>
      <xdr:row>1</xdr:row>
      <xdr:rowOff>124019</xdr:rowOff>
    </xdr:to>
    <xdr:sp macro="" textlink="">
      <xdr:nvSpPr>
        <xdr:cNvPr id="2" name="TextBox 1"/>
        <xdr:cNvSpPr txBox="1"/>
      </xdr:nvSpPr>
      <xdr:spPr>
        <a:xfrm>
          <a:off x="304800" y="47625"/>
          <a:ext cx="7620000" cy="2476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This tab is linked directly to GHG_MSTR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irstin/Downloads/GHG_MSTR_v14_LIVE_03-09-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irstin/Downloads/Energy%20Savings_v14_LIVE_03-09-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ission Factors"/>
      <sheetName val="Energy Emissions"/>
      <sheetName val="EFs by Native Gas"/>
      <sheetName val="Landfilling"/>
      <sheetName val="Combustion"/>
      <sheetName val="AD Model Wet"/>
      <sheetName val="AD Model Dry "/>
      <sheetName val="Loss Rates"/>
      <sheetName val="Food Loss Rates"/>
      <sheetName val="Poultry"/>
      <sheetName val="Beef"/>
      <sheetName val="Produce"/>
      <sheetName val="Grains"/>
      <sheetName val="Dairy"/>
      <sheetName val="Aluminum"/>
      <sheetName val="Plastics"/>
      <sheetName val="PLA"/>
      <sheetName val="Industrial Process Emissions"/>
      <sheetName val="Carbon Coefficients"/>
      <sheetName val="Current Mix "/>
      <sheetName val="RTI Energy Data"/>
      <sheetName val="PC Energy Data"/>
      <sheetName val="Carpet Energy Data"/>
      <sheetName val="eGRID data"/>
      <sheetName val="Barlaz Data"/>
      <sheetName val="Asphalt Concrete"/>
      <sheetName val="Asphalt Shingles"/>
      <sheetName val="Drywall"/>
      <sheetName val="Fiberglass Insulation"/>
      <sheetName val="Wood Flooring"/>
      <sheetName val="Hardwood forest carbon storage"/>
      <sheetName val="Vinyl Flooring"/>
      <sheetName val="Tires"/>
      <sheetName val="Carpet"/>
      <sheetName val="Ceiling Tiles"/>
      <sheetName val="RCB"/>
      <sheetName val="Composting - Net Flux"/>
      <sheetName val="Composting - CENTURY Results"/>
      <sheetName val="Composting - Incremental Humus"/>
      <sheetName val="Chapter 5- Humus"/>
      <sheetName val="Woodcarb"/>
      <sheetName val="Utility Emissions"/>
      <sheetName val="Utility Offsets"/>
      <sheetName val="Forest C"/>
      <sheetName val="Forest C Revised calx"/>
      <sheetName val="Forcarb_Sheet1"/>
      <sheetName val="Forcarb_Sheet2"/>
      <sheetName val="Forcarb_Sheet3"/>
      <sheetName val="Forcarb_Sheet4"/>
      <sheetName val="Forcarb_Sheet5"/>
      <sheetName val="Forest C Anlys for Wood"/>
      <sheetName val="Alt Emis Factors"/>
      <sheetName val="Post-Consumer Transport"/>
      <sheetName val="Retail Transport"/>
      <sheetName val="Revisions Log"/>
      <sheetName val="Temporal Landfill EFs"/>
      <sheetName val="Temporal Forest Carbon EFs"/>
      <sheetName val="GHG Chart Breakout"/>
      <sheetName val="Assumptions"/>
      <sheetName val="GHG_MSTR_v14_LIVE_03-09-2016"/>
    </sheetNames>
    <definedNames>
      <definedName name="Avoided_utility_encentral" refersTo="='Combustion'!$H$277:$R$320"/>
      <definedName name="Avoided_utility_escentral" refersTo="='Combustion'!$H$326:$R$368"/>
      <definedName name="Avoided_utility_midatlantic" refersTo="='Combustion'!$H$421:$R$464"/>
      <definedName name="Avoided_utility_mountain" refersTo="='Combustion'!$H$132:$R$175"/>
      <definedName name="Avoided_utility_national" refersTo="='Combustion'!$H$9:$R$53"/>
      <definedName name="Avoided_utility_newengland" refersTo="='Combustion'!$H$373:$R$416"/>
      <definedName name="Avoided_utility_pacific" refersTo="='Combustion'!$H$84:$R$127"/>
      <definedName name="Avoided_utility_satlantic" refersTo="='Combustion'!$H$469:$R$512"/>
      <definedName name="Avoided_utility_wncentral" refersTo="='Combustion'!$H$180:$R$223"/>
      <definedName name="Avoided_utility_wscentral" refersTo="='Combustion'!$H$229:$R$272"/>
      <definedName name="AvoidedUtilityRatio" refersTo="='Landfilling'!$Z$830:$AA$840"/>
      <definedName name="CE_CO2E" refersTo="='Assumptions'!$B$385"/>
      <definedName name="eGRID_factors" refersTo="='Assumptions'!$D$162:$G$171"/>
      <definedName name="EmissionFactors" refersTo="='Emission Factors'!$B$6:$BJ55"/>
      <definedName name="LandfillAggressiveK12" refersTo="='Landfilling'!$A$395:$S$423"/>
      <definedName name="LandfillAggressiveK2" refersTo="='Landfilling'!$A$281:$S$309"/>
      <definedName name="LandfillAggressiveK4" refersTo="='Landfilling'!$A$319:$S$347"/>
      <definedName name="LandfillAggressiveK6" refersTo="='Landfilling'!$A$357:$S$385"/>
      <definedName name="LandfillAggressiveNatlAverage" refersTo="='Landfilling'!$A$243:$S$271"/>
      <definedName name="LandfillCaliK12" refersTo="='Landfilling'!$A$775:$S$803"/>
      <definedName name="LandfillCaliK2" refersTo="='Landfilling'!$A$661:$S$689"/>
      <definedName name="LandfillCaliK4" refersTo="='Landfilling'!$A$699:$S$727"/>
      <definedName name="LandfillCaliK6" refersTo="='Landfilling'!$A$737:$S$765"/>
      <definedName name="LandfillCaliNatlAverage" refersTo="='Landfilling'!$A$623:$S$651"/>
      <definedName name="LandfillTypicalK12" refersTo="='Landfilling'!$A$205:$S$233"/>
      <definedName name="LandfillTypicalK2" refersTo="='Landfilling'!$A$91:$S$119"/>
      <definedName name="LandfillTypicalK4" refersTo="='Landfilling'!$A$129:$S$157"/>
      <definedName name="LandfillTypicalK6" refersTo="='Landfilling'!$A$167:$S$195"/>
      <definedName name="LandfillTypicalNatlAverage" refersTo="='Landfilling'!$A$53:$S$81"/>
      <definedName name="LandfillWorstK12" refersTo="='Landfilling'!$A$585:$S$613"/>
      <definedName name="LandfillWorstK2" refersTo="='Landfilling'!$A$471:$S$499"/>
      <definedName name="LandfillWorstK4" refersTo="='Landfilling'!$A$509:$S$537"/>
      <definedName name="LandfillWorstK6" refersTo="='Landfilling'!$A$547:$S$575"/>
      <definedName name="LandfillWorstNatlAverage" refersTo="='Landfilling'!$A$433:$S$461"/>
      <definedName name="LFGEfficiencies" refersTo="='Landfilling'!$A$984:$V$1037"/>
      <definedName name="liters_gal" refersTo="='Assumptions'!$B$374"/>
    </definedNames>
    <sheetDataSet>
      <sheetData sheetId="0" refreshError="1">
        <row r="6">
          <cell r="B6" t="str">
            <v>Aluminum Cans</v>
          </cell>
          <cell r="C6">
            <v>-4.9104449096890379</v>
          </cell>
          <cell r="D6">
            <v>-9.107799577537099</v>
          </cell>
          <cell r="E6" t="str">
            <v>NA</v>
          </cell>
          <cell r="F6">
            <v>3.540283999631616E-2</v>
          </cell>
          <cell r="G6">
            <v>2.0254519141196047E-2</v>
          </cell>
          <cell r="H6" t="str">
            <v>NA</v>
          </cell>
          <cell r="I6" t="str">
            <v>NA</v>
          </cell>
          <cell r="J6" t="str">
            <v>NA</v>
          </cell>
          <cell r="K6" t="str">
            <v>NA</v>
          </cell>
          <cell r="L6">
            <v>-4.9104449096890379</v>
          </cell>
          <cell r="M6">
            <v>-11.08553302325919</v>
          </cell>
          <cell r="N6">
            <v>0</v>
          </cell>
          <cell r="O6">
            <v>0</v>
          </cell>
          <cell r="P6">
            <v>0</v>
          </cell>
          <cell r="Q6">
            <v>-4.9104449096890379</v>
          </cell>
          <cell r="R6">
            <v>-11.08553302325919</v>
          </cell>
          <cell r="S6">
            <v>0</v>
          </cell>
          <cell r="T6">
            <v>0</v>
          </cell>
          <cell r="U6">
            <v>-5.3515324005488338</v>
          </cell>
          <cell r="V6">
            <v>-3.575287276616599E-2</v>
          </cell>
          <cell r="W6">
            <v>-3.7205143042220996</v>
          </cell>
          <cell r="X6">
            <v>0</v>
          </cell>
          <cell r="Y6">
            <v>-9.107799577537099</v>
          </cell>
          <cell r="Z6">
            <v>0</v>
          </cell>
          <cell r="AA6" t="str">
            <v>NA</v>
          </cell>
          <cell r="AB6" t="str">
            <v>NA</v>
          </cell>
          <cell r="AC6" t="str">
            <v>NA</v>
          </cell>
          <cell r="AD6" t="str">
            <v>NA</v>
          </cell>
          <cell r="AE6" t="str">
            <v>NA</v>
          </cell>
          <cell r="AF6">
            <v>0</v>
          </cell>
          <cell r="AG6">
            <v>8.9994096820590931E-3</v>
          </cell>
          <cell r="AH6">
            <v>0</v>
          </cell>
          <cell r="AI6">
            <v>0</v>
          </cell>
          <cell r="AJ6">
            <v>2.6403430314257067E-2</v>
          </cell>
          <cell r="AK6">
            <v>0</v>
          </cell>
          <cell r="AL6">
            <v>3.540283999631616E-2</v>
          </cell>
          <cell r="AM6">
            <v>0</v>
          </cell>
          <cell r="AN6">
            <v>2.0254519141196047E-2</v>
          </cell>
          <cell r="AO6">
            <v>0</v>
          </cell>
          <cell r="AP6">
            <v>0</v>
          </cell>
          <cell r="AQ6">
            <v>0</v>
          </cell>
          <cell r="AR6">
            <v>2.0254519141196047E-2</v>
          </cell>
          <cell r="AS6">
            <v>-4.9306994288302342</v>
          </cell>
          <cell r="AT6">
            <v>-11.105787542400385</v>
          </cell>
          <cell r="AU6">
            <v>-9.1280540966782944</v>
          </cell>
          <cell r="AV6" t="str">
            <v>NA</v>
          </cell>
          <cell r="AW6">
            <v>1.5148320855120113E-2</v>
          </cell>
          <cell r="AX6">
            <v>7.270416360564484</v>
          </cell>
          <cell r="AY6">
            <v>9.4602358472607104E-2</v>
          </cell>
          <cell r="AZ6">
            <v>3.7205143042220996</v>
          </cell>
          <cell r="BA6">
            <v>11.08553302325919</v>
          </cell>
          <cell r="BB6">
            <v>0.32199999999999995</v>
          </cell>
          <cell r="BC6">
            <v>3.6420773929923751</v>
          </cell>
          <cell r="BD6">
            <v>7.0361910737146566E-2</v>
          </cell>
          <cell r="BE6">
            <v>1.1980056059595159</v>
          </cell>
          <cell r="BF6">
            <v>4.9104449096890379</v>
          </cell>
          <cell r="BG6">
            <v>1.9188839600156506</v>
          </cell>
          <cell r="BH6">
            <v>5.8849485706441114E-2</v>
          </cell>
          <cell r="BI6">
            <v>0</v>
          </cell>
          <cell r="BJ6">
            <v>1.9777334457220919</v>
          </cell>
          <cell r="BK6" t="str">
            <v>NA</v>
          </cell>
          <cell r="BL6" t="str">
            <v>NA</v>
          </cell>
          <cell r="BM6" t="str">
            <v>NA</v>
          </cell>
          <cell r="BN6" t="str">
            <v>NA</v>
          </cell>
          <cell r="BO6" t="str">
            <v>NA</v>
          </cell>
          <cell r="BP6" t="str">
            <v>NA</v>
          </cell>
          <cell r="BQ6" t="str">
            <v>NA</v>
          </cell>
          <cell r="BR6" t="str">
            <v>NA</v>
          </cell>
          <cell r="BS6" t="str">
            <v>NA</v>
          </cell>
          <cell r="BT6" t="str">
            <v>NA</v>
          </cell>
          <cell r="BU6" t="str">
            <v>NA</v>
          </cell>
          <cell r="BV6" t="str">
            <v>NA</v>
          </cell>
          <cell r="BW6" t="str">
            <v>NA</v>
          </cell>
          <cell r="BX6" t="str">
            <v>NA</v>
          </cell>
          <cell r="BY6" t="str">
            <v>NA</v>
          </cell>
          <cell r="BZ6" t="str">
            <v>NA</v>
          </cell>
          <cell r="CA6" t="str">
            <v>NA</v>
          </cell>
          <cell r="CB6" t="str">
            <v>NA</v>
          </cell>
          <cell r="CC6" t="str">
            <v>NA</v>
          </cell>
          <cell r="CD6" t="str">
            <v>NA</v>
          </cell>
          <cell r="CE6" t="str">
            <v>NA</v>
          </cell>
          <cell r="CF6" t="str">
            <v>NA</v>
          </cell>
          <cell r="CG6" t="str">
            <v>NA</v>
          </cell>
          <cell r="CH6" t="str">
            <v>NA</v>
          </cell>
          <cell r="CI6" t="str">
            <v>NA</v>
          </cell>
          <cell r="CJ6" t="str">
            <v>NA</v>
          </cell>
          <cell r="CK6" t="str">
            <v>NA</v>
          </cell>
          <cell r="CL6" t="str">
            <v>NA</v>
          </cell>
        </row>
        <row r="7">
          <cell r="B7" t="str">
            <v>Steel Cans</v>
          </cell>
          <cell r="C7">
            <v>-3.061886354687406</v>
          </cell>
          <cell r="D7">
            <v>-1.8122705074770458</v>
          </cell>
          <cell r="E7" t="str">
            <v>NA</v>
          </cell>
          <cell r="F7">
            <v>-1.5728717738351012</v>
          </cell>
          <cell r="G7">
            <v>2.0254519141196047E-2</v>
          </cell>
          <cell r="H7" t="str">
            <v>NA</v>
          </cell>
          <cell r="I7" t="str">
            <v>NA</v>
          </cell>
          <cell r="J7" t="str">
            <v>NA</v>
          </cell>
          <cell r="K7" t="str">
            <v>NA</v>
          </cell>
          <cell r="L7">
            <v>-3.061886354687406</v>
          </cell>
          <cell r="M7">
            <v>-3.6665929423863797</v>
          </cell>
          <cell r="N7">
            <v>0</v>
          </cell>
          <cell r="O7">
            <v>0</v>
          </cell>
          <cell r="P7">
            <v>0</v>
          </cell>
          <cell r="Q7">
            <v>-3.061886354687406</v>
          </cell>
          <cell r="R7">
            <v>-3.6665929423863797</v>
          </cell>
          <cell r="S7">
            <v>0</v>
          </cell>
          <cell r="T7">
            <v>0</v>
          </cell>
          <cell r="U7">
            <v>-1.7706404251390202</v>
          </cell>
          <cell r="V7">
            <v>-4.1630082338025509E-2</v>
          </cell>
          <cell r="W7">
            <v>0</v>
          </cell>
          <cell r="X7">
            <v>0</v>
          </cell>
          <cell r="Y7">
            <v>-1.8122705074770458</v>
          </cell>
          <cell r="Z7">
            <v>0</v>
          </cell>
          <cell r="AA7" t="str">
            <v>NA</v>
          </cell>
          <cell r="AB7" t="str">
            <v>NA</v>
          </cell>
          <cell r="AC7" t="str">
            <v>NA</v>
          </cell>
          <cell r="AD7" t="str">
            <v>NA</v>
          </cell>
          <cell r="AE7" t="str">
            <v>NA</v>
          </cell>
          <cell r="AF7">
            <v>0</v>
          </cell>
          <cell r="AG7">
            <v>8.9994096820590931E-3</v>
          </cell>
          <cell r="AH7">
            <v>0</v>
          </cell>
          <cell r="AI7">
            <v>0</v>
          </cell>
          <cell r="AJ7">
            <v>1.6551404077593979E-2</v>
          </cell>
          <cell r="AK7">
            <v>-1.5984225875947544</v>
          </cell>
          <cell r="AL7">
            <v>-1.5728717738351012</v>
          </cell>
          <cell r="AM7">
            <v>0</v>
          </cell>
          <cell r="AN7">
            <v>2.0254519141196047E-2</v>
          </cell>
          <cell r="AO7">
            <v>0</v>
          </cell>
          <cell r="AP7">
            <v>0</v>
          </cell>
          <cell r="AQ7">
            <v>0</v>
          </cell>
          <cell r="AR7">
            <v>2.0254519141196047E-2</v>
          </cell>
          <cell r="AS7">
            <v>-3.0821408738286022</v>
          </cell>
          <cell r="AT7">
            <v>-3.6868474615275759</v>
          </cell>
          <cell r="AU7">
            <v>-1.8325250266182418</v>
          </cell>
          <cell r="AV7" t="str">
            <v>NA</v>
          </cell>
          <cell r="AW7">
            <v>-1.5931262929762973</v>
          </cell>
          <cell r="AX7">
            <v>2.4285850424786783</v>
          </cell>
          <cell r="AY7">
            <v>0.36709880899861042</v>
          </cell>
          <cell r="AZ7">
            <v>0.87090909090909085</v>
          </cell>
          <cell r="BA7">
            <v>3.6665929423863797</v>
          </cell>
          <cell r="BB7">
            <v>0.67300000000000004</v>
          </cell>
          <cell r="BC7">
            <v>1.8377693087843319</v>
          </cell>
          <cell r="BD7">
            <v>0.3532079549939835</v>
          </cell>
          <cell r="BE7">
            <v>0.87090909090909085</v>
          </cell>
          <cell r="BF7">
            <v>3.061886354687406</v>
          </cell>
          <cell r="BG7">
            <v>0.62180909845926979</v>
          </cell>
          <cell r="BH7">
            <v>0.32461913314348234</v>
          </cell>
          <cell r="BI7">
            <v>0.87090909090909085</v>
          </cell>
          <cell r="BJ7">
            <v>1.8173373225118428</v>
          </cell>
          <cell r="BK7" t="str">
            <v>NA</v>
          </cell>
          <cell r="BL7" t="str">
            <v>NA</v>
          </cell>
          <cell r="BM7" t="str">
            <v>NA</v>
          </cell>
          <cell r="BN7" t="str">
            <v>NA</v>
          </cell>
          <cell r="BO7" t="str">
            <v>NA</v>
          </cell>
          <cell r="BP7" t="str">
            <v>NA</v>
          </cell>
          <cell r="BQ7" t="str">
            <v>NA</v>
          </cell>
          <cell r="BR7" t="str">
            <v>NA</v>
          </cell>
          <cell r="BS7" t="str">
            <v>NA</v>
          </cell>
          <cell r="BT7" t="str">
            <v>NA</v>
          </cell>
          <cell r="BU7" t="str">
            <v>NA</v>
          </cell>
          <cell r="BV7" t="str">
            <v>NA</v>
          </cell>
          <cell r="BW7" t="str">
            <v>NA</v>
          </cell>
          <cell r="BX7" t="str">
            <v>NA</v>
          </cell>
          <cell r="BY7" t="str">
            <v>NA</v>
          </cell>
          <cell r="BZ7" t="str">
            <v>NA</v>
          </cell>
          <cell r="CA7" t="str">
            <v>NA</v>
          </cell>
          <cell r="CB7" t="str">
            <v>NA</v>
          </cell>
          <cell r="CC7" t="str">
            <v>NA</v>
          </cell>
          <cell r="CD7" t="str">
            <v>NA</v>
          </cell>
          <cell r="CE7" t="str">
            <v>NA</v>
          </cell>
          <cell r="CF7" t="str">
            <v>NA</v>
          </cell>
          <cell r="CG7" t="str">
            <v>NA</v>
          </cell>
          <cell r="CH7" t="str">
            <v>NA</v>
          </cell>
          <cell r="CI7" t="str">
            <v>NA</v>
          </cell>
          <cell r="CJ7" t="str">
            <v>NA</v>
          </cell>
          <cell r="CK7" t="str">
            <v>NA</v>
          </cell>
          <cell r="CL7" t="str">
            <v>NA</v>
          </cell>
        </row>
        <row r="8">
          <cell r="B8" t="str">
            <v>Copper Wire</v>
          </cell>
          <cell r="C8">
            <v>-7.0107054917412031</v>
          </cell>
          <cell r="D8">
            <v>-4.7071546723673707</v>
          </cell>
          <cell r="E8" t="str">
            <v>NA</v>
          </cell>
          <cell r="F8">
            <v>3.0476826877984618E-2</v>
          </cell>
          <cell r="G8">
            <v>2.0254519141196047E-2</v>
          </cell>
          <cell r="H8" t="str">
            <v>NA</v>
          </cell>
          <cell r="I8" t="str">
            <v>NA</v>
          </cell>
          <cell r="J8" t="str">
            <v>NA</v>
          </cell>
          <cell r="K8" t="str">
            <v>NA</v>
          </cell>
          <cell r="L8">
            <v>-7.0107054917412031</v>
          </cell>
          <cell r="M8">
            <v>-7.0760377212807279</v>
          </cell>
          <cell r="N8">
            <v>0</v>
          </cell>
          <cell r="O8">
            <v>0</v>
          </cell>
          <cell r="P8">
            <v>0</v>
          </cell>
          <cell r="Q8">
            <v>-7.0107054917412031</v>
          </cell>
          <cell r="R8">
            <v>-7.0760377212807279</v>
          </cell>
          <cell r="S8">
            <v>0</v>
          </cell>
          <cell r="T8">
            <v>0</v>
          </cell>
          <cell r="U8">
            <v>-4.6516605332450158</v>
          </cell>
          <cell r="V8">
            <v>-5.5494139122354715E-2</v>
          </cell>
          <cell r="W8">
            <v>0</v>
          </cell>
          <cell r="X8">
            <v>0</v>
          </cell>
          <cell r="Y8">
            <v>-4.7071546723673707</v>
          </cell>
          <cell r="Z8">
            <v>0</v>
          </cell>
          <cell r="AA8" t="str">
            <v>NA</v>
          </cell>
          <cell r="AB8" t="str">
            <v>NA</v>
          </cell>
          <cell r="AC8" t="str">
            <v>NA</v>
          </cell>
          <cell r="AD8" t="str">
            <v>NA</v>
          </cell>
          <cell r="AE8" t="str">
            <v>NA</v>
          </cell>
          <cell r="AF8">
            <v>0</v>
          </cell>
          <cell r="AG8">
            <v>8.9994096820590931E-3</v>
          </cell>
          <cell r="AH8">
            <v>0</v>
          </cell>
          <cell r="AI8">
            <v>0</v>
          </cell>
          <cell r="AJ8">
            <v>2.1477417195925524E-2</v>
          </cell>
          <cell r="AK8">
            <v>0</v>
          </cell>
          <cell r="AL8">
            <v>3.0476826877984618E-2</v>
          </cell>
          <cell r="AM8">
            <v>0</v>
          </cell>
          <cell r="AN8">
            <v>2.0254519141196047E-2</v>
          </cell>
          <cell r="AO8">
            <v>0</v>
          </cell>
          <cell r="AP8">
            <v>0</v>
          </cell>
          <cell r="AQ8">
            <v>0</v>
          </cell>
          <cell r="AR8">
            <v>2.0254519141196047E-2</v>
          </cell>
          <cell r="AS8">
            <v>-7.0309600108823993</v>
          </cell>
          <cell r="AT8">
            <v>-7.0962922404219242</v>
          </cell>
          <cell r="AU8">
            <v>-4.727409191508567</v>
          </cell>
          <cell r="AV8" t="str">
            <v>NA</v>
          </cell>
          <cell r="AW8">
            <v>1.0222307736788571E-2</v>
          </cell>
          <cell r="AX8">
            <v>7.0158456455590343</v>
          </cell>
          <cell r="AY8">
            <v>6.0188809856630249E-2</v>
          </cell>
          <cell r="AZ8">
            <v>3.2658650640000087E-6</v>
          </cell>
          <cell r="BA8">
            <v>7.0760377212807279</v>
          </cell>
          <cell r="BB8">
            <v>0.95</v>
          </cell>
          <cell r="BC8">
            <v>6.9443158877527917</v>
          </cell>
          <cell r="BD8">
            <v>6.6386338123347585E-2</v>
          </cell>
          <cell r="BE8">
            <v>3.2658650640000087E-6</v>
          </cell>
          <cell r="BF8">
            <v>7.0107054917412031</v>
          </cell>
          <cell r="BG8">
            <v>5.5852504894341939</v>
          </cell>
          <cell r="BH8">
            <v>0.18413937519097695</v>
          </cell>
          <cell r="BI8">
            <v>3.2658650640000087E-6</v>
          </cell>
          <cell r="BJ8">
            <v>5.7693931304902346</v>
          </cell>
          <cell r="BK8" t="str">
            <v>NA</v>
          </cell>
          <cell r="BL8" t="str">
            <v>NA</v>
          </cell>
          <cell r="BM8" t="str">
            <v>NA</v>
          </cell>
          <cell r="BN8" t="str">
            <v>NA</v>
          </cell>
          <cell r="BO8" t="str">
            <v>NA</v>
          </cell>
          <cell r="BP8" t="str">
            <v>NA</v>
          </cell>
          <cell r="BQ8" t="str">
            <v>NA</v>
          </cell>
          <cell r="BR8" t="str">
            <v>NA</v>
          </cell>
          <cell r="BS8" t="str">
            <v>NA</v>
          </cell>
          <cell r="BT8" t="str">
            <v>NA</v>
          </cell>
          <cell r="BU8" t="str">
            <v>NA</v>
          </cell>
          <cell r="BV8" t="str">
            <v>NA</v>
          </cell>
          <cell r="BW8" t="str">
            <v>NA</v>
          </cell>
          <cell r="BX8" t="str">
            <v>NA</v>
          </cell>
          <cell r="BY8" t="str">
            <v>NA</v>
          </cell>
          <cell r="BZ8" t="str">
            <v>NA</v>
          </cell>
          <cell r="CA8" t="str">
            <v>NA</v>
          </cell>
          <cell r="CB8" t="str">
            <v>NA</v>
          </cell>
          <cell r="CC8" t="str">
            <v>NA</v>
          </cell>
          <cell r="CD8" t="str">
            <v>NA</v>
          </cell>
          <cell r="CE8" t="str">
            <v>NA</v>
          </cell>
          <cell r="CF8" t="str">
            <v>NA</v>
          </cell>
          <cell r="CG8" t="str">
            <v>NA</v>
          </cell>
          <cell r="CH8" t="str">
            <v>NA</v>
          </cell>
          <cell r="CI8" t="str">
            <v>NA</v>
          </cell>
          <cell r="CJ8" t="str">
            <v>NA</v>
          </cell>
          <cell r="CK8" t="str">
            <v>NA</v>
          </cell>
          <cell r="CL8" t="str">
            <v>NA</v>
          </cell>
        </row>
        <row r="9">
          <cell r="B9" t="str">
            <v>Glass</v>
          </cell>
          <cell r="C9">
            <v>-0.52566554670877741</v>
          </cell>
          <cell r="D9">
            <v>-0.27652247316904294</v>
          </cell>
          <cell r="E9" t="str">
            <v>NA</v>
          </cell>
          <cell r="F9">
            <v>2.7521219006985689E-2</v>
          </cell>
          <cell r="G9">
            <v>2.0254519141196047E-2</v>
          </cell>
          <cell r="H9" t="str">
            <v>NA</v>
          </cell>
          <cell r="I9" t="str">
            <v>NA</v>
          </cell>
          <cell r="J9" t="str">
            <v>NA</v>
          </cell>
          <cell r="K9" t="str">
            <v>NA</v>
          </cell>
          <cell r="L9">
            <v>-0.52566554670877741</v>
          </cell>
          <cell r="M9">
            <v>-0.5983195221800004</v>
          </cell>
          <cell r="N9">
            <v>0</v>
          </cell>
          <cell r="O9">
            <v>0</v>
          </cell>
          <cell r="P9">
            <v>0</v>
          </cell>
          <cell r="Q9">
            <v>-0.52566554670877741</v>
          </cell>
          <cell r="R9">
            <v>-0.5983195221800004</v>
          </cell>
          <cell r="S9">
            <v>0</v>
          </cell>
          <cell r="T9">
            <v>0</v>
          </cell>
          <cell r="U9">
            <v>-0.11933019164310714</v>
          </cell>
          <cell r="V9">
            <v>-1.5405944601057341E-2</v>
          </cell>
          <cell r="W9">
            <v>-0.14178633692487846</v>
          </cell>
          <cell r="X9">
            <v>0</v>
          </cell>
          <cell r="Y9">
            <v>-0.27652247316904294</v>
          </cell>
          <cell r="Z9">
            <v>0</v>
          </cell>
          <cell r="AA9" t="str">
            <v>NA</v>
          </cell>
          <cell r="AB9" t="str">
            <v>NA</v>
          </cell>
          <cell r="AC9" t="str">
            <v>NA</v>
          </cell>
          <cell r="AD9" t="str">
            <v>NA</v>
          </cell>
          <cell r="AE9" t="str">
            <v>NA</v>
          </cell>
          <cell r="AF9">
            <v>0</v>
          </cell>
          <cell r="AG9">
            <v>8.9994096820590931E-3</v>
          </cell>
          <cell r="AH9">
            <v>0</v>
          </cell>
          <cell r="AI9">
            <v>0</v>
          </cell>
          <cell r="AJ9">
            <v>1.8521809324926596E-2</v>
          </cell>
          <cell r="AK9">
            <v>0</v>
          </cell>
          <cell r="AL9">
            <v>2.7521219006985689E-2</v>
          </cell>
          <cell r="AM9">
            <v>0</v>
          </cell>
          <cell r="AN9">
            <v>2.0254519141196047E-2</v>
          </cell>
          <cell r="AO9">
            <v>0</v>
          </cell>
          <cell r="AP9">
            <v>0</v>
          </cell>
          <cell r="AQ9">
            <v>0</v>
          </cell>
          <cell r="AR9">
            <v>2.0254519141196047E-2</v>
          </cell>
          <cell r="AS9">
            <v>-0.54592006584997343</v>
          </cell>
          <cell r="AT9">
            <v>-0.61857404132119642</v>
          </cell>
          <cell r="AU9">
            <v>-0.29677699231023896</v>
          </cell>
          <cell r="AV9" t="str">
            <v>NA</v>
          </cell>
          <cell r="AW9">
            <v>7.2666998657896428E-3</v>
          </cell>
          <cell r="AX9">
            <v>0.36601462508645399</v>
          </cell>
          <cell r="AY9">
            <v>7.0826013373545979E-2</v>
          </cell>
          <cell r="AZ9">
            <v>0.16147888372000044</v>
          </cell>
          <cell r="BA9">
            <v>0.5983195221800004</v>
          </cell>
          <cell r="BB9">
            <v>0.76929999999999998</v>
          </cell>
          <cell r="BC9">
            <v>0.3346616116504913</v>
          </cell>
          <cell r="BD9">
            <v>6.6778229812489834E-2</v>
          </cell>
          <cell r="BE9">
            <v>0.12422570524579633</v>
          </cell>
          <cell r="BF9">
            <v>0.52566554670877741</v>
          </cell>
          <cell r="BG9">
            <v>0.23011079571513754</v>
          </cell>
          <cell r="BH9">
            <v>5.328035424456401E-2</v>
          </cell>
          <cell r="BI9">
            <v>0</v>
          </cell>
          <cell r="BJ9">
            <v>0.28339114995970155</v>
          </cell>
          <cell r="BK9" t="str">
            <v>NA</v>
          </cell>
          <cell r="BL9" t="str">
            <v>NA</v>
          </cell>
          <cell r="BM9" t="str">
            <v>NA</v>
          </cell>
          <cell r="BN9" t="str">
            <v>NA</v>
          </cell>
          <cell r="BO9" t="str">
            <v>NA</v>
          </cell>
          <cell r="BP9" t="str">
            <v>NA</v>
          </cell>
          <cell r="BQ9" t="str">
            <v>NA</v>
          </cell>
          <cell r="BR9" t="str">
            <v>NA</v>
          </cell>
          <cell r="BS9" t="str">
            <v>NA</v>
          </cell>
          <cell r="BT9" t="str">
            <v>NA</v>
          </cell>
          <cell r="BU9" t="str">
            <v>NA</v>
          </cell>
          <cell r="BV9" t="str">
            <v>NA</v>
          </cell>
          <cell r="BW9" t="str">
            <v>NA</v>
          </cell>
          <cell r="BX9" t="str">
            <v>NA</v>
          </cell>
          <cell r="BY9" t="str">
            <v>NA</v>
          </cell>
          <cell r="BZ9" t="str">
            <v>NA</v>
          </cell>
          <cell r="CA9" t="str">
            <v>NA</v>
          </cell>
          <cell r="CB9" t="str">
            <v>NA</v>
          </cell>
          <cell r="CC9" t="str">
            <v>NA</v>
          </cell>
          <cell r="CD9" t="str">
            <v>NA</v>
          </cell>
          <cell r="CE9" t="str">
            <v>NA</v>
          </cell>
          <cell r="CF9" t="str">
            <v>NA</v>
          </cell>
          <cell r="CG9" t="str">
            <v>NA</v>
          </cell>
          <cell r="CH9" t="str">
            <v>NA</v>
          </cell>
          <cell r="CI9" t="str">
            <v>NA</v>
          </cell>
          <cell r="CJ9" t="str">
            <v>NA</v>
          </cell>
          <cell r="CK9" t="str">
            <v>NA</v>
          </cell>
          <cell r="CL9" t="str">
            <v>NA</v>
          </cell>
        </row>
        <row r="10">
          <cell r="B10" t="str">
            <v>HDPE</v>
          </cell>
          <cell r="C10">
            <v>-1.4692446188872095</v>
          </cell>
          <cell r="D10">
            <v>-0.86868705060174922</v>
          </cell>
          <cell r="E10" t="str">
            <v>NA</v>
          </cell>
          <cell r="F10">
            <v>1.2280151252900477</v>
          </cell>
          <cell r="G10">
            <v>2.0254519141196047E-2</v>
          </cell>
          <cell r="H10" t="str">
            <v>NA</v>
          </cell>
          <cell r="I10" t="str">
            <v>NA</v>
          </cell>
          <cell r="J10" t="str">
            <v>NA</v>
          </cell>
          <cell r="K10" t="str">
            <v>NA</v>
          </cell>
          <cell r="L10">
            <v>-1.4692446188872095</v>
          </cell>
          <cell r="M10">
            <v>-1.5707799286813973</v>
          </cell>
          <cell r="N10">
            <v>0</v>
          </cell>
          <cell r="O10">
            <v>0</v>
          </cell>
          <cell r="P10">
            <v>0</v>
          </cell>
          <cell r="Q10">
            <v>-1.4692446188872095</v>
          </cell>
          <cell r="R10">
            <v>-1.5707799286813973</v>
          </cell>
          <cell r="S10">
            <v>0</v>
          </cell>
          <cell r="T10">
            <v>0</v>
          </cell>
          <cell r="U10">
            <v>-0.71575041402062889</v>
          </cell>
          <cell r="V10">
            <v>1.7388039141842188E-2</v>
          </cell>
          <cell r="W10">
            <v>-0.17032467572296245</v>
          </cell>
          <cell r="X10">
            <v>0</v>
          </cell>
          <cell r="Y10">
            <v>-0.86868705060174922</v>
          </cell>
          <cell r="Z10">
            <v>0</v>
          </cell>
          <cell r="AA10" t="str">
            <v>NA</v>
          </cell>
          <cell r="AB10" t="str">
            <v>NA</v>
          </cell>
          <cell r="AC10" t="str">
            <v>NA</v>
          </cell>
          <cell r="AD10" t="str">
            <v>NA</v>
          </cell>
          <cell r="AE10" t="str">
            <v>NA</v>
          </cell>
          <cell r="AF10">
            <v>0</v>
          </cell>
          <cell r="AG10">
            <v>8.9994096820590931E-3</v>
          </cell>
          <cell r="AH10">
            <v>2.7941576703256823</v>
          </cell>
          <cell r="AI10">
            <v>0</v>
          </cell>
          <cell r="AJ10">
            <v>-1.5751419547176937</v>
          </cell>
          <cell r="AK10">
            <v>0</v>
          </cell>
          <cell r="AL10">
            <v>1.2280151252900477</v>
          </cell>
          <cell r="AM10">
            <v>0</v>
          </cell>
          <cell r="AN10">
            <v>2.0254519141196047E-2</v>
          </cell>
          <cell r="AO10">
            <v>0</v>
          </cell>
          <cell r="AP10">
            <v>0</v>
          </cell>
          <cell r="AQ10">
            <v>0</v>
          </cell>
          <cell r="AR10">
            <v>2.0254519141196047E-2</v>
          </cell>
          <cell r="AS10">
            <v>-1.4894991380284055</v>
          </cell>
          <cell r="AT10">
            <v>-1.5910344478225933</v>
          </cell>
          <cell r="AU10">
            <v>-0.88894156974294525</v>
          </cell>
          <cell r="AV10" t="str">
            <v>NA</v>
          </cell>
          <cell r="AW10">
            <v>1.2077606061488517</v>
          </cell>
          <cell r="AX10">
            <v>1.1825983411429133</v>
          </cell>
          <cell r="AY10">
            <v>0.18909989634548394</v>
          </cell>
          <cell r="AZ10">
            <v>0.19908169119300001</v>
          </cell>
          <cell r="BA10">
            <v>1.5707799286813973</v>
          </cell>
          <cell r="BB10">
            <v>0.9</v>
          </cell>
          <cell r="BC10">
            <v>1.0989388230545976</v>
          </cell>
          <cell r="BD10">
            <v>0.19113227375891195</v>
          </cell>
          <cell r="BE10">
            <v>0.17917352207370002</v>
          </cell>
          <cell r="BF10">
            <v>1.4692446188872095</v>
          </cell>
          <cell r="BG10">
            <v>0.34600316025975675</v>
          </cell>
          <cell r="BH10">
            <v>0.20942367047976423</v>
          </cell>
          <cell r="BI10">
            <v>0</v>
          </cell>
          <cell r="BJ10">
            <v>0.55542683073952093</v>
          </cell>
          <cell r="BK10" t="str">
            <v>NA</v>
          </cell>
          <cell r="BL10" t="str">
            <v>NA</v>
          </cell>
          <cell r="BM10" t="str">
            <v>NA</v>
          </cell>
          <cell r="BN10" t="str">
            <v>NA</v>
          </cell>
          <cell r="BO10" t="str">
            <v>NA</v>
          </cell>
          <cell r="BP10" t="str">
            <v>NA</v>
          </cell>
          <cell r="BQ10" t="str">
            <v>NA</v>
          </cell>
          <cell r="BR10" t="str">
            <v>NA</v>
          </cell>
          <cell r="BS10" t="str">
            <v>NA</v>
          </cell>
          <cell r="BT10" t="str">
            <v>NA</v>
          </cell>
          <cell r="BU10" t="str">
            <v>NA</v>
          </cell>
          <cell r="BV10" t="str">
            <v>NA</v>
          </cell>
          <cell r="BW10" t="str">
            <v>NA</v>
          </cell>
          <cell r="BX10" t="str">
            <v>NA</v>
          </cell>
          <cell r="BY10" t="str">
            <v>NA</v>
          </cell>
          <cell r="BZ10" t="str">
            <v>NA</v>
          </cell>
          <cell r="CA10" t="str">
            <v>NA</v>
          </cell>
          <cell r="CB10" t="str">
            <v>NA</v>
          </cell>
          <cell r="CC10" t="str">
            <v>NA</v>
          </cell>
          <cell r="CD10" t="str">
            <v>NA</v>
          </cell>
          <cell r="CE10" t="str">
            <v>NA</v>
          </cell>
          <cell r="CF10" t="str">
            <v>NA</v>
          </cell>
          <cell r="CG10" t="str">
            <v>NA</v>
          </cell>
          <cell r="CH10" t="str">
            <v>NA</v>
          </cell>
          <cell r="CI10" t="str">
            <v>NA</v>
          </cell>
          <cell r="CJ10" t="str">
            <v>NA</v>
          </cell>
          <cell r="CK10" t="str">
            <v>NA</v>
          </cell>
          <cell r="CL10" t="str">
            <v>NA</v>
          </cell>
        </row>
        <row r="11">
          <cell r="B11" t="str">
            <v>LDPE</v>
          </cell>
          <cell r="C11">
            <v>-1.7987541239290445</v>
          </cell>
          <cell r="D11" t="str">
            <v>NA</v>
          </cell>
          <cell r="E11" t="str">
            <v>NA</v>
          </cell>
          <cell r="F11">
            <v>1.2365272759585244</v>
          </cell>
          <cell r="G11">
            <v>2.0254519141196047E-2</v>
          </cell>
          <cell r="H11" t="str">
            <v>NA</v>
          </cell>
          <cell r="I11" t="str">
            <v>NA</v>
          </cell>
          <cell r="J11" t="str">
            <v>NA</v>
          </cell>
          <cell r="K11" t="str">
            <v>NA</v>
          </cell>
          <cell r="L11">
            <v>-1.7987541239290445</v>
          </cell>
          <cell r="M11">
            <v>-1.7987541239290445</v>
          </cell>
          <cell r="N11">
            <v>0</v>
          </cell>
          <cell r="O11">
            <v>0</v>
          </cell>
          <cell r="P11">
            <v>0</v>
          </cell>
          <cell r="Q11">
            <v>-1.7987541239290445</v>
          </cell>
          <cell r="R11">
            <v>-1.7987541239290445</v>
          </cell>
          <cell r="S11" t="str">
            <v>NA</v>
          </cell>
          <cell r="T11" t="str">
            <v>NA</v>
          </cell>
          <cell r="U11" t="str">
            <v>NA</v>
          </cell>
          <cell r="V11" t="str">
            <v>NA</v>
          </cell>
          <cell r="W11" t="str">
            <v>NA</v>
          </cell>
          <cell r="X11" t="str">
            <v>NA</v>
          </cell>
          <cell r="Y11" t="str">
            <v>NA</v>
          </cell>
          <cell r="Z11">
            <v>0</v>
          </cell>
          <cell r="AA11" t="str">
            <v>NA</v>
          </cell>
          <cell r="AB11" t="str">
            <v>NA</v>
          </cell>
          <cell r="AC11" t="str">
            <v>NA</v>
          </cell>
          <cell r="AD11" t="str">
            <v>NA</v>
          </cell>
          <cell r="AE11" t="str">
            <v>NA</v>
          </cell>
          <cell r="AF11">
            <v>0</v>
          </cell>
          <cell r="AG11">
            <v>8.9994096820590931E-3</v>
          </cell>
          <cell r="AH11">
            <v>2.7941576703256823</v>
          </cell>
          <cell r="AI11">
            <v>0</v>
          </cell>
          <cell r="AJ11">
            <v>-1.566629804049217</v>
          </cell>
          <cell r="AK11">
            <v>0</v>
          </cell>
          <cell r="AL11">
            <v>1.2365272759585244</v>
          </cell>
          <cell r="AM11">
            <v>0</v>
          </cell>
          <cell r="AN11">
            <v>2.0254519141196047E-2</v>
          </cell>
          <cell r="AO11">
            <v>0</v>
          </cell>
          <cell r="AP11">
            <v>0</v>
          </cell>
          <cell r="AQ11">
            <v>0</v>
          </cell>
          <cell r="AR11">
            <v>2.0254519141196047E-2</v>
          </cell>
          <cell r="AS11">
            <v>-1.8190086430702406</v>
          </cell>
          <cell r="AT11">
            <v>-1.8190086430702406</v>
          </cell>
          <cell r="AU11" t="str">
            <v>NA</v>
          </cell>
          <cell r="AV11" t="str">
            <v>NA</v>
          </cell>
          <cell r="AW11">
            <v>1.2162727568173284</v>
          </cell>
          <cell r="AX11">
            <v>1.3949662933306786</v>
          </cell>
          <cell r="AY11">
            <v>0.19178057122984585</v>
          </cell>
          <cell r="AZ11">
            <v>0.21200725936852</v>
          </cell>
          <cell r="BA11">
            <v>1.7987541239290445</v>
          </cell>
          <cell r="BB11">
            <v>1</v>
          </cell>
          <cell r="BC11">
            <v>1.3949662933306786</v>
          </cell>
          <cell r="BD11">
            <v>0.19178057122984585</v>
          </cell>
          <cell r="BE11">
            <v>0.21200725936852</v>
          </cell>
          <cell r="BF11">
            <v>1.7987541239290445</v>
          </cell>
          <cell r="BG11" t="str">
            <v>NA</v>
          </cell>
          <cell r="BH11" t="str">
            <v>NA</v>
          </cell>
          <cell r="BI11" t="str">
            <v>NA</v>
          </cell>
          <cell r="BJ11" t="str">
            <v>NA</v>
          </cell>
          <cell r="BK11" t="str">
            <v>NA</v>
          </cell>
          <cell r="BL11" t="str">
            <v>NA</v>
          </cell>
          <cell r="BM11" t="str">
            <v>NA</v>
          </cell>
          <cell r="BN11" t="str">
            <v>NA</v>
          </cell>
          <cell r="BO11" t="str">
            <v>NA</v>
          </cell>
          <cell r="BP11" t="str">
            <v>NA</v>
          </cell>
          <cell r="BQ11" t="str">
            <v>NA</v>
          </cell>
          <cell r="BR11" t="str">
            <v>NA</v>
          </cell>
          <cell r="BS11" t="str">
            <v>NA</v>
          </cell>
          <cell r="BT11" t="str">
            <v>NA</v>
          </cell>
          <cell r="BU11" t="str">
            <v>NA</v>
          </cell>
          <cell r="BV11" t="str">
            <v>NA</v>
          </cell>
          <cell r="BW11" t="str">
            <v>NA</v>
          </cell>
          <cell r="BX11" t="str">
            <v>NA</v>
          </cell>
          <cell r="BY11" t="str">
            <v>NA</v>
          </cell>
          <cell r="BZ11" t="str">
            <v>NA</v>
          </cell>
          <cell r="CA11" t="str">
            <v>NA</v>
          </cell>
          <cell r="CB11" t="str">
            <v>NA</v>
          </cell>
          <cell r="CC11" t="str">
            <v>NA</v>
          </cell>
          <cell r="CD11" t="str">
            <v>NA</v>
          </cell>
          <cell r="CE11" t="str">
            <v>NA</v>
          </cell>
          <cell r="CF11" t="str">
            <v>NA</v>
          </cell>
          <cell r="CG11" t="str">
            <v>NA</v>
          </cell>
          <cell r="CH11" t="str">
            <v>NA</v>
          </cell>
          <cell r="CI11" t="str">
            <v>NA</v>
          </cell>
          <cell r="CJ11" t="str">
            <v>NA</v>
          </cell>
          <cell r="CK11" t="str">
            <v>NA</v>
          </cell>
          <cell r="CL11" t="str">
            <v>NA</v>
          </cell>
        </row>
        <row r="12">
          <cell r="B12" t="str">
            <v>PET</v>
          </cell>
          <cell r="C12">
            <v>-2.2010592879855531</v>
          </cell>
          <cell r="D12">
            <v>-1.1173153833954395</v>
          </cell>
          <cell r="E12" t="str">
            <v>NA</v>
          </cell>
          <cell r="F12">
            <v>1.2109542194255063</v>
          </cell>
          <cell r="G12">
            <v>2.0254519141196047E-2</v>
          </cell>
          <cell r="H12" t="str">
            <v>NA</v>
          </cell>
          <cell r="I12" t="str">
            <v>NA</v>
          </cell>
          <cell r="J12" t="str">
            <v>NA</v>
          </cell>
          <cell r="K12" t="str">
            <v>NA</v>
          </cell>
          <cell r="L12">
            <v>-2.2010592879855531</v>
          </cell>
          <cell r="M12">
            <v>-2.2386394694979734</v>
          </cell>
          <cell r="N12">
            <v>0</v>
          </cell>
          <cell r="O12">
            <v>0</v>
          </cell>
          <cell r="P12">
            <v>0</v>
          </cell>
          <cell r="Q12">
            <v>-2.2010592879855531</v>
          </cell>
          <cell r="R12">
            <v>-2.2386394694979734</v>
          </cell>
          <cell r="S12">
            <v>0</v>
          </cell>
          <cell r="T12">
            <v>0</v>
          </cell>
          <cell r="U12">
            <v>-0.87995959694826853</v>
          </cell>
          <cell r="V12">
            <v>0.10673909952108421</v>
          </cell>
          <cell r="W12">
            <v>-0.34409488596825522</v>
          </cell>
          <cell r="X12">
            <v>0</v>
          </cell>
          <cell r="Y12">
            <v>-1.1173153833954395</v>
          </cell>
          <cell r="Z12">
            <v>0</v>
          </cell>
          <cell r="AA12" t="str">
            <v>NA</v>
          </cell>
          <cell r="AB12" t="str">
            <v>NA</v>
          </cell>
          <cell r="AC12" t="str">
            <v>NA</v>
          </cell>
          <cell r="AD12" t="str">
            <v>NA</v>
          </cell>
          <cell r="AE12" t="str">
            <v>NA</v>
          </cell>
          <cell r="AF12">
            <v>0</v>
          </cell>
          <cell r="AG12">
            <v>8.9994096820590931E-3</v>
          </cell>
          <cell r="AH12">
            <v>2.0374066346124766</v>
          </cell>
          <cell r="AI12">
            <v>0</v>
          </cell>
          <cell r="AJ12">
            <v>-0.83545182486902958</v>
          </cell>
          <cell r="AK12">
            <v>0</v>
          </cell>
          <cell r="AL12">
            <v>1.2109542194255063</v>
          </cell>
          <cell r="AM12">
            <v>0</v>
          </cell>
          <cell r="AN12">
            <v>2.0254519141196047E-2</v>
          </cell>
          <cell r="AO12">
            <v>0</v>
          </cell>
          <cell r="AP12">
            <v>0</v>
          </cell>
          <cell r="AQ12">
            <v>0</v>
          </cell>
          <cell r="AR12">
            <v>2.0254519141196047E-2</v>
          </cell>
          <cell r="AS12">
            <v>-2.2213138071267493</v>
          </cell>
          <cell r="AT12">
            <v>-2.2588939886391697</v>
          </cell>
          <cell r="AU12">
            <v>-1.1375699025366355</v>
          </cell>
          <cell r="AV12" t="str">
            <v>NA</v>
          </cell>
          <cell r="AW12">
            <v>1.1906997002843103</v>
          </cell>
          <cell r="AX12">
            <v>1.7413294706074818</v>
          </cell>
          <cell r="AY12">
            <v>0.11152968820549183</v>
          </cell>
          <cell r="AZ12">
            <v>0.38578031068499996</v>
          </cell>
          <cell r="BA12">
            <v>2.2386394694979734</v>
          </cell>
          <cell r="BB12">
            <v>0.97</v>
          </cell>
          <cell r="BC12">
            <v>1.7117325977205999</v>
          </cell>
          <cell r="BD12">
            <v>0.11511978890050302</v>
          </cell>
          <cell r="BE12">
            <v>0.37420690136444995</v>
          </cell>
          <cell r="BF12">
            <v>2.2010592879855531</v>
          </cell>
          <cell r="BG12">
            <v>0.75476704104475767</v>
          </cell>
          <cell r="BH12">
            <v>0.23119971137253156</v>
          </cell>
          <cell r="BI12">
            <v>0</v>
          </cell>
          <cell r="BJ12">
            <v>0.98596675241728926</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row>
        <row r="13">
          <cell r="B13" t="str">
            <v>Corrugated Containers</v>
          </cell>
          <cell r="C13">
            <v>-5.5977753984244822</v>
          </cell>
          <cell r="D13">
            <v>-3.120666284103407</v>
          </cell>
          <cell r="E13" t="str">
            <v>NA</v>
          </cell>
          <cell r="F13">
            <v>-0.50943648992981905</v>
          </cell>
          <cell r="G13">
            <v>0.23491013585436349</v>
          </cell>
          <cell r="H13" t="str">
            <v>NA</v>
          </cell>
          <cell r="I13" t="str">
            <v>NA</v>
          </cell>
          <cell r="J13" t="str">
            <v>NA</v>
          </cell>
          <cell r="K13" t="str">
            <v>NA</v>
          </cell>
          <cell r="L13">
            <v>-0.8720613106942724</v>
          </cell>
          <cell r="M13">
            <v>-0.84397275599748145</v>
          </cell>
          <cell r="N13">
            <v>0</v>
          </cell>
          <cell r="O13">
            <v>-4.7257140877302097</v>
          </cell>
          <cell r="P13">
            <v>-7.2591614250848071</v>
          </cell>
          <cell r="Q13">
            <v>-5.5977753984244822</v>
          </cell>
          <cell r="R13">
            <v>-8.1031341810822894</v>
          </cell>
          <cell r="S13">
            <v>0</v>
          </cell>
          <cell r="T13">
            <v>0</v>
          </cell>
          <cell r="U13">
            <v>-5.147817392357909E-3</v>
          </cell>
          <cell r="V13">
            <v>-5.3819681209301119E-2</v>
          </cell>
          <cell r="W13">
            <v>-5.5730031691555307E-3</v>
          </cell>
          <cell r="X13">
            <v>-3.0561257823325922</v>
          </cell>
          <cell r="Y13">
            <v>-3.120666284103407</v>
          </cell>
          <cell r="Z13">
            <v>0</v>
          </cell>
          <cell r="AA13" t="str">
            <v>NA</v>
          </cell>
          <cell r="AB13" t="str">
            <v>NA</v>
          </cell>
          <cell r="AC13" t="str">
            <v>NA</v>
          </cell>
          <cell r="AD13" t="str">
            <v>NA</v>
          </cell>
          <cell r="AE13" t="str">
            <v>NA</v>
          </cell>
          <cell r="AF13">
            <v>0</v>
          </cell>
          <cell r="AG13">
            <v>8.9994096820590931E-3</v>
          </cell>
          <cell r="AH13">
            <v>0</v>
          </cell>
          <cell r="AI13">
            <v>3.6666666666666667E-2</v>
          </cell>
          <cell r="AJ13">
            <v>-0.55510256627854482</v>
          </cell>
          <cell r="AK13">
            <v>0</v>
          </cell>
          <cell r="AL13">
            <v>-0.50943648992981905</v>
          </cell>
          <cell r="AM13">
            <v>0</v>
          </cell>
          <cell r="AN13">
            <v>2.0254519141196047E-2</v>
          </cell>
          <cell r="AO13">
            <v>1.0459497031549745</v>
          </cell>
          <cell r="AP13">
            <v>-0.11356764351252384</v>
          </cell>
          <cell r="AQ13">
            <v>-0.71772644292928323</v>
          </cell>
          <cell r="AR13">
            <v>0.23491013585436349</v>
          </cell>
          <cell r="AS13">
            <v>-5.8326855342788457</v>
          </cell>
          <cell r="AT13">
            <v>-8.3380443169366529</v>
          </cell>
          <cell r="AU13">
            <v>-3.3555764199577705</v>
          </cell>
          <cell r="AV13" t="str">
            <v>NA</v>
          </cell>
          <cell r="AW13">
            <v>-0.74434662578418254</v>
          </cell>
          <cell r="AX13">
            <v>0.68753434084502563</v>
          </cell>
          <cell r="AY13">
            <v>0.15108602518645592</v>
          </cell>
          <cell r="AZ13">
            <v>5.3523899660000143E-3</v>
          </cell>
          <cell r="BA13">
            <v>0.84397275599748145</v>
          </cell>
          <cell r="BB13">
            <v>0.65100000000000002</v>
          </cell>
          <cell r="BC13">
            <v>0.7307042714328057</v>
          </cell>
          <cell r="BD13">
            <v>0.13787263339360067</v>
          </cell>
          <cell r="BE13">
            <v>3.4844058678660094E-3</v>
          </cell>
          <cell r="BF13">
            <v>0.8720613106942724</v>
          </cell>
          <cell r="BG13">
            <v>0.81123041702777654</v>
          </cell>
          <cell r="BH13">
            <v>0.11322530371695667</v>
          </cell>
          <cell r="BI13">
            <v>0</v>
          </cell>
          <cell r="BJ13">
            <v>0.92445572074473326</v>
          </cell>
          <cell r="BK13" t="str">
            <v>NA</v>
          </cell>
          <cell r="BL13" t="str">
            <v>NA</v>
          </cell>
          <cell r="BM13" t="str">
            <v>NA</v>
          </cell>
          <cell r="BN13" t="str">
            <v>NA</v>
          </cell>
          <cell r="BO13" t="str">
            <v>NA</v>
          </cell>
          <cell r="BP13" t="str">
            <v>NA</v>
          </cell>
          <cell r="BQ13" t="str">
            <v>NA</v>
          </cell>
          <cell r="BR13" t="str">
            <v>NA</v>
          </cell>
          <cell r="BS13" t="str">
            <v>NA</v>
          </cell>
          <cell r="BT13" t="str">
            <v>NA</v>
          </cell>
          <cell r="BU13" t="str">
            <v>NA</v>
          </cell>
          <cell r="BV13" t="str">
            <v>NA</v>
          </cell>
          <cell r="BW13" t="str">
            <v>NA</v>
          </cell>
          <cell r="BX13" t="str">
            <v>NA</v>
          </cell>
          <cell r="BY13" t="str">
            <v>NA</v>
          </cell>
          <cell r="BZ13" t="str">
            <v>NA</v>
          </cell>
          <cell r="CA13" t="str">
            <v>NA</v>
          </cell>
          <cell r="CB13" t="str">
            <v>NA</v>
          </cell>
          <cell r="CC13" t="str">
            <v>NA</v>
          </cell>
          <cell r="CD13" t="str">
            <v>NA</v>
          </cell>
          <cell r="CE13" t="str">
            <v>NA</v>
          </cell>
          <cell r="CF13" t="str">
            <v>NA</v>
          </cell>
          <cell r="CG13" t="str">
            <v>NA</v>
          </cell>
          <cell r="CH13" t="str">
            <v>NA</v>
          </cell>
          <cell r="CI13" t="str">
            <v>NA</v>
          </cell>
          <cell r="CJ13" t="str">
            <v>NA</v>
          </cell>
          <cell r="CK13" t="str">
            <v>NA</v>
          </cell>
          <cell r="CL13" t="str">
            <v>NA</v>
          </cell>
        </row>
        <row r="14">
          <cell r="B14" t="str">
            <v>Magazines/Third-class Mail</v>
          </cell>
          <cell r="C14">
            <v>-8.6008494190765425</v>
          </cell>
          <cell r="D14">
            <v>-3.069996609697593</v>
          </cell>
          <cell r="E14" t="str">
            <v>NA</v>
          </cell>
          <cell r="F14">
            <v>-0.3687495552702702</v>
          </cell>
          <cell r="G14">
            <v>-0.39344563940902355</v>
          </cell>
          <cell r="H14" t="str">
            <v>NA</v>
          </cell>
          <cell r="I14" t="str">
            <v>NA</v>
          </cell>
          <cell r="J14" t="str">
            <v>NA</v>
          </cell>
          <cell r="K14" t="str">
            <v>NA</v>
          </cell>
          <cell r="L14">
            <v>-1.6393136124202123</v>
          </cell>
          <cell r="M14">
            <v>-1.64015768876755</v>
          </cell>
          <cell r="N14">
            <v>0</v>
          </cell>
          <cell r="O14">
            <v>-6.9615358066563298</v>
          </cell>
          <cell r="P14">
            <v>-7.2591614250848071</v>
          </cell>
          <cell r="Q14">
            <v>-8.6008494190765425</v>
          </cell>
          <cell r="R14">
            <v>-8.8993191138523571</v>
          </cell>
          <cell r="S14">
            <v>0</v>
          </cell>
          <cell r="T14">
            <v>0</v>
          </cell>
          <cell r="U14">
            <v>-1.3870827365000634E-2</v>
          </cell>
          <cell r="V14">
            <v>0</v>
          </cell>
          <cell r="W14">
            <v>0</v>
          </cell>
          <cell r="X14">
            <v>-3.0561257823325922</v>
          </cell>
          <cell r="Y14">
            <v>-3.069996609697593</v>
          </cell>
          <cell r="Z14">
            <v>0</v>
          </cell>
          <cell r="AA14" t="str">
            <v>NA</v>
          </cell>
          <cell r="AB14" t="str">
            <v>NA</v>
          </cell>
          <cell r="AC14" t="str">
            <v>NA</v>
          </cell>
          <cell r="AD14" t="str">
            <v>NA</v>
          </cell>
          <cell r="AE14" t="str">
            <v>NA</v>
          </cell>
          <cell r="AF14">
            <v>0</v>
          </cell>
          <cell r="AG14">
            <v>8.9994096820590931E-3</v>
          </cell>
          <cell r="AH14">
            <v>0</v>
          </cell>
          <cell r="AI14">
            <v>3.6666666666666667E-2</v>
          </cell>
          <cell r="AJ14">
            <v>-0.41441563161899597</v>
          </cell>
          <cell r="AK14">
            <v>0</v>
          </cell>
          <cell r="AL14">
            <v>-0.3687495552702702</v>
          </cell>
          <cell r="AM14">
            <v>0</v>
          </cell>
          <cell r="AN14">
            <v>2.0254519141196047E-2</v>
          </cell>
          <cell r="AO14">
            <v>0.4825817330711073</v>
          </cell>
          <cell r="AP14">
            <v>-4.9390077417706277E-2</v>
          </cell>
          <cell r="AQ14">
            <v>-0.84689181420362059</v>
          </cell>
          <cell r="AR14">
            <v>-0.39344563940902355</v>
          </cell>
          <cell r="AS14">
            <v>-8.2074037796675192</v>
          </cell>
          <cell r="AT14">
            <v>-8.5058734744433337</v>
          </cell>
          <cell r="AU14">
            <v>-2.6765509702885693</v>
          </cell>
          <cell r="AV14" t="str">
            <v>NA</v>
          </cell>
          <cell r="AW14">
            <v>2.4696084138753349E-2</v>
          </cell>
          <cell r="AX14">
            <v>1.6195286013956749</v>
          </cell>
          <cell r="AY14">
            <v>2.0629087371874986E-2</v>
          </cell>
          <cell r="AZ14">
            <v>0</v>
          </cell>
          <cell r="BA14">
            <v>1.64015768876755</v>
          </cell>
          <cell r="BB14">
            <v>0.95899999999999996</v>
          </cell>
          <cell r="BC14">
            <v>1.6186845250483373</v>
          </cell>
          <cell r="BD14">
            <v>2.0629087371874986E-2</v>
          </cell>
          <cell r="BE14">
            <v>0</v>
          </cell>
          <cell r="BF14">
            <v>1.6393136124202123</v>
          </cell>
          <cell r="BG14">
            <v>1.5989413734118318</v>
          </cell>
          <cell r="BH14">
            <v>2.0629087371874986E-2</v>
          </cell>
          <cell r="BI14">
            <v>0</v>
          </cell>
          <cell r="BJ14">
            <v>1.6195704607837069</v>
          </cell>
          <cell r="BK14" t="str">
            <v>NA</v>
          </cell>
          <cell r="BL14" t="str">
            <v>NA</v>
          </cell>
          <cell r="BM14" t="str">
            <v>NA</v>
          </cell>
          <cell r="BN14" t="str">
            <v>NA</v>
          </cell>
          <cell r="BO14" t="str">
            <v>NA</v>
          </cell>
          <cell r="BP14" t="str">
            <v>NA</v>
          </cell>
          <cell r="BQ14" t="str">
            <v>NA</v>
          </cell>
          <cell r="BR14" t="str">
            <v>NA</v>
          </cell>
          <cell r="BS14" t="str">
            <v>NA</v>
          </cell>
          <cell r="BT14" t="str">
            <v>NA</v>
          </cell>
          <cell r="BU14" t="str">
            <v>NA</v>
          </cell>
          <cell r="BV14" t="str">
            <v>NA</v>
          </cell>
          <cell r="BW14" t="str">
            <v>NA</v>
          </cell>
          <cell r="BX14" t="str">
            <v>NA</v>
          </cell>
          <cell r="BY14" t="str">
            <v>NA</v>
          </cell>
          <cell r="BZ14" t="str">
            <v>NA</v>
          </cell>
          <cell r="CA14" t="str">
            <v>NA</v>
          </cell>
          <cell r="CB14" t="str">
            <v>NA</v>
          </cell>
          <cell r="CC14" t="str">
            <v>NA</v>
          </cell>
          <cell r="CD14" t="str">
            <v>NA</v>
          </cell>
          <cell r="CE14" t="str">
            <v>NA</v>
          </cell>
          <cell r="CF14" t="str">
            <v>NA</v>
          </cell>
          <cell r="CG14" t="str">
            <v>NA</v>
          </cell>
          <cell r="CH14" t="str">
            <v>NA</v>
          </cell>
          <cell r="CI14" t="str">
            <v>NA</v>
          </cell>
          <cell r="CJ14" t="str">
            <v>NA</v>
          </cell>
          <cell r="CK14" t="str">
            <v>NA</v>
          </cell>
          <cell r="CL14" t="str">
            <v>NA</v>
          </cell>
        </row>
        <row r="15">
          <cell r="B15" t="str">
            <v>Newspaper</v>
          </cell>
          <cell r="C15">
            <v>-4.7696249403476436</v>
          </cell>
          <cell r="D15">
            <v>-2.7478990031843069</v>
          </cell>
          <cell r="E15" t="str">
            <v>NA</v>
          </cell>
          <cell r="F15">
            <v>-0.58092279230304644</v>
          </cell>
          <cell r="G15">
            <v>-0.82264413148918125</v>
          </cell>
          <cell r="H15" t="str">
            <v>NA</v>
          </cell>
          <cell r="I15" t="str">
            <v>NA</v>
          </cell>
          <cell r="J15" t="str">
            <v>NA</v>
          </cell>
          <cell r="K15" t="str">
            <v>NA</v>
          </cell>
          <cell r="L15">
            <v>-1.8195823945423459</v>
          </cell>
          <cell r="M15">
            <v>-2.0075381307019105</v>
          </cell>
          <cell r="N15">
            <v>0</v>
          </cell>
          <cell r="O15">
            <v>-2.9500425458052981</v>
          </cell>
          <cell r="P15">
            <v>-3.8312240854614261</v>
          </cell>
          <cell r="Q15">
            <v>-4.7696249403476436</v>
          </cell>
          <cell r="R15">
            <v>-5.838762216163337</v>
          </cell>
          <cell r="S15">
            <v>0</v>
          </cell>
          <cell r="T15">
            <v>0</v>
          </cell>
          <cell r="U15">
            <v>-0.70146126084821792</v>
          </cell>
          <cell r="V15">
            <v>-3.0243649825003473E-2</v>
          </cell>
          <cell r="W15">
            <v>0</v>
          </cell>
          <cell r="X15">
            <v>-2.0161940925110855</v>
          </cell>
          <cell r="Y15">
            <v>-2.7478990031843069</v>
          </cell>
          <cell r="Z15">
            <v>0</v>
          </cell>
          <cell r="AA15" t="str">
            <v>NA</v>
          </cell>
          <cell r="AB15" t="str">
            <v>NA</v>
          </cell>
          <cell r="AC15" t="str">
            <v>NA</v>
          </cell>
          <cell r="AD15" t="str">
            <v>NA</v>
          </cell>
          <cell r="AE15" t="str">
            <v>NA</v>
          </cell>
          <cell r="AF15">
            <v>0</v>
          </cell>
          <cell r="AG15">
            <v>8.9994096820590931E-3</v>
          </cell>
          <cell r="AH15">
            <v>0</v>
          </cell>
          <cell r="AI15">
            <v>3.6666666666666667E-2</v>
          </cell>
          <cell r="AJ15">
            <v>-0.62658886865177221</v>
          </cell>
          <cell r="AK15">
            <v>0</v>
          </cell>
          <cell r="AL15">
            <v>-0.58092279230304644</v>
          </cell>
          <cell r="AM15">
            <v>0</v>
          </cell>
          <cell r="AN15">
            <v>2.0254519141196047E-2</v>
          </cell>
          <cell r="AO15">
            <v>0.39834510662673056</v>
          </cell>
          <cell r="AP15">
            <v>-4.7812100293957577E-2</v>
          </cell>
          <cell r="AQ15">
            <v>-1.1934316569631502</v>
          </cell>
          <cell r="AR15">
            <v>-0.82264413148918125</v>
          </cell>
          <cell r="AS15">
            <v>-3.9469808088584624</v>
          </cell>
          <cell r="AT15">
            <v>-5.0161180846741562</v>
          </cell>
          <cell r="AU15">
            <v>-1.9252548716951257</v>
          </cell>
          <cell r="AV15" t="str">
            <v>NA</v>
          </cell>
          <cell r="AW15">
            <v>0.24172133918613481</v>
          </cell>
          <cell r="AX15">
            <v>1.9509297065500428</v>
          </cell>
          <cell r="AY15">
            <v>5.6608424151867412E-2</v>
          </cell>
          <cell r="AZ15">
            <v>0</v>
          </cell>
          <cell r="BA15">
            <v>2.0075381307019105</v>
          </cell>
          <cell r="BB15">
            <v>0.77</v>
          </cell>
          <cell r="BC15">
            <v>1.7707427681450001</v>
          </cell>
          <cell r="BD15">
            <v>4.8839626397345737E-2</v>
          </cell>
          <cell r="BE15">
            <v>0</v>
          </cell>
          <cell r="BF15">
            <v>1.8195823945423459</v>
          </cell>
          <cell r="BG15">
            <v>1.16750823522377</v>
          </cell>
          <cell r="BH15">
            <v>2.2831042610468793E-2</v>
          </cell>
          <cell r="BI15">
            <v>0</v>
          </cell>
          <cell r="BJ15">
            <v>1.1903392778342388</v>
          </cell>
          <cell r="BK15" t="str">
            <v>NA</v>
          </cell>
          <cell r="BL15" t="str">
            <v>NA</v>
          </cell>
          <cell r="BM15" t="str">
            <v>NA</v>
          </cell>
          <cell r="BN15" t="str">
            <v>NA</v>
          </cell>
          <cell r="BO15" t="str">
            <v>NA</v>
          </cell>
          <cell r="BP15" t="str">
            <v>NA</v>
          </cell>
          <cell r="BQ15" t="str">
            <v>NA</v>
          </cell>
          <cell r="BR15" t="str">
            <v>NA</v>
          </cell>
          <cell r="BS15" t="str">
            <v>NA</v>
          </cell>
          <cell r="BT15" t="str">
            <v>NA</v>
          </cell>
          <cell r="BU15" t="str">
            <v>NA</v>
          </cell>
          <cell r="BV15" t="str">
            <v>NA</v>
          </cell>
          <cell r="BW15" t="str">
            <v>NA</v>
          </cell>
          <cell r="BX15" t="str">
            <v>NA</v>
          </cell>
          <cell r="BY15" t="str">
            <v>NA</v>
          </cell>
          <cell r="BZ15" t="str">
            <v>NA</v>
          </cell>
          <cell r="CA15" t="str">
            <v>NA</v>
          </cell>
          <cell r="CB15" t="str">
            <v>NA</v>
          </cell>
          <cell r="CC15" t="str">
            <v>NA</v>
          </cell>
          <cell r="CD15" t="str">
            <v>NA</v>
          </cell>
          <cell r="CE15" t="str">
            <v>NA</v>
          </cell>
          <cell r="CF15" t="str">
            <v>NA</v>
          </cell>
          <cell r="CG15" t="str">
            <v>NA</v>
          </cell>
          <cell r="CH15" t="str">
            <v>NA</v>
          </cell>
          <cell r="CI15" t="str">
            <v>NA</v>
          </cell>
          <cell r="CJ15" t="str">
            <v>NA</v>
          </cell>
          <cell r="CK15" t="str">
            <v>NA</v>
          </cell>
          <cell r="CL15" t="str">
            <v>NA</v>
          </cell>
        </row>
        <row r="16">
          <cell r="B16" t="str">
            <v>Office Paper</v>
          </cell>
          <cell r="C16">
            <v>-7.9695266743358184</v>
          </cell>
          <cell r="D16">
            <v>-2.8591915764677114</v>
          </cell>
          <cell r="E16" t="str">
            <v>NA</v>
          </cell>
          <cell r="F16">
            <v>-0.4902841509257459</v>
          </cell>
          <cell r="G16">
            <v>1.2187077558445616</v>
          </cell>
          <cell r="H16" t="str">
            <v>NA</v>
          </cell>
          <cell r="I16" t="str">
            <v>NA</v>
          </cell>
          <cell r="J16" t="str">
            <v>NA</v>
          </cell>
          <cell r="K16" t="str">
            <v>NA</v>
          </cell>
          <cell r="L16">
            <v>-1.0079908676794889</v>
          </cell>
          <cell r="M16">
            <v>-0.9944597564468497</v>
          </cell>
          <cell r="N16">
            <v>0</v>
          </cell>
          <cell r="O16">
            <v>-6.9615358066563298</v>
          </cell>
          <cell r="P16">
            <v>-7.2591614250848071</v>
          </cell>
          <cell r="Q16">
            <v>-7.9695266743358184</v>
          </cell>
          <cell r="R16">
            <v>-8.2536211815316562</v>
          </cell>
          <cell r="S16">
            <v>0</v>
          </cell>
          <cell r="T16">
            <v>0</v>
          </cell>
          <cell r="U16">
            <v>0.21293718649081236</v>
          </cell>
          <cell r="V16">
            <v>0</v>
          </cell>
          <cell r="W16">
            <v>-1.6002980625931449E-2</v>
          </cell>
          <cell r="X16">
            <v>-3.0561257823325922</v>
          </cell>
          <cell r="Y16">
            <v>-2.8591915764677114</v>
          </cell>
          <cell r="Z16">
            <v>0</v>
          </cell>
          <cell r="AA16" t="str">
            <v>NA</v>
          </cell>
          <cell r="AB16" t="str">
            <v>NA</v>
          </cell>
          <cell r="AC16" t="str">
            <v>NA</v>
          </cell>
          <cell r="AD16" t="str">
            <v>NA</v>
          </cell>
          <cell r="AE16" t="str">
            <v>NA</v>
          </cell>
          <cell r="AF16">
            <v>0</v>
          </cell>
          <cell r="AG16">
            <v>8.9994096820590931E-3</v>
          </cell>
          <cell r="AH16">
            <v>0</v>
          </cell>
          <cell r="AI16">
            <v>3.6666666666666667E-2</v>
          </cell>
          <cell r="AJ16">
            <v>-0.53595022727447172</v>
          </cell>
          <cell r="AK16">
            <v>0</v>
          </cell>
          <cell r="AL16">
            <v>-0.4902841509257459</v>
          </cell>
          <cell r="AM16">
            <v>0</v>
          </cell>
          <cell r="AN16">
            <v>2.0254519141196047E-2</v>
          </cell>
          <cell r="AO16">
            <v>1.4937700668199902</v>
          </cell>
          <cell r="AP16">
            <v>-0.17553518099615797</v>
          </cell>
          <cell r="AQ16">
            <v>-0.11978164912046663</v>
          </cell>
          <cell r="AR16">
            <v>1.2187077558445616</v>
          </cell>
          <cell r="AS16">
            <v>-9.1882344301803798</v>
          </cell>
          <cell r="AT16">
            <v>-9.4723289373762185</v>
          </cell>
          <cell r="AU16">
            <v>-4.0778993323122732</v>
          </cell>
          <cell r="AV16" t="str">
            <v>NA</v>
          </cell>
          <cell r="AW16">
            <v>-1.7089919067703074</v>
          </cell>
          <cell r="AX16">
            <v>0.94701248725679288</v>
          </cell>
          <cell r="AY16">
            <v>2.0629087371874986E-2</v>
          </cell>
          <cell r="AZ16">
            <v>2.6818181818181817E-2</v>
          </cell>
          <cell r="BA16">
            <v>0.9944597564468497</v>
          </cell>
          <cell r="BB16">
            <v>0.95899999999999996</v>
          </cell>
          <cell r="BC16">
            <v>0.96164314394397754</v>
          </cell>
          <cell r="BD16">
            <v>2.0629087371874986E-2</v>
          </cell>
          <cell r="BE16">
            <v>2.571863636363636E-2</v>
          </cell>
          <cell r="BF16">
            <v>1.0079908676794889</v>
          </cell>
          <cell r="BG16">
            <v>1.3038577723100773</v>
          </cell>
          <cell r="BH16">
            <v>2.0629087371874986E-2</v>
          </cell>
          <cell r="BI16">
            <v>0</v>
          </cell>
          <cell r="BJ16">
            <v>1.3244868596819523</v>
          </cell>
          <cell r="BK16" t="str">
            <v>NA</v>
          </cell>
          <cell r="BL16" t="str">
            <v>NA</v>
          </cell>
          <cell r="BM16" t="str">
            <v>NA</v>
          </cell>
          <cell r="BN16" t="str">
            <v>NA</v>
          </cell>
          <cell r="BO16" t="str">
            <v>NA</v>
          </cell>
          <cell r="BP16" t="str">
            <v>NA</v>
          </cell>
          <cell r="BQ16" t="str">
            <v>NA</v>
          </cell>
          <cell r="BR16" t="str">
            <v>NA</v>
          </cell>
          <cell r="BS16" t="str">
            <v>NA</v>
          </cell>
          <cell r="BT16" t="str">
            <v>NA</v>
          </cell>
          <cell r="BU16" t="str">
            <v>NA</v>
          </cell>
          <cell r="BV16" t="str">
            <v>NA</v>
          </cell>
          <cell r="BW16" t="str">
            <v>NA</v>
          </cell>
          <cell r="BX16" t="str">
            <v>NA</v>
          </cell>
          <cell r="BY16" t="str">
            <v>NA</v>
          </cell>
          <cell r="BZ16" t="str">
            <v>NA</v>
          </cell>
          <cell r="CA16" t="str">
            <v>NA</v>
          </cell>
          <cell r="CB16" t="str">
            <v>NA</v>
          </cell>
          <cell r="CC16" t="str">
            <v>NA</v>
          </cell>
          <cell r="CD16" t="str">
            <v>NA</v>
          </cell>
          <cell r="CE16" t="str">
            <v>NA</v>
          </cell>
          <cell r="CF16" t="str">
            <v>NA</v>
          </cell>
          <cell r="CG16" t="str">
            <v>NA</v>
          </cell>
          <cell r="CH16" t="str">
            <v>NA</v>
          </cell>
          <cell r="CI16" t="str">
            <v>NA</v>
          </cell>
          <cell r="CJ16" t="str">
            <v>NA</v>
          </cell>
          <cell r="CK16" t="str">
            <v>NA</v>
          </cell>
          <cell r="CL16" t="str">
            <v>NA</v>
          </cell>
        </row>
        <row r="17">
          <cell r="B17" t="str">
            <v>Phonebooks</v>
          </cell>
          <cell r="C17">
            <v>-6.2151324433540438</v>
          </cell>
          <cell r="D17">
            <v>-2.6355265343583718</v>
          </cell>
          <cell r="E17" t="str">
            <v>NA</v>
          </cell>
          <cell r="F17">
            <v>-0.58092279230304644</v>
          </cell>
          <cell r="G17">
            <v>-0.82264413148918125</v>
          </cell>
          <cell r="H17" t="str">
            <v>NA</v>
          </cell>
          <cell r="I17" t="str">
            <v>NA</v>
          </cell>
          <cell r="J17" t="str">
            <v>NA</v>
          </cell>
          <cell r="K17" t="str">
            <v>NA</v>
          </cell>
          <cell r="L17">
            <v>-2.3839083578926177</v>
          </cell>
          <cell r="M17">
            <v>-2.3839083578926177</v>
          </cell>
          <cell r="N17">
            <v>0</v>
          </cell>
          <cell r="O17">
            <v>-3.8312240854614261</v>
          </cell>
          <cell r="P17">
            <v>-3.8312240854614261</v>
          </cell>
          <cell r="Q17">
            <v>-6.2151324433540438</v>
          </cell>
          <cell r="R17">
            <v>-6.2151324433540438</v>
          </cell>
          <cell r="S17">
            <v>0</v>
          </cell>
          <cell r="T17">
            <v>0</v>
          </cell>
          <cell r="U17">
            <v>-0.61933244184728642</v>
          </cell>
          <cell r="V17">
            <v>0</v>
          </cell>
          <cell r="W17">
            <v>0</v>
          </cell>
          <cell r="X17">
            <v>-2.0161940925110855</v>
          </cell>
          <cell r="Y17">
            <v>-2.6355265343583718</v>
          </cell>
          <cell r="Z17">
            <v>0</v>
          </cell>
          <cell r="AA17" t="str">
            <v>NA</v>
          </cell>
          <cell r="AB17" t="str">
            <v>NA</v>
          </cell>
          <cell r="AC17" t="str">
            <v>NA</v>
          </cell>
          <cell r="AD17" t="str">
            <v>NA</v>
          </cell>
          <cell r="AE17" t="str">
            <v>NA</v>
          </cell>
          <cell r="AF17">
            <v>0</v>
          </cell>
          <cell r="AG17">
            <v>8.9994096820590931E-3</v>
          </cell>
          <cell r="AH17">
            <v>0</v>
          </cell>
          <cell r="AI17">
            <v>3.6666666666666667E-2</v>
          </cell>
          <cell r="AJ17">
            <v>-0.62658886865177221</v>
          </cell>
          <cell r="AK17">
            <v>0</v>
          </cell>
          <cell r="AL17">
            <v>-0.58092279230304644</v>
          </cell>
          <cell r="AM17">
            <v>0</v>
          </cell>
          <cell r="AN17">
            <v>2.0254519141196047E-2</v>
          </cell>
          <cell r="AO17">
            <v>0.39834510662673056</v>
          </cell>
          <cell r="AP17">
            <v>-4.7812100293957577E-2</v>
          </cell>
          <cell r="AQ17">
            <v>-1.1934316569631502</v>
          </cell>
          <cell r="AR17">
            <v>-0.82264413148918125</v>
          </cell>
          <cell r="AS17">
            <v>-5.392488311864863</v>
          </cell>
          <cell r="AT17">
            <v>-5.392488311864863</v>
          </cell>
          <cell r="AU17">
            <v>-1.8128824028691906</v>
          </cell>
          <cell r="AV17" t="str">
            <v>NA</v>
          </cell>
          <cell r="AW17">
            <v>0.24172133918613481</v>
          </cell>
          <cell r="AX17">
            <v>2.3400815808301907</v>
          </cell>
          <cell r="AY17">
            <v>4.3826777062427019E-2</v>
          </cell>
          <cell r="AZ17">
            <v>0</v>
          </cell>
          <cell r="BA17">
            <v>2.3839083578926177</v>
          </cell>
          <cell r="BB17">
            <v>1</v>
          </cell>
          <cell r="BC17">
            <v>2.3400815808301907</v>
          </cell>
          <cell r="BD17">
            <v>4.3826777062427019E-2</v>
          </cell>
          <cell r="BE17">
            <v>0</v>
          </cell>
          <cell r="BF17">
            <v>2.3839083578926177</v>
          </cell>
          <cell r="BG17">
            <v>1.4273811402131371</v>
          </cell>
          <cell r="BH17">
            <v>4.3826777062427019E-2</v>
          </cell>
          <cell r="BI17">
            <v>0</v>
          </cell>
          <cell r="BJ17">
            <v>1.4712079172755641</v>
          </cell>
          <cell r="BK17" t="str">
            <v>NA</v>
          </cell>
          <cell r="BL17" t="str">
            <v>NA</v>
          </cell>
          <cell r="BM17" t="str">
            <v>NA</v>
          </cell>
          <cell r="BN17" t="str">
            <v>NA</v>
          </cell>
          <cell r="BO17" t="str">
            <v>NA</v>
          </cell>
          <cell r="BP17" t="str">
            <v>NA</v>
          </cell>
          <cell r="BQ17" t="str">
            <v>NA</v>
          </cell>
          <cell r="BR17" t="str">
            <v>NA</v>
          </cell>
          <cell r="BS17" t="str">
            <v>NA</v>
          </cell>
          <cell r="BT17" t="str">
            <v>NA</v>
          </cell>
          <cell r="BU17" t="str">
            <v>NA</v>
          </cell>
          <cell r="BV17" t="str">
            <v>NA</v>
          </cell>
          <cell r="BW17" t="str">
            <v>NA</v>
          </cell>
          <cell r="BX17" t="str">
            <v>NA</v>
          </cell>
          <cell r="BY17" t="str">
            <v>NA</v>
          </cell>
          <cell r="BZ17" t="str">
            <v>NA</v>
          </cell>
          <cell r="CA17" t="str">
            <v>NA</v>
          </cell>
          <cell r="CB17" t="str">
            <v>NA</v>
          </cell>
          <cell r="CC17" t="str">
            <v>NA</v>
          </cell>
          <cell r="CD17" t="str">
            <v>NA</v>
          </cell>
          <cell r="CE17" t="str">
            <v>NA</v>
          </cell>
          <cell r="CF17" t="str">
            <v>NA</v>
          </cell>
          <cell r="CG17" t="str">
            <v>NA</v>
          </cell>
          <cell r="CH17" t="str">
            <v>NA</v>
          </cell>
          <cell r="CI17" t="str">
            <v>NA</v>
          </cell>
          <cell r="CJ17" t="str">
            <v>NA</v>
          </cell>
          <cell r="CK17" t="str">
            <v>NA</v>
          </cell>
          <cell r="CL17" t="str">
            <v>NA</v>
          </cell>
        </row>
        <row r="18">
          <cell r="B18" t="str">
            <v>Textbooks</v>
          </cell>
          <cell r="C18">
            <v>-9.0678482553751714</v>
          </cell>
          <cell r="D18">
            <v>-3.1059997534212043</v>
          </cell>
          <cell r="E18" t="str">
            <v>NA</v>
          </cell>
          <cell r="F18">
            <v>-0.4902841509257459</v>
          </cell>
          <cell r="G18">
            <v>1.2187077558445616</v>
          </cell>
          <cell r="H18" t="str">
            <v>NA</v>
          </cell>
          <cell r="I18" t="str">
            <v>NA</v>
          </cell>
          <cell r="J18" t="str">
            <v>NA</v>
          </cell>
          <cell r="K18" t="str">
            <v>NA</v>
          </cell>
          <cell r="L18">
            <v>-2.1063124487188425</v>
          </cell>
          <cell r="M18">
            <v>-2.1094119847747073</v>
          </cell>
          <cell r="N18">
            <v>0</v>
          </cell>
          <cell r="O18">
            <v>-6.9615358066563298</v>
          </cell>
          <cell r="P18">
            <v>-7.2591614250848071</v>
          </cell>
          <cell r="Q18">
            <v>-9.0678482553751714</v>
          </cell>
          <cell r="R18">
            <v>-9.3685734098595148</v>
          </cell>
          <cell r="S18">
            <v>0</v>
          </cell>
          <cell r="T18">
            <v>0</v>
          </cell>
          <cell r="U18">
            <v>-4.9873971088611857E-2</v>
          </cell>
          <cell r="V18">
            <v>0</v>
          </cell>
          <cell r="W18">
            <v>0</v>
          </cell>
          <cell r="X18">
            <v>-3.0561257823325922</v>
          </cell>
          <cell r="Y18">
            <v>-3.1059997534212043</v>
          </cell>
          <cell r="Z18">
            <v>0</v>
          </cell>
          <cell r="AA18" t="str">
            <v>NA</v>
          </cell>
          <cell r="AB18" t="str">
            <v>NA</v>
          </cell>
          <cell r="AC18" t="str">
            <v>NA</v>
          </cell>
          <cell r="AD18" t="str">
            <v>NA</v>
          </cell>
          <cell r="AE18" t="str">
            <v>NA</v>
          </cell>
          <cell r="AF18">
            <v>0</v>
          </cell>
          <cell r="AG18">
            <v>8.9994096820590931E-3</v>
          </cell>
          <cell r="AH18">
            <v>0</v>
          </cell>
          <cell r="AI18">
            <v>3.6666666666666667E-2</v>
          </cell>
          <cell r="AJ18">
            <v>-0.53595022727447172</v>
          </cell>
          <cell r="AK18">
            <v>0</v>
          </cell>
          <cell r="AL18">
            <v>-0.4902841509257459</v>
          </cell>
          <cell r="AM18">
            <v>0</v>
          </cell>
          <cell r="AN18">
            <v>2.0254519141196047E-2</v>
          </cell>
          <cell r="AO18">
            <v>1.4937700668199902</v>
          </cell>
          <cell r="AP18">
            <v>-0.17553518099615797</v>
          </cell>
          <cell r="AQ18">
            <v>-0.11978164912046663</v>
          </cell>
          <cell r="AR18">
            <v>1.2187077558445616</v>
          </cell>
          <cell r="AS18">
            <v>-10.286556011219734</v>
          </cell>
          <cell r="AT18">
            <v>-10.587281165704077</v>
          </cell>
          <cell r="AU18">
            <v>-4.3247075092657656</v>
          </cell>
          <cell r="AV18" t="str">
            <v>NA</v>
          </cell>
          <cell r="AW18">
            <v>-1.7089919067703074</v>
          </cell>
          <cell r="AX18">
            <v>2.0655852077122803</v>
          </cell>
          <cell r="AY18">
            <v>4.3826777062427019E-2</v>
          </cell>
          <cell r="AZ18">
            <v>0</v>
          </cell>
          <cell r="BA18">
            <v>2.1094119847747073</v>
          </cell>
          <cell r="BB18">
            <v>0.95899999999999996</v>
          </cell>
          <cell r="BC18">
            <v>2.0624856716564155</v>
          </cell>
          <cell r="BD18">
            <v>4.3826777062427019E-2</v>
          </cell>
          <cell r="BE18">
            <v>0</v>
          </cell>
          <cell r="BF18">
            <v>2.1063124487188425</v>
          </cell>
          <cell r="BG18">
            <v>1.9899867673253318</v>
          </cell>
          <cell r="BH18">
            <v>4.3826777062427019E-2</v>
          </cell>
          <cell r="BI18">
            <v>0</v>
          </cell>
          <cell r="BJ18">
            <v>2.0338135443877587</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row>
        <row r="19">
          <cell r="B19" t="str">
            <v>Dimensional Lumber</v>
          </cell>
          <cell r="C19">
            <v>-2.026026091003577</v>
          </cell>
          <cell r="D19">
            <v>-2.4616116917341553</v>
          </cell>
          <cell r="E19" t="str">
            <v>NA</v>
          </cell>
          <cell r="F19">
            <v>-0.60850846576570317</v>
          </cell>
          <cell r="G19">
            <v>-1.0127310259742781</v>
          </cell>
          <cell r="H19" t="str">
            <v>NA</v>
          </cell>
          <cell r="I19" t="str">
            <v>NA</v>
          </cell>
          <cell r="J19" t="str">
            <v>NA</v>
          </cell>
          <cell r="K19" t="str">
            <v>NA</v>
          </cell>
          <cell r="L19">
            <v>-0.18332331232821042</v>
          </cell>
          <cell r="M19">
            <v>-0.18332331232821042</v>
          </cell>
          <cell r="N19">
            <v>0</v>
          </cell>
          <cell r="O19">
            <v>-1.8427027786753665</v>
          </cell>
          <cell r="P19">
            <v>-1.8427027786753665</v>
          </cell>
          <cell r="Q19">
            <v>-2.026026091003577</v>
          </cell>
          <cell r="R19">
            <v>-2.026026091003577</v>
          </cell>
          <cell r="S19">
            <v>0</v>
          </cell>
          <cell r="T19">
            <v>0</v>
          </cell>
          <cell r="U19">
            <v>6.6974775860442384E-2</v>
          </cell>
          <cell r="V19">
            <v>5.3598431620800096E-3</v>
          </cell>
          <cell r="W19">
            <v>0</v>
          </cell>
          <cell r="X19">
            <v>-2.5339463107566775</v>
          </cell>
          <cell r="Y19">
            <v>-2.4616116917341553</v>
          </cell>
          <cell r="Z19">
            <v>0</v>
          </cell>
          <cell r="AA19" t="str">
            <v>NA</v>
          </cell>
          <cell r="AB19" t="str">
            <v>NA</v>
          </cell>
          <cell r="AC19" t="str">
            <v>NA</v>
          </cell>
          <cell r="AD19" t="str">
            <v>NA</v>
          </cell>
          <cell r="AE19" t="str">
            <v>NA</v>
          </cell>
          <cell r="AF19">
            <v>0</v>
          </cell>
          <cell r="AG19">
            <v>8.9994096820590931E-3</v>
          </cell>
          <cell r="AH19">
            <v>0</v>
          </cell>
          <cell r="AI19">
            <v>3.6666666666666667E-2</v>
          </cell>
          <cell r="AJ19">
            <v>-0.65417454211442894</v>
          </cell>
          <cell r="AK19">
            <v>0</v>
          </cell>
          <cell r="AL19">
            <v>-0.60850846576570317</v>
          </cell>
          <cell r="AM19">
            <v>0</v>
          </cell>
          <cell r="AN19">
            <v>2.0254519141196047E-2</v>
          </cell>
          <cell r="AO19">
            <v>6.3789982909666726E-2</v>
          </cell>
          <cell r="AP19">
            <v>-7.3978527418072934E-3</v>
          </cell>
          <cell r="AQ19">
            <v>-1.0893776752833335</v>
          </cell>
          <cell r="AR19">
            <v>-1.0127310259742781</v>
          </cell>
          <cell r="AS19">
            <v>-1.0132950650292989</v>
          </cell>
          <cell r="AT19">
            <v>-1.0132950650292989</v>
          </cell>
          <cell r="AU19">
            <v>-1.4488806657598772</v>
          </cell>
          <cell r="AV19" t="str">
            <v>NA</v>
          </cell>
          <cell r="AW19">
            <v>0.40422256020857494</v>
          </cell>
          <cell r="AX19">
            <v>9.8421358670047338E-2</v>
          </cell>
          <cell r="AY19">
            <v>8.4901953658163082E-2</v>
          </cell>
          <cell r="AZ19">
            <v>0</v>
          </cell>
          <cell r="BA19">
            <v>0.18332331232821042</v>
          </cell>
          <cell r="BB19">
            <v>1</v>
          </cell>
          <cell r="BC19">
            <v>9.8421358670047338E-2</v>
          </cell>
          <cell r="BD19">
            <v>8.4901953658163082E-2</v>
          </cell>
          <cell r="BE19">
            <v>0</v>
          </cell>
          <cell r="BF19">
            <v>0.18332331232821042</v>
          </cell>
          <cell r="BG19">
            <v>0.18214820117985128</v>
          </cell>
          <cell r="BH19">
            <v>9.1602427658163094E-2</v>
          </cell>
          <cell r="BI19">
            <v>0</v>
          </cell>
          <cell r="BJ19">
            <v>0.27375062883801438</v>
          </cell>
          <cell r="BK19" t="str">
            <v>NA</v>
          </cell>
          <cell r="BL19" t="str">
            <v>NA</v>
          </cell>
          <cell r="BM19" t="str">
            <v>NA</v>
          </cell>
          <cell r="BN19" t="str">
            <v>NA</v>
          </cell>
          <cell r="BO19" t="str">
            <v>NA</v>
          </cell>
          <cell r="BP19" t="str">
            <v>NA</v>
          </cell>
          <cell r="BQ19" t="str">
            <v>NA</v>
          </cell>
          <cell r="BR19" t="str">
            <v>NA</v>
          </cell>
          <cell r="BS19" t="str">
            <v>NA</v>
          </cell>
          <cell r="BT19" t="str">
            <v>NA</v>
          </cell>
          <cell r="BU19" t="str">
            <v>NA</v>
          </cell>
          <cell r="BV19" t="str">
            <v>NA</v>
          </cell>
          <cell r="BW19" t="str">
            <v>NA</v>
          </cell>
          <cell r="BX19" t="str">
            <v>NA</v>
          </cell>
          <cell r="BY19" t="str">
            <v>NA</v>
          </cell>
          <cell r="BZ19" t="str">
            <v>NA</v>
          </cell>
          <cell r="CA19" t="str">
            <v>NA</v>
          </cell>
          <cell r="CB19" t="str">
            <v>NA</v>
          </cell>
          <cell r="CC19" t="str">
            <v>NA</v>
          </cell>
          <cell r="CD19" t="str">
            <v>NA</v>
          </cell>
          <cell r="CE19" t="str">
            <v>NA</v>
          </cell>
          <cell r="CF19" t="str">
            <v>NA</v>
          </cell>
          <cell r="CG19" t="str">
            <v>NA</v>
          </cell>
          <cell r="CH19" t="str">
            <v>NA</v>
          </cell>
          <cell r="CI19" t="str">
            <v>NA</v>
          </cell>
          <cell r="CJ19" t="str">
            <v>NA</v>
          </cell>
          <cell r="CK19" t="str">
            <v>NA</v>
          </cell>
          <cell r="CL19" t="str">
            <v>NA</v>
          </cell>
        </row>
        <row r="20">
          <cell r="B20" t="str">
            <v>Medium-density Fiberboard</v>
          </cell>
          <cell r="C20">
            <v>-2.2336449635394291</v>
          </cell>
          <cell r="D20">
            <v>-2.4706339028973177</v>
          </cell>
          <cell r="E20" t="str">
            <v>NA</v>
          </cell>
          <cell r="F20">
            <v>-0.60850846576570317</v>
          </cell>
          <cell r="G20">
            <v>-0.88432757384374783</v>
          </cell>
          <cell r="H20" t="str">
            <v>NA</v>
          </cell>
          <cell r="I20" t="str">
            <v>NA</v>
          </cell>
          <cell r="J20" t="str">
            <v>NA</v>
          </cell>
          <cell r="K20" t="str">
            <v>NA</v>
          </cell>
          <cell r="L20">
            <v>-0.39094218486406251</v>
          </cell>
          <cell r="M20">
            <v>-0.39094218486406251</v>
          </cell>
          <cell r="N20">
            <v>0</v>
          </cell>
          <cell r="O20">
            <v>-1.8427027786753665</v>
          </cell>
          <cell r="P20">
            <v>-1.8427027786753665</v>
          </cell>
          <cell r="Q20">
            <v>-2.2336449635394291</v>
          </cell>
          <cell r="R20">
            <v>-2.2336449635394291</v>
          </cell>
          <cell r="S20">
            <v>0</v>
          </cell>
          <cell r="T20">
            <v>0</v>
          </cell>
          <cell r="U20">
            <v>4.8067026149999963E-2</v>
          </cell>
          <cell r="V20">
            <v>1.5245381709360038E-2</v>
          </cell>
          <cell r="W20">
            <v>0</v>
          </cell>
          <cell r="X20">
            <v>-2.5339463107566775</v>
          </cell>
          <cell r="Y20">
            <v>-2.4706339028973177</v>
          </cell>
          <cell r="Z20">
            <v>0</v>
          </cell>
          <cell r="AA20" t="str">
            <v>NA</v>
          </cell>
          <cell r="AB20" t="str">
            <v>NA</v>
          </cell>
          <cell r="AC20" t="str">
            <v>NA</v>
          </cell>
          <cell r="AD20" t="str">
            <v>NA</v>
          </cell>
          <cell r="AE20" t="str">
            <v>NA</v>
          </cell>
          <cell r="AF20">
            <v>0</v>
          </cell>
          <cell r="AG20">
            <v>8.9994096820590931E-3</v>
          </cell>
          <cell r="AH20">
            <v>0</v>
          </cell>
          <cell r="AI20">
            <v>3.6666666666666667E-2</v>
          </cell>
          <cell r="AJ20">
            <v>-0.65417454211442894</v>
          </cell>
          <cell r="AK20">
            <v>0</v>
          </cell>
          <cell r="AL20">
            <v>-0.60850846576570317</v>
          </cell>
          <cell r="AM20">
            <v>0</v>
          </cell>
          <cell r="AN20">
            <v>2.0254519141196047E-2</v>
          </cell>
          <cell r="AO20">
            <v>2.102935133628455E-2</v>
          </cell>
          <cell r="AP20">
            <v>-2.5509713712284438E-3</v>
          </cell>
          <cell r="AQ20">
            <v>-0.92306047294999993</v>
          </cell>
          <cell r="AR20">
            <v>-0.88432757384374783</v>
          </cell>
          <cell r="AS20">
            <v>-1.3493173896956812</v>
          </cell>
          <cell r="AT20">
            <v>-1.3493173896956812</v>
          </cell>
          <cell r="AU20">
            <v>-1.5863063290535697</v>
          </cell>
          <cell r="AV20" t="str">
            <v>NA</v>
          </cell>
          <cell r="AW20">
            <v>0.27581910807804466</v>
          </cell>
          <cell r="AX20">
            <v>0.2614728973226505</v>
          </cell>
          <cell r="AY20">
            <v>0.12848746935959382</v>
          </cell>
          <cell r="AZ20">
            <v>9.8181818181818179E-4</v>
          </cell>
          <cell r="BA20">
            <v>0.39094218486406251</v>
          </cell>
          <cell r="BB20">
            <v>1</v>
          </cell>
          <cell r="BC20">
            <v>0.2614728973226505</v>
          </cell>
          <cell r="BD20">
            <v>0.12848746935959382</v>
          </cell>
          <cell r="BE20">
            <v>9.8181818181818179E-4</v>
          </cell>
          <cell r="BF20">
            <v>0.39094218486406251</v>
          </cell>
          <cell r="BG20">
            <v>0.32156268898931711</v>
          </cell>
          <cell r="BH20">
            <v>0.14754610235959387</v>
          </cell>
          <cell r="BI20">
            <v>9.8181818181818179E-4</v>
          </cell>
          <cell r="BJ20">
            <v>0.47009060953072918</v>
          </cell>
          <cell r="BK20" t="str">
            <v>NA</v>
          </cell>
          <cell r="BL20" t="str">
            <v>NA</v>
          </cell>
          <cell r="BM20" t="str">
            <v>NA</v>
          </cell>
          <cell r="BN20" t="str">
            <v>NA</v>
          </cell>
          <cell r="BO20" t="str">
            <v>NA</v>
          </cell>
          <cell r="BP20" t="str">
            <v>NA</v>
          </cell>
          <cell r="BQ20" t="str">
            <v>NA</v>
          </cell>
          <cell r="BR20" t="str">
            <v>NA</v>
          </cell>
          <cell r="BS20" t="str">
            <v>NA</v>
          </cell>
          <cell r="BT20" t="str">
            <v>NA</v>
          </cell>
          <cell r="BU20" t="str">
            <v>NA</v>
          </cell>
          <cell r="BV20" t="str">
            <v>NA</v>
          </cell>
          <cell r="BW20" t="str">
            <v>NA</v>
          </cell>
          <cell r="BX20" t="str">
            <v>NA</v>
          </cell>
          <cell r="BY20" t="str">
            <v>NA</v>
          </cell>
          <cell r="BZ20" t="str">
            <v>NA</v>
          </cell>
          <cell r="CA20" t="str">
            <v>NA</v>
          </cell>
          <cell r="CB20" t="str">
            <v>NA</v>
          </cell>
          <cell r="CC20" t="str">
            <v>NA</v>
          </cell>
          <cell r="CD20" t="str">
            <v>NA</v>
          </cell>
          <cell r="CE20" t="str">
            <v>NA</v>
          </cell>
          <cell r="CF20" t="str">
            <v>NA</v>
          </cell>
          <cell r="CG20" t="str">
            <v>NA</v>
          </cell>
          <cell r="CH20" t="str">
            <v>NA</v>
          </cell>
          <cell r="CI20" t="str">
            <v>NA</v>
          </cell>
          <cell r="CJ20" t="str">
            <v>NA</v>
          </cell>
          <cell r="CK20" t="str">
            <v>NA</v>
          </cell>
          <cell r="CL20" t="str">
            <v>NA</v>
          </cell>
        </row>
        <row r="21">
          <cell r="B21" t="str">
            <v>Food Waste (inactive)</v>
          </cell>
        </row>
        <row r="22">
          <cell r="B22" t="str">
            <v>Yard Trimmings</v>
          </cell>
          <cell r="C22" t="str">
            <v>NA</v>
          </cell>
          <cell r="D22" t="str">
            <v>NA</v>
          </cell>
          <cell r="E22">
            <v>-0.14631201959602991</v>
          </cell>
          <cell r="F22">
            <v>-0.1750193113525273</v>
          </cell>
          <cell r="G22">
            <v>-0.17981189253887786</v>
          </cell>
          <cell r="H22" t="str">
            <v>NA</v>
          </cell>
          <cell r="I22" t="str">
            <v>NA</v>
          </cell>
          <cell r="J22">
            <v>-9.0925961004194131E-2</v>
          </cell>
          <cell r="K22">
            <v>-0.34700559273047737</v>
          </cell>
          <cell r="L22" t="str">
            <v>NA</v>
          </cell>
          <cell r="M22" t="str">
            <v>NA</v>
          </cell>
          <cell r="N22" t="str">
            <v>NA</v>
          </cell>
          <cell r="O22" t="str">
            <v>NA</v>
          </cell>
          <cell r="P22" t="str">
            <v>NA</v>
          </cell>
          <cell r="Q22" t="str">
            <v>NA</v>
          </cell>
          <cell r="R22" t="str">
            <v>NA</v>
          </cell>
          <cell r="S22" t="str">
            <v>NA</v>
          </cell>
          <cell r="T22" t="str">
            <v>NA</v>
          </cell>
          <cell r="U22" t="str">
            <v>NA</v>
          </cell>
          <cell r="V22" t="str">
            <v>NA</v>
          </cell>
          <cell r="W22" t="str">
            <v>NA</v>
          </cell>
          <cell r="X22" t="str">
            <v>NA</v>
          </cell>
          <cell r="Y22" t="str">
            <v>NA</v>
          </cell>
          <cell r="Z22" t="str">
            <v>NA</v>
          </cell>
          <cell r="AA22">
            <v>1.9533937541226856E-2</v>
          </cell>
          <cell r="AB22">
            <v>0</v>
          </cell>
          <cell r="AC22">
            <v>7.4800000000000005E-2</v>
          </cell>
          <cell r="AD22">
            <v>-0.24064595713725678</v>
          </cell>
          <cell r="AE22">
            <v>-0.14631201959602991</v>
          </cell>
          <cell r="AF22">
            <v>0</v>
          </cell>
          <cell r="AG22">
            <v>8.9994096820590931E-3</v>
          </cell>
          <cell r="AH22">
            <v>0</v>
          </cell>
          <cell r="AI22">
            <v>3.6666666666666667E-2</v>
          </cell>
          <cell r="AJ22">
            <v>-0.22068538770125307</v>
          </cell>
          <cell r="AK22">
            <v>0</v>
          </cell>
          <cell r="AL22">
            <v>-0.1750193113525273</v>
          </cell>
          <cell r="AM22">
            <v>0</v>
          </cell>
          <cell r="AN22">
            <v>2.0254519141196047E-2</v>
          </cell>
          <cell r="AO22">
            <v>0.36445024602110193</v>
          </cell>
          <cell r="AP22">
            <v>-2.9050108928892399E-2</v>
          </cell>
          <cell r="AQ22">
            <v>-0.53546654877228339</v>
          </cell>
          <cell r="AR22">
            <v>-0.17981189253887786</v>
          </cell>
          <cell r="AS22" t="str">
            <v>NA</v>
          </cell>
          <cell r="AT22" t="str">
            <v>NA</v>
          </cell>
          <cell r="AU22" t="str">
            <v>NA</v>
          </cell>
          <cell r="AV22">
            <v>3.3499872942847952E-2</v>
          </cell>
          <cell r="AW22">
            <v>4.7925811863505641E-3</v>
          </cell>
          <cell r="AX22" t="str">
            <v>NA</v>
          </cell>
          <cell r="AY22" t="str">
            <v>NA</v>
          </cell>
          <cell r="AZ22" t="str">
            <v>NA</v>
          </cell>
          <cell r="BA22" t="str">
            <v>NA</v>
          </cell>
          <cell r="BB22" t="str">
            <v>NA</v>
          </cell>
          <cell r="BC22" t="str">
            <v>NA</v>
          </cell>
          <cell r="BD22" t="str">
            <v>NA</v>
          </cell>
          <cell r="BE22" t="str">
            <v>NA</v>
          </cell>
          <cell r="BF22" t="str">
            <v>NA</v>
          </cell>
          <cell r="BG22" t="str">
            <v>NA</v>
          </cell>
          <cell r="BH22" t="str">
            <v>NA</v>
          </cell>
          <cell r="BI22" t="str">
            <v>NA</v>
          </cell>
          <cell r="BJ22" t="str">
            <v>NA</v>
          </cell>
          <cell r="BK22" t="str">
            <v>NA</v>
          </cell>
          <cell r="BL22" t="str">
            <v>NA</v>
          </cell>
          <cell r="BM22" t="str">
            <v>NA</v>
          </cell>
          <cell r="BN22" t="str">
            <v>NA</v>
          </cell>
          <cell r="BO22" t="str">
            <v>NA</v>
          </cell>
          <cell r="BP22" t="str">
            <v>NA</v>
          </cell>
          <cell r="BQ22" t="str">
            <v>NA</v>
          </cell>
          <cell r="BR22" t="str">
            <v>NA</v>
          </cell>
          <cell r="BS22" t="str">
            <v>NA</v>
          </cell>
          <cell r="BT22" t="str">
            <v>NA</v>
          </cell>
          <cell r="BU22" t="str">
            <v>NA</v>
          </cell>
          <cell r="BV22" t="str">
            <v>NA</v>
          </cell>
          <cell r="BW22" t="str">
            <v>NA</v>
          </cell>
          <cell r="BX22" t="str">
            <v>NA</v>
          </cell>
          <cell r="BY22">
            <v>2.1111375493897976E-2</v>
          </cell>
          <cell r="BZ22">
            <v>-4.1668593923920992E-2</v>
          </cell>
          <cell r="CA22">
            <v>-7.2450845698958976E-3</v>
          </cell>
          <cell r="CB22">
            <v>-0.15902910253082789</v>
          </cell>
          <cell r="CC22">
            <v>9.2621357351977907E-2</v>
          </cell>
          <cell r="CD22">
            <v>3.2840871745747425E-3</v>
          </cell>
          <cell r="CE22">
            <v>-9.0925961004194131E-2</v>
          </cell>
          <cell r="CF22">
            <v>1.9916432838431062E-2</v>
          </cell>
          <cell r="CG22">
            <v>-4.2200236702853118E-2</v>
          </cell>
          <cell r="CH22">
            <v>-1.0829832626854781E-2</v>
          </cell>
          <cell r="CI22">
            <v>-0.37864072031149498</v>
          </cell>
          <cell r="CJ22">
            <v>6.1464676897719742E-2</v>
          </cell>
          <cell r="CK22">
            <v>3.2840871745747425E-3</v>
          </cell>
          <cell r="CL22">
            <v>-0.34700559273047737</v>
          </cell>
        </row>
        <row r="23">
          <cell r="B23" t="str">
            <v>Grass</v>
          </cell>
          <cell r="C23" t="str">
            <v>NA</v>
          </cell>
          <cell r="D23" t="str">
            <v>NA</v>
          </cell>
          <cell r="E23">
            <v>-0.14631201959602991</v>
          </cell>
          <cell r="F23">
            <v>-0.1750193113525273</v>
          </cell>
          <cell r="G23">
            <v>0.13127410708402124</v>
          </cell>
          <cell r="H23" t="str">
            <v>NA</v>
          </cell>
          <cell r="I23" t="str">
            <v>NA</v>
          </cell>
          <cell r="J23">
            <v>2.8825209169746008E-3</v>
          </cell>
          <cell r="K23">
            <v>-6.3666380821687338E-2</v>
          </cell>
          <cell r="L23" t="str">
            <v>NA</v>
          </cell>
          <cell r="M23" t="str">
            <v>NA</v>
          </cell>
          <cell r="N23" t="str">
            <v>NA</v>
          </cell>
          <cell r="O23" t="str">
            <v>NA</v>
          </cell>
          <cell r="P23" t="str">
            <v>NA</v>
          </cell>
          <cell r="Q23" t="str">
            <v>NA</v>
          </cell>
          <cell r="R23" t="str">
            <v>NA</v>
          </cell>
          <cell r="S23" t="str">
            <v>NA</v>
          </cell>
          <cell r="T23" t="str">
            <v>NA</v>
          </cell>
          <cell r="U23" t="str">
            <v>NA</v>
          </cell>
          <cell r="V23" t="str">
            <v>NA</v>
          </cell>
          <cell r="W23" t="str">
            <v>NA</v>
          </cell>
          <cell r="X23" t="str">
            <v>NA</v>
          </cell>
          <cell r="Y23" t="str">
            <v>NA</v>
          </cell>
          <cell r="Z23" t="str">
            <v>NA</v>
          </cell>
          <cell r="AA23">
            <v>1.9533937541226856E-2</v>
          </cell>
          <cell r="AB23">
            <v>0</v>
          </cell>
          <cell r="AC23">
            <v>7.4800000000000005E-2</v>
          </cell>
          <cell r="AD23">
            <v>-0.24064595713725678</v>
          </cell>
          <cell r="AE23">
            <v>-0.14631201959602991</v>
          </cell>
          <cell r="AF23">
            <v>0</v>
          </cell>
          <cell r="AG23">
            <v>8.9994096820590931E-3</v>
          </cell>
          <cell r="AH23">
            <v>0</v>
          </cell>
          <cell r="AI23">
            <v>3.6666666666666667E-2</v>
          </cell>
          <cell r="AJ23">
            <v>-0.22068538770125307</v>
          </cell>
          <cell r="AK23">
            <v>0</v>
          </cell>
          <cell r="AL23">
            <v>-0.1750193113525273</v>
          </cell>
          <cell r="AM23">
            <v>0</v>
          </cell>
          <cell r="AN23">
            <v>2.0254519141196047E-2</v>
          </cell>
          <cell r="AO23">
            <v>0.27285713169572445</v>
          </cell>
          <cell r="AP23">
            <v>-1.813948093689919E-2</v>
          </cell>
          <cell r="AQ23">
            <v>-0.14369806281600003</v>
          </cell>
          <cell r="AR23">
            <v>0.13127410708402124</v>
          </cell>
          <cell r="AS23" t="str">
            <v>NA</v>
          </cell>
          <cell r="AT23" t="str">
            <v>NA</v>
          </cell>
          <cell r="AU23" t="str">
            <v>NA</v>
          </cell>
          <cell r="AV23">
            <v>-0.27758612668005112</v>
          </cell>
          <cell r="AW23">
            <v>-0.30629341843654856</v>
          </cell>
          <cell r="AX23" t="str">
            <v>NA</v>
          </cell>
          <cell r="AY23" t="str">
            <v>NA</v>
          </cell>
          <cell r="AZ23" t="str">
            <v>NA</v>
          </cell>
          <cell r="BA23" t="str">
            <v>NA</v>
          </cell>
          <cell r="BB23" t="str">
            <v>NA</v>
          </cell>
          <cell r="BC23" t="str">
            <v>NA</v>
          </cell>
          <cell r="BD23" t="str">
            <v>NA</v>
          </cell>
          <cell r="BE23" t="str">
            <v>NA</v>
          </cell>
          <cell r="BF23" t="str">
            <v>NA</v>
          </cell>
          <cell r="BG23" t="str">
            <v>NA</v>
          </cell>
          <cell r="BH23" t="str">
            <v>NA</v>
          </cell>
          <cell r="BI23" t="str">
            <v>NA</v>
          </cell>
          <cell r="BJ23" t="str">
            <v>NA</v>
          </cell>
          <cell r="BK23" t="str">
            <v>NA</v>
          </cell>
          <cell r="BL23" t="str">
            <v>NA</v>
          </cell>
          <cell r="BM23" t="str">
            <v>NA</v>
          </cell>
          <cell r="BN23" t="str">
            <v>NA</v>
          </cell>
          <cell r="BO23" t="str">
            <v>NA</v>
          </cell>
          <cell r="BP23" t="str">
            <v>NA</v>
          </cell>
          <cell r="BQ23" t="str">
            <v>NA</v>
          </cell>
          <cell r="BR23" t="str">
            <v>NA</v>
          </cell>
          <cell r="BS23" t="str">
            <v>NA</v>
          </cell>
          <cell r="BT23" t="str">
            <v>NA</v>
          </cell>
          <cell r="BU23" t="str">
            <v>NA</v>
          </cell>
          <cell r="BV23" t="str">
            <v>NA</v>
          </cell>
          <cell r="BW23" t="str">
            <v>NA</v>
          </cell>
          <cell r="BX23" t="str">
            <v>NA</v>
          </cell>
          <cell r="BY23">
            <v>1.9040208306893819E-2</v>
          </cell>
          <cell r="BZ23">
            <v>-4.049294246727337E-2</v>
          </cell>
          <cell r="CA23">
            <v>-6.1735000018218918E-3</v>
          </cell>
          <cell r="CB23">
            <v>-4.0049756812743156E-2</v>
          </cell>
          <cell r="CC23">
            <v>6.7274424717344461E-2</v>
          </cell>
          <cell r="CD23">
            <v>3.2840871745747425E-3</v>
          </cell>
          <cell r="CE23">
            <v>2.8825209169746008E-3</v>
          </cell>
          <cell r="CF23">
            <v>1.8734177796462737E-2</v>
          </cell>
          <cell r="CG23">
            <v>-4.0628589962895492E-2</v>
          </cell>
          <cell r="CH23">
            <v>-9.6738842233756832E-3</v>
          </cell>
          <cell r="CI23">
            <v>-9.5356563839864669E-2</v>
          </cell>
          <cell r="CJ23">
            <v>5.9974392233411021E-2</v>
          </cell>
          <cell r="CK23">
            <v>3.2840871745747425E-3</v>
          </cell>
          <cell r="CL23">
            <v>-6.3666380821687338E-2</v>
          </cell>
        </row>
        <row r="24">
          <cell r="B24" t="str">
            <v>Leaves</v>
          </cell>
          <cell r="C24" t="str">
            <v>NA</v>
          </cell>
          <cell r="D24" t="str">
            <v>NA</v>
          </cell>
          <cell r="E24">
            <v>-0.14631201959602991</v>
          </cell>
          <cell r="F24">
            <v>-0.1750193113525273</v>
          </cell>
          <cell r="G24">
            <v>-0.5153890086627575</v>
          </cell>
          <cell r="H24" t="str">
            <v>NA</v>
          </cell>
          <cell r="I24" t="str">
            <v>NA</v>
          </cell>
          <cell r="J24">
            <v>-0.1430697083954236</v>
          </cell>
          <cell r="K24">
            <v>-0.53235379922668236</v>
          </cell>
          <cell r="L24" t="str">
            <v>NA</v>
          </cell>
          <cell r="M24" t="str">
            <v>NA</v>
          </cell>
          <cell r="N24" t="str">
            <v>NA</v>
          </cell>
          <cell r="O24" t="str">
            <v>NA</v>
          </cell>
          <cell r="P24" t="str">
            <v>NA</v>
          </cell>
          <cell r="Q24" t="str">
            <v>NA</v>
          </cell>
          <cell r="R24" t="str">
            <v>NA</v>
          </cell>
          <cell r="S24" t="str">
            <v>NA</v>
          </cell>
          <cell r="T24" t="str">
            <v>NA</v>
          </cell>
          <cell r="U24" t="str">
            <v>NA</v>
          </cell>
          <cell r="V24" t="str">
            <v>NA</v>
          </cell>
          <cell r="W24" t="str">
            <v>NA</v>
          </cell>
          <cell r="X24" t="str">
            <v>NA</v>
          </cell>
          <cell r="Y24" t="str">
            <v>NA</v>
          </cell>
          <cell r="Z24" t="str">
            <v>NA</v>
          </cell>
          <cell r="AA24">
            <v>1.9533937541226856E-2</v>
          </cell>
          <cell r="AB24">
            <v>0</v>
          </cell>
          <cell r="AC24">
            <v>7.4800000000000005E-2</v>
          </cell>
          <cell r="AD24">
            <v>-0.24064595713725678</v>
          </cell>
          <cell r="AE24">
            <v>-0.14631201959602991</v>
          </cell>
          <cell r="AF24">
            <v>0</v>
          </cell>
          <cell r="AG24">
            <v>8.9994096820590931E-3</v>
          </cell>
          <cell r="AH24">
            <v>0</v>
          </cell>
          <cell r="AI24">
            <v>3.6666666666666667E-2</v>
          </cell>
          <cell r="AJ24">
            <v>-0.22068538770125307</v>
          </cell>
          <cell r="AK24">
            <v>0</v>
          </cell>
          <cell r="AL24">
            <v>-0.1750193113525273</v>
          </cell>
          <cell r="AM24">
            <v>0</v>
          </cell>
          <cell r="AN24">
            <v>2.0254519141196047E-2</v>
          </cell>
          <cell r="AO24">
            <v>0.28062544588538374</v>
          </cell>
          <cell r="AP24">
            <v>-2.4831934665937319E-2</v>
          </cell>
          <cell r="AQ24">
            <v>-0.79143703902340001</v>
          </cell>
          <cell r="AR24">
            <v>-0.5153890086627575</v>
          </cell>
          <cell r="AS24" t="str">
            <v>NA</v>
          </cell>
          <cell r="AT24" t="str">
            <v>NA</v>
          </cell>
          <cell r="AU24" t="str">
            <v>NA</v>
          </cell>
          <cell r="AV24">
            <v>0.36907698906672759</v>
          </cell>
          <cell r="AW24">
            <v>0.3403696973102302</v>
          </cell>
          <cell r="AX24" t="str">
            <v>NA</v>
          </cell>
          <cell r="AY24" t="str">
            <v>NA</v>
          </cell>
          <cell r="AZ24" t="str">
            <v>NA</v>
          </cell>
          <cell r="BA24" t="str">
            <v>NA</v>
          </cell>
          <cell r="BB24" t="str">
            <v>NA</v>
          </cell>
          <cell r="BC24" t="str">
            <v>NA</v>
          </cell>
          <cell r="BD24" t="str">
            <v>NA</v>
          </cell>
          <cell r="BE24" t="str">
            <v>NA</v>
          </cell>
          <cell r="BF24" t="str">
            <v>NA</v>
          </cell>
          <cell r="BG24" t="str">
            <v>NA</v>
          </cell>
          <cell r="BH24" t="str">
            <v>NA</v>
          </cell>
          <cell r="BI24" t="str">
            <v>NA</v>
          </cell>
          <cell r="BJ24" t="str">
            <v>NA</v>
          </cell>
          <cell r="BK24" t="str">
            <v>NA</v>
          </cell>
          <cell r="BL24" t="str">
            <v>NA</v>
          </cell>
          <cell r="BM24" t="str">
            <v>NA</v>
          </cell>
          <cell r="BN24" t="str">
            <v>NA</v>
          </cell>
          <cell r="BO24" t="str">
            <v>NA</v>
          </cell>
          <cell r="BP24" t="str">
            <v>NA</v>
          </cell>
          <cell r="BQ24" t="str">
            <v>NA</v>
          </cell>
          <cell r="BR24" t="str">
            <v>NA</v>
          </cell>
          <cell r="BS24" t="str">
            <v>NA</v>
          </cell>
          <cell r="BT24" t="str">
            <v>NA</v>
          </cell>
          <cell r="BU24" t="str">
            <v>NA</v>
          </cell>
          <cell r="BV24" t="str">
            <v>NA</v>
          </cell>
          <cell r="BW24" t="str">
            <v>NA</v>
          </cell>
          <cell r="BX24" t="str">
            <v>NA</v>
          </cell>
          <cell r="BY24">
            <v>2.2682675448423645E-2</v>
          </cell>
          <cell r="BZ24">
            <v>-2.3322320592509074E-2</v>
          </cell>
          <cell r="CA24">
            <v>-7.7671911402415923E-3</v>
          </cell>
          <cell r="CB24">
            <v>-0.24267763396763903</v>
          </cell>
          <cell r="CC24">
            <v>0.10473067468196773</v>
          </cell>
          <cell r="CD24">
            <v>3.2840871745747425E-3</v>
          </cell>
          <cell r="CE24">
            <v>-0.1430697083954236</v>
          </cell>
          <cell r="CF24">
            <v>2.0806059737245548E-2</v>
          </cell>
          <cell r="CG24">
            <v>-2.4151943116361319E-2</v>
          </cell>
          <cell r="CH24">
            <v>-1.1257280114084929E-2</v>
          </cell>
          <cell r="CI24">
            <v>-0.57780389039914049</v>
          </cell>
          <cell r="CJ24">
            <v>5.6769167491084085E-2</v>
          </cell>
          <cell r="CK24">
            <v>3.2840871745747425E-3</v>
          </cell>
          <cell r="CL24">
            <v>-0.53235379922668236</v>
          </cell>
        </row>
        <row r="25">
          <cell r="B25" t="str">
            <v>Branches</v>
          </cell>
          <cell r="C25" t="str">
            <v>NA</v>
          </cell>
          <cell r="D25" t="str">
            <v>NA</v>
          </cell>
          <cell r="E25">
            <v>-0.14631201959602991</v>
          </cell>
          <cell r="F25">
            <v>-0.1750193113525273</v>
          </cell>
          <cell r="G25">
            <v>-0.50795932605800542</v>
          </cell>
          <cell r="H25" t="str">
            <v>NA</v>
          </cell>
          <cell r="I25" t="str">
            <v>NA</v>
          </cell>
          <cell r="J25">
            <v>-0.22639917745530225</v>
          </cell>
          <cell r="K25">
            <v>-0.72833581005185222</v>
          </cell>
          <cell r="L25" t="str">
            <v>NA</v>
          </cell>
          <cell r="M25" t="str">
            <v>NA</v>
          </cell>
          <cell r="N25" t="str">
            <v>NA</v>
          </cell>
          <cell r="O25" t="str">
            <v>NA</v>
          </cell>
          <cell r="P25" t="str">
            <v>NA</v>
          </cell>
          <cell r="Q25" t="str">
            <v>NA</v>
          </cell>
          <cell r="R25" t="str">
            <v>NA</v>
          </cell>
          <cell r="S25" t="str">
            <v>NA</v>
          </cell>
          <cell r="T25" t="str">
            <v>NA</v>
          </cell>
          <cell r="U25" t="str">
            <v>NA</v>
          </cell>
          <cell r="V25" t="str">
            <v>NA</v>
          </cell>
          <cell r="W25" t="str">
            <v>NA</v>
          </cell>
          <cell r="X25" t="str">
            <v>NA</v>
          </cell>
          <cell r="Y25" t="str">
            <v>NA</v>
          </cell>
          <cell r="Z25" t="str">
            <v>NA</v>
          </cell>
          <cell r="AA25">
            <v>1.9533937541226856E-2</v>
          </cell>
          <cell r="AB25">
            <v>0</v>
          </cell>
          <cell r="AC25">
            <v>7.4800000000000005E-2</v>
          </cell>
          <cell r="AD25">
            <v>-0.24064595713725678</v>
          </cell>
          <cell r="AE25">
            <v>-0.14631201959602991</v>
          </cell>
          <cell r="AF25">
            <v>0</v>
          </cell>
          <cell r="AG25">
            <v>8.9994096820590931E-3</v>
          </cell>
          <cell r="AH25">
            <v>0</v>
          </cell>
          <cell r="AI25">
            <v>3.6666666666666667E-2</v>
          </cell>
          <cell r="AJ25">
            <v>-0.22068538770125307</v>
          </cell>
          <cell r="AK25">
            <v>0</v>
          </cell>
          <cell r="AL25">
            <v>-0.1750193113525273</v>
          </cell>
          <cell r="AM25">
            <v>0</v>
          </cell>
          <cell r="AN25">
            <v>2.0254519141196047E-2</v>
          </cell>
          <cell r="AO25">
            <v>0.59520181905975267</v>
          </cell>
          <cell r="AP25">
            <v>-6.038263382522091E-2</v>
          </cell>
          <cell r="AQ25">
            <v>-1.0630330304337332</v>
          </cell>
          <cell r="AR25">
            <v>-0.50795932605800542</v>
          </cell>
          <cell r="AS25" t="str">
            <v>NA</v>
          </cell>
          <cell r="AT25" t="str">
            <v>NA</v>
          </cell>
          <cell r="AU25" t="str">
            <v>NA</v>
          </cell>
          <cell r="AV25">
            <v>0.36164730646197552</v>
          </cell>
          <cell r="AW25">
            <v>0.33294001470547813</v>
          </cell>
          <cell r="AX25" t="str">
            <v>NA</v>
          </cell>
          <cell r="AY25" t="str">
            <v>NA</v>
          </cell>
          <cell r="AZ25" t="str">
            <v>NA</v>
          </cell>
          <cell r="BA25" t="str">
            <v>NA</v>
          </cell>
          <cell r="BB25" t="str">
            <v>NA</v>
          </cell>
          <cell r="BC25" t="str">
            <v>NA</v>
          </cell>
          <cell r="BD25" t="str">
            <v>NA</v>
          </cell>
          <cell r="BE25" t="str">
            <v>NA</v>
          </cell>
          <cell r="BF25" t="str">
            <v>NA</v>
          </cell>
          <cell r="BG25" t="str">
            <v>NA</v>
          </cell>
          <cell r="BH25" t="str">
            <v>NA</v>
          </cell>
          <cell r="BI25" t="str">
            <v>NA</v>
          </cell>
          <cell r="BJ25" t="str">
            <v>NA</v>
          </cell>
          <cell r="BK25" t="str">
            <v>NA</v>
          </cell>
          <cell r="BL25" t="str">
            <v>NA</v>
          </cell>
          <cell r="BM25" t="str">
            <v>NA</v>
          </cell>
          <cell r="BN25" t="str">
            <v>NA</v>
          </cell>
          <cell r="BO25" t="str">
            <v>NA</v>
          </cell>
          <cell r="BP25" t="str">
            <v>NA</v>
          </cell>
          <cell r="BQ25" t="str">
            <v>NA</v>
          </cell>
          <cell r="BR25" t="str">
            <v>NA</v>
          </cell>
          <cell r="BS25" t="str">
            <v>NA</v>
          </cell>
          <cell r="BT25" t="str">
            <v>NA</v>
          </cell>
          <cell r="BU25" t="str">
            <v>NA</v>
          </cell>
          <cell r="BV25" t="str">
            <v>NA</v>
          </cell>
          <cell r="BW25" t="str">
            <v>NA</v>
          </cell>
          <cell r="BX25" t="str">
            <v>NA</v>
          </cell>
          <cell r="BY25">
            <v>2.3682409913380619E-2</v>
          </cell>
          <cell r="BZ25">
            <v>-6.2366170168628145E-2</v>
          </cell>
          <cell r="CA25">
            <v>-8.8661471356982109E-3</v>
          </cell>
          <cell r="CB25">
            <v>-0.31333926253018624</v>
          </cell>
          <cell r="CC25">
            <v>0.13120590529125498</v>
          </cell>
          <cell r="CD25">
            <v>3.2840871745747425E-3</v>
          </cell>
          <cell r="CE25">
            <v>-0.22639917745530225</v>
          </cell>
          <cell r="CF25">
            <v>2.1391316023553233E-2</v>
          </cell>
          <cell r="CG25">
            <v>-6.3391823769260155E-2</v>
          </cell>
          <cell r="CH25">
            <v>-1.2714281946582834E-2</v>
          </cell>
          <cell r="CI25">
            <v>-0.74604586316711008</v>
          </cell>
          <cell r="CJ25">
            <v>6.9140755632972811E-2</v>
          </cell>
          <cell r="CK25">
            <v>3.2840871745747425E-3</v>
          </cell>
          <cell r="CL25">
            <v>-0.72833581005185222</v>
          </cell>
        </row>
        <row r="26">
          <cell r="B26" t="str">
            <v xml:space="preserve">Mixed Paper </v>
          </cell>
        </row>
        <row r="27">
          <cell r="B27" t="str">
            <v>Mixed Paper (general)</v>
          </cell>
          <cell r="C27">
            <v>-6.7470982856828732</v>
          </cell>
          <cell r="D27">
            <v>-3.5307977250746987</v>
          </cell>
          <cell r="E27" t="str">
            <v>NA</v>
          </cell>
          <cell r="F27">
            <v>-0.51150777992581509</v>
          </cell>
          <cell r="G27">
            <v>0.12650662640094279</v>
          </cell>
          <cell r="H27" t="str">
            <v>NA</v>
          </cell>
          <cell r="I27" t="str">
            <v>NA</v>
          </cell>
          <cell r="J27" t="str">
            <v>NA</v>
          </cell>
          <cell r="K27" t="str">
            <v>NA</v>
          </cell>
          <cell r="L27">
            <v>-1.1880324663529285</v>
          </cell>
          <cell r="M27">
            <v>-1.2170206406380237</v>
          </cell>
          <cell r="N27" t="str">
            <v>NA</v>
          </cell>
          <cell r="O27">
            <v>-5.5590658193299447</v>
          </cell>
          <cell r="P27">
            <v>-7.2591614250848071</v>
          </cell>
          <cell r="Q27">
            <v>-6.7470982856828732</v>
          </cell>
          <cell r="R27">
            <v>-8.4761820657228313</v>
          </cell>
          <cell r="S27">
            <v>0</v>
          </cell>
          <cell r="T27" t="str">
            <v>NA</v>
          </cell>
          <cell r="U27">
            <v>-0.36203367856084651</v>
          </cell>
          <cell r="V27">
            <v>-0.10565576418126008</v>
          </cell>
          <cell r="W27">
            <v>-6.9824999999999991E-3</v>
          </cell>
          <cell r="X27">
            <v>-3.0561257823325922</v>
          </cell>
          <cell r="Y27">
            <v>-3.5307977250746987</v>
          </cell>
          <cell r="Z27">
            <v>0</v>
          </cell>
          <cell r="AA27" t="str">
            <v>NA</v>
          </cell>
          <cell r="AB27" t="str">
            <v>NA</v>
          </cell>
          <cell r="AC27" t="str">
            <v>NA</v>
          </cell>
          <cell r="AD27" t="str">
            <v>NA</v>
          </cell>
          <cell r="AE27" t="str">
            <v>NA</v>
          </cell>
          <cell r="AF27">
            <v>0</v>
          </cell>
          <cell r="AG27">
            <v>8.9994096820590931E-3</v>
          </cell>
          <cell r="AH27">
            <v>0</v>
          </cell>
          <cell r="AI27">
            <v>3.6666666666666667E-2</v>
          </cell>
          <cell r="AJ27">
            <v>-0.55717385627454086</v>
          </cell>
          <cell r="AK27">
            <v>0</v>
          </cell>
          <cell r="AL27">
            <v>-0.51150777992581509</v>
          </cell>
          <cell r="AM27">
            <v>0</v>
          </cell>
          <cell r="AN27">
            <v>2.0254519141196047E-2</v>
          </cell>
          <cell r="AO27">
            <v>0.93394620690021479</v>
          </cell>
          <cell r="AP27">
            <v>-0.10505413440287302</v>
          </cell>
          <cell r="AQ27">
            <v>-0.72263996523759499</v>
          </cell>
          <cell r="AR27">
            <v>0.12650662640094279</v>
          </cell>
          <cell r="AS27" t="str">
            <v>NA</v>
          </cell>
          <cell r="AT27" t="str">
            <v>NA</v>
          </cell>
          <cell r="AU27">
            <v>-3.6573043514756414</v>
          </cell>
          <cell r="AV27" t="str">
            <v>NA</v>
          </cell>
          <cell r="AW27">
            <v>-0.63801440632675788</v>
          </cell>
          <cell r="AX27">
            <v>1.1172043987406353</v>
          </cell>
          <cell r="AY27">
            <v>9.1883458350072014E-2</v>
          </cell>
          <cell r="AZ27">
            <v>7.9327835473163716E-3</v>
          </cell>
          <cell r="BA27">
            <v>1.2170206406380237</v>
          </cell>
          <cell r="BB27">
            <v>0.76579999999999993</v>
          </cell>
          <cell r="BC27">
            <v>1.0975397054352092</v>
          </cell>
          <cell r="BD27">
            <v>8.3676518828416299E-2</v>
          </cell>
          <cell r="BE27">
            <v>6.8162420893029567E-3</v>
          </cell>
          <cell r="BF27">
            <v>1.1880324663529285</v>
          </cell>
          <cell r="BG27">
            <v>1.0582794409619996</v>
          </cell>
          <cell r="BH27">
            <v>6.5603740474776712E-2</v>
          </cell>
          <cell r="BI27">
            <v>0</v>
          </cell>
          <cell r="BJ27">
            <v>1.1238831814367762</v>
          </cell>
          <cell r="BK27" t="str">
            <v>NA</v>
          </cell>
          <cell r="BL27" t="str">
            <v>NA</v>
          </cell>
          <cell r="BM27" t="str">
            <v>NA</v>
          </cell>
          <cell r="BN27" t="str">
            <v>NA</v>
          </cell>
          <cell r="BO27" t="str">
            <v>NA</v>
          </cell>
          <cell r="BP27" t="str">
            <v>NA</v>
          </cell>
          <cell r="BQ27" t="str">
            <v>NA</v>
          </cell>
          <cell r="BR27" t="str">
            <v>NA</v>
          </cell>
          <cell r="BS27" t="str">
            <v>NA</v>
          </cell>
          <cell r="BT27" t="str">
            <v>NA</v>
          </cell>
          <cell r="BU27" t="str">
            <v>NA</v>
          </cell>
          <cell r="BV27" t="str">
            <v>NA</v>
          </cell>
          <cell r="BW27" t="str">
            <v>NA</v>
          </cell>
          <cell r="BX27" t="str">
            <v>NA</v>
          </cell>
          <cell r="BY27" t="str">
            <v>NA</v>
          </cell>
          <cell r="BZ27" t="str">
            <v>NA</v>
          </cell>
          <cell r="CA27" t="str">
            <v>NA</v>
          </cell>
          <cell r="CB27" t="str">
            <v>NA</v>
          </cell>
          <cell r="CC27" t="str">
            <v>NA</v>
          </cell>
          <cell r="CD27" t="str">
            <v>NA</v>
          </cell>
          <cell r="CE27" t="str">
            <v>NA</v>
          </cell>
          <cell r="CF27" t="str">
            <v>NA</v>
          </cell>
          <cell r="CG27" t="str">
            <v>NA</v>
          </cell>
          <cell r="CH27" t="str">
            <v>NA</v>
          </cell>
          <cell r="CI27" t="str">
            <v>NA</v>
          </cell>
          <cell r="CJ27" t="str">
            <v>NA</v>
          </cell>
          <cell r="CK27" t="str">
            <v>NA</v>
          </cell>
          <cell r="CL27" t="str">
            <v>NA</v>
          </cell>
        </row>
        <row r="28">
          <cell r="B28" t="str">
            <v>Mixed Paper (primarily residential)</v>
          </cell>
          <cell r="C28">
            <v>-6.6467410766069035</v>
          </cell>
          <cell r="D28">
            <v>-3.5307977250746987</v>
          </cell>
          <cell r="E28" t="str">
            <v>NA</v>
          </cell>
          <cell r="F28">
            <v>-0.50912831854913632</v>
          </cell>
          <cell r="G28">
            <v>6.5032852753553305E-2</v>
          </cell>
          <cell r="H28" t="str">
            <v>NA</v>
          </cell>
          <cell r="I28" t="str">
            <v>NA</v>
          </cell>
          <cell r="J28" t="str">
            <v>NA</v>
          </cell>
          <cell r="K28" t="str">
            <v>NA</v>
          </cell>
          <cell r="L28">
            <v>-1.1857465281298536</v>
          </cell>
          <cell r="M28">
            <v>-1.2122794655194187</v>
          </cell>
          <cell r="N28" t="str">
            <v>NA</v>
          </cell>
          <cell r="O28">
            <v>-5.4609945484770499</v>
          </cell>
          <cell r="P28">
            <v>-7.2591614250848071</v>
          </cell>
          <cell r="Q28">
            <v>-6.6467410766069035</v>
          </cell>
          <cell r="R28">
            <v>-8.4714408906042262</v>
          </cell>
          <cell r="S28">
            <v>0</v>
          </cell>
          <cell r="T28" t="str">
            <v>NA</v>
          </cell>
          <cell r="U28">
            <v>-0.36203367856084651</v>
          </cell>
          <cell r="V28">
            <v>-0.10565576418126008</v>
          </cell>
          <cell r="W28">
            <v>-6.9824999999999991E-3</v>
          </cell>
          <cell r="X28">
            <v>-3.0561257823325922</v>
          </cell>
          <cell r="Y28">
            <v>-3.5307977250746987</v>
          </cell>
          <cell r="Z28">
            <v>0</v>
          </cell>
          <cell r="AA28" t="str">
            <v>NA</v>
          </cell>
          <cell r="AB28" t="str">
            <v>NA</v>
          </cell>
          <cell r="AC28" t="str">
            <v>NA</v>
          </cell>
          <cell r="AD28" t="str">
            <v>NA</v>
          </cell>
          <cell r="AE28" t="str">
            <v>NA</v>
          </cell>
          <cell r="AF28">
            <v>0</v>
          </cell>
          <cell r="AG28">
            <v>8.9994096820590931E-3</v>
          </cell>
          <cell r="AH28">
            <v>0</v>
          </cell>
          <cell r="AI28">
            <v>3.6666666666666667E-2</v>
          </cell>
          <cell r="AJ28">
            <v>-0.55479439489786209</v>
          </cell>
          <cell r="AK28">
            <v>0</v>
          </cell>
          <cell r="AL28">
            <v>-0.50912831854913632</v>
          </cell>
          <cell r="AM28">
            <v>0</v>
          </cell>
          <cell r="AN28">
            <v>2.0254519141196047E-2</v>
          </cell>
          <cell r="AO28">
            <v>0.9018686092343291</v>
          </cell>
          <cell r="AP28">
            <v>-0.10074736747069979</v>
          </cell>
          <cell r="AQ28">
            <v>-0.75634290815127203</v>
          </cell>
          <cell r="AR28">
            <v>6.5032852753553305E-2</v>
          </cell>
          <cell r="AS28" t="str">
            <v>NA</v>
          </cell>
          <cell r="AT28" t="str">
            <v>NA</v>
          </cell>
          <cell r="AU28">
            <v>-3.5958305778282522</v>
          </cell>
          <cell r="AV28" t="str">
            <v>NA</v>
          </cell>
          <cell r="AW28">
            <v>-0.57416117130268962</v>
          </cell>
          <cell r="AX28">
            <v>1.107641641509892</v>
          </cell>
          <cell r="AY28">
            <v>9.8046511873001133E-2</v>
          </cell>
          <cell r="AZ28">
            <v>6.591312136525463E-3</v>
          </cell>
          <cell r="BA28">
            <v>1.2122794655194187</v>
          </cell>
          <cell r="BB28">
            <v>0.75229000000000001</v>
          </cell>
          <cell r="BC28">
            <v>1.0910425931897276</v>
          </cell>
          <cell r="BD28">
            <v>8.9256590739247882E-2</v>
          </cell>
          <cell r="BE28">
            <v>5.4473442008780761E-3</v>
          </cell>
          <cell r="BF28">
            <v>1.1857465281298536</v>
          </cell>
          <cell r="BG28">
            <v>1.0409132405907826</v>
          </cell>
          <cell r="BH28">
            <v>7.0211531739644853E-2</v>
          </cell>
          <cell r="BI28">
            <v>0</v>
          </cell>
          <cell r="BJ28">
            <v>1.1111247723304274</v>
          </cell>
          <cell r="BK28" t="str">
            <v>NA</v>
          </cell>
          <cell r="BL28" t="str">
            <v>NA</v>
          </cell>
          <cell r="BM28" t="str">
            <v>NA</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t="str">
            <v>NA</v>
          </cell>
          <cell r="CI28" t="str">
            <v>NA</v>
          </cell>
          <cell r="CJ28" t="str">
            <v>NA</v>
          </cell>
          <cell r="CK28" t="str">
            <v>NA</v>
          </cell>
          <cell r="CL28" t="str">
            <v>NA</v>
          </cell>
        </row>
        <row r="29">
          <cell r="B29" t="str">
            <v>Mixed Paper (primarily from offices)</v>
          </cell>
          <cell r="C29">
            <v>-7.9605334023264955</v>
          </cell>
          <cell r="D29">
            <v>-3.5860541665104888</v>
          </cell>
          <cell r="E29" t="str">
            <v>NA</v>
          </cell>
          <cell r="F29">
            <v>-0.46652342812921138</v>
          </cell>
          <cell r="G29">
            <v>0.1679717478603544</v>
          </cell>
          <cell r="H29" t="str">
            <v>NA</v>
          </cell>
          <cell r="I29" t="str">
            <v>NA</v>
          </cell>
          <cell r="J29" t="str">
            <v>NA</v>
          </cell>
          <cell r="K29" t="str">
            <v>NA</v>
          </cell>
          <cell r="L29">
            <v>-1.3989047985780882</v>
          </cell>
          <cell r="M29">
            <v>-1.432133120653396</v>
          </cell>
          <cell r="N29" t="str">
            <v>NA</v>
          </cell>
          <cell r="O29">
            <v>-6.5616286037484075</v>
          </cell>
          <cell r="P29">
            <v>-7.2591614250848071</v>
          </cell>
          <cell r="Q29">
            <v>-7.9605334023264955</v>
          </cell>
          <cell r="R29">
            <v>-8.6912945457382023</v>
          </cell>
          <cell r="S29">
            <v>0</v>
          </cell>
          <cell r="T29" t="str">
            <v>NA</v>
          </cell>
          <cell r="U29">
            <v>-0.42087368384529095</v>
          </cell>
          <cell r="V29">
            <v>-0.10770483942351466</v>
          </cell>
          <cell r="W29">
            <v>-1.3498609090909091E-3</v>
          </cell>
          <cell r="X29">
            <v>-3.0561257823325922</v>
          </cell>
          <cell r="Y29">
            <v>-3.5860541665104888</v>
          </cell>
          <cell r="Z29">
            <v>0</v>
          </cell>
          <cell r="AA29" t="str">
            <v>NA</v>
          </cell>
          <cell r="AB29" t="str">
            <v>NA</v>
          </cell>
          <cell r="AC29" t="str">
            <v>NA</v>
          </cell>
          <cell r="AD29" t="str">
            <v>NA</v>
          </cell>
          <cell r="AE29" t="str">
            <v>NA</v>
          </cell>
          <cell r="AF29">
            <v>0</v>
          </cell>
          <cell r="AG29">
            <v>8.9994096820590931E-3</v>
          </cell>
          <cell r="AH29">
            <v>0</v>
          </cell>
          <cell r="AI29">
            <v>3.6666666666666667E-2</v>
          </cell>
          <cell r="AJ29">
            <v>-0.51218950447793721</v>
          </cell>
          <cell r="AK29">
            <v>0</v>
          </cell>
          <cell r="AL29">
            <v>-0.46652342812921138</v>
          </cell>
          <cell r="AM29">
            <v>0</v>
          </cell>
          <cell r="AN29">
            <v>2.0254519141196047E-2</v>
          </cell>
          <cell r="AO29">
            <v>0.88351775485880801</v>
          </cell>
          <cell r="AP29">
            <v>-9.8895476251843265E-2</v>
          </cell>
          <cell r="AQ29">
            <v>-0.63690504988780638</v>
          </cell>
          <cell r="AR29">
            <v>0.1679717478603544</v>
          </cell>
          <cell r="AS29" t="str">
            <v>NA</v>
          </cell>
          <cell r="AT29" t="str">
            <v>NA</v>
          </cell>
          <cell r="AU29">
            <v>-3.7540259143708434</v>
          </cell>
          <cell r="AV29" t="str">
            <v>NA</v>
          </cell>
          <cell r="AW29">
            <v>-0.63449517598956584</v>
          </cell>
          <cell r="AX29">
            <v>1.3869669970777845</v>
          </cell>
          <cell r="AY29">
            <v>3.4707594986402447E-2</v>
          </cell>
          <cell r="AZ29">
            <v>1.0458528589209091E-2</v>
          </cell>
          <cell r="BA29">
            <v>1.432133120653396</v>
          </cell>
          <cell r="BB29">
            <v>0.90390999999999999</v>
          </cell>
          <cell r="BC29">
            <v>1.3565420185982031</v>
          </cell>
          <cell r="BD29">
            <v>3.241547786831013E-2</v>
          </cell>
          <cell r="BE29">
            <v>9.9473021115751171E-3</v>
          </cell>
          <cell r="BF29">
            <v>1.3989047985780882</v>
          </cell>
          <cell r="BG29">
            <v>1.3568230981544693</v>
          </cell>
          <cell r="BH29">
            <v>2.572130878923377E-2</v>
          </cell>
          <cell r="BI29">
            <v>0</v>
          </cell>
          <cell r="BJ29">
            <v>1.3825444069437032</v>
          </cell>
          <cell r="BK29" t="str">
            <v>NA</v>
          </cell>
          <cell r="BL29" t="str">
            <v>NA</v>
          </cell>
          <cell r="BM29" t="str">
            <v>NA</v>
          </cell>
          <cell r="BN29" t="str">
            <v>NA</v>
          </cell>
          <cell r="BO29" t="str">
            <v>NA</v>
          </cell>
          <cell r="BP29" t="str">
            <v>NA</v>
          </cell>
          <cell r="BQ29" t="str">
            <v>NA</v>
          </cell>
          <cell r="BR29" t="str">
            <v>NA</v>
          </cell>
          <cell r="BS29" t="str">
            <v>NA</v>
          </cell>
          <cell r="BT29" t="str">
            <v>NA</v>
          </cell>
          <cell r="BU29" t="str">
            <v>NA</v>
          </cell>
          <cell r="BV29" t="str">
            <v>NA</v>
          </cell>
          <cell r="BW29" t="str">
            <v>NA</v>
          </cell>
          <cell r="BX29" t="str">
            <v>NA</v>
          </cell>
          <cell r="BY29" t="str">
            <v>NA</v>
          </cell>
          <cell r="BZ29" t="str">
            <v>NA</v>
          </cell>
          <cell r="CA29" t="str">
            <v>NA</v>
          </cell>
          <cell r="CB29" t="str">
            <v>NA</v>
          </cell>
          <cell r="CC29" t="str">
            <v>NA</v>
          </cell>
          <cell r="CD29" t="str">
            <v>NA</v>
          </cell>
          <cell r="CE29" t="str">
            <v>NA</v>
          </cell>
          <cell r="CF29" t="str">
            <v>NA</v>
          </cell>
          <cell r="CG29" t="str">
            <v>NA</v>
          </cell>
          <cell r="CH29" t="str">
            <v>NA</v>
          </cell>
          <cell r="CI29" t="str">
            <v>NA</v>
          </cell>
          <cell r="CJ29" t="str">
            <v>NA</v>
          </cell>
          <cell r="CK29" t="str">
            <v>NA</v>
          </cell>
          <cell r="CL29" t="str">
            <v>NA</v>
          </cell>
        </row>
        <row r="30">
          <cell r="B30" t="str">
            <v>Mixed Metals</v>
          </cell>
          <cell r="C30">
            <v>-3.702475952955298</v>
          </cell>
          <cell r="D30">
            <v>-4.3404241456166677</v>
          </cell>
          <cell r="E30" t="str">
            <v>NA</v>
          </cell>
          <cell r="F30">
            <v>-1.0155488878539169</v>
          </cell>
          <cell r="G30">
            <v>2.0254519141196047E-2</v>
          </cell>
          <cell r="H30" t="str">
            <v>NA</v>
          </cell>
          <cell r="I30" t="str">
            <v>NA</v>
          </cell>
          <cell r="J30" t="str">
            <v>NA</v>
          </cell>
          <cell r="K30" t="str">
            <v>NA</v>
          </cell>
          <cell r="L30">
            <v>-3.702475952955298</v>
          </cell>
          <cell r="M30">
            <v>-6.2375127723918089</v>
          </cell>
          <cell r="N30" t="str">
            <v>NA</v>
          </cell>
          <cell r="O30" t="str">
            <v>NA</v>
          </cell>
          <cell r="P30" t="str">
            <v>NA</v>
          </cell>
          <cell r="Q30">
            <v>-3.702475952955298</v>
          </cell>
          <cell r="R30">
            <v>-6.2375127723918089</v>
          </cell>
          <cell r="S30">
            <v>0</v>
          </cell>
          <cell r="T30">
            <v>0</v>
          </cell>
          <cell r="U30">
            <v>-3.0115435849345</v>
          </cell>
          <cell r="V30">
            <v>-3.9593425555697954E-2</v>
          </cell>
          <cell r="W30">
            <v>-1.2892871351264701</v>
          </cell>
          <cell r="X30">
            <v>0</v>
          </cell>
          <cell r="Y30">
            <v>-4.3404241456166677</v>
          </cell>
          <cell r="Z30">
            <v>0</v>
          </cell>
          <cell r="AA30" t="str">
            <v>NA</v>
          </cell>
          <cell r="AB30" t="str">
            <v>NA</v>
          </cell>
          <cell r="AC30" t="str">
            <v>NA</v>
          </cell>
          <cell r="AD30" t="str">
            <v>NA</v>
          </cell>
          <cell r="AE30" t="str">
            <v>NA</v>
          </cell>
          <cell r="AF30">
            <v>0</v>
          </cell>
          <cell r="AG30">
            <v>8.9994096820590931E-3</v>
          </cell>
          <cell r="AH30">
            <v>0</v>
          </cell>
          <cell r="AI30">
            <v>0</v>
          </cell>
          <cell r="AJ30">
            <v>1.9965472575447521E-2</v>
          </cell>
          <cell r="AK30">
            <v>-1.0445137701114238</v>
          </cell>
          <cell r="AL30">
            <v>-1.0155488878539169</v>
          </cell>
          <cell r="AM30">
            <v>0</v>
          </cell>
          <cell r="AN30">
            <v>2.0254519141196047E-2</v>
          </cell>
          <cell r="AO30">
            <v>0</v>
          </cell>
          <cell r="AP30">
            <v>0</v>
          </cell>
          <cell r="AQ30">
            <v>0</v>
          </cell>
          <cell r="AR30">
            <v>2.0254519141196047E-2</v>
          </cell>
          <cell r="AS30" t="str">
            <v>NA</v>
          </cell>
          <cell r="AT30" t="str">
            <v>NA</v>
          </cell>
          <cell r="AU30">
            <v>-4.3606786647578639</v>
          </cell>
          <cell r="AV30" t="str">
            <v>NA</v>
          </cell>
          <cell r="AW30">
            <v>-1.0358034069951132</v>
          </cell>
          <cell r="AX30">
            <v>4.1064473804292048</v>
          </cell>
          <cell r="AY30">
            <v>0.27266934594504488</v>
          </cell>
          <cell r="AZ30">
            <v>1.858396046017559</v>
          </cell>
          <cell r="BA30">
            <v>6.2375127723918089</v>
          </cell>
          <cell r="BB30">
            <v>0.55136633663366341</v>
          </cell>
          <cell r="BC30">
            <v>2.4630245854900892</v>
          </cell>
          <cell r="BD30">
            <v>0.25519199906339646</v>
          </cell>
          <cell r="BE30">
            <v>0.98425936840181238</v>
          </cell>
          <cell r="BF30">
            <v>3.702475952955298</v>
          </cell>
          <cell r="BG30">
            <v>1.0712904861273225</v>
          </cell>
          <cell r="BH30">
            <v>0.23252074046727994</v>
          </cell>
          <cell r="BI30">
            <v>0.56910891089108906</v>
          </cell>
          <cell r="BJ30">
            <v>1.8729201374856914</v>
          </cell>
          <cell r="BK30" t="str">
            <v>NA</v>
          </cell>
          <cell r="BL30" t="str">
            <v>NA</v>
          </cell>
          <cell r="BM30" t="str">
            <v>NA</v>
          </cell>
          <cell r="BN30" t="str">
            <v>NA</v>
          </cell>
          <cell r="BO30" t="str">
            <v>NA</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cell r="CI30" t="str">
            <v>NA</v>
          </cell>
          <cell r="CJ30" t="str">
            <v>NA</v>
          </cell>
          <cell r="CK30" t="str">
            <v>NA</v>
          </cell>
          <cell r="CL30" t="str">
            <v>NA</v>
          </cell>
        </row>
        <row r="31">
          <cell r="B31" t="str">
            <v>Mixed Plastics</v>
          </cell>
          <cell r="C31">
            <v>-1.9229697137281825</v>
          </cell>
          <cell r="D31">
            <v>-1.0228366169338372</v>
          </cell>
          <cell r="E31" t="str">
            <v>NA</v>
          </cell>
          <cell r="F31">
            <v>1.2174373636540321</v>
          </cell>
          <cell r="G31">
            <v>2.0254519141196047E-2</v>
          </cell>
          <cell r="H31" t="str">
            <v>NA</v>
          </cell>
          <cell r="I31" t="str">
            <v>NA</v>
          </cell>
          <cell r="J31" t="str">
            <v>NA</v>
          </cell>
          <cell r="K31" t="str">
            <v>NA</v>
          </cell>
          <cell r="L31">
            <v>-1.9229697137281825</v>
          </cell>
          <cell r="M31">
            <v>-1.9848528439876745</v>
          </cell>
          <cell r="N31" t="str">
            <v>NA</v>
          </cell>
          <cell r="O31" t="str">
            <v>NA</v>
          </cell>
          <cell r="P31" t="str">
            <v>NA</v>
          </cell>
          <cell r="Q31">
            <v>-1.9229697137281825</v>
          </cell>
          <cell r="R31">
            <v>-1.9848528439876745</v>
          </cell>
          <cell r="S31">
            <v>0</v>
          </cell>
          <cell r="T31">
            <v>0</v>
          </cell>
          <cell r="U31">
            <v>-0.81756010743576546</v>
          </cell>
          <cell r="V31">
            <v>7.2785696576972245E-2</v>
          </cell>
          <cell r="W31">
            <v>-0.27806220607504395</v>
          </cell>
          <cell r="X31">
            <v>0</v>
          </cell>
          <cell r="Y31">
            <v>-1.0228366169338372</v>
          </cell>
          <cell r="Z31">
            <v>0</v>
          </cell>
          <cell r="AA31" t="str">
            <v>NA</v>
          </cell>
          <cell r="AB31" t="str">
            <v>NA</v>
          </cell>
          <cell r="AC31" t="str">
            <v>NA</v>
          </cell>
          <cell r="AD31" t="str">
            <v>NA</v>
          </cell>
          <cell r="AE31" t="str">
            <v>NA</v>
          </cell>
          <cell r="AF31">
            <v>0</v>
          </cell>
          <cell r="AG31">
            <v>8.9994096820590931E-3</v>
          </cell>
          <cell r="AH31">
            <v>2.3249720281834945</v>
          </cell>
          <cell r="AI31">
            <v>0</v>
          </cell>
          <cell r="AJ31">
            <v>-1.116534074211522</v>
          </cell>
          <cell r="AK31">
            <v>0</v>
          </cell>
          <cell r="AL31">
            <v>1.2174373636540321</v>
          </cell>
          <cell r="AM31">
            <v>0</v>
          </cell>
          <cell r="AN31">
            <v>2.0254519141196047E-2</v>
          </cell>
          <cell r="AO31">
            <v>0</v>
          </cell>
          <cell r="AP31">
            <v>0</v>
          </cell>
          <cell r="AQ31">
            <v>0</v>
          </cell>
          <cell r="AR31">
            <v>2.0254519141196047E-2</v>
          </cell>
          <cell r="AS31" t="str">
            <v>NA</v>
          </cell>
          <cell r="AT31" t="str">
            <v>NA</v>
          </cell>
          <cell r="AU31">
            <v>-1.0430911360750332</v>
          </cell>
          <cell r="AV31" t="str">
            <v>NA</v>
          </cell>
          <cell r="AW31">
            <v>1.1971828445128359</v>
          </cell>
          <cell r="AX31">
            <v>1.5290116414109458</v>
          </cell>
          <cell r="AY31">
            <v>0.14100636729868882</v>
          </cell>
          <cell r="AZ31">
            <v>0.31483483527803996</v>
          </cell>
          <cell r="BA31">
            <v>1.9848528439876745</v>
          </cell>
          <cell r="BB31">
            <v>0.94340000000000002</v>
          </cell>
          <cell r="BC31">
            <v>1.478870963347519</v>
          </cell>
          <cell r="BD31">
            <v>0.14400453314669842</v>
          </cell>
          <cell r="BE31">
            <v>0.30009421723396501</v>
          </cell>
          <cell r="BF31">
            <v>1.9229697137281825</v>
          </cell>
          <cell r="BG31">
            <v>0.59943676634645726</v>
          </cell>
          <cell r="BH31">
            <v>0.22292481583328</v>
          </cell>
          <cell r="BI31">
            <v>0</v>
          </cell>
          <cell r="BJ31">
            <v>0.8223615821797372</v>
          </cell>
          <cell r="BK31" t="str">
            <v>NA</v>
          </cell>
          <cell r="BL31" t="str">
            <v>NA</v>
          </cell>
          <cell r="BM31" t="str">
            <v>NA</v>
          </cell>
          <cell r="BN31" t="str">
            <v>NA</v>
          </cell>
          <cell r="BO31" t="str">
            <v>NA</v>
          </cell>
          <cell r="BP31" t="str">
            <v>NA</v>
          </cell>
          <cell r="BQ31" t="str">
            <v>NA</v>
          </cell>
          <cell r="BR31" t="str">
            <v>NA</v>
          </cell>
          <cell r="BS31" t="str">
            <v>NA</v>
          </cell>
          <cell r="BT31" t="str">
            <v>NA</v>
          </cell>
          <cell r="BU31" t="str">
            <v>NA</v>
          </cell>
          <cell r="BV31" t="str">
            <v>NA</v>
          </cell>
          <cell r="BW31" t="str">
            <v>NA</v>
          </cell>
          <cell r="BX31" t="str">
            <v>NA</v>
          </cell>
          <cell r="BY31" t="str">
            <v>NA</v>
          </cell>
          <cell r="BZ31" t="str">
            <v>NA</v>
          </cell>
          <cell r="CA31" t="str">
            <v>NA</v>
          </cell>
          <cell r="CB31" t="str">
            <v>NA</v>
          </cell>
          <cell r="CC31" t="str">
            <v>NA</v>
          </cell>
          <cell r="CD31" t="str">
            <v>NA</v>
          </cell>
          <cell r="CE31" t="str">
            <v>NA</v>
          </cell>
          <cell r="CF31" t="str">
            <v>NA</v>
          </cell>
          <cell r="CG31" t="str">
            <v>NA</v>
          </cell>
          <cell r="CH31" t="str">
            <v>NA</v>
          </cell>
          <cell r="CI31" t="str">
            <v>NA</v>
          </cell>
          <cell r="CJ31" t="str">
            <v>NA</v>
          </cell>
          <cell r="CK31" t="str">
            <v>NA</v>
          </cell>
          <cell r="CL31" t="str">
            <v>NA</v>
          </cell>
        </row>
        <row r="32">
          <cell r="B32" t="str">
            <v>Mixed Recyclables</v>
          </cell>
          <cell r="C32" t="str">
            <v>NA</v>
          </cell>
          <cell r="D32">
            <v>-2.8249690881239036</v>
          </cell>
          <cell r="E32" t="str">
            <v>NA</v>
          </cell>
          <cell r="F32">
            <v>-0.44359697778577145</v>
          </cell>
          <cell r="G32">
            <v>4.2039025411623521E-2</v>
          </cell>
          <cell r="H32" t="str">
            <v>NA</v>
          </cell>
          <cell r="I32" t="str">
            <v>NA</v>
          </cell>
          <cell r="J32" t="str">
            <v>NA</v>
          </cell>
          <cell r="K32" t="str">
            <v>NA</v>
          </cell>
          <cell r="L32" t="str">
            <v>NA</v>
          </cell>
          <cell r="M32" t="str">
            <v>NA</v>
          </cell>
          <cell r="N32" t="str">
            <v>NA</v>
          </cell>
          <cell r="O32" t="str">
            <v>NA</v>
          </cell>
          <cell r="P32" t="str">
            <v>NA</v>
          </cell>
          <cell r="Q32" t="str">
            <v>NA</v>
          </cell>
          <cell r="R32" t="str">
            <v>NA</v>
          </cell>
          <cell r="S32">
            <v>0</v>
          </cell>
          <cell r="T32">
            <v>0</v>
          </cell>
          <cell r="U32">
            <v>-0.216455448403922</v>
          </cell>
          <cell r="V32">
            <v>-3.2437811430149267E-2</v>
          </cell>
          <cell r="W32">
            <v>-7.486001485652391E-2</v>
          </cell>
          <cell r="X32">
            <v>-2.5012158134333076</v>
          </cell>
          <cell r="Y32">
            <v>-2.8249690881239036</v>
          </cell>
          <cell r="Z32">
            <v>0</v>
          </cell>
          <cell r="AA32" t="str">
            <v>NA</v>
          </cell>
          <cell r="AB32" t="str">
            <v>NA</v>
          </cell>
          <cell r="AC32" t="str">
            <v>NA</v>
          </cell>
          <cell r="AD32" t="str">
            <v>NA</v>
          </cell>
          <cell r="AE32" t="str">
            <v>NA</v>
          </cell>
          <cell r="AF32">
            <v>0</v>
          </cell>
          <cell r="AG32">
            <v>8.9994096820590931E-3</v>
          </cell>
          <cell r="AH32">
            <v>7.0940969126835673E-2</v>
          </cell>
          <cell r="AI32">
            <v>3.1691754814212096E-2</v>
          </cell>
          <cell r="AJ32">
            <v>-0.51230970913823004</v>
          </cell>
          <cell r="AK32">
            <v>-4.2919402270648416E-2</v>
          </cell>
          <cell r="AL32">
            <v>-0.44359697778577145</v>
          </cell>
          <cell r="AM32">
            <v>0</v>
          </cell>
          <cell r="AN32">
            <v>2.0254519141196047E-2</v>
          </cell>
          <cell r="AO32">
            <v>0.74483893232014409</v>
          </cell>
          <cell r="AP32">
            <v>-7.4501314146552144E-2</v>
          </cell>
          <cell r="AQ32">
            <v>-0.64855311190316445</v>
          </cell>
          <cell r="AR32">
            <v>4.2039025411623521E-2</v>
          </cell>
          <cell r="AS32" t="str">
            <v>NA</v>
          </cell>
          <cell r="AT32" t="str">
            <v>NA</v>
          </cell>
          <cell r="AU32">
            <v>-2.8906920101102846</v>
          </cell>
          <cell r="AV32" t="str">
            <v>NA</v>
          </cell>
          <cell r="AW32">
            <v>-0.50931989977215375</v>
          </cell>
          <cell r="AX32">
            <v>1.0442056280555381</v>
          </cell>
          <cell r="AY32">
            <v>0.11571509312259427</v>
          </cell>
          <cell r="AZ32">
            <v>0.10138721204721354</v>
          </cell>
          <cell r="BA32">
            <v>1.2613079332253456</v>
          </cell>
          <cell r="BB32">
            <v>0.74521824102549972</v>
          </cell>
          <cell r="BC32">
            <v>0.97850489893545278</v>
          </cell>
          <cell r="BD32">
            <v>0.10685919470328574</v>
          </cell>
          <cell r="BE32">
            <v>6.1532219948420133E-2</v>
          </cell>
          <cell r="BF32">
            <v>1.1468963135871586</v>
          </cell>
          <cell r="BG32">
            <v>0.89406274683493403</v>
          </cell>
          <cell r="BH32">
            <v>9.1721067334038398E-2</v>
          </cell>
          <cell r="BI32">
            <v>2.3384865744507731E-2</v>
          </cell>
          <cell r="BJ32">
            <v>1.0091686799134802</v>
          </cell>
          <cell r="BK32" t="str">
            <v>NA</v>
          </cell>
          <cell r="BL32" t="str">
            <v>NA</v>
          </cell>
          <cell r="BM32" t="str">
            <v>NA</v>
          </cell>
          <cell r="BN32" t="str">
            <v>NA</v>
          </cell>
          <cell r="BO32" t="str">
            <v>NA</v>
          </cell>
          <cell r="BP32" t="str">
            <v>NA</v>
          </cell>
          <cell r="BQ32" t="str">
            <v>NA</v>
          </cell>
          <cell r="BR32" t="str">
            <v>NA</v>
          </cell>
          <cell r="BS32" t="str">
            <v>NA</v>
          </cell>
          <cell r="BT32" t="str">
            <v>NA</v>
          </cell>
          <cell r="BU32" t="str">
            <v>NA</v>
          </cell>
          <cell r="BV32" t="str">
            <v>NA</v>
          </cell>
          <cell r="BW32" t="str">
            <v>NA</v>
          </cell>
          <cell r="BX32" t="str">
            <v>NA</v>
          </cell>
          <cell r="BY32" t="str">
            <v>NA</v>
          </cell>
          <cell r="BZ32" t="str">
            <v>NA</v>
          </cell>
          <cell r="CA32" t="str">
            <v>NA</v>
          </cell>
          <cell r="CB32" t="str">
            <v>NA</v>
          </cell>
          <cell r="CC32" t="str">
            <v>NA</v>
          </cell>
          <cell r="CD32" t="str">
            <v>NA</v>
          </cell>
          <cell r="CE32" t="str">
            <v>NA</v>
          </cell>
          <cell r="CF32" t="str">
            <v>NA</v>
          </cell>
          <cell r="CG32" t="str">
            <v>NA</v>
          </cell>
          <cell r="CH32" t="str">
            <v>NA</v>
          </cell>
          <cell r="CI32" t="str">
            <v>NA</v>
          </cell>
          <cell r="CJ32" t="str">
            <v>NA</v>
          </cell>
          <cell r="CK32" t="str">
            <v>NA</v>
          </cell>
          <cell r="CL32" t="str">
            <v>NA</v>
          </cell>
        </row>
        <row r="33">
          <cell r="B33" t="str">
            <v>Mixed Organics</v>
          </cell>
          <cell r="C33" t="str">
            <v>NA</v>
          </cell>
          <cell r="D33" t="str">
            <v>NA</v>
          </cell>
          <cell r="E33">
            <v>-0.16175802015735463</v>
          </cell>
          <cell r="F33">
            <v>-0.15739372395963194</v>
          </cell>
          <cell r="G33">
            <v>0.20394563774350855</v>
          </cell>
          <cell r="H33" t="str">
            <v>NA</v>
          </cell>
          <cell r="I33" t="str">
            <v>NA</v>
          </cell>
          <cell r="J33">
            <v>-6.8540544462039346E-2</v>
          </cell>
          <cell r="K33">
            <v>-0.22124444714494823</v>
          </cell>
          <cell r="L33" t="str">
            <v>NA</v>
          </cell>
          <cell r="M33" t="str">
            <v>NA</v>
          </cell>
          <cell r="N33" t="str">
            <v>NA</v>
          </cell>
          <cell r="O33" t="str">
            <v>NA</v>
          </cell>
          <cell r="P33" t="str">
            <v>NA</v>
          </cell>
          <cell r="Q33" t="str">
            <v>NA</v>
          </cell>
          <cell r="R33" t="str">
            <v>NA</v>
          </cell>
          <cell r="S33" t="str">
            <v>NA</v>
          </cell>
          <cell r="T33" t="str">
            <v>NA</v>
          </cell>
          <cell r="U33" t="str">
            <v>NA</v>
          </cell>
          <cell r="V33" t="str">
            <v>NA</v>
          </cell>
          <cell r="W33" t="str">
            <v>NA</v>
          </cell>
          <cell r="X33" t="str">
            <v>NA</v>
          </cell>
          <cell r="Y33" t="str">
            <v>NA</v>
          </cell>
          <cell r="Z33" t="str">
            <v>NA</v>
          </cell>
          <cell r="AA33">
            <v>1.9533937541226856E-2</v>
          </cell>
          <cell r="AB33">
            <v>0</v>
          </cell>
          <cell r="AC33">
            <v>7.2377215189873417E-2</v>
          </cell>
          <cell r="AD33">
            <v>-0.24064595713725678</v>
          </cell>
          <cell r="AE33">
            <v>-0.16175802015735463</v>
          </cell>
          <cell r="AF33">
            <v>0</v>
          </cell>
          <cell r="AG33">
            <v>8.9994096820590931E-3</v>
          </cell>
          <cell r="AH33">
            <v>0</v>
          </cell>
          <cell r="AI33">
            <v>3.6666666666666667E-2</v>
          </cell>
          <cell r="AJ33">
            <v>-0.20305980030835771</v>
          </cell>
          <cell r="AK33">
            <v>0</v>
          </cell>
          <cell r="AL33">
            <v>-0.15739372395963194</v>
          </cell>
          <cell r="AM33">
            <v>0</v>
          </cell>
          <cell r="AN33">
            <v>2.0254519141196047E-2</v>
          </cell>
          <cell r="AO33">
            <v>0.53253863194341755</v>
          </cell>
          <cell r="AP33">
            <v>-4.6692991092807362E-2</v>
          </cell>
          <cell r="AQ33">
            <v>-0.3021545222482977</v>
          </cell>
          <cell r="AR33">
            <v>0.20394563774350855</v>
          </cell>
          <cell r="AS33" t="str">
            <v>NA</v>
          </cell>
          <cell r="AT33" t="str">
            <v>NA</v>
          </cell>
          <cell r="AU33" t="str">
            <v>NA</v>
          </cell>
          <cell r="AV33">
            <v>-0.35797745139517329</v>
          </cell>
          <cell r="AW33">
            <v>-0.35361315519745062</v>
          </cell>
          <cell r="AX33" t="str">
            <v>NA</v>
          </cell>
          <cell r="AY33" t="str">
            <v>NA</v>
          </cell>
          <cell r="AZ33" t="str">
            <v>NA</v>
          </cell>
          <cell r="BA33" t="str">
            <v>NA</v>
          </cell>
          <cell r="BB33" t="str">
            <v>NA</v>
          </cell>
          <cell r="BC33" t="str">
            <v>NA</v>
          </cell>
          <cell r="BD33" t="str">
            <v>NA</v>
          </cell>
          <cell r="BE33" t="str">
            <v>NA</v>
          </cell>
          <cell r="BF33" t="str">
            <v>NA</v>
          </cell>
          <cell r="BG33" t="str">
            <v>NA</v>
          </cell>
          <cell r="BH33" t="str">
            <v>NA</v>
          </cell>
          <cell r="BI33" t="str">
            <v>NA</v>
          </cell>
          <cell r="BJ33" t="str">
            <v>NA</v>
          </cell>
          <cell r="BK33" t="str">
            <v>NA</v>
          </cell>
          <cell r="BL33" t="str">
            <v>NA</v>
          </cell>
          <cell r="BM33" t="str">
            <v>NA</v>
          </cell>
          <cell r="BN33" t="str">
            <v>NA</v>
          </cell>
          <cell r="BO33" t="str">
            <v>NA</v>
          </cell>
          <cell r="BP33" t="str">
            <v>NA</v>
          </cell>
          <cell r="BQ33" t="str">
            <v>NA</v>
          </cell>
          <cell r="BR33" t="str">
            <v>NA</v>
          </cell>
          <cell r="BS33" t="str">
            <v>NA</v>
          </cell>
          <cell r="BT33" t="str">
            <v>NA</v>
          </cell>
          <cell r="BU33" t="str">
            <v>NA</v>
          </cell>
          <cell r="BV33" t="str">
            <v>NA</v>
          </cell>
          <cell r="BW33" t="str">
            <v>NA</v>
          </cell>
          <cell r="BX33" t="str">
            <v>NA</v>
          </cell>
          <cell r="BY33">
            <v>2.0142685022655035E-2</v>
          </cell>
          <cell r="BZ33">
            <v>-9.6311226077330961E-2</v>
          </cell>
          <cell r="CA33">
            <v>-9.7007696310700171E-3</v>
          </cell>
          <cell r="CB33">
            <v>-9.3405396276929273E-2</v>
          </cell>
          <cell r="CC33">
            <v>0.10745007532606113</v>
          </cell>
          <cell r="CD33">
            <v>3.2840871745747425E-3</v>
          </cell>
          <cell r="CE33">
            <v>-6.8540544462039346E-2</v>
          </cell>
          <cell r="CF33">
            <v>1.9352486234146135E-2</v>
          </cell>
          <cell r="CG33">
            <v>-9.6653975438677237E-2</v>
          </cell>
          <cell r="CH33">
            <v>-1.4563540802181876E-2</v>
          </cell>
          <cell r="CI33">
            <v>-0.22239380065935538</v>
          </cell>
          <cell r="CJ33">
            <v>8.9730296346545391E-2</v>
          </cell>
          <cell r="CK33">
            <v>3.2840871745747425E-3</v>
          </cell>
          <cell r="CL33">
            <v>-0.22124444714494823</v>
          </cell>
        </row>
        <row r="34">
          <cell r="B34" t="str">
            <v>Mixed MSW</v>
          </cell>
          <cell r="C34" t="str">
            <v>NA</v>
          </cell>
          <cell r="D34" t="str">
            <v>NA</v>
          </cell>
          <cell r="E34" t="str">
            <v>NA</v>
          </cell>
          <cell r="F34">
            <v>-6.5531612137650005E-2</v>
          </cell>
          <cell r="G34">
            <v>0.34711265199080921</v>
          </cell>
          <cell r="H34" t="str">
            <v>NA</v>
          </cell>
          <cell r="I34" t="str">
            <v>NA</v>
          </cell>
          <cell r="J34" t="str">
            <v>NA</v>
          </cell>
          <cell r="K34" t="str">
            <v>NA</v>
          </cell>
          <cell r="L34" t="str">
            <v>NA</v>
          </cell>
          <cell r="M34" t="str">
            <v>NA</v>
          </cell>
          <cell r="N34" t="str">
            <v>NA</v>
          </cell>
          <cell r="O34" t="str">
            <v>NA</v>
          </cell>
          <cell r="P34" t="str">
            <v>NA</v>
          </cell>
          <cell r="Q34" t="str">
            <v>NA</v>
          </cell>
          <cell r="R34" t="str">
            <v>NA</v>
          </cell>
          <cell r="S34" t="str">
            <v>NA</v>
          </cell>
          <cell r="T34" t="str">
            <v>NA</v>
          </cell>
          <cell r="U34" t="str">
            <v>NA</v>
          </cell>
          <cell r="V34" t="str">
            <v>NA</v>
          </cell>
          <cell r="W34" t="str">
            <v>NA</v>
          </cell>
          <cell r="X34" t="str">
            <v>NA</v>
          </cell>
          <cell r="Y34" t="str">
            <v>NA</v>
          </cell>
          <cell r="Z34" t="str">
            <v>NA</v>
          </cell>
          <cell r="AA34" t="str">
            <v>NA</v>
          </cell>
          <cell r="AB34" t="str">
            <v>NA</v>
          </cell>
          <cell r="AC34" t="str">
            <v>NA</v>
          </cell>
          <cell r="AD34" t="str">
            <v>NA</v>
          </cell>
          <cell r="AE34" t="str">
            <v>NA</v>
          </cell>
          <cell r="AF34">
            <v>0</v>
          </cell>
          <cell r="AG34">
            <v>8.9994096820590931E-3</v>
          </cell>
          <cell r="AH34">
            <v>0.31981459674311946</v>
          </cell>
          <cell r="AI34">
            <v>3.6666666666666667E-2</v>
          </cell>
          <cell r="AJ34">
            <v>-0.39408104946652339</v>
          </cell>
          <cell r="AK34">
            <v>-3.6931235762971824E-2</v>
          </cell>
          <cell r="AL34">
            <v>-6.5531612137650005E-2</v>
          </cell>
          <cell r="AM34">
            <v>0</v>
          </cell>
          <cell r="AN34">
            <v>2.0254519141196047E-2</v>
          </cell>
          <cell r="AO34">
            <v>0.60915301145733425</v>
          </cell>
          <cell r="AP34">
            <v>-7.473101009572107E-2</v>
          </cell>
          <cell r="AQ34">
            <v>-0.20756386851200001</v>
          </cell>
          <cell r="AR34">
            <v>0.34711265199080921</v>
          </cell>
          <cell r="AS34" t="str">
            <v>NA</v>
          </cell>
          <cell r="AT34" t="str">
            <v>NA</v>
          </cell>
          <cell r="AU34" t="str">
            <v>NA</v>
          </cell>
          <cell r="AV34" t="str">
            <v>NA</v>
          </cell>
          <cell r="AW34">
            <v>-0.41264426412845923</v>
          </cell>
          <cell r="AX34" t="str">
            <v>NA</v>
          </cell>
          <cell r="AY34" t="str">
            <v>NA</v>
          </cell>
          <cell r="AZ34" t="str">
            <v>NA</v>
          </cell>
          <cell r="BA34" t="str">
            <v>NA</v>
          </cell>
          <cell r="BB34" t="str">
            <v>NA</v>
          </cell>
          <cell r="BC34" t="str">
            <v>NA</v>
          </cell>
          <cell r="BD34" t="str">
            <v>NA</v>
          </cell>
          <cell r="BE34" t="str">
            <v>NA</v>
          </cell>
          <cell r="BF34" t="str">
            <v>NA</v>
          </cell>
          <cell r="BG34" t="str">
            <v>NA</v>
          </cell>
          <cell r="BH34" t="str">
            <v>NA</v>
          </cell>
          <cell r="BI34" t="str">
            <v>NA</v>
          </cell>
          <cell r="BJ34" t="str">
            <v>NA</v>
          </cell>
          <cell r="BK34" t="str">
            <v>NA</v>
          </cell>
          <cell r="BL34" t="str">
            <v>NA</v>
          </cell>
          <cell r="BM34" t="str">
            <v>NA</v>
          </cell>
          <cell r="BN34" t="str">
            <v>NA</v>
          </cell>
          <cell r="BO34" t="str">
            <v>NA</v>
          </cell>
          <cell r="BP34" t="str">
            <v>NA</v>
          </cell>
          <cell r="BQ34" t="str">
            <v>NA</v>
          </cell>
          <cell r="BR34" t="str">
            <v>NA</v>
          </cell>
          <cell r="BS34" t="str">
            <v>NA</v>
          </cell>
          <cell r="BT34" t="str">
            <v>NA</v>
          </cell>
          <cell r="BU34" t="str">
            <v>NA</v>
          </cell>
          <cell r="BV34" t="str">
            <v>NA</v>
          </cell>
          <cell r="BW34" t="str">
            <v>NA</v>
          </cell>
          <cell r="BX34" t="str">
            <v>NA</v>
          </cell>
          <cell r="BY34" t="str">
            <v>NA</v>
          </cell>
          <cell r="BZ34" t="str">
            <v>NA</v>
          </cell>
          <cell r="CA34" t="str">
            <v>NA</v>
          </cell>
          <cell r="CB34" t="str">
            <v>NA</v>
          </cell>
          <cell r="CC34" t="str">
            <v>NA</v>
          </cell>
          <cell r="CD34" t="str">
            <v>NA</v>
          </cell>
          <cell r="CE34" t="str">
            <v>NA</v>
          </cell>
          <cell r="CF34" t="str">
            <v>NA</v>
          </cell>
          <cell r="CG34" t="str">
            <v>NA</v>
          </cell>
          <cell r="CH34" t="str">
            <v>NA</v>
          </cell>
          <cell r="CI34" t="str">
            <v>NA</v>
          </cell>
          <cell r="CJ34" t="str">
            <v>NA</v>
          </cell>
          <cell r="CK34" t="str">
            <v>NA</v>
          </cell>
          <cell r="CL34" t="str">
            <v>NA</v>
          </cell>
        </row>
        <row r="35">
          <cell r="B35" t="str">
            <v>Carpet</v>
          </cell>
          <cell r="C35">
            <v>-3.8185992981347638</v>
          </cell>
          <cell r="D35">
            <v>-2.3580317140332059</v>
          </cell>
          <cell r="E35" t="str">
            <v>NA</v>
          </cell>
          <cell r="F35">
            <v>1.0760471867025654</v>
          </cell>
          <cell r="G35">
            <v>2.0254519141196047E-2</v>
          </cell>
          <cell r="H35" t="str">
            <v>NA</v>
          </cell>
          <cell r="I35" t="str">
            <v>NA</v>
          </cell>
          <cell r="J35" t="str">
            <v>NA</v>
          </cell>
          <cell r="K35" t="str">
            <v>NA</v>
          </cell>
          <cell r="L35">
            <v>-3.8185992981347638</v>
          </cell>
          <cell r="M35">
            <v>-3.8185992981347638</v>
          </cell>
          <cell r="N35">
            <v>0</v>
          </cell>
          <cell r="O35">
            <v>0</v>
          </cell>
          <cell r="P35">
            <v>0</v>
          </cell>
          <cell r="Q35">
            <v>-3.8185992981347638</v>
          </cell>
          <cell r="R35">
            <v>-3.8185992981347638</v>
          </cell>
          <cell r="S35">
            <v>0</v>
          </cell>
          <cell r="T35">
            <v>0</v>
          </cell>
          <cell r="U35">
            <v>-1.4089323189981253</v>
          </cell>
          <cell r="V35">
            <v>-7.0124555797512235E-3</v>
          </cell>
          <cell r="W35">
            <v>-0.94208693945532929</v>
          </cell>
          <cell r="X35">
            <v>0</v>
          </cell>
          <cell r="Y35">
            <v>-2.3580317140332059</v>
          </cell>
          <cell r="Z35">
            <v>0</v>
          </cell>
          <cell r="AA35" t="str">
            <v>NA</v>
          </cell>
          <cell r="AB35" t="str">
            <v>NA</v>
          </cell>
          <cell r="AC35" t="str">
            <v>NA</v>
          </cell>
          <cell r="AD35" t="str">
            <v>NA</v>
          </cell>
          <cell r="AE35" t="str">
            <v>NA</v>
          </cell>
          <cell r="AF35">
            <v>0</v>
          </cell>
          <cell r="AG35">
            <v>8.9994096820590931E-3</v>
          </cell>
          <cell r="AH35">
            <v>1.6660509722096217</v>
          </cell>
          <cell r="AI35">
            <v>0</v>
          </cell>
          <cell r="AJ35">
            <v>-0.59900319518911549</v>
          </cell>
          <cell r="AK35">
            <v>0</v>
          </cell>
          <cell r="AL35">
            <v>1.0760471867025654</v>
          </cell>
          <cell r="AM35">
            <v>0</v>
          </cell>
          <cell r="AN35">
            <v>2.0254519141196047E-2</v>
          </cell>
          <cell r="AO35">
            <v>0</v>
          </cell>
          <cell r="AP35">
            <v>0</v>
          </cell>
          <cell r="AQ35">
            <v>0</v>
          </cell>
          <cell r="AR35">
            <v>2.0254519141196047E-2</v>
          </cell>
          <cell r="AS35">
            <v>-3.8388538172759601</v>
          </cell>
          <cell r="AT35">
            <v>-3.8388538172759601</v>
          </cell>
          <cell r="AU35">
            <v>-2.3782862331744021</v>
          </cell>
          <cell r="AV35" t="str">
            <v>NA</v>
          </cell>
          <cell r="AW35">
            <v>1.0557926675613694</v>
          </cell>
          <cell r="AX35">
            <v>3.2194082966638677</v>
          </cell>
          <cell r="AY35">
            <v>9.6147991293494536E-2</v>
          </cell>
          <cell r="AZ35">
            <v>0.50304301017740138</v>
          </cell>
          <cell r="BA35">
            <v>3.8185992981347638</v>
          </cell>
          <cell r="BB35">
            <v>1</v>
          </cell>
          <cell r="BC35">
            <v>3.2194082966638677</v>
          </cell>
          <cell r="BD35">
            <v>9.6147991293494536E-2</v>
          </cell>
          <cell r="BE35">
            <v>0.50304301017740138</v>
          </cell>
          <cell r="BF35">
            <v>3.8185992981347638</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row>
        <row r="36">
          <cell r="B36" t="str">
            <v>Personal Computers</v>
          </cell>
          <cell r="C36">
            <v>-50.486963654668344</v>
          </cell>
          <cell r="D36">
            <v>-2.5041000762874193</v>
          </cell>
          <cell r="E36" t="str">
            <v>NA</v>
          </cell>
          <cell r="F36">
            <v>-0.18779678745191503</v>
          </cell>
          <cell r="G36">
            <v>2.0254519141196047E-2</v>
          </cell>
          <cell r="H36" t="str">
            <v>NA</v>
          </cell>
          <cell r="I36" t="str">
            <v>NA</v>
          </cell>
          <cell r="J36" t="str">
            <v>NA</v>
          </cell>
          <cell r="K36" t="str">
            <v>NA</v>
          </cell>
          <cell r="L36">
            <v>-50.486963654668344</v>
          </cell>
          <cell r="M36">
            <v>-50.486963654668344</v>
          </cell>
          <cell r="N36">
            <v>0</v>
          </cell>
          <cell r="O36">
            <v>0</v>
          </cell>
          <cell r="P36">
            <v>0</v>
          </cell>
          <cell r="Q36">
            <v>-50.486963654668344</v>
          </cell>
          <cell r="R36">
            <v>-50.486963654668344</v>
          </cell>
          <cell r="S36">
            <v>0</v>
          </cell>
          <cell r="T36">
            <v>0</v>
          </cell>
          <cell r="U36">
            <v>-1.5826030079403322</v>
          </cell>
          <cell r="V36">
            <v>-3.8078132806195278E-2</v>
          </cell>
          <cell r="W36">
            <v>-0.88341893554089168</v>
          </cell>
          <cell r="X36">
            <v>0</v>
          </cell>
          <cell r="Y36">
            <v>-2.5041000762874193</v>
          </cell>
          <cell r="Z36">
            <v>0</v>
          </cell>
          <cell r="AA36" t="str">
            <v>NA</v>
          </cell>
          <cell r="AB36" t="str">
            <v>NA</v>
          </cell>
          <cell r="AC36" t="str">
            <v>NA</v>
          </cell>
          <cell r="AD36" t="str">
            <v>NA</v>
          </cell>
          <cell r="AE36" t="str">
            <v>NA</v>
          </cell>
          <cell r="AF36">
            <v>0</v>
          </cell>
          <cell r="AG36">
            <v>8.9994096820590931E-3</v>
          </cell>
          <cell r="AH36">
            <v>0.38120418475452611</v>
          </cell>
          <cell r="AI36">
            <v>0</v>
          </cell>
          <cell r="AJ36">
            <v>-0.12085152183640052</v>
          </cell>
          <cell r="AK36">
            <v>-0.4571488600520997</v>
          </cell>
          <cell r="AL36">
            <v>-0.18779678745191503</v>
          </cell>
          <cell r="AM36">
            <v>0</v>
          </cell>
          <cell r="AN36">
            <v>2.0254519141196047E-2</v>
          </cell>
          <cell r="AO36">
            <v>0</v>
          </cell>
          <cell r="AP36">
            <v>0</v>
          </cell>
          <cell r="AQ36">
            <v>0</v>
          </cell>
          <cell r="AR36">
            <v>2.0254519141196047E-2</v>
          </cell>
          <cell r="AS36">
            <v>-50.507218173809541</v>
          </cell>
          <cell r="AT36">
            <v>-50.507218173809541</v>
          </cell>
          <cell r="AU36">
            <v>-2.5243545954286155</v>
          </cell>
          <cell r="AV36" t="str">
            <v>NA</v>
          </cell>
          <cell r="AW36">
            <v>-0.20805130659311108</v>
          </cell>
          <cell r="AX36">
            <v>50.020131207142484</v>
          </cell>
          <cell r="AY36">
            <v>0.36754107773285666</v>
          </cell>
          <cell r="AZ36">
            <v>9.9291369793000267E-2</v>
          </cell>
          <cell r="BA36">
            <v>50.486963654668344</v>
          </cell>
          <cell r="BB36">
            <v>1</v>
          </cell>
          <cell r="BC36">
            <v>50.020131207142484</v>
          </cell>
          <cell r="BD36">
            <v>0.36754107773285666</v>
          </cell>
          <cell r="BE36">
            <v>9.9291369793000267E-2</v>
          </cell>
          <cell r="BF36">
            <v>50.486963654668344</v>
          </cell>
          <cell r="BG36" t="str">
            <v>NA</v>
          </cell>
          <cell r="BH36" t="str">
            <v>NA</v>
          </cell>
          <cell r="BI36" t="str">
            <v>NA</v>
          </cell>
          <cell r="BJ36" t="str">
            <v>NA</v>
          </cell>
          <cell r="BK36" t="str">
            <v>NA</v>
          </cell>
          <cell r="BL36" t="str">
            <v>NA</v>
          </cell>
          <cell r="BM36" t="str">
            <v>NA</v>
          </cell>
          <cell r="BN36" t="str">
            <v>NA</v>
          </cell>
          <cell r="BO36" t="str">
            <v>NA</v>
          </cell>
          <cell r="BP36" t="str">
            <v>NA</v>
          </cell>
          <cell r="BQ36" t="str">
            <v>NA</v>
          </cell>
          <cell r="BR36" t="str">
            <v>NA</v>
          </cell>
          <cell r="BS36" t="str">
            <v>NA</v>
          </cell>
          <cell r="BT36" t="str">
            <v>NA</v>
          </cell>
          <cell r="BU36" t="str">
            <v>NA</v>
          </cell>
          <cell r="BV36" t="str">
            <v>NA</v>
          </cell>
          <cell r="BW36" t="str">
            <v>NA</v>
          </cell>
          <cell r="BX36" t="str">
            <v>NA</v>
          </cell>
          <cell r="BY36" t="str">
            <v>NA</v>
          </cell>
          <cell r="BZ36" t="str">
            <v>NA</v>
          </cell>
          <cell r="CA36" t="str">
            <v>NA</v>
          </cell>
          <cell r="CB36" t="str">
            <v>NA</v>
          </cell>
          <cell r="CC36" t="str">
            <v>NA</v>
          </cell>
          <cell r="CD36" t="str">
            <v>NA</v>
          </cell>
          <cell r="CE36" t="str">
            <v>NA</v>
          </cell>
          <cell r="CF36" t="str">
            <v>NA</v>
          </cell>
          <cell r="CG36" t="str">
            <v>NA</v>
          </cell>
          <cell r="CH36" t="str">
            <v>NA</v>
          </cell>
          <cell r="CI36" t="str">
            <v>NA</v>
          </cell>
          <cell r="CJ36" t="str">
            <v>NA</v>
          </cell>
          <cell r="CK36" t="str">
            <v>NA</v>
          </cell>
          <cell r="CL36" t="str">
            <v>NA</v>
          </cell>
        </row>
        <row r="37">
          <cell r="B37" t="str">
            <v>Clay Bricks</v>
          </cell>
          <cell r="C37">
            <v>-0.27330976660243145</v>
          </cell>
          <cell r="D37" t="str">
            <v>NA</v>
          </cell>
          <cell r="E37" t="str">
            <v>NA</v>
          </cell>
          <cell r="F37" t="str">
            <v>NA</v>
          </cell>
          <cell r="G37">
            <v>2.0254519141196047E-2</v>
          </cell>
          <cell r="H37" t="str">
            <v>NA</v>
          </cell>
          <cell r="I37" t="str">
            <v>NA</v>
          </cell>
          <cell r="J37" t="str">
            <v>NA</v>
          </cell>
          <cell r="K37" t="str">
            <v>NA</v>
          </cell>
          <cell r="L37">
            <v>-0.27330976660243145</v>
          </cell>
          <cell r="M37">
            <v>-0.27330976660243145</v>
          </cell>
          <cell r="N37">
            <v>0</v>
          </cell>
          <cell r="O37">
            <v>0</v>
          </cell>
          <cell r="P37">
            <v>0</v>
          </cell>
          <cell r="Q37">
            <v>-0.27330976660243145</v>
          </cell>
          <cell r="R37">
            <v>-0.27330976660243145</v>
          </cell>
          <cell r="S37" t="str">
            <v>NA</v>
          </cell>
          <cell r="T37" t="str">
            <v>NA</v>
          </cell>
          <cell r="U37" t="str">
            <v>NA</v>
          </cell>
          <cell r="V37" t="str">
            <v>NA</v>
          </cell>
          <cell r="W37" t="str">
            <v>NA</v>
          </cell>
          <cell r="X37" t="str">
            <v>NA</v>
          </cell>
          <cell r="Y37" t="str">
            <v>NA</v>
          </cell>
          <cell r="Z37" t="str">
            <v>NA</v>
          </cell>
          <cell r="AA37" t="str">
            <v>NA</v>
          </cell>
          <cell r="AB37" t="str">
            <v>NA</v>
          </cell>
          <cell r="AC37" t="str">
            <v>NA</v>
          </cell>
          <cell r="AD37" t="str">
            <v>NA</v>
          </cell>
          <cell r="AE37" t="str">
            <v>NA</v>
          </cell>
          <cell r="AF37">
            <v>0</v>
          </cell>
          <cell r="AG37">
            <v>8.9994096820590931E-3</v>
          </cell>
          <cell r="AH37" t="str">
            <v>NA</v>
          </cell>
          <cell r="AI37" t="str">
            <v>NA</v>
          </cell>
          <cell r="AJ37" t="str">
            <v>NA</v>
          </cell>
          <cell r="AK37" t="str">
            <v>NA</v>
          </cell>
          <cell r="AL37" t="str">
            <v>NA</v>
          </cell>
          <cell r="AM37">
            <v>0</v>
          </cell>
          <cell r="AN37">
            <v>2.0254519141196047E-2</v>
          </cell>
          <cell r="AO37">
            <v>0</v>
          </cell>
          <cell r="AP37">
            <v>0</v>
          </cell>
          <cell r="AQ37">
            <v>0</v>
          </cell>
          <cell r="AR37">
            <v>2.0254519141196047E-2</v>
          </cell>
          <cell r="AS37">
            <v>-0.29356428574362747</v>
          </cell>
          <cell r="AT37">
            <v>-0.29356428574362747</v>
          </cell>
          <cell r="AU37">
            <v>-2.0254519141196047E-2</v>
          </cell>
          <cell r="AV37" t="str">
            <v>NA</v>
          </cell>
          <cell r="AW37">
            <v>-2.0254519141196047E-2</v>
          </cell>
          <cell r="AX37">
            <v>0.27103966310019134</v>
          </cell>
          <cell r="AY37">
            <v>2.2701035022401118E-3</v>
          </cell>
          <cell r="AZ37">
            <v>0</v>
          </cell>
          <cell r="BA37">
            <v>0.27330976660243145</v>
          </cell>
          <cell r="BB37">
            <v>1</v>
          </cell>
          <cell r="BC37">
            <v>0.27103966310019134</v>
          </cell>
          <cell r="BD37">
            <v>2.2701035022401118E-3</v>
          </cell>
          <cell r="BE37">
            <v>0</v>
          </cell>
          <cell r="BF37">
            <v>0.27330976660243145</v>
          </cell>
          <cell r="BG37">
            <v>0</v>
          </cell>
          <cell r="BH37">
            <v>0</v>
          </cell>
          <cell r="BI37">
            <v>0</v>
          </cell>
          <cell r="BJ37">
            <v>0</v>
          </cell>
          <cell r="BK37" t="str">
            <v>NA</v>
          </cell>
          <cell r="BL37" t="str">
            <v>NA</v>
          </cell>
          <cell r="BM37" t="str">
            <v>NA</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cell r="CI37" t="str">
            <v>NA</v>
          </cell>
          <cell r="CJ37" t="str">
            <v>NA</v>
          </cell>
          <cell r="CK37" t="str">
            <v>NA</v>
          </cell>
          <cell r="CL37" t="str">
            <v>NA</v>
          </cell>
        </row>
        <row r="38">
          <cell r="B38" t="str">
            <v>Concrete</v>
          </cell>
          <cell r="C38" t="str">
            <v>NA</v>
          </cell>
          <cell r="D38">
            <v>-7.9565158594323455E-3</v>
          </cell>
          <cell r="E38" t="str">
            <v>NA</v>
          </cell>
          <cell r="F38" t="str">
            <v>NA</v>
          </cell>
          <cell r="G38">
            <v>2.0254519141196047E-2</v>
          </cell>
          <cell r="H38" t="str">
            <v>NA</v>
          </cell>
          <cell r="I38" t="str">
            <v>NA</v>
          </cell>
          <cell r="J38" t="str">
            <v>NA</v>
          </cell>
          <cell r="K38" t="str">
            <v>NA</v>
          </cell>
          <cell r="L38" t="str">
            <v>NA</v>
          </cell>
          <cell r="M38" t="str">
            <v>NA</v>
          </cell>
          <cell r="N38" t="str">
            <v>NA</v>
          </cell>
          <cell r="O38" t="str">
            <v>NA</v>
          </cell>
          <cell r="P38" t="str">
            <v>NA</v>
          </cell>
          <cell r="Q38" t="str">
            <v>NA</v>
          </cell>
          <cell r="R38" t="str">
            <v>NA</v>
          </cell>
          <cell r="S38">
            <v>0</v>
          </cell>
          <cell r="T38">
            <v>0</v>
          </cell>
          <cell r="U38">
            <v>-1.044191120954233E-3</v>
          </cell>
          <cell r="V38">
            <v>-6.9123247384781121E-3</v>
          </cell>
          <cell r="W38">
            <v>0</v>
          </cell>
          <cell r="X38">
            <v>0</v>
          </cell>
          <cell r="Y38">
            <v>-7.9565158594323455E-3</v>
          </cell>
          <cell r="Z38" t="str">
            <v>NA</v>
          </cell>
          <cell r="AA38" t="str">
            <v>NA</v>
          </cell>
          <cell r="AB38" t="str">
            <v>NA</v>
          </cell>
          <cell r="AC38" t="str">
            <v>NA</v>
          </cell>
          <cell r="AD38" t="str">
            <v>NA</v>
          </cell>
          <cell r="AE38" t="str">
            <v>NA</v>
          </cell>
          <cell r="AF38" t="str">
            <v>NA</v>
          </cell>
          <cell r="AG38" t="str">
            <v>NA</v>
          </cell>
          <cell r="AH38" t="str">
            <v>NA</v>
          </cell>
          <cell r="AI38" t="str">
            <v>NA</v>
          </cell>
          <cell r="AJ38" t="str">
            <v>NA</v>
          </cell>
          <cell r="AK38" t="str">
            <v>NA</v>
          </cell>
          <cell r="AL38" t="str">
            <v>NA</v>
          </cell>
          <cell r="AM38">
            <v>0</v>
          </cell>
          <cell r="AN38">
            <v>2.0254519141196047E-2</v>
          </cell>
          <cell r="AO38">
            <v>0</v>
          </cell>
          <cell r="AP38">
            <v>0</v>
          </cell>
          <cell r="AQ38">
            <v>0</v>
          </cell>
          <cell r="AR38">
            <v>2.0254519141196047E-2</v>
          </cell>
          <cell r="AS38">
            <v>-2.0254519141196047E-2</v>
          </cell>
          <cell r="AT38">
            <v>-2.0254519141196047E-2</v>
          </cell>
          <cell r="AU38">
            <v>-2.8211035000628392E-2</v>
          </cell>
          <cell r="AV38" t="str">
            <v>NA</v>
          </cell>
          <cell r="AW38">
            <v>-2.0254519141196047E-2</v>
          </cell>
          <cell r="AX38">
            <v>3.2991777980361874E-3</v>
          </cell>
          <cell r="AY38">
            <v>1.3817981639587919E-2</v>
          </cell>
          <cell r="AZ38">
            <v>0</v>
          </cell>
          <cell r="BA38">
            <v>1.7117159437624107E-2</v>
          </cell>
          <cell r="BB38" t="str">
            <v>NA</v>
          </cell>
          <cell r="BC38" t="str">
            <v>NA</v>
          </cell>
          <cell r="BD38" t="str">
            <v>NA</v>
          </cell>
          <cell r="BE38" t="str">
            <v>NA</v>
          </cell>
          <cell r="BF38" t="str">
            <v>NA</v>
          </cell>
          <cell r="BG38">
            <v>2.2549866770819544E-3</v>
          </cell>
          <cell r="BH38">
            <v>6.905656901109807E-3</v>
          </cell>
          <cell r="BI38">
            <v>0</v>
          </cell>
          <cell r="BJ38">
            <v>9.1606435781917614E-3</v>
          </cell>
          <cell r="BK38" t="str">
            <v>NA</v>
          </cell>
          <cell r="BL38" t="str">
            <v>NA</v>
          </cell>
          <cell r="BM38" t="str">
            <v>NA</v>
          </cell>
          <cell r="BN38" t="str">
            <v>NA</v>
          </cell>
          <cell r="BO38" t="str">
            <v>NA</v>
          </cell>
          <cell r="BP38" t="str">
            <v>NA</v>
          </cell>
          <cell r="BQ38" t="str">
            <v>NA</v>
          </cell>
          <cell r="BR38" t="str">
            <v>NA</v>
          </cell>
          <cell r="BS38" t="str">
            <v>NA</v>
          </cell>
          <cell r="BT38" t="str">
            <v>NA</v>
          </cell>
          <cell r="BU38" t="str">
            <v>NA</v>
          </cell>
          <cell r="BV38" t="str">
            <v>NA</v>
          </cell>
          <cell r="BW38" t="str">
            <v>NA</v>
          </cell>
          <cell r="BX38" t="str">
            <v>NA</v>
          </cell>
          <cell r="BY38" t="str">
            <v>NA</v>
          </cell>
          <cell r="BZ38" t="str">
            <v>NA</v>
          </cell>
          <cell r="CA38" t="str">
            <v>NA</v>
          </cell>
          <cell r="CB38" t="str">
            <v>NA</v>
          </cell>
          <cell r="CC38" t="str">
            <v>NA</v>
          </cell>
          <cell r="CD38" t="str">
            <v>NA</v>
          </cell>
          <cell r="CE38" t="str">
            <v>NA</v>
          </cell>
          <cell r="CF38" t="str">
            <v>NA</v>
          </cell>
          <cell r="CG38" t="str">
            <v>NA</v>
          </cell>
          <cell r="CH38" t="str">
            <v>NA</v>
          </cell>
          <cell r="CI38" t="str">
            <v>NA</v>
          </cell>
          <cell r="CJ38" t="str">
            <v>NA</v>
          </cell>
          <cell r="CK38" t="str">
            <v>NA</v>
          </cell>
          <cell r="CL38" t="str">
            <v>NA</v>
          </cell>
        </row>
        <row r="39">
          <cell r="B39" t="str">
            <v>Fly Ash</v>
          </cell>
          <cell r="C39" t="str">
            <v>NA</v>
          </cell>
          <cell r="D39">
            <v>-0.86757417398485015</v>
          </cell>
          <cell r="E39" t="str">
            <v>NA</v>
          </cell>
          <cell r="F39" t="str">
            <v>NA</v>
          </cell>
          <cell r="G39">
            <v>2.0254519141196047E-2</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v>0</v>
          </cell>
          <cell r="T39">
            <v>0</v>
          </cell>
          <cell r="U39">
            <v>-0.41916059905234299</v>
          </cell>
          <cell r="V39">
            <v>0</v>
          </cell>
          <cell r="W39">
            <v>-0.44841357493250716</v>
          </cell>
          <cell r="X39">
            <v>0</v>
          </cell>
          <cell r="Y39">
            <v>-0.86757417398485015</v>
          </cell>
          <cell r="Z39" t="str">
            <v>NA</v>
          </cell>
          <cell r="AA39" t="str">
            <v>NA</v>
          </cell>
          <cell r="AB39" t="str">
            <v>NA</v>
          </cell>
          <cell r="AC39" t="str">
            <v>NA</v>
          </cell>
          <cell r="AD39" t="str">
            <v>NA</v>
          </cell>
          <cell r="AE39" t="str">
            <v>NA</v>
          </cell>
          <cell r="AF39" t="str">
            <v>NA</v>
          </cell>
          <cell r="AG39" t="str">
            <v>NA</v>
          </cell>
          <cell r="AH39" t="str">
            <v>NA</v>
          </cell>
          <cell r="AI39" t="str">
            <v>NA</v>
          </cell>
          <cell r="AJ39" t="str">
            <v>NA</v>
          </cell>
          <cell r="AK39" t="str">
            <v>NA</v>
          </cell>
          <cell r="AL39" t="str">
            <v>NA</v>
          </cell>
          <cell r="AM39">
            <v>0</v>
          </cell>
          <cell r="AN39">
            <v>2.0254519141196047E-2</v>
          </cell>
          <cell r="AO39">
            <v>0</v>
          </cell>
          <cell r="AP39">
            <v>0</v>
          </cell>
          <cell r="AQ39">
            <v>0</v>
          </cell>
          <cell r="AR39">
            <v>2.0254519141196047E-2</v>
          </cell>
          <cell r="AS39">
            <v>-2.0254519141196047E-2</v>
          </cell>
          <cell r="AT39">
            <v>-2.0254519141196047E-2</v>
          </cell>
          <cell r="AU39">
            <v>-0.88782869312604618</v>
          </cell>
          <cell r="AV39" t="str">
            <v>NA</v>
          </cell>
          <cell r="AW39">
            <v>-2.0254519141196047E-2</v>
          </cell>
          <cell r="AX39">
            <v>0.41916059905234299</v>
          </cell>
          <cell r="AY39">
            <v>7.7034373349999987E-3</v>
          </cell>
          <cell r="AZ39">
            <v>0.44841357493250716</v>
          </cell>
          <cell r="BA39">
            <v>0.87527761131985016</v>
          </cell>
          <cell r="BB39" t="str">
            <v>NA</v>
          </cell>
          <cell r="BC39" t="str">
            <v>NA</v>
          </cell>
          <cell r="BD39" t="str">
            <v>NA</v>
          </cell>
          <cell r="BE39" t="str">
            <v>NA</v>
          </cell>
          <cell r="BF39" t="str">
            <v>NA</v>
          </cell>
          <cell r="BG39">
            <v>0</v>
          </cell>
          <cell r="BH39">
            <v>7.7034373349999987E-3</v>
          </cell>
          <cell r="BI39">
            <v>0</v>
          </cell>
          <cell r="BJ39">
            <v>7.7034373349999987E-3</v>
          </cell>
          <cell r="BK39" t="str">
            <v>NA</v>
          </cell>
          <cell r="BL39" t="str">
            <v>NA</v>
          </cell>
          <cell r="BM39" t="str">
            <v>NA</v>
          </cell>
          <cell r="BN39" t="str">
            <v>NA</v>
          </cell>
          <cell r="BO39" t="str">
            <v>NA</v>
          </cell>
          <cell r="BP39" t="str">
            <v>NA</v>
          </cell>
          <cell r="BQ39" t="str">
            <v>NA</v>
          </cell>
          <cell r="BR39" t="str">
            <v>NA</v>
          </cell>
          <cell r="BS39" t="str">
            <v>NA</v>
          </cell>
          <cell r="BT39" t="str">
            <v>NA</v>
          </cell>
          <cell r="BU39" t="str">
            <v>NA</v>
          </cell>
          <cell r="BV39" t="str">
            <v>NA</v>
          </cell>
          <cell r="BW39" t="str">
            <v>NA</v>
          </cell>
          <cell r="BX39" t="str">
            <v>NA</v>
          </cell>
          <cell r="BY39" t="str">
            <v>NA</v>
          </cell>
          <cell r="BZ39" t="str">
            <v>NA</v>
          </cell>
          <cell r="CA39" t="str">
            <v>NA</v>
          </cell>
          <cell r="CB39" t="str">
            <v>NA</v>
          </cell>
          <cell r="CC39" t="str">
            <v>NA</v>
          </cell>
          <cell r="CD39" t="str">
            <v>NA</v>
          </cell>
          <cell r="CE39" t="str">
            <v>NA</v>
          </cell>
          <cell r="CF39" t="str">
            <v>NA</v>
          </cell>
          <cell r="CG39" t="str">
            <v>NA</v>
          </cell>
          <cell r="CH39" t="str">
            <v>NA</v>
          </cell>
          <cell r="CI39" t="str">
            <v>NA</v>
          </cell>
          <cell r="CJ39" t="str">
            <v>NA</v>
          </cell>
          <cell r="CK39" t="str">
            <v>NA</v>
          </cell>
          <cell r="CL39" t="str">
            <v>NA</v>
          </cell>
        </row>
        <row r="40">
          <cell r="B40" t="str">
            <v>Tires</v>
          </cell>
          <cell r="C40">
            <v>-4.2818266224497741</v>
          </cell>
          <cell r="D40">
            <v>-0.37616048668732771</v>
          </cell>
          <cell r="E40" t="str">
            <v>NA</v>
          </cell>
          <cell r="F40">
            <v>0.50582472314229987</v>
          </cell>
          <cell r="G40">
            <v>2.0254519141196047E-2</v>
          </cell>
          <cell r="H40" t="str">
            <v>NA</v>
          </cell>
          <cell r="I40" t="str">
            <v>NA</v>
          </cell>
          <cell r="J40" t="str">
            <v>NA</v>
          </cell>
          <cell r="K40" t="str">
            <v>NA</v>
          </cell>
          <cell r="L40">
            <v>-4.2818266224497741</v>
          </cell>
          <cell r="M40">
            <v>-4.4378419265320286</v>
          </cell>
          <cell r="N40">
            <v>0</v>
          </cell>
          <cell r="O40">
            <v>0</v>
          </cell>
          <cell r="P40">
            <v>0</v>
          </cell>
          <cell r="Q40">
            <v>-4.2818266224497741</v>
          </cell>
          <cell r="R40">
            <v>-4.4378419265320286</v>
          </cell>
          <cell r="S40">
            <v>0</v>
          </cell>
          <cell r="T40">
            <v>0</v>
          </cell>
          <cell r="U40">
            <v>-0.45846589872402344</v>
          </cell>
          <cell r="V40">
            <v>8.230541203669571E-2</v>
          </cell>
          <cell r="W40">
            <v>0</v>
          </cell>
          <cell r="X40">
            <v>0</v>
          </cell>
          <cell r="Y40">
            <v>-0.37616048668732771</v>
          </cell>
          <cell r="Z40" t="str">
            <v>NA</v>
          </cell>
          <cell r="AA40" t="str">
            <v>NA</v>
          </cell>
          <cell r="AB40" t="str">
            <v>NA</v>
          </cell>
          <cell r="AC40" t="str">
            <v>NA</v>
          </cell>
          <cell r="AD40" t="str">
            <v>NA</v>
          </cell>
          <cell r="AE40" t="str">
            <v>NA</v>
          </cell>
          <cell r="AF40">
            <v>0</v>
          </cell>
          <cell r="AG40">
            <v>8.9994096820590931E-3</v>
          </cell>
          <cell r="AH40">
            <v>2.1976090014064695</v>
          </cell>
          <cell r="AI40">
            <v>0</v>
          </cell>
          <cell r="AJ40">
            <v>-1.5659939377631629</v>
          </cell>
          <cell r="AK40">
            <v>-0.13478975018306597</v>
          </cell>
          <cell r="AL40">
            <v>0.50582472314229987</v>
          </cell>
          <cell r="AM40">
            <v>0</v>
          </cell>
          <cell r="AN40">
            <v>2.0254519141196047E-2</v>
          </cell>
          <cell r="AO40">
            <v>0</v>
          </cell>
          <cell r="AP40">
            <v>0</v>
          </cell>
          <cell r="AQ40">
            <v>0</v>
          </cell>
          <cell r="AR40">
            <v>2.0254519141196047E-2</v>
          </cell>
          <cell r="AS40">
            <v>-4.3020811415909703</v>
          </cell>
          <cell r="AT40">
            <v>-4.4580964456732248</v>
          </cell>
          <cell r="AU40">
            <v>-0.39641500582852374</v>
          </cell>
          <cell r="AV40" t="str">
            <v>NA</v>
          </cell>
          <cell r="AW40">
            <v>0.48557020400110384</v>
          </cell>
          <cell r="AX40">
            <v>4.3979483217700759</v>
          </cell>
          <cell r="AY40">
            <v>3.9893604761952785E-2</v>
          </cell>
          <cell r="AZ40">
            <v>0</v>
          </cell>
          <cell r="BA40">
            <v>4.4378419265320286</v>
          </cell>
          <cell r="BB40">
            <v>0.96314444444444447</v>
          </cell>
          <cell r="BC40">
            <v>4.2396115030350465</v>
          </cell>
          <cell r="BD40">
            <v>4.2215119414727671E-2</v>
          </cell>
          <cell r="BE40">
            <v>0</v>
          </cell>
          <cell r="BF40">
            <v>4.2818266224497741</v>
          </cell>
          <cell r="BG40">
            <v>0.10180310435897257</v>
          </cell>
          <cell r="BH40">
            <v>0.10288314915439772</v>
          </cell>
          <cell r="BI40">
            <v>0</v>
          </cell>
          <cell r="BJ40">
            <v>0.20468625351337028</v>
          </cell>
          <cell r="BK40" t="str">
            <v>NA</v>
          </cell>
          <cell r="BL40" t="str">
            <v>NA</v>
          </cell>
          <cell r="BM40" t="str">
            <v>NA</v>
          </cell>
          <cell r="BN40" t="str">
            <v>NA</v>
          </cell>
          <cell r="BO40" t="str">
            <v>NA</v>
          </cell>
          <cell r="BP40" t="str">
            <v>NA</v>
          </cell>
          <cell r="BQ40" t="str">
            <v>NA</v>
          </cell>
          <cell r="BR40" t="str">
            <v>NA</v>
          </cell>
          <cell r="BS40" t="str">
            <v>NA</v>
          </cell>
          <cell r="BT40" t="str">
            <v>NA</v>
          </cell>
          <cell r="BU40" t="str">
            <v>NA</v>
          </cell>
          <cell r="BV40" t="str">
            <v>NA</v>
          </cell>
          <cell r="BW40" t="str">
            <v>NA</v>
          </cell>
          <cell r="BX40" t="str">
            <v>NA</v>
          </cell>
          <cell r="BY40" t="str">
            <v>NA</v>
          </cell>
          <cell r="BZ40" t="str">
            <v>NA</v>
          </cell>
          <cell r="CA40" t="str">
            <v>NA</v>
          </cell>
          <cell r="CB40" t="str">
            <v>NA</v>
          </cell>
          <cell r="CC40" t="str">
            <v>NA</v>
          </cell>
          <cell r="CD40" t="str">
            <v>NA</v>
          </cell>
          <cell r="CE40" t="str">
            <v>NA</v>
          </cell>
          <cell r="CF40" t="str">
            <v>NA</v>
          </cell>
          <cell r="CG40" t="str">
            <v>NA</v>
          </cell>
          <cell r="CH40" t="str">
            <v>NA</v>
          </cell>
          <cell r="CI40" t="str">
            <v>NA</v>
          </cell>
          <cell r="CJ40" t="str">
            <v>NA</v>
          </cell>
          <cell r="CK40" t="str">
            <v>NA</v>
          </cell>
          <cell r="CL40" t="str">
            <v>NA</v>
          </cell>
        </row>
        <row r="41">
          <cell r="B41" t="str">
            <v>Asphalt Concrete</v>
          </cell>
          <cell r="C41">
            <v>-0.11121434837019081</v>
          </cell>
          <cell r="D41">
            <v>-8.1312961150786012E-2</v>
          </cell>
          <cell r="E41" t="str">
            <v>NA</v>
          </cell>
          <cell r="F41" t="str">
            <v>NA</v>
          </cell>
          <cell r="G41">
            <v>2.0254519141196047E-2</v>
          </cell>
          <cell r="H41" t="str">
            <v>NA</v>
          </cell>
          <cell r="I41" t="str">
            <v>NA</v>
          </cell>
          <cell r="J41" t="str">
            <v>NA</v>
          </cell>
          <cell r="K41" t="str">
            <v>NA</v>
          </cell>
          <cell r="L41">
            <v>-0.11121434837019081</v>
          </cell>
          <cell r="M41">
            <v>-0.11121434837019081</v>
          </cell>
          <cell r="N41">
            <v>0</v>
          </cell>
          <cell r="O41">
            <v>0</v>
          </cell>
          <cell r="P41">
            <v>0</v>
          </cell>
          <cell r="Q41">
            <v>-0.11121434837019081</v>
          </cell>
          <cell r="R41">
            <v>-0.11121434837019081</v>
          </cell>
          <cell r="U41">
            <v>-3.1434494370447298E-2</v>
          </cell>
          <cell r="V41">
            <v>-4.987846678033872E-2</v>
          </cell>
          <cell r="W41">
            <v>0</v>
          </cell>
          <cell r="X41" t="str">
            <v>NA</v>
          </cell>
          <cell r="Y41">
            <v>-8.1312961150786012E-2</v>
          </cell>
          <cell r="Z41" t="str">
            <v>NA</v>
          </cell>
          <cell r="AA41" t="str">
            <v>NA</v>
          </cell>
          <cell r="AB41" t="str">
            <v>NA</v>
          </cell>
          <cell r="AC41" t="str">
            <v>NA</v>
          </cell>
          <cell r="AD41" t="str">
            <v>NA</v>
          </cell>
          <cell r="AE41" t="str">
            <v>NA</v>
          </cell>
          <cell r="AF41" t="str">
            <v>NA</v>
          </cell>
          <cell r="AG41" t="str">
            <v>NA</v>
          </cell>
          <cell r="AH41" t="str">
            <v>NA</v>
          </cell>
          <cell r="AI41" t="str">
            <v>NA</v>
          </cell>
          <cell r="AJ41" t="str">
            <v>NA</v>
          </cell>
          <cell r="AK41" t="str">
            <v>NA</v>
          </cell>
          <cell r="AL41" t="str">
            <v>NA</v>
          </cell>
          <cell r="AM41">
            <v>0</v>
          </cell>
          <cell r="AN41">
            <v>2.0254519141196047E-2</v>
          </cell>
          <cell r="AO41">
            <v>0</v>
          </cell>
          <cell r="AP41">
            <v>0</v>
          </cell>
          <cell r="AQ41">
            <v>0</v>
          </cell>
          <cell r="AR41">
            <v>2.0254519141196047E-2</v>
          </cell>
          <cell r="AS41">
            <v>-0.13146886751138687</v>
          </cell>
          <cell r="AT41">
            <v>-0.13146886751138687</v>
          </cell>
          <cell r="AU41">
            <v>-0.10156748029198207</v>
          </cell>
          <cell r="AV41" t="str">
            <v>NA</v>
          </cell>
          <cell r="AW41" t="str">
            <v>NA</v>
          </cell>
          <cell r="AX41">
            <v>5.7815343094385428E-2</v>
          </cell>
          <cell r="AY41">
            <v>5.3399005275805385E-2</v>
          </cell>
          <cell r="AZ41">
            <v>0</v>
          </cell>
          <cell r="BA41">
            <v>0.11121434837019081</v>
          </cell>
          <cell r="BB41">
            <v>1</v>
          </cell>
          <cell r="BC41">
            <v>5.7815343094385428E-2</v>
          </cell>
          <cell r="BD41">
            <v>5.3399005275805385E-2</v>
          </cell>
          <cell r="BE41">
            <v>0</v>
          </cell>
          <cell r="BF41">
            <v>0.11121434837019081</v>
          </cell>
          <cell r="BG41">
            <v>2.638084872393813E-2</v>
          </cell>
          <cell r="BH41">
            <v>3.5205384954666674E-3</v>
          </cell>
          <cell r="BI41">
            <v>0</v>
          </cell>
          <cell r="BJ41">
            <v>2.9901387219404798E-2</v>
          </cell>
          <cell r="BK41" t="str">
            <v>NA</v>
          </cell>
          <cell r="BL41" t="str">
            <v>NA</v>
          </cell>
          <cell r="BM41" t="str">
            <v>NA</v>
          </cell>
          <cell r="BN41" t="str">
            <v>NA</v>
          </cell>
          <cell r="BO41" t="str">
            <v>NA</v>
          </cell>
          <cell r="BP41" t="str">
            <v>NA</v>
          </cell>
          <cell r="BQ41" t="str">
            <v>NA</v>
          </cell>
          <cell r="BR41" t="str">
            <v>NA</v>
          </cell>
          <cell r="BS41" t="str">
            <v>NA</v>
          </cell>
          <cell r="BT41" t="str">
            <v>NA</v>
          </cell>
          <cell r="BU41" t="str">
            <v>NA</v>
          </cell>
          <cell r="BV41" t="str">
            <v>NA</v>
          </cell>
          <cell r="BW41" t="str">
            <v>NA</v>
          </cell>
          <cell r="BX41" t="str">
            <v>NA</v>
          </cell>
          <cell r="BY41" t="str">
            <v>NA</v>
          </cell>
          <cell r="BZ41" t="str">
            <v>NA</v>
          </cell>
          <cell r="CA41" t="str">
            <v>NA</v>
          </cell>
          <cell r="CB41" t="str">
            <v>NA</v>
          </cell>
          <cell r="CC41" t="str">
            <v>NA</v>
          </cell>
          <cell r="CD41" t="str">
            <v>NA</v>
          </cell>
          <cell r="CE41" t="str">
            <v>NA</v>
          </cell>
          <cell r="CF41" t="str">
            <v>NA</v>
          </cell>
          <cell r="CG41" t="str">
            <v>NA</v>
          </cell>
          <cell r="CH41" t="str">
            <v>NA</v>
          </cell>
          <cell r="CI41" t="str">
            <v>NA</v>
          </cell>
          <cell r="CJ41" t="str">
            <v>NA</v>
          </cell>
          <cell r="CK41" t="str">
            <v>NA</v>
          </cell>
          <cell r="CL41" t="str">
            <v>NA</v>
          </cell>
        </row>
        <row r="42">
          <cell r="B42" t="str">
            <v>Asphalt Shingles</v>
          </cell>
          <cell r="C42">
            <v>-0.19361613190346125</v>
          </cell>
          <cell r="D42">
            <v>-9.066058992224707E-2</v>
          </cell>
          <cell r="E42" t="str">
            <v>NA</v>
          </cell>
          <cell r="F42">
            <v>-0.35461659031794068</v>
          </cell>
          <cell r="G42">
            <v>2.0254519141196047E-2</v>
          </cell>
          <cell r="H42" t="str">
            <v>NA</v>
          </cell>
          <cell r="I42" t="str">
            <v>NA</v>
          </cell>
          <cell r="J42" t="str">
            <v>NA</v>
          </cell>
          <cell r="K42" t="str">
            <v>NA</v>
          </cell>
          <cell r="L42">
            <v>-0.19361613190346125</v>
          </cell>
          <cell r="M42">
            <v>-0.19361613190346125</v>
          </cell>
          <cell r="N42">
            <v>0</v>
          </cell>
          <cell r="O42">
            <v>0</v>
          </cell>
          <cell r="P42">
            <v>0</v>
          </cell>
          <cell r="Q42">
            <v>-0.19361613190346125</v>
          </cell>
          <cell r="R42">
            <v>-0.19361613190346125</v>
          </cell>
          <cell r="S42">
            <v>0</v>
          </cell>
          <cell r="T42">
            <v>0</v>
          </cell>
          <cell r="U42">
            <v>-0.1087391053374223</v>
          </cell>
          <cell r="V42">
            <v>1.8078515415175224E-2</v>
          </cell>
          <cell r="X42" t="str">
            <v>NA</v>
          </cell>
          <cell r="Y42">
            <v>-9.066058992224707E-2</v>
          </cell>
          <cell r="Z42" t="str">
            <v>NA</v>
          </cell>
          <cell r="AA42" t="str">
            <v>NA</v>
          </cell>
          <cell r="AB42" t="str">
            <v>NA</v>
          </cell>
          <cell r="AC42" t="str">
            <v>NA</v>
          </cell>
          <cell r="AD42" t="str">
            <v>NA</v>
          </cell>
          <cell r="AE42" t="str">
            <v>NA</v>
          </cell>
          <cell r="AF42">
            <v>0</v>
          </cell>
          <cell r="AG42">
            <v>8.9994096820590931E-3</v>
          </cell>
          <cell r="AH42">
            <v>0.65307733333333318</v>
          </cell>
          <cell r="AI42">
            <v>3.6666666666666667E-2</v>
          </cell>
          <cell r="AJ42">
            <v>-1.0533599999999996</v>
          </cell>
          <cell r="AK42">
            <v>0</v>
          </cell>
          <cell r="AL42">
            <v>-0.35461659031794068</v>
          </cell>
          <cell r="AM42">
            <v>0</v>
          </cell>
          <cell r="AN42">
            <v>2.0254519141196047E-2</v>
          </cell>
          <cell r="AO42">
            <v>0</v>
          </cell>
          <cell r="AP42">
            <v>0</v>
          </cell>
          <cell r="AQ42">
            <v>0</v>
          </cell>
          <cell r="AR42">
            <v>2.0254519141196047E-2</v>
          </cell>
          <cell r="AS42">
            <v>-0.2138706510446573</v>
          </cell>
          <cell r="AT42">
            <v>-0.2138706510446573</v>
          </cell>
          <cell r="AU42">
            <v>-0.11091510906344312</v>
          </cell>
          <cell r="AV42" t="str">
            <v>NA</v>
          </cell>
          <cell r="AW42">
            <v>-0.37487110945913671</v>
          </cell>
          <cell r="AX42">
            <v>0.12250378915221129</v>
          </cell>
          <cell r="AY42">
            <v>7.111234275124996E-2</v>
          </cell>
          <cell r="AZ42">
            <v>0</v>
          </cell>
          <cell r="BA42">
            <v>0.19361613190346125</v>
          </cell>
          <cell r="BB42">
            <v>1</v>
          </cell>
          <cell r="BC42">
            <v>0.12250378915221129</v>
          </cell>
          <cell r="BD42">
            <v>7.111234275124996E-2</v>
          </cell>
          <cell r="BE42">
            <v>0</v>
          </cell>
          <cell r="BF42">
            <v>0.19361613190346125</v>
          </cell>
          <cell r="BG42">
            <v>2.6072427694438481E-3</v>
          </cell>
          <cell r="BH42">
            <v>3.4874655226838434E-2</v>
          </cell>
          <cell r="BI42">
            <v>0</v>
          </cell>
          <cell r="BJ42">
            <v>3.7481897996282279E-2</v>
          </cell>
          <cell r="BK42" t="str">
            <v>NA</v>
          </cell>
          <cell r="BL42" t="str">
            <v>NA</v>
          </cell>
          <cell r="BM42" t="str">
            <v>NA</v>
          </cell>
          <cell r="BN42" t="str">
            <v>NA</v>
          </cell>
          <cell r="BO42" t="str">
            <v>NA</v>
          </cell>
          <cell r="BP42" t="str">
            <v>NA</v>
          </cell>
          <cell r="BQ42" t="str">
            <v>NA</v>
          </cell>
          <cell r="BR42" t="str">
            <v>NA</v>
          </cell>
          <cell r="BS42" t="str">
            <v>NA</v>
          </cell>
          <cell r="BT42" t="str">
            <v>NA</v>
          </cell>
          <cell r="BU42" t="str">
            <v>NA</v>
          </cell>
          <cell r="BV42" t="str">
            <v>NA</v>
          </cell>
          <cell r="BW42" t="str">
            <v>NA</v>
          </cell>
          <cell r="BX42" t="str">
            <v>NA</v>
          </cell>
          <cell r="BY42" t="str">
            <v>NA</v>
          </cell>
          <cell r="BZ42" t="str">
            <v>NA</v>
          </cell>
          <cell r="CA42" t="str">
            <v>NA</v>
          </cell>
          <cell r="CB42" t="str">
            <v>NA</v>
          </cell>
          <cell r="CC42" t="str">
            <v>NA</v>
          </cell>
          <cell r="CD42" t="str">
            <v>NA</v>
          </cell>
          <cell r="CE42" t="str">
            <v>NA</v>
          </cell>
          <cell r="CF42" t="str">
            <v>NA</v>
          </cell>
          <cell r="CG42" t="str">
            <v>NA</v>
          </cell>
          <cell r="CH42" t="str">
            <v>NA</v>
          </cell>
          <cell r="CI42" t="str">
            <v>NA</v>
          </cell>
          <cell r="CJ42" t="str">
            <v>NA</v>
          </cell>
          <cell r="CK42" t="str">
            <v>NA</v>
          </cell>
          <cell r="CL42" t="str">
            <v>NA</v>
          </cell>
        </row>
        <row r="43">
          <cell r="B43" t="str">
            <v>Drywall</v>
          </cell>
          <cell r="C43">
            <v>-0.21324765004716909</v>
          </cell>
          <cell r="D43">
            <v>2.8250190407110673E-2</v>
          </cell>
          <cell r="E43" t="str">
            <v>NA</v>
          </cell>
          <cell r="F43" t="str">
            <v>NA</v>
          </cell>
          <cell r="G43">
            <v>-6.1041329359337294E-2</v>
          </cell>
          <cell r="H43" t="str">
            <v>NA</v>
          </cell>
          <cell r="I43" t="str">
            <v>NA</v>
          </cell>
          <cell r="J43" t="str">
            <v>NA</v>
          </cell>
          <cell r="K43" t="str">
            <v>NA</v>
          </cell>
          <cell r="L43">
            <v>-0.21324765004716909</v>
          </cell>
          <cell r="M43">
            <v>-0.21324765004716909</v>
          </cell>
          <cell r="N43">
            <v>0</v>
          </cell>
          <cell r="O43">
            <v>0</v>
          </cell>
          <cell r="P43">
            <v>0</v>
          </cell>
          <cell r="Q43">
            <v>-0.21324765004716909</v>
          </cell>
          <cell r="R43">
            <v>-0.21324765004716909</v>
          </cell>
          <cell r="S43">
            <v>0</v>
          </cell>
          <cell r="T43">
            <v>0</v>
          </cell>
          <cell r="U43">
            <v>5.3485283988122332E-3</v>
          </cell>
          <cell r="V43">
            <v>2.2901662008298442E-2</v>
          </cell>
          <cell r="W43">
            <v>0</v>
          </cell>
          <cell r="X43">
            <v>0</v>
          </cell>
          <cell r="Y43">
            <v>2.8250190407110673E-2</v>
          </cell>
          <cell r="Z43" t="str">
            <v>NA</v>
          </cell>
          <cell r="AA43">
            <v>1.9533937541226856E-2</v>
          </cell>
          <cell r="AB43">
            <v>0</v>
          </cell>
          <cell r="AC43" t="str">
            <v>NA</v>
          </cell>
          <cell r="AD43">
            <v>-1.6363925085333464E-2</v>
          </cell>
          <cell r="AE43">
            <v>3.1700124558933923E-3</v>
          </cell>
          <cell r="AF43" t="str">
            <v>NA</v>
          </cell>
          <cell r="AG43" t="str">
            <v>NA</v>
          </cell>
          <cell r="AH43" t="str">
            <v>NA</v>
          </cell>
          <cell r="AI43" t="str">
            <v>NA</v>
          </cell>
          <cell r="AJ43" t="str">
            <v>NA</v>
          </cell>
          <cell r="AK43" t="str">
            <v>NA</v>
          </cell>
          <cell r="AL43" t="str">
            <v>NA</v>
          </cell>
          <cell r="AM43">
            <v>0</v>
          </cell>
          <cell r="AN43">
            <v>2.0254519141196047E-2</v>
          </cell>
          <cell r="AO43">
            <v>0</v>
          </cell>
          <cell r="AP43">
            <v>0</v>
          </cell>
          <cell r="AQ43">
            <v>-8.1295848500533341E-2</v>
          </cell>
          <cell r="AR43">
            <v>-6.1041329359337294E-2</v>
          </cell>
          <cell r="AS43">
            <v>-0.1522063206878318</v>
          </cell>
          <cell r="AT43">
            <v>-0.1522063206878318</v>
          </cell>
          <cell r="AU43">
            <v>8.9291519766447974E-2</v>
          </cell>
          <cell r="AV43">
            <v>6.4211341815230694E-2</v>
          </cell>
          <cell r="AW43" t="str">
            <v>NA</v>
          </cell>
          <cell r="AX43">
            <v>0.17759826380008878</v>
          </cell>
          <cell r="AY43">
            <v>3.5649386247080306E-2</v>
          </cell>
          <cell r="AZ43">
            <v>0</v>
          </cell>
          <cell r="BA43">
            <v>0.21324765004716909</v>
          </cell>
          <cell r="BB43">
            <v>1</v>
          </cell>
          <cell r="BC43">
            <v>0.17759826380008878</v>
          </cell>
          <cell r="BD43">
            <v>3.5649386247080306E-2</v>
          </cell>
          <cell r="BE43">
            <v>0</v>
          </cell>
          <cell r="BF43">
            <v>0.21324765004716909</v>
          </cell>
          <cell r="BK43" t="str">
            <v>NA</v>
          </cell>
          <cell r="BL43" t="str">
            <v>NA</v>
          </cell>
          <cell r="BM43" t="str">
            <v>NA</v>
          </cell>
          <cell r="BN43" t="str">
            <v>NA</v>
          </cell>
          <cell r="BO43" t="str">
            <v>NA</v>
          </cell>
          <cell r="BP43" t="str">
            <v>NA</v>
          </cell>
          <cell r="BQ43" t="str">
            <v>NA</v>
          </cell>
          <cell r="BR43" t="str">
            <v>NA</v>
          </cell>
          <cell r="BS43" t="str">
            <v>NA</v>
          </cell>
          <cell r="BT43" t="str">
            <v>NA</v>
          </cell>
          <cell r="BU43" t="str">
            <v>NA</v>
          </cell>
          <cell r="BV43" t="str">
            <v>NA</v>
          </cell>
          <cell r="BW43" t="str">
            <v>NA</v>
          </cell>
          <cell r="BX43" t="str">
            <v>NA</v>
          </cell>
          <cell r="BY43" t="str">
            <v>NA</v>
          </cell>
          <cell r="BZ43" t="str">
            <v>NA</v>
          </cell>
          <cell r="CA43" t="str">
            <v>NA</v>
          </cell>
          <cell r="CB43" t="str">
            <v>NA</v>
          </cell>
          <cell r="CC43" t="str">
            <v>NA</v>
          </cell>
          <cell r="CD43" t="str">
            <v>NA</v>
          </cell>
          <cell r="CE43" t="str">
            <v>NA</v>
          </cell>
          <cell r="CF43" t="str">
            <v>NA</v>
          </cell>
          <cell r="CG43" t="str">
            <v>NA</v>
          </cell>
          <cell r="CH43" t="str">
            <v>NA</v>
          </cell>
          <cell r="CI43" t="str">
            <v>NA</v>
          </cell>
          <cell r="CJ43" t="str">
            <v>NA</v>
          </cell>
          <cell r="CK43" t="str">
            <v>NA</v>
          </cell>
          <cell r="CL43" t="str">
            <v>NA</v>
          </cell>
        </row>
        <row r="44">
          <cell r="B44" t="str">
            <v>Fiberglass Insulation</v>
          </cell>
          <cell r="C44">
            <v>-0.38213282158011885</v>
          </cell>
          <cell r="D44" t="str">
            <v>NA</v>
          </cell>
          <cell r="E44" t="str">
            <v>NA</v>
          </cell>
          <cell r="F44" t="str">
            <v>NA</v>
          </cell>
          <cell r="G44">
            <v>2.0254519141196047E-2</v>
          </cell>
          <cell r="H44" t="str">
            <v>NA</v>
          </cell>
          <cell r="I44" t="str">
            <v>NA</v>
          </cell>
          <cell r="J44" t="str">
            <v>NA</v>
          </cell>
          <cell r="K44" t="str">
            <v>NA</v>
          </cell>
          <cell r="L44">
            <v>-0.38213282158011885</v>
          </cell>
          <cell r="M44">
            <v>-0.48714430820443344</v>
          </cell>
          <cell r="N44">
            <v>0</v>
          </cell>
          <cell r="O44">
            <v>0</v>
          </cell>
          <cell r="P44">
            <v>0</v>
          </cell>
          <cell r="Q44">
            <v>-0.38213282158011885</v>
          </cell>
          <cell r="R44">
            <v>-0.48714430820443344</v>
          </cell>
          <cell r="S44" t="str">
            <v>NA</v>
          </cell>
          <cell r="T44" t="str">
            <v>NA</v>
          </cell>
          <cell r="U44" t="str">
            <v>NA</v>
          </cell>
          <cell r="V44" t="str">
            <v>NA</v>
          </cell>
          <cell r="W44" t="str">
            <v>NA</v>
          </cell>
          <cell r="X44" t="str">
            <v>NA</v>
          </cell>
          <cell r="Y44" t="str">
            <v>NA</v>
          </cell>
          <cell r="Z44" t="str">
            <v>NA</v>
          </cell>
          <cell r="AA44" t="str">
            <v>NA</v>
          </cell>
          <cell r="AB44" t="str">
            <v>NA</v>
          </cell>
          <cell r="AC44" t="str">
            <v>NA</v>
          </cell>
          <cell r="AD44" t="str">
            <v>NA</v>
          </cell>
          <cell r="AE44" t="str">
            <v>NA</v>
          </cell>
          <cell r="AF44" t="str">
            <v>NA</v>
          </cell>
          <cell r="AG44" t="str">
            <v>NA</v>
          </cell>
          <cell r="AH44" t="str">
            <v>NA</v>
          </cell>
          <cell r="AI44" t="str">
            <v>NA</v>
          </cell>
          <cell r="AJ44" t="str">
            <v>NA</v>
          </cell>
          <cell r="AK44" t="str">
            <v>NA</v>
          </cell>
          <cell r="AL44" t="str">
            <v>NA</v>
          </cell>
          <cell r="AM44">
            <v>0</v>
          </cell>
          <cell r="AN44">
            <v>2.0254519141196047E-2</v>
          </cell>
          <cell r="AO44">
            <v>0</v>
          </cell>
          <cell r="AP44">
            <v>0</v>
          </cell>
          <cell r="AQ44">
            <v>0</v>
          </cell>
          <cell r="AR44">
            <v>2.0254519141196047E-2</v>
          </cell>
          <cell r="AS44">
            <v>-0.40238734072131488</v>
          </cell>
          <cell r="AT44">
            <v>-0.50739882734562947</v>
          </cell>
          <cell r="AU44" t="str">
            <v>NA</v>
          </cell>
          <cell r="AV44" t="str">
            <v>NA</v>
          </cell>
          <cell r="AW44" t="str">
            <v>NA</v>
          </cell>
          <cell r="AX44">
            <v>0.27255618474737314</v>
          </cell>
          <cell r="AY44">
            <v>6.1183183923059867E-2</v>
          </cell>
          <cell r="AZ44">
            <v>0.15340493953400042</v>
          </cell>
          <cell r="BA44">
            <v>0.48714430820443344</v>
          </cell>
          <cell r="BB44">
            <v>0.65999999999999992</v>
          </cell>
          <cell r="BC44">
            <v>0.22410233212222391</v>
          </cell>
          <cell r="BD44">
            <v>5.6783229365454671E-2</v>
          </cell>
          <cell r="BE44">
            <v>0.10124726009244027</v>
          </cell>
          <cell r="BF44">
            <v>0.38213282158011885</v>
          </cell>
          <cell r="BG44">
            <v>0.13004485349693432</v>
          </cell>
          <cell r="BH44">
            <v>4.8242141106573988E-2</v>
          </cell>
          <cell r="BI44">
            <v>0</v>
          </cell>
          <cell r="BJ44">
            <v>0.1782869946035083</v>
          </cell>
          <cell r="BK44" t="str">
            <v>NA</v>
          </cell>
          <cell r="BL44" t="str">
            <v>NA</v>
          </cell>
          <cell r="BM44" t="str">
            <v>NA</v>
          </cell>
          <cell r="BN44" t="str">
            <v>NA</v>
          </cell>
          <cell r="BO44" t="str">
            <v>NA</v>
          </cell>
          <cell r="BP44" t="str">
            <v>NA</v>
          </cell>
          <cell r="BQ44" t="str">
            <v>NA</v>
          </cell>
          <cell r="BR44" t="str">
            <v>NA</v>
          </cell>
          <cell r="BS44" t="str">
            <v>NA</v>
          </cell>
          <cell r="BT44" t="str">
            <v>NA</v>
          </cell>
          <cell r="BU44" t="str">
            <v>NA</v>
          </cell>
          <cell r="BV44" t="str">
            <v>NA</v>
          </cell>
          <cell r="BW44" t="str">
            <v>NA</v>
          </cell>
          <cell r="BX44" t="str">
            <v>NA</v>
          </cell>
          <cell r="BY44" t="str">
            <v>NA</v>
          </cell>
          <cell r="BZ44" t="str">
            <v>NA</v>
          </cell>
          <cell r="CA44" t="str">
            <v>NA</v>
          </cell>
          <cell r="CB44" t="str">
            <v>NA</v>
          </cell>
          <cell r="CC44" t="str">
            <v>NA</v>
          </cell>
          <cell r="CD44" t="str">
            <v>NA</v>
          </cell>
          <cell r="CE44" t="str">
            <v>NA</v>
          </cell>
          <cell r="CF44" t="str">
            <v>NA</v>
          </cell>
          <cell r="CG44" t="str">
            <v>NA</v>
          </cell>
          <cell r="CH44" t="str">
            <v>NA</v>
          </cell>
          <cell r="CI44" t="str">
            <v>NA</v>
          </cell>
          <cell r="CJ44" t="str">
            <v>NA</v>
          </cell>
          <cell r="CK44" t="str">
            <v>NA</v>
          </cell>
          <cell r="CL44" t="str">
            <v>NA</v>
          </cell>
        </row>
        <row r="45">
          <cell r="B45" t="str">
            <v>Vinyl Flooring</v>
          </cell>
          <cell r="C45">
            <v>-0.6079611455636369</v>
          </cell>
          <cell r="D45" t="str">
            <v>NE</v>
          </cell>
          <cell r="E45" t="str">
            <v>NA</v>
          </cell>
          <cell r="F45">
            <v>-0.33079131169306542</v>
          </cell>
          <cell r="G45">
            <v>2.0254519141196047E-2</v>
          </cell>
          <cell r="H45" t="str">
            <v>NA</v>
          </cell>
          <cell r="I45" t="str">
            <v>NA</v>
          </cell>
          <cell r="J45" t="str">
            <v>NA</v>
          </cell>
          <cell r="K45" t="str">
            <v>NA</v>
          </cell>
          <cell r="L45">
            <v>-0.6079611455636369</v>
          </cell>
          <cell r="M45">
            <v>-0.6079611455636369</v>
          </cell>
          <cell r="N45">
            <v>0</v>
          </cell>
          <cell r="O45">
            <v>0</v>
          </cell>
          <cell r="P45">
            <v>0</v>
          </cell>
          <cell r="Q45">
            <v>-0.6079611455636369</v>
          </cell>
          <cell r="R45">
            <v>-0.6079611455636369</v>
          </cell>
          <cell r="S45" t="str">
            <v>NA</v>
          </cell>
          <cell r="T45" t="str">
            <v>NA</v>
          </cell>
          <cell r="U45" t="str">
            <v>NA</v>
          </cell>
          <cell r="V45" t="str">
            <v>NA</v>
          </cell>
          <cell r="W45" t="str">
            <v>NA</v>
          </cell>
          <cell r="X45" t="str">
            <v>NA</v>
          </cell>
          <cell r="Y45" t="str">
            <v>NA</v>
          </cell>
          <cell r="Z45" t="str">
            <v>NA</v>
          </cell>
          <cell r="AA45" t="str">
            <v>NA</v>
          </cell>
          <cell r="AB45" t="str">
            <v>NA</v>
          </cell>
          <cell r="AC45" t="str">
            <v>NA</v>
          </cell>
          <cell r="AD45" t="str">
            <v>NA</v>
          </cell>
          <cell r="AE45" t="str">
            <v>NA</v>
          </cell>
          <cell r="AF45">
            <v>0</v>
          </cell>
          <cell r="AG45">
            <v>8.9994096820590931E-3</v>
          </cell>
          <cell r="AH45">
            <v>0.28088693153464978</v>
          </cell>
          <cell r="AI45">
            <v>0</v>
          </cell>
          <cell r="AJ45">
            <v>-0.62067765290977428</v>
          </cell>
          <cell r="AK45">
            <v>0</v>
          </cell>
          <cell r="AL45">
            <v>-0.33079131169306542</v>
          </cell>
          <cell r="AM45">
            <v>0</v>
          </cell>
          <cell r="AN45">
            <v>2.0254519141196047E-2</v>
          </cell>
          <cell r="AO45">
            <v>0</v>
          </cell>
          <cell r="AP45">
            <v>0</v>
          </cell>
          <cell r="AQ45">
            <v>0</v>
          </cell>
          <cell r="AR45">
            <v>2.0254519141196047E-2</v>
          </cell>
          <cell r="AS45">
            <v>-0.62821566470483292</v>
          </cell>
          <cell r="AT45">
            <v>-0.62821566470483292</v>
          </cell>
          <cell r="AU45" t="str">
            <v>NE</v>
          </cell>
          <cell r="AV45" t="str">
            <v>NA</v>
          </cell>
          <cell r="AW45">
            <v>-0.35104583083426144</v>
          </cell>
          <cell r="AX45">
            <v>0.51049741398325044</v>
          </cell>
          <cell r="AY45">
            <v>9.0391359425160051E-2</v>
          </cell>
          <cell r="AZ45">
            <v>7.072372155226333E-3</v>
          </cell>
          <cell r="BA45">
            <v>0.6079611455636369</v>
          </cell>
          <cell r="BB45">
            <v>1</v>
          </cell>
          <cell r="BC45">
            <v>0.51049741398325044</v>
          </cell>
          <cell r="BD45">
            <v>9.0391359425160051E-2</v>
          </cell>
          <cell r="BE45">
            <v>7.072372155226333E-3</v>
          </cell>
          <cell r="BF45">
            <v>0.6079611455636369</v>
          </cell>
          <cell r="BK45" t="str">
            <v>NA</v>
          </cell>
          <cell r="BL45" t="str">
            <v>NA</v>
          </cell>
          <cell r="BM45" t="str">
            <v>NA</v>
          </cell>
          <cell r="BN45" t="str">
            <v>NA</v>
          </cell>
          <cell r="BO45" t="str">
            <v>NA</v>
          </cell>
          <cell r="BP45" t="str">
            <v>NA</v>
          </cell>
          <cell r="BQ45" t="str">
            <v>NA</v>
          </cell>
          <cell r="BR45" t="str">
            <v>NA</v>
          </cell>
          <cell r="BS45" t="str">
            <v>NA</v>
          </cell>
          <cell r="BT45" t="str">
            <v>NA</v>
          </cell>
          <cell r="BU45" t="str">
            <v>NA</v>
          </cell>
          <cell r="BV45" t="str">
            <v>NA</v>
          </cell>
          <cell r="BW45" t="str">
            <v>NA</v>
          </cell>
          <cell r="BX45" t="str">
            <v>NA</v>
          </cell>
          <cell r="BY45" t="str">
            <v>NA</v>
          </cell>
          <cell r="BZ45" t="str">
            <v>NA</v>
          </cell>
          <cell r="CA45" t="str">
            <v>NA</v>
          </cell>
          <cell r="CB45" t="str">
            <v>NA</v>
          </cell>
          <cell r="CC45" t="str">
            <v>NA</v>
          </cell>
          <cell r="CD45" t="str">
            <v>NA</v>
          </cell>
          <cell r="CE45" t="str">
            <v>NA</v>
          </cell>
          <cell r="CF45" t="str">
            <v>NA</v>
          </cell>
          <cell r="CG45" t="str">
            <v>NA</v>
          </cell>
          <cell r="CH45" t="str">
            <v>NA</v>
          </cell>
          <cell r="CI45" t="str">
            <v>NA</v>
          </cell>
          <cell r="CJ45" t="str">
            <v>NA</v>
          </cell>
          <cell r="CK45" t="str">
            <v>NA</v>
          </cell>
          <cell r="CL45" t="str">
            <v>NA</v>
          </cell>
        </row>
        <row r="46">
          <cell r="B46" t="str">
            <v>Wood Flooring</v>
          </cell>
          <cell r="C46">
            <v>-4.0490606164644465</v>
          </cell>
          <cell r="D46" t="str">
            <v>NE</v>
          </cell>
          <cell r="E46" t="str">
            <v>NA</v>
          </cell>
          <cell r="F46">
            <v>-0.7722941575729132</v>
          </cell>
          <cell r="G46">
            <v>-0.8592610862888036</v>
          </cell>
          <cell r="H46" t="str">
            <v>NA</v>
          </cell>
          <cell r="I46" t="str">
            <v>NA</v>
          </cell>
          <cell r="J46" t="str">
            <v>NA</v>
          </cell>
          <cell r="K46" t="str">
            <v>NA</v>
          </cell>
          <cell r="L46">
            <v>-0.38923590862371477</v>
          </cell>
          <cell r="M46">
            <v>-0.38923590862371477</v>
          </cell>
          <cell r="N46">
            <v>0</v>
          </cell>
          <cell r="O46">
            <v>-3.6598247078407318</v>
          </cell>
          <cell r="P46">
            <v>-3.6598247078407318</v>
          </cell>
          <cell r="Q46">
            <v>-4.0490606164644465</v>
          </cell>
          <cell r="R46">
            <v>-4.0490606164644465</v>
          </cell>
          <cell r="S46" t="str">
            <v>NA</v>
          </cell>
          <cell r="T46" t="str">
            <v>NA</v>
          </cell>
          <cell r="U46" t="str">
            <v>NA</v>
          </cell>
          <cell r="V46" t="str">
            <v>NA</v>
          </cell>
          <cell r="W46" t="str">
            <v>NA</v>
          </cell>
          <cell r="X46" t="str">
            <v>NA</v>
          </cell>
          <cell r="Y46" t="str">
            <v>NA</v>
          </cell>
          <cell r="Z46">
            <v>0</v>
          </cell>
          <cell r="AA46">
            <v>4.7173521395104175E-2</v>
          </cell>
          <cell r="AB46">
            <v>0</v>
          </cell>
          <cell r="AC46" t="str">
            <v>NA</v>
          </cell>
          <cell r="AD46">
            <v>-0.24064595713725678</v>
          </cell>
          <cell r="AE46">
            <v>-0.19347243574215262</v>
          </cell>
          <cell r="AF46">
            <v>0</v>
          </cell>
          <cell r="AG46">
            <v>4.7173521395104175E-2</v>
          </cell>
          <cell r="AH46">
            <v>0</v>
          </cell>
          <cell r="AI46">
            <v>3.6666666666666667E-2</v>
          </cell>
          <cell r="AJ46">
            <v>-0.85613434563468405</v>
          </cell>
          <cell r="AK46">
            <v>0</v>
          </cell>
          <cell r="AL46">
            <v>-0.7722941575729132</v>
          </cell>
          <cell r="AM46">
            <v>0</v>
          </cell>
          <cell r="AN46">
            <v>2.0254519141196047E-2</v>
          </cell>
          <cell r="AO46">
            <v>0.16329325320000032</v>
          </cell>
          <cell r="AP46">
            <v>0</v>
          </cell>
          <cell r="AQ46">
            <v>-1.0428088586299999</v>
          </cell>
          <cell r="AR46">
            <v>-0.8592610862888036</v>
          </cell>
          <cell r="AS46">
            <v>-3.1897995301756428</v>
          </cell>
          <cell r="AT46">
            <v>-3.1897995301756428</v>
          </cell>
          <cell r="AU46" t="str">
            <v>NE</v>
          </cell>
          <cell r="AV46">
            <v>0.66578865054665104</v>
          </cell>
          <cell r="AW46">
            <v>8.6966928715890401E-2</v>
          </cell>
          <cell r="AX46">
            <v>0.2860444854980338</v>
          </cell>
          <cell r="AY46">
            <v>0.10319142312568096</v>
          </cell>
          <cell r="AZ46">
            <v>0</v>
          </cell>
          <cell r="BA46">
            <v>0.38923590862371477</v>
          </cell>
          <cell r="BB46">
            <v>1</v>
          </cell>
          <cell r="BC46">
            <v>0.2860444854980338</v>
          </cell>
          <cell r="BD46">
            <v>0.10319142312568096</v>
          </cell>
          <cell r="BE46">
            <v>0</v>
          </cell>
          <cell r="BF46">
            <v>0.38923590862371477</v>
          </cell>
          <cell r="BK46" t="str">
            <v>NA</v>
          </cell>
          <cell r="BL46" t="str">
            <v>NA</v>
          </cell>
          <cell r="BM46" t="str">
            <v>NA</v>
          </cell>
          <cell r="BN46" t="str">
            <v>NA</v>
          </cell>
          <cell r="BO46" t="str">
            <v>NA</v>
          </cell>
          <cell r="BP46" t="str">
            <v>NA</v>
          </cell>
          <cell r="BQ46" t="str">
            <v>NA</v>
          </cell>
          <cell r="BR46" t="str">
            <v>NA</v>
          </cell>
          <cell r="BS46" t="str">
            <v>NA</v>
          </cell>
          <cell r="BT46" t="str">
            <v>NA</v>
          </cell>
          <cell r="BU46" t="str">
            <v>NA</v>
          </cell>
          <cell r="BV46" t="str">
            <v>NA</v>
          </cell>
          <cell r="BW46" t="str">
            <v>NA</v>
          </cell>
          <cell r="BX46" t="str">
            <v>NA</v>
          </cell>
          <cell r="BY46" t="str">
            <v>NA</v>
          </cell>
          <cell r="BZ46" t="str">
            <v>NA</v>
          </cell>
          <cell r="CA46" t="str">
            <v>NA</v>
          </cell>
          <cell r="CB46" t="str">
            <v>NA</v>
          </cell>
          <cell r="CC46" t="str">
            <v>NA</v>
          </cell>
          <cell r="CD46" t="str">
            <v>NA</v>
          </cell>
          <cell r="CE46" t="str">
            <v>NA</v>
          </cell>
          <cell r="CF46" t="str">
            <v>NA</v>
          </cell>
          <cell r="CG46" t="str">
            <v>NA</v>
          </cell>
          <cell r="CH46" t="str">
            <v>NA</v>
          </cell>
          <cell r="CI46" t="str">
            <v>NA</v>
          </cell>
          <cell r="CJ46" t="str">
            <v>NA</v>
          </cell>
          <cell r="CK46" t="str">
            <v>NA</v>
          </cell>
          <cell r="CL46" t="str">
            <v>NA</v>
          </cell>
        </row>
        <row r="47">
          <cell r="B47" t="str">
            <v>Aluminum Ingot</v>
          </cell>
          <cell r="C47">
            <v>-7.4742174216693584</v>
          </cell>
          <cell r="D47">
            <v>-7.1885223815767212</v>
          </cell>
          <cell r="E47" t="str">
            <v>NA</v>
          </cell>
          <cell r="F47">
            <v>3.540283999631616E-2</v>
          </cell>
          <cell r="G47">
            <v>2.0254519141196047E-2</v>
          </cell>
          <cell r="H47" t="str">
            <v>NA</v>
          </cell>
          <cell r="I47" t="str">
            <v>NA</v>
          </cell>
          <cell r="J47" t="str">
            <v>NA</v>
          </cell>
          <cell r="K47" t="str">
            <v>NA</v>
          </cell>
          <cell r="L47">
            <v>-7.4742174216693584</v>
          </cell>
          <cell r="M47">
            <v>-7.4742174216693584</v>
          </cell>
          <cell r="N47">
            <v>0</v>
          </cell>
          <cell r="O47">
            <v>0</v>
          </cell>
          <cell r="P47">
            <v>0</v>
          </cell>
          <cell r="Q47">
            <v>-7.4742174216693584</v>
          </cell>
          <cell r="R47">
            <v>-7.4742174216693584</v>
          </cell>
          <cell r="S47" t="str">
            <v>NA</v>
          </cell>
          <cell r="T47">
            <v>0</v>
          </cell>
          <cell r="U47">
            <v>-3.9842776833633788</v>
          </cell>
          <cell r="V47">
            <v>-2.598109897223487E-2</v>
          </cell>
          <cell r="W47">
            <v>-3.1782635992411072</v>
          </cell>
          <cell r="X47">
            <v>0</v>
          </cell>
          <cell r="Y47">
            <v>-7.1885223815767212</v>
          </cell>
          <cell r="Z47" t="str">
            <v>NA</v>
          </cell>
          <cell r="AA47" t="str">
            <v>NA</v>
          </cell>
          <cell r="AB47" t="str">
            <v>NA</v>
          </cell>
          <cell r="AC47" t="str">
            <v>NA</v>
          </cell>
          <cell r="AD47" t="str">
            <v>NA</v>
          </cell>
          <cell r="AE47" t="str">
            <v>NA</v>
          </cell>
          <cell r="AF47">
            <v>0</v>
          </cell>
          <cell r="AG47">
            <v>8.9994096820590931E-3</v>
          </cell>
          <cell r="AH47">
            <v>0</v>
          </cell>
          <cell r="AI47">
            <v>0</v>
          </cell>
          <cell r="AJ47">
            <v>2.6403430314257067E-2</v>
          </cell>
          <cell r="AK47">
            <v>0</v>
          </cell>
          <cell r="AL47">
            <v>3.540283999631616E-2</v>
          </cell>
          <cell r="AM47">
            <v>0</v>
          </cell>
          <cell r="AN47">
            <v>2.0254519141196047E-2</v>
          </cell>
          <cell r="AO47">
            <v>0</v>
          </cell>
          <cell r="AP47">
            <v>0</v>
          </cell>
          <cell r="AQ47">
            <v>0</v>
          </cell>
          <cell r="AR47">
            <v>2.0254519141196047E-2</v>
          </cell>
          <cell r="AS47">
            <v>-7.4944719408105547</v>
          </cell>
          <cell r="AT47">
            <v>-7.4944719408105547</v>
          </cell>
          <cell r="AU47">
            <v>-7.2087769007179174</v>
          </cell>
          <cell r="AV47" t="str">
            <v>NA</v>
          </cell>
          <cell r="AW47">
            <v>1.5148320855120113E-2</v>
          </cell>
          <cell r="AX47">
            <v>4.2271715841621784</v>
          </cell>
          <cell r="AY47">
            <v>6.8782238266072077E-2</v>
          </cell>
          <cell r="AZ47">
            <v>3.1782635992411072</v>
          </cell>
          <cell r="BA47">
            <v>7.4742174216693584</v>
          </cell>
          <cell r="BB47">
            <v>1</v>
          </cell>
          <cell r="BC47">
            <v>4.2271715841621784</v>
          </cell>
          <cell r="BD47">
            <v>6.8782238266072077E-2</v>
          </cell>
          <cell r="BE47">
            <v>3.1782635992411072</v>
          </cell>
          <cell r="BF47">
            <v>7.4742174216693584</v>
          </cell>
          <cell r="BG47">
            <v>0.24289390079879974</v>
          </cell>
          <cell r="BH47">
            <v>4.2801139293837207E-2</v>
          </cell>
          <cell r="BI47">
            <v>0</v>
          </cell>
          <cell r="BJ47">
            <v>0.28569504009263696</v>
          </cell>
          <cell r="BK47" t="str">
            <v>NA</v>
          </cell>
          <cell r="BL47" t="str">
            <v>NA</v>
          </cell>
          <cell r="BM47" t="str">
            <v>NA</v>
          </cell>
          <cell r="BN47" t="str">
            <v>NA</v>
          </cell>
          <cell r="BO47" t="str">
            <v>NA</v>
          </cell>
          <cell r="BP47" t="str">
            <v>NA</v>
          </cell>
          <cell r="BQ47" t="str">
            <v>NA</v>
          </cell>
          <cell r="BR47" t="str">
            <v>NA</v>
          </cell>
          <cell r="BS47" t="str">
            <v>NA</v>
          </cell>
          <cell r="BT47" t="str">
            <v>NA</v>
          </cell>
          <cell r="BU47" t="str">
            <v>NA</v>
          </cell>
          <cell r="BV47" t="str">
            <v>NA</v>
          </cell>
          <cell r="BW47" t="str">
            <v>NA</v>
          </cell>
          <cell r="BX47" t="str">
            <v>NA</v>
          </cell>
          <cell r="BY47" t="str">
            <v>NA</v>
          </cell>
          <cell r="BZ47" t="str">
            <v>NA</v>
          </cell>
          <cell r="CA47" t="str">
            <v>NA</v>
          </cell>
          <cell r="CB47" t="str">
            <v>NA</v>
          </cell>
          <cell r="CC47" t="str">
            <v>NA</v>
          </cell>
          <cell r="CD47" t="str">
            <v>NA</v>
          </cell>
          <cell r="CE47" t="str">
            <v>NA</v>
          </cell>
          <cell r="CF47" t="str">
            <v>NA</v>
          </cell>
          <cell r="CG47" t="str">
            <v>NA</v>
          </cell>
          <cell r="CH47" t="str">
            <v>NA</v>
          </cell>
          <cell r="CI47" t="str">
            <v>NA</v>
          </cell>
          <cell r="CJ47" t="str">
            <v>NA</v>
          </cell>
          <cell r="CK47" t="str">
            <v>NA</v>
          </cell>
          <cell r="CL47" t="str">
            <v>NA</v>
          </cell>
        </row>
        <row r="48">
          <cell r="B48" t="str">
            <v>PLA</v>
          </cell>
          <cell r="C48">
            <v>-2.0877983213682918</v>
          </cell>
          <cell r="D48" t="str">
            <v>NA</v>
          </cell>
          <cell r="E48">
            <v>-0.1487348044061565</v>
          </cell>
          <cell r="F48">
            <v>-0.65053463470511441</v>
          </cell>
          <cell r="G48">
            <v>-1.6426151092788039</v>
          </cell>
          <cell r="H48" t="str">
            <v>NA</v>
          </cell>
          <cell r="I48" t="str">
            <v>NA</v>
          </cell>
          <cell r="J48" t="str">
            <v>NA</v>
          </cell>
          <cell r="K48" t="str">
            <v>NA</v>
          </cell>
          <cell r="L48">
            <v>-2.0877983213682918</v>
          </cell>
          <cell r="M48">
            <v>-2.0877983213682918</v>
          </cell>
          <cell r="N48">
            <v>0</v>
          </cell>
          <cell r="O48">
            <v>0</v>
          </cell>
          <cell r="P48">
            <v>0</v>
          </cell>
          <cell r="Q48">
            <v>-2.0877983213682918</v>
          </cell>
          <cell r="R48">
            <v>-2.0877983213682918</v>
          </cell>
          <cell r="S48" t="str">
            <v>NA</v>
          </cell>
          <cell r="T48" t="str">
            <v>NA</v>
          </cell>
          <cell r="U48" t="str">
            <v>NA</v>
          </cell>
          <cell r="V48" t="str">
            <v>NA</v>
          </cell>
          <cell r="W48" t="str">
            <v>NA</v>
          </cell>
          <cell r="X48" t="str">
            <v>NA</v>
          </cell>
          <cell r="Y48" t="str">
            <v>NA</v>
          </cell>
          <cell r="Z48" t="str">
            <v>NA</v>
          </cell>
          <cell r="AA48">
            <v>1.9533937541226856E-2</v>
          </cell>
          <cell r="AB48">
            <v>0</v>
          </cell>
          <cell r="AC48">
            <v>7.2377215189873417E-2</v>
          </cell>
          <cell r="AD48">
            <v>-0.24064595713725678</v>
          </cell>
          <cell r="AE48">
            <v>-0.1487348044061565</v>
          </cell>
          <cell r="AF48">
            <v>0</v>
          </cell>
          <cell r="AG48">
            <v>8.9994096820590931E-3</v>
          </cell>
          <cell r="AH48">
            <v>0</v>
          </cell>
          <cell r="AI48">
            <v>0</v>
          </cell>
          <cell r="AJ48">
            <v>-0.65953404438717356</v>
          </cell>
          <cell r="AK48">
            <v>0</v>
          </cell>
          <cell r="AL48">
            <v>-0.65053463470511441</v>
          </cell>
          <cell r="AM48">
            <v>0</v>
          </cell>
          <cell r="AN48">
            <v>2.0254519141196047E-2</v>
          </cell>
          <cell r="AO48">
            <v>0</v>
          </cell>
          <cell r="AP48">
            <v>0</v>
          </cell>
          <cell r="AQ48">
            <v>-1.66286962842</v>
          </cell>
          <cell r="AR48">
            <v>-1.6426151092788039</v>
          </cell>
          <cell r="AS48">
            <v>-0.44518321208948786</v>
          </cell>
          <cell r="AT48">
            <v>-0.44518321208948786</v>
          </cell>
          <cell r="AU48" t="str">
            <v>NA</v>
          </cell>
          <cell r="AV48">
            <v>1.4938803048726474</v>
          </cell>
          <cell r="AW48">
            <v>0.99208047457368953</v>
          </cell>
          <cell r="AX48">
            <v>1.814951508786794</v>
          </cell>
          <cell r="AY48">
            <v>5.2297035348329649E-2</v>
          </cell>
          <cell r="AZ48">
            <v>0.22054977723316799</v>
          </cell>
          <cell r="BA48">
            <v>2.0877983213682918</v>
          </cell>
          <cell r="BB48">
            <v>1</v>
          </cell>
          <cell r="BC48">
            <v>1.814951508786794</v>
          </cell>
          <cell r="BD48">
            <v>5.2297035348329649E-2</v>
          </cell>
          <cell r="BE48">
            <v>0.22054977723316799</v>
          </cell>
          <cell r="BF48">
            <v>2.0877983213682918</v>
          </cell>
          <cell r="BG48" t="str">
            <v>NA</v>
          </cell>
          <cell r="BH48" t="str">
            <v>NA</v>
          </cell>
          <cell r="BI48" t="str">
            <v>NA</v>
          </cell>
          <cell r="BJ48" t="str">
            <v>NA</v>
          </cell>
          <cell r="BK48" t="str">
            <v>NA</v>
          </cell>
          <cell r="BL48" t="str">
            <v>NA</v>
          </cell>
          <cell r="BM48" t="str">
            <v>NA</v>
          </cell>
          <cell r="BN48" t="str">
            <v>NA</v>
          </cell>
          <cell r="BO48" t="str">
            <v>NA</v>
          </cell>
          <cell r="BP48" t="str">
            <v>NA</v>
          </cell>
          <cell r="BQ48" t="str">
            <v>NA</v>
          </cell>
          <cell r="BR48" t="str">
            <v>NA</v>
          </cell>
          <cell r="BS48" t="str">
            <v>NA</v>
          </cell>
          <cell r="BT48" t="str">
            <v>NA</v>
          </cell>
          <cell r="BU48" t="str">
            <v>NA</v>
          </cell>
          <cell r="BV48" t="str">
            <v>NA</v>
          </cell>
          <cell r="BW48" t="str">
            <v>NA</v>
          </cell>
          <cell r="BX48" t="str">
            <v>NA</v>
          </cell>
          <cell r="BY48" t="str">
            <v>NA</v>
          </cell>
          <cell r="BZ48" t="str">
            <v>NA</v>
          </cell>
          <cell r="CA48" t="str">
            <v>NA</v>
          </cell>
          <cell r="CB48" t="str">
            <v>NA</v>
          </cell>
          <cell r="CC48" t="str">
            <v>NA</v>
          </cell>
          <cell r="CD48" t="str">
            <v>NA</v>
          </cell>
          <cell r="CE48" t="str">
            <v>NA</v>
          </cell>
          <cell r="CF48" t="str">
            <v>NA</v>
          </cell>
          <cell r="CG48" t="str">
            <v>NA</v>
          </cell>
          <cell r="CH48" t="str">
            <v>NA</v>
          </cell>
          <cell r="CI48" t="str">
            <v>NA</v>
          </cell>
          <cell r="CJ48" t="str">
            <v>NA</v>
          </cell>
          <cell r="CK48" t="str">
            <v>NA</v>
          </cell>
          <cell r="CL48" t="str">
            <v>NA</v>
          </cell>
        </row>
        <row r="49">
          <cell r="B49" t="str">
            <v>LLDPE</v>
          </cell>
          <cell r="C49">
            <v>-1.5817379577845374</v>
          </cell>
          <cell r="D49" t="str">
            <v>NA</v>
          </cell>
          <cell r="E49" t="str">
            <v>NA</v>
          </cell>
          <cell r="F49">
            <v>1.2310889574758863</v>
          </cell>
          <cell r="G49">
            <v>2.0254519141196047E-2</v>
          </cell>
          <cell r="H49" t="str">
            <v>NA</v>
          </cell>
          <cell r="I49" t="str">
            <v>NA</v>
          </cell>
          <cell r="J49" t="str">
            <v>NA</v>
          </cell>
          <cell r="K49" t="str">
            <v>NA</v>
          </cell>
          <cell r="L49">
            <v>-1.5817379577845374</v>
          </cell>
          <cell r="M49">
            <v>-1.5817379577845374</v>
          </cell>
          <cell r="N49">
            <v>0</v>
          </cell>
          <cell r="O49">
            <v>0</v>
          </cell>
          <cell r="P49">
            <v>0</v>
          </cell>
          <cell r="Q49">
            <v>-1.5817379577845374</v>
          </cell>
          <cell r="R49">
            <v>-1.5817379577845374</v>
          </cell>
          <cell r="S49" t="str">
            <v>NA</v>
          </cell>
          <cell r="T49" t="str">
            <v>NA</v>
          </cell>
          <cell r="U49" t="str">
            <v>NA</v>
          </cell>
          <cell r="V49" t="str">
            <v>NA</v>
          </cell>
          <cell r="W49" t="str">
            <v>NA</v>
          </cell>
          <cell r="X49" t="str">
            <v>NA</v>
          </cell>
          <cell r="Y49" t="str">
            <v>NA</v>
          </cell>
          <cell r="Z49">
            <v>0</v>
          </cell>
          <cell r="AA49" t="str">
            <v>NA</v>
          </cell>
          <cell r="AB49" t="str">
            <v>NA</v>
          </cell>
          <cell r="AC49" t="str">
            <v>NA</v>
          </cell>
          <cell r="AD49" t="str">
            <v>NA</v>
          </cell>
          <cell r="AE49" t="str">
            <v>NA</v>
          </cell>
          <cell r="AF49">
            <v>0</v>
          </cell>
          <cell r="AG49">
            <v>8.9994096820590931E-3</v>
          </cell>
          <cell r="AH49">
            <v>2.7941576703256823</v>
          </cell>
          <cell r="AI49">
            <v>0</v>
          </cell>
          <cell r="AJ49">
            <v>-1.5720681225318551</v>
          </cell>
          <cell r="AK49">
            <v>0</v>
          </cell>
          <cell r="AL49">
            <v>1.2310889574758863</v>
          </cell>
          <cell r="AM49">
            <v>0</v>
          </cell>
          <cell r="AN49">
            <v>2.0254519141196047E-2</v>
          </cell>
          <cell r="AO49">
            <v>0</v>
          </cell>
          <cell r="AP49">
            <v>0</v>
          </cell>
          <cell r="AQ49">
            <v>0</v>
          </cell>
          <cell r="AR49">
            <v>2.0254519141196047E-2</v>
          </cell>
          <cell r="AS49">
            <v>-1.6019924769257334</v>
          </cell>
          <cell r="AT49">
            <v>-1.6019924769257334</v>
          </cell>
          <cell r="AU49" t="str">
            <v>NA</v>
          </cell>
          <cell r="AV49" t="str">
            <v>NA</v>
          </cell>
          <cell r="AW49">
            <v>1.2108344383346903</v>
          </cell>
          <cell r="AX49">
            <v>1.1391473746407792</v>
          </cell>
          <cell r="AY49">
            <v>0.19051660254839825</v>
          </cell>
          <cell r="AZ49">
            <v>0.25207398059535996</v>
          </cell>
          <cell r="BA49">
            <v>1.5817379577845374</v>
          </cell>
          <cell r="BB49">
            <v>1</v>
          </cell>
          <cell r="BC49">
            <v>1.1391473746407792</v>
          </cell>
          <cell r="BD49">
            <v>0.19051660254839825</v>
          </cell>
          <cell r="BE49">
            <v>0.25207398059535996</v>
          </cell>
          <cell r="BF49">
            <v>1.5817379577845374</v>
          </cell>
          <cell r="BG49" t="str">
            <v>NA</v>
          </cell>
          <cell r="BH49" t="str">
            <v>NA</v>
          </cell>
          <cell r="BI49" t="str">
            <v>NA</v>
          </cell>
          <cell r="BJ49" t="str">
            <v>NA</v>
          </cell>
          <cell r="BK49" t="str">
            <v>NA</v>
          </cell>
          <cell r="BL49" t="str">
            <v>NA</v>
          </cell>
          <cell r="BM49" t="str">
            <v>NA</v>
          </cell>
          <cell r="BN49" t="str">
            <v>NA</v>
          </cell>
          <cell r="BO49" t="str">
            <v>NA</v>
          </cell>
          <cell r="BP49" t="str">
            <v>NA</v>
          </cell>
          <cell r="BQ49" t="str">
            <v>NA</v>
          </cell>
          <cell r="BR49" t="str">
            <v>NA</v>
          </cell>
          <cell r="BS49" t="str">
            <v>NA</v>
          </cell>
          <cell r="BT49" t="str">
            <v>NA</v>
          </cell>
          <cell r="BU49" t="str">
            <v>NA</v>
          </cell>
          <cell r="BV49" t="str">
            <v>NA</v>
          </cell>
          <cell r="BW49" t="str">
            <v>NA</v>
          </cell>
          <cell r="BX49" t="str">
            <v>NA</v>
          </cell>
          <cell r="BY49" t="str">
            <v>NA</v>
          </cell>
          <cell r="BZ49" t="str">
            <v>NA</v>
          </cell>
          <cell r="CA49" t="str">
            <v>NA</v>
          </cell>
          <cell r="CB49" t="str">
            <v>NA</v>
          </cell>
          <cell r="CC49" t="str">
            <v>NA</v>
          </cell>
          <cell r="CD49" t="str">
            <v>NA</v>
          </cell>
          <cell r="CE49" t="str">
            <v>NA</v>
          </cell>
          <cell r="CF49" t="str">
            <v>NA</v>
          </cell>
          <cell r="CG49" t="str">
            <v>NA</v>
          </cell>
          <cell r="CH49" t="str">
            <v>NA</v>
          </cell>
          <cell r="CI49" t="str">
            <v>NA</v>
          </cell>
          <cell r="CJ49" t="str">
            <v>NA</v>
          </cell>
          <cell r="CK49" t="str">
            <v>NA</v>
          </cell>
          <cell r="CL49" t="str">
            <v>NA</v>
          </cell>
        </row>
        <row r="50">
          <cell r="B50" t="str">
            <v>PP</v>
          </cell>
          <cell r="C50">
            <v>-1.5496211386143399</v>
          </cell>
          <cell r="D50" t="str">
            <v>NA</v>
          </cell>
          <cell r="E50" t="str">
            <v>NA</v>
          </cell>
          <cell r="F50">
            <v>1.2309313250560998</v>
          </cell>
          <cell r="G50">
            <v>2.0254519141196047E-2</v>
          </cell>
          <cell r="H50" t="str">
            <v>NA</v>
          </cell>
          <cell r="I50" t="str">
            <v>NA</v>
          </cell>
          <cell r="J50" t="str">
            <v>NA</v>
          </cell>
          <cell r="K50" t="str">
            <v>NA</v>
          </cell>
          <cell r="L50">
            <v>-1.5496211386143399</v>
          </cell>
          <cell r="M50">
            <v>-1.5496211386143399</v>
          </cell>
          <cell r="N50">
            <v>0</v>
          </cell>
          <cell r="O50">
            <v>0</v>
          </cell>
          <cell r="P50">
            <v>0</v>
          </cell>
          <cell r="Q50">
            <v>-1.5496211386143399</v>
          </cell>
          <cell r="R50">
            <v>-1.5496211386143399</v>
          </cell>
          <cell r="S50" t="str">
            <v>NA</v>
          </cell>
          <cell r="T50" t="str">
            <v>NA</v>
          </cell>
          <cell r="U50" t="str">
            <v>NA</v>
          </cell>
          <cell r="V50" t="str">
            <v>NA</v>
          </cell>
          <cell r="W50" t="str">
            <v>NA</v>
          </cell>
          <cell r="X50" t="str">
            <v>NA</v>
          </cell>
          <cell r="Y50" t="str">
            <v>NA</v>
          </cell>
          <cell r="Z50">
            <v>0</v>
          </cell>
          <cell r="AA50" t="str">
            <v>NA</v>
          </cell>
          <cell r="AB50" t="str">
            <v>NA</v>
          </cell>
          <cell r="AC50" t="str">
            <v>NA</v>
          </cell>
          <cell r="AD50" t="str">
            <v>NA</v>
          </cell>
          <cell r="AE50" t="str">
            <v>NA</v>
          </cell>
          <cell r="AF50">
            <v>0</v>
          </cell>
          <cell r="AG50">
            <v>8.9994096820590931E-3</v>
          </cell>
          <cell r="AH50">
            <v>2.7941576703256823</v>
          </cell>
          <cell r="AI50">
            <v>0</v>
          </cell>
          <cell r="AJ50">
            <v>-1.5722257549516416</v>
          </cell>
          <cell r="AK50">
            <v>0</v>
          </cell>
          <cell r="AL50">
            <v>1.2309313250560998</v>
          </cell>
          <cell r="AM50">
            <v>0</v>
          </cell>
          <cell r="AN50">
            <v>2.0254519141196047E-2</v>
          </cell>
          <cell r="AO50">
            <v>0</v>
          </cell>
          <cell r="AP50">
            <v>0</v>
          </cell>
          <cell r="AQ50">
            <v>0</v>
          </cell>
          <cell r="AR50">
            <v>2.0254519141196047E-2</v>
          </cell>
          <cell r="AS50">
            <v>-1.5698756577555359</v>
          </cell>
          <cell r="AT50">
            <v>-1.5698756577555359</v>
          </cell>
          <cell r="AU50" t="str">
            <v>NA</v>
          </cell>
          <cell r="AV50" t="str">
            <v>NA</v>
          </cell>
          <cell r="AW50">
            <v>1.2106768059149038</v>
          </cell>
          <cell r="AX50">
            <v>1.1654287391383698</v>
          </cell>
          <cell r="AY50">
            <v>0.17160182031963009</v>
          </cell>
          <cell r="AZ50">
            <v>0.21259057915634003</v>
          </cell>
          <cell r="BA50">
            <v>1.5496211386143399</v>
          </cell>
          <cell r="BB50">
            <v>1</v>
          </cell>
          <cell r="BC50">
            <v>1.1654287391383698</v>
          </cell>
          <cell r="BD50">
            <v>0.17160182031963009</v>
          </cell>
          <cell r="BE50">
            <v>0.21259057915634003</v>
          </cell>
          <cell r="BF50">
            <v>1.5496211386143399</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row>
        <row r="51">
          <cell r="B51" t="str">
            <v>PS</v>
          </cell>
          <cell r="C51">
            <v>-2.4982570975155571</v>
          </cell>
          <cell r="D51" t="str">
            <v>NA</v>
          </cell>
          <cell r="E51" t="str">
            <v>NA</v>
          </cell>
          <cell r="F51">
            <v>1.5994005073379254</v>
          </cell>
          <cell r="G51">
            <v>2.0254519141196047E-2</v>
          </cell>
          <cell r="H51" t="str">
            <v>NA</v>
          </cell>
          <cell r="I51" t="str">
            <v>NA</v>
          </cell>
          <cell r="J51" t="str">
            <v>NA</v>
          </cell>
          <cell r="K51" t="str">
            <v>NA</v>
          </cell>
          <cell r="L51">
            <v>-2.4982570975155571</v>
          </cell>
          <cell r="M51">
            <v>-2.4982570975155576</v>
          </cell>
          <cell r="N51">
            <v>0</v>
          </cell>
          <cell r="O51">
            <v>0</v>
          </cell>
          <cell r="P51">
            <v>0</v>
          </cell>
          <cell r="Q51">
            <v>-2.4982570975155571</v>
          </cell>
          <cell r="R51">
            <v>-2.4982570975155576</v>
          </cell>
          <cell r="S51" t="str">
            <v>NA</v>
          </cell>
          <cell r="T51" t="str">
            <v>NA</v>
          </cell>
          <cell r="U51" t="str">
            <v>NA</v>
          </cell>
          <cell r="V51" t="str">
            <v>NA</v>
          </cell>
          <cell r="W51" t="str">
            <v>NA</v>
          </cell>
          <cell r="X51" t="str">
            <v>NA</v>
          </cell>
          <cell r="Y51" t="str">
            <v>NA</v>
          </cell>
          <cell r="Z51">
            <v>0</v>
          </cell>
          <cell r="AA51" t="str">
            <v>NA</v>
          </cell>
          <cell r="AB51" t="str">
            <v>NA</v>
          </cell>
          <cell r="AC51" t="str">
            <v>NA</v>
          </cell>
          <cell r="AD51" t="str">
            <v>NA</v>
          </cell>
          <cell r="AE51" t="str">
            <v>NA</v>
          </cell>
          <cell r="AF51">
            <v>0</v>
          </cell>
          <cell r="AG51">
            <v>8.9994096820590931E-3</v>
          </cell>
          <cell r="AH51">
            <v>3.0090928757353503</v>
          </cell>
          <cell r="AI51">
            <v>0</v>
          </cell>
          <cell r="AJ51">
            <v>-1.4186917780794841</v>
          </cell>
          <cell r="AK51">
            <v>0</v>
          </cell>
          <cell r="AL51">
            <v>1.5994005073379254</v>
          </cell>
          <cell r="AM51">
            <v>0</v>
          </cell>
          <cell r="AN51">
            <v>2.0254519141196047E-2</v>
          </cell>
          <cell r="AO51">
            <v>0</v>
          </cell>
          <cell r="AP51">
            <v>0</v>
          </cell>
          <cell r="AQ51">
            <v>0</v>
          </cell>
          <cell r="AR51">
            <v>2.0254519141196047E-2</v>
          </cell>
          <cell r="AS51">
            <v>-2.5185116166567534</v>
          </cell>
          <cell r="AT51">
            <v>-2.5185116166567538</v>
          </cell>
          <cell r="AU51" t="str">
            <v>NA</v>
          </cell>
          <cell r="AV51" t="str">
            <v>NA</v>
          </cell>
          <cell r="AW51">
            <v>1.5791459881967294</v>
          </cell>
          <cell r="AX51">
            <v>1.8628585262959778</v>
          </cell>
          <cell r="AY51">
            <v>0.18906367913957953</v>
          </cell>
          <cell r="AZ51">
            <v>0.44633489208000005</v>
          </cell>
          <cell r="BA51">
            <v>2.4982570975155576</v>
          </cell>
          <cell r="BB51">
            <v>1</v>
          </cell>
          <cell r="BC51">
            <v>1.8628585262959778</v>
          </cell>
          <cell r="BD51">
            <v>0.18906367913957953</v>
          </cell>
          <cell r="BE51">
            <v>0.44633489208000005</v>
          </cell>
          <cell r="BF51">
            <v>2.4982570975155571</v>
          </cell>
          <cell r="BG51" t="str">
            <v>NA</v>
          </cell>
          <cell r="BH51" t="str">
            <v>NA</v>
          </cell>
          <cell r="BI51" t="str">
            <v>NA</v>
          </cell>
          <cell r="BJ51" t="str">
            <v>NA</v>
          </cell>
          <cell r="BK51" t="str">
            <v>NA</v>
          </cell>
          <cell r="BL51" t="str">
            <v>NA</v>
          </cell>
          <cell r="BM51" t="str">
            <v>NA</v>
          </cell>
          <cell r="BN51" t="str">
            <v>NA</v>
          </cell>
          <cell r="BO51" t="str">
            <v>NA</v>
          </cell>
          <cell r="BP51" t="str">
            <v>NA</v>
          </cell>
          <cell r="BQ51" t="str">
            <v>NA</v>
          </cell>
          <cell r="BR51" t="str">
            <v>NA</v>
          </cell>
          <cell r="BS51" t="str">
            <v>NA</v>
          </cell>
          <cell r="BT51" t="str">
            <v>NA</v>
          </cell>
          <cell r="BU51" t="str">
            <v>NA</v>
          </cell>
          <cell r="BV51" t="str">
            <v>NA</v>
          </cell>
          <cell r="BW51" t="str">
            <v>NA</v>
          </cell>
          <cell r="BX51" t="str">
            <v>NA</v>
          </cell>
          <cell r="BY51" t="str">
            <v>NA</v>
          </cell>
          <cell r="BZ51" t="str">
            <v>NA</v>
          </cell>
          <cell r="CA51" t="str">
            <v>NA</v>
          </cell>
          <cell r="CB51" t="str">
            <v>NA</v>
          </cell>
          <cell r="CC51" t="str">
            <v>NA</v>
          </cell>
          <cell r="CD51" t="str">
            <v>NA</v>
          </cell>
          <cell r="CE51" t="str">
            <v>NA</v>
          </cell>
          <cell r="CF51" t="str">
            <v>NA</v>
          </cell>
          <cell r="CG51" t="str">
            <v>NA</v>
          </cell>
          <cell r="CH51" t="str">
            <v>NA</v>
          </cell>
          <cell r="CI51" t="str">
            <v>NA</v>
          </cell>
          <cell r="CJ51" t="str">
            <v>NA</v>
          </cell>
          <cell r="CK51" t="str">
            <v>NA</v>
          </cell>
          <cell r="CL51" t="str">
            <v>NA</v>
          </cell>
        </row>
        <row r="52">
          <cell r="B52" t="str">
            <v>PVC</v>
          </cell>
          <cell r="C52">
            <v>-1.9488924030618728</v>
          </cell>
          <cell r="D52" t="str">
            <v>NA</v>
          </cell>
          <cell r="E52" t="str">
            <v>NA</v>
          </cell>
          <cell r="F52">
            <v>0.64104644204151306</v>
          </cell>
          <cell r="G52">
            <v>2.0254519141196047E-2</v>
          </cell>
          <cell r="H52" t="str">
            <v>NA</v>
          </cell>
          <cell r="I52" t="str">
            <v>NA</v>
          </cell>
          <cell r="J52" t="str">
            <v>NA</v>
          </cell>
          <cell r="K52" t="str">
            <v>NA</v>
          </cell>
          <cell r="L52">
            <v>-1.9488924030618728</v>
          </cell>
          <cell r="M52">
            <v>-1.9488924030618728</v>
          </cell>
          <cell r="N52">
            <v>0</v>
          </cell>
          <cell r="O52">
            <v>0</v>
          </cell>
          <cell r="P52">
            <v>0</v>
          </cell>
          <cell r="Q52">
            <v>-1.9488924030618728</v>
          </cell>
          <cell r="R52">
            <v>-1.9488924030618728</v>
          </cell>
          <cell r="S52" t="str">
            <v>NA</v>
          </cell>
          <cell r="T52" t="str">
            <v>NA</v>
          </cell>
          <cell r="U52" t="str">
            <v>NA</v>
          </cell>
          <cell r="V52" t="str">
            <v>NA</v>
          </cell>
          <cell r="W52" t="str">
            <v>NA</v>
          </cell>
          <cell r="X52" t="str">
            <v>NA</v>
          </cell>
          <cell r="Y52" t="str">
            <v>NA</v>
          </cell>
          <cell r="Z52">
            <v>0</v>
          </cell>
          <cell r="AA52" t="str">
            <v>NA</v>
          </cell>
          <cell r="AB52" t="str">
            <v>NA</v>
          </cell>
          <cell r="AC52" t="str">
            <v>NA</v>
          </cell>
          <cell r="AD52" t="str">
            <v>NA</v>
          </cell>
          <cell r="AE52" t="str">
            <v>NA</v>
          </cell>
          <cell r="AF52">
            <v>0</v>
          </cell>
          <cell r="AG52">
            <v>8.9994096820590931E-3</v>
          </cell>
          <cell r="AH52">
            <v>1.2527246852692282</v>
          </cell>
          <cell r="AI52">
            <v>0</v>
          </cell>
          <cell r="AJ52">
            <v>-0.62067765290977428</v>
          </cell>
          <cell r="AK52">
            <v>0</v>
          </cell>
          <cell r="AL52">
            <v>0.64104644204151306</v>
          </cell>
          <cell r="AM52">
            <v>0</v>
          </cell>
          <cell r="AN52">
            <v>2.0254519141196047E-2</v>
          </cell>
          <cell r="AO52">
            <v>0</v>
          </cell>
          <cell r="AP52">
            <v>0</v>
          </cell>
          <cell r="AQ52">
            <v>0</v>
          </cell>
          <cell r="AR52">
            <v>2.0254519141196047E-2</v>
          </cell>
          <cell r="AS52">
            <v>-1.9691469222030689</v>
          </cell>
          <cell r="AT52">
            <v>-1.9691469222030689</v>
          </cell>
          <cell r="AU52" t="str">
            <v>NA</v>
          </cell>
          <cell r="AV52" t="str">
            <v>NA</v>
          </cell>
          <cell r="AW52">
            <v>0.62079192290031704</v>
          </cell>
          <cell r="AX52">
            <v>1.6823993892458957</v>
          </cell>
          <cell r="AY52">
            <v>0.123520698791977</v>
          </cell>
          <cell r="AZ52">
            <v>0.14297231502400001</v>
          </cell>
          <cell r="BA52">
            <v>1.9488924030618728</v>
          </cell>
          <cell r="BB52">
            <v>1</v>
          </cell>
          <cell r="BC52">
            <v>1.6823993892458957</v>
          </cell>
          <cell r="BD52">
            <v>0.123520698791977</v>
          </cell>
          <cell r="BE52">
            <v>0.14297231502400001</v>
          </cell>
          <cell r="BF52">
            <v>1.9488924030618728</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row>
        <row r="53">
          <cell r="A53" t="str">
            <v>Food Waste</v>
          </cell>
          <cell r="B53" t="str">
            <v>Food Waste</v>
          </cell>
          <cell r="C53">
            <v>-3.6563116475032813</v>
          </cell>
          <cell r="D53" t="str">
            <v>NA</v>
          </cell>
          <cell r="E53">
            <v>-0.17601201959602991</v>
          </cell>
          <cell r="F53">
            <v>-0.14112834109840633</v>
          </cell>
          <cell r="G53">
            <v>0.54323160806358828</v>
          </cell>
          <cell r="H53">
            <v>-6.3693765650695344E-2</v>
          </cell>
          <cell r="I53">
            <v>-0.14368426437159573</v>
          </cell>
          <cell r="J53">
            <v>-4.7882658716176023E-2</v>
          </cell>
          <cell r="K53">
            <v>-0.10518855996132441</v>
          </cell>
          <cell r="L53">
            <v>-3.6563116475032813</v>
          </cell>
          <cell r="M53">
            <v>-3.6563116475032813</v>
          </cell>
          <cell r="N53">
            <v>0</v>
          </cell>
          <cell r="O53">
            <v>0</v>
          </cell>
          <cell r="P53">
            <v>0</v>
          </cell>
          <cell r="Q53">
            <v>-3.6563116475032813</v>
          </cell>
          <cell r="R53">
            <v>-3.6563116475032813</v>
          </cell>
          <cell r="S53" t="str">
            <v>NA</v>
          </cell>
          <cell r="T53" t="str">
            <v>NA</v>
          </cell>
          <cell r="U53" t="str">
            <v>NA</v>
          </cell>
          <cell r="V53" t="str">
            <v>NA</v>
          </cell>
          <cell r="W53" t="str">
            <v>NA</v>
          </cell>
          <cell r="X53" t="str">
            <v>NA</v>
          </cell>
          <cell r="Y53" t="str">
            <v>NA</v>
          </cell>
          <cell r="Z53" t="str">
            <v>NA</v>
          </cell>
          <cell r="AA53">
            <v>1.9533937541226856E-2</v>
          </cell>
          <cell r="AB53">
            <v>0</v>
          </cell>
          <cell r="AC53">
            <v>4.5100000000000001E-2</v>
          </cell>
          <cell r="AD53">
            <v>-0.24064595713725678</v>
          </cell>
          <cell r="AE53">
            <v>-0.17601201959602991</v>
          </cell>
          <cell r="AF53">
            <v>0</v>
          </cell>
          <cell r="AG53">
            <v>8.9994096820590931E-3</v>
          </cell>
          <cell r="AH53">
            <v>0</v>
          </cell>
          <cell r="AI53">
            <v>3.6666666666666667E-2</v>
          </cell>
          <cell r="AJ53">
            <v>-0.1867944174471321</v>
          </cell>
          <cell r="AK53">
            <v>0</v>
          </cell>
          <cell r="AL53">
            <v>-0.14112834109840633</v>
          </cell>
          <cell r="AM53">
            <v>0</v>
          </cell>
          <cell r="AN53">
            <v>2.0254519141196047E-2</v>
          </cell>
          <cell r="AO53">
            <v>0.67431717488926157</v>
          </cell>
          <cell r="AP53">
            <v>-6.4492398773086254E-2</v>
          </cell>
          <cell r="AQ53">
            <v>-8.6847687193783149E-2</v>
          </cell>
          <cell r="AR53">
            <v>0.54323160806358828</v>
          </cell>
          <cell r="AS53" t="str">
            <v>NA</v>
          </cell>
          <cell r="AT53">
            <v>-4.1995432555668692</v>
          </cell>
          <cell r="AU53" t="str">
            <v>NA</v>
          </cell>
          <cell r="AV53">
            <v>-0.71924362765961813</v>
          </cell>
          <cell r="AW53">
            <v>-0.68435994916199461</v>
          </cell>
          <cell r="AX53">
            <v>0.7855469531138527</v>
          </cell>
          <cell r="AY53">
            <v>0.1342157371411874</v>
          </cell>
          <cell r="AZ53">
            <v>2.7365489572482411</v>
          </cell>
          <cell r="BA53">
            <v>3.6563116475032813</v>
          </cell>
          <cell r="BB53">
            <v>1</v>
          </cell>
          <cell r="BC53">
            <v>0.7855469531138527</v>
          </cell>
          <cell r="BD53">
            <v>0.1342157371411874</v>
          </cell>
          <cell r="BE53">
            <v>2.7365489572482411</v>
          </cell>
          <cell r="BF53">
            <v>3.6563116475032813</v>
          </cell>
          <cell r="BG53" t="str">
            <v>NA</v>
          </cell>
          <cell r="BH53" t="str">
            <v>NA</v>
          </cell>
          <cell r="BI53" t="str">
            <v>NA</v>
          </cell>
          <cell r="BJ53" t="str">
            <v>NA</v>
          </cell>
          <cell r="BK53">
            <v>1.3750648614786171E-2</v>
          </cell>
          <cell r="BL53">
            <v>-0.12404887246769211</v>
          </cell>
          <cell r="BM53">
            <v>-2.1618716632795795E-2</v>
          </cell>
          <cell r="BN53">
            <v>-3.2846012739872248E-2</v>
          </cell>
          <cell r="BO53">
            <v>9.7785100400303901E-2</v>
          </cell>
          <cell r="BP53">
            <v>3.2840871745747425E-3</v>
          </cell>
          <cell r="BQ53">
            <v>-6.3693765650695344E-2</v>
          </cell>
          <cell r="BR53">
            <v>1.2150753523987968E-2</v>
          </cell>
          <cell r="BS53">
            <v>-0.12505947200089057</v>
          </cell>
          <cell r="BT53">
            <v>-3.370304961204227E-2</v>
          </cell>
          <cell r="BU53">
            <v>-7.820479223779106E-2</v>
          </cell>
          <cell r="BV53">
            <v>7.7848208780565475E-2</v>
          </cell>
          <cell r="BW53">
            <v>3.2840871745747425E-3</v>
          </cell>
          <cell r="BX53">
            <v>-0.14368426437159573</v>
          </cell>
          <cell r="BY53">
            <v>1.9248750480925173E-2</v>
          </cell>
          <cell r="BZ53">
            <v>-0.14673696864739627</v>
          </cell>
          <cell r="CA53">
            <v>-1.1966944188332697E-2</v>
          </cell>
          <cell r="CB53">
            <v>-3.2846012739872248E-2</v>
          </cell>
          <cell r="CC53">
            <v>0.12113442920392528</v>
          </cell>
          <cell r="CD53">
            <v>3.2840871745747425E-3</v>
          </cell>
          <cell r="CE53">
            <v>-4.7882658716176023E-2</v>
          </cell>
          <cell r="CF53">
            <v>1.8832060603640344E-2</v>
          </cell>
          <cell r="CG53">
            <v>-0.14690540190292933</v>
          </cell>
          <cell r="CH53">
            <v>-1.8009110677955933E-2</v>
          </cell>
          <cell r="CI53">
            <v>-7.820479223779106E-2</v>
          </cell>
          <cell r="CJ53">
            <v>0.11581459707913683</v>
          </cell>
          <cell r="CK53">
            <v>3.2840871745747425E-3</v>
          </cell>
          <cell r="CL53">
            <v>-0.10518855996132441</v>
          </cell>
        </row>
        <row r="54">
          <cell r="B54" t="str">
            <v>Dairy Products</v>
          </cell>
          <cell r="C54">
            <v>-1.7430171884907066</v>
          </cell>
          <cell r="D54" t="str">
            <v>NA</v>
          </cell>
          <cell r="E54">
            <v>-0.17601201959602991</v>
          </cell>
          <cell r="F54">
            <v>-0.14112834109840633</v>
          </cell>
          <cell r="G54">
            <v>0.54323160806358828</v>
          </cell>
          <cell r="H54">
            <v>-6.3693765650695344E-2</v>
          </cell>
          <cell r="I54">
            <v>-0.14368426437159573</v>
          </cell>
          <cell r="J54">
            <v>-4.7882658716176023E-2</v>
          </cell>
          <cell r="K54">
            <v>-0.10518855996132441</v>
          </cell>
          <cell r="L54">
            <v>-1.7430171884907066</v>
          </cell>
          <cell r="M54">
            <v>-1.7430171884907069</v>
          </cell>
          <cell r="N54">
            <v>0</v>
          </cell>
          <cell r="O54">
            <v>0</v>
          </cell>
          <cell r="P54">
            <v>0</v>
          </cell>
          <cell r="Q54">
            <v>-1.7430171884907066</v>
          </cell>
          <cell r="R54">
            <v>-1.7430171884907069</v>
          </cell>
          <cell r="S54" t="str">
            <v>NA</v>
          </cell>
          <cell r="T54" t="str">
            <v>NA</v>
          </cell>
          <cell r="U54" t="str">
            <v>NA</v>
          </cell>
          <cell r="V54" t="str">
            <v>NA</v>
          </cell>
          <cell r="W54" t="str">
            <v>NA</v>
          </cell>
          <cell r="X54" t="str">
            <v>NA</v>
          </cell>
          <cell r="Y54" t="str">
            <v>NA</v>
          </cell>
          <cell r="Z54" t="str">
            <v>NA</v>
          </cell>
          <cell r="AA54">
            <v>1.9533937541226856E-2</v>
          </cell>
          <cell r="AB54">
            <v>0</v>
          </cell>
          <cell r="AC54">
            <v>4.5100000000000001E-2</v>
          </cell>
          <cell r="AD54">
            <v>-0.24064595713725678</v>
          </cell>
          <cell r="AE54">
            <v>-0.17601201959602991</v>
          </cell>
          <cell r="AF54">
            <v>0</v>
          </cell>
          <cell r="AG54">
            <v>8.9994096820590931E-3</v>
          </cell>
          <cell r="AH54">
            <v>0</v>
          </cell>
          <cell r="AI54">
            <v>3.6666666666666667E-2</v>
          </cell>
          <cell r="AJ54">
            <v>-0.1867944174471321</v>
          </cell>
          <cell r="AK54">
            <v>0</v>
          </cell>
          <cell r="AL54">
            <v>-0.14112834109840633</v>
          </cell>
          <cell r="AM54">
            <v>0</v>
          </cell>
          <cell r="AN54">
            <v>2.0254519141196047E-2</v>
          </cell>
          <cell r="AO54">
            <v>0.67431717488926157</v>
          </cell>
          <cell r="AP54">
            <v>-6.4492398773086254E-2</v>
          </cell>
          <cell r="AQ54">
            <v>-8.6847687193783149E-2</v>
          </cell>
          <cell r="AR54">
            <v>0.54323160806358828</v>
          </cell>
          <cell r="AS54" t="str">
            <v>NA</v>
          </cell>
          <cell r="AT54">
            <v>-2.286248796554295</v>
          </cell>
          <cell r="AU54" t="str">
            <v>NA</v>
          </cell>
          <cell r="AV54">
            <v>-0.71924362765961813</v>
          </cell>
          <cell r="AW54">
            <v>-0.68435994916199461</v>
          </cell>
          <cell r="AX54">
            <v>0.80346320452113473</v>
          </cell>
          <cell r="AY54">
            <v>4.7381080273429167E-2</v>
          </cell>
          <cell r="AZ54">
            <v>0.89217290369614288</v>
          </cell>
          <cell r="BA54">
            <v>1.7430171884907069</v>
          </cell>
          <cell r="BB54">
            <v>1</v>
          </cell>
          <cell r="BC54">
            <v>0.80346320452113473</v>
          </cell>
          <cell r="BD54">
            <v>4.7381080273429167E-2</v>
          </cell>
          <cell r="BE54">
            <v>0.89217290369614288</v>
          </cell>
          <cell r="BF54">
            <v>1.7430171884907066</v>
          </cell>
          <cell r="BG54" t="str">
            <v>NA</v>
          </cell>
          <cell r="BH54" t="str">
            <v>NA</v>
          </cell>
          <cell r="BI54" t="str">
            <v>NA</v>
          </cell>
          <cell r="BJ54" t="str">
            <v>NA</v>
          </cell>
          <cell r="BK54">
            <v>1.3750648614786171E-2</v>
          </cell>
          <cell r="BL54">
            <v>-0.12404887246769211</v>
          </cell>
          <cell r="BM54">
            <v>-2.1618716632795795E-2</v>
          </cell>
          <cell r="BN54">
            <v>-3.2846012739872248E-2</v>
          </cell>
          <cell r="BO54">
            <v>9.7785100400303901E-2</v>
          </cell>
          <cell r="BP54">
            <v>3.2840871745747425E-3</v>
          </cell>
          <cell r="BQ54">
            <v>-6.3693765650695344E-2</v>
          </cell>
          <cell r="BR54">
            <v>1.2150753523987968E-2</v>
          </cell>
          <cell r="BS54">
            <v>-0.12505947200089057</v>
          </cell>
          <cell r="BT54">
            <v>-3.370304961204227E-2</v>
          </cell>
          <cell r="BU54">
            <v>-7.820479223779106E-2</v>
          </cell>
          <cell r="BV54">
            <v>7.7848208780565475E-2</v>
          </cell>
          <cell r="BW54">
            <v>3.2840871745747425E-3</v>
          </cell>
          <cell r="BX54">
            <v>-0.14368426437159573</v>
          </cell>
          <cell r="BY54">
            <v>1.9248750480925173E-2</v>
          </cell>
          <cell r="BZ54">
            <v>-0.14673696864739627</v>
          </cell>
          <cell r="CA54">
            <v>-1.1966944188332697E-2</v>
          </cell>
          <cell r="CB54">
            <v>-3.2846012739872248E-2</v>
          </cell>
          <cell r="CC54">
            <v>0.12113442920392528</v>
          </cell>
          <cell r="CD54">
            <v>3.2840871745747425E-3</v>
          </cell>
          <cell r="CE54">
            <v>-4.7882658716176023E-2</v>
          </cell>
          <cell r="CF54">
            <v>1.8832060603640344E-2</v>
          </cell>
          <cell r="CG54">
            <v>-0.14690540190292933</v>
          </cell>
          <cell r="CH54">
            <v>-1.8009110677955933E-2</v>
          </cell>
          <cell r="CI54">
            <v>-7.820479223779106E-2</v>
          </cell>
          <cell r="CJ54">
            <v>0.11581459707913683</v>
          </cell>
          <cell r="CK54">
            <v>3.2840871745747425E-3</v>
          </cell>
          <cell r="CL54">
            <v>-0.10518855996132441</v>
          </cell>
        </row>
        <row r="55">
          <cell r="B55" t="str">
            <v>Grains</v>
          </cell>
          <cell r="C55">
            <v>-0.61825309510684989</v>
          </cell>
          <cell r="D55" t="str">
            <v>NA</v>
          </cell>
          <cell r="E55">
            <v>-0.17601201959602991</v>
          </cell>
          <cell r="F55">
            <v>-0.14112834109840633</v>
          </cell>
          <cell r="G55">
            <v>0.54323160806358828</v>
          </cell>
          <cell r="H55">
            <v>-6.3693765650695344E-2</v>
          </cell>
          <cell r="I55">
            <v>-0.14368426437159573</v>
          </cell>
          <cell r="J55">
            <v>-4.7882658716176023E-2</v>
          </cell>
          <cell r="K55">
            <v>-0.10518855996132441</v>
          </cell>
          <cell r="L55">
            <v>-0.61825309510684989</v>
          </cell>
          <cell r="M55">
            <v>-0.61825309510684989</v>
          </cell>
          <cell r="N55">
            <v>0</v>
          </cell>
          <cell r="O55">
            <v>0</v>
          </cell>
          <cell r="P55">
            <v>0</v>
          </cell>
          <cell r="Q55">
            <v>-0.61825309510684989</v>
          </cell>
          <cell r="R55">
            <v>-0.61825309510684989</v>
          </cell>
          <cell r="S55" t="str">
            <v>NA</v>
          </cell>
          <cell r="T55" t="str">
            <v>NA</v>
          </cell>
          <cell r="U55" t="str">
            <v>NA</v>
          </cell>
          <cell r="V55" t="str">
            <v>NA</v>
          </cell>
          <cell r="W55" t="str">
            <v>NA</v>
          </cell>
          <cell r="X55" t="str">
            <v>NA</v>
          </cell>
          <cell r="Y55" t="str">
            <v>NA</v>
          </cell>
          <cell r="Z55" t="str">
            <v>NA</v>
          </cell>
          <cell r="AA55">
            <v>1.9533937541226856E-2</v>
          </cell>
          <cell r="AB55">
            <v>0</v>
          </cell>
          <cell r="AC55">
            <v>4.5100000000000001E-2</v>
          </cell>
          <cell r="AD55">
            <v>-0.24064595713725678</v>
          </cell>
          <cell r="AE55">
            <v>-0.17601201959602991</v>
          </cell>
          <cell r="AF55">
            <v>0</v>
          </cell>
          <cell r="AG55">
            <v>8.9994096820590931E-3</v>
          </cell>
          <cell r="AH55">
            <v>0</v>
          </cell>
          <cell r="AI55">
            <v>3.6666666666666667E-2</v>
          </cell>
          <cell r="AJ55">
            <v>-0.1867944174471321</v>
          </cell>
          <cell r="AK55">
            <v>0</v>
          </cell>
          <cell r="AL55">
            <v>-0.14112834109840633</v>
          </cell>
          <cell r="AM55">
            <v>0</v>
          </cell>
          <cell r="AN55">
            <v>2.0254519141196047E-2</v>
          </cell>
          <cell r="AO55">
            <v>0.67431717488926157</v>
          </cell>
          <cell r="AP55">
            <v>-6.4492398773086254E-2</v>
          </cell>
          <cell r="AQ55">
            <v>-8.6847687193783149E-2</v>
          </cell>
          <cell r="AR55">
            <v>0.54323160806358828</v>
          </cell>
          <cell r="AS55" t="str">
            <v>NA</v>
          </cell>
          <cell r="AT55">
            <v>-1.1614847031704381</v>
          </cell>
          <cell r="AU55" t="str">
            <v>NA</v>
          </cell>
          <cell r="AV55">
            <v>-0.71924362765961813</v>
          </cell>
          <cell r="AW55">
            <v>-0.68435994916199461</v>
          </cell>
          <cell r="AX55">
            <v>0.31222882270097374</v>
          </cell>
          <cell r="AY55">
            <v>2.1271237951544241E-2</v>
          </cell>
          <cell r="AZ55">
            <v>0.28475303445433187</v>
          </cell>
          <cell r="BA55">
            <v>0.61825309510684989</v>
          </cell>
          <cell r="BB55">
            <v>1</v>
          </cell>
          <cell r="BC55">
            <v>0.31222882270097374</v>
          </cell>
          <cell r="BD55">
            <v>2.1271237951544241E-2</v>
          </cell>
          <cell r="BE55">
            <v>0.28475303445433187</v>
          </cell>
          <cell r="BF55">
            <v>0.61825309510684989</v>
          </cell>
          <cell r="BG55" t="str">
            <v>NA</v>
          </cell>
          <cell r="BH55" t="str">
            <v>NA</v>
          </cell>
          <cell r="BI55" t="str">
            <v>NA</v>
          </cell>
          <cell r="BJ55" t="str">
            <v>NA</v>
          </cell>
          <cell r="BK55">
            <v>1.3750648614786171E-2</v>
          </cell>
          <cell r="BL55">
            <v>-0.12404887246769211</v>
          </cell>
          <cell r="BM55">
            <v>-2.1618716632795795E-2</v>
          </cell>
          <cell r="BN55">
            <v>-3.2846012739872248E-2</v>
          </cell>
          <cell r="BO55">
            <v>9.7785100400303901E-2</v>
          </cell>
          <cell r="BP55">
            <v>3.2840871745747425E-3</v>
          </cell>
          <cell r="BQ55">
            <v>-6.3693765650695344E-2</v>
          </cell>
          <cell r="BR55">
            <v>1.2150753523987968E-2</v>
          </cell>
          <cell r="BS55">
            <v>-0.12505947200089057</v>
          </cell>
          <cell r="BT55">
            <v>-3.370304961204227E-2</v>
          </cell>
          <cell r="BU55">
            <v>-7.820479223779106E-2</v>
          </cell>
          <cell r="BV55">
            <v>7.7848208780565475E-2</v>
          </cell>
          <cell r="BW55">
            <v>3.2840871745747425E-3</v>
          </cell>
          <cell r="BX55">
            <v>-0.14368426437159573</v>
          </cell>
          <cell r="BY55">
            <v>1.9248750480925173E-2</v>
          </cell>
          <cell r="BZ55">
            <v>-0.14673696864739627</v>
          </cell>
          <cell r="CA55">
            <v>-1.1966944188332697E-2</v>
          </cell>
          <cell r="CB55">
            <v>-3.2846012739872248E-2</v>
          </cell>
          <cell r="CC55">
            <v>0.12113442920392528</v>
          </cell>
          <cell r="CD55">
            <v>3.2840871745747425E-3</v>
          </cell>
          <cell r="CE55">
            <v>-4.7882658716176023E-2</v>
          </cell>
          <cell r="CF55">
            <v>1.8832060603640344E-2</v>
          </cell>
          <cell r="CG55">
            <v>-0.14690540190292933</v>
          </cell>
          <cell r="CH55">
            <v>-1.8009110677955933E-2</v>
          </cell>
          <cell r="CI55">
            <v>-7.820479223779106E-2</v>
          </cell>
          <cell r="CJ55">
            <v>0.11581459707913683</v>
          </cell>
          <cell r="CK55">
            <v>3.2840871745747425E-3</v>
          </cell>
          <cell r="CL55">
            <v>-0.10518855996132441</v>
          </cell>
        </row>
        <row r="56">
          <cell r="B56" t="str">
            <v>Bread</v>
          </cell>
          <cell r="C56">
            <v>-0.66885741730676163</v>
          </cell>
          <cell r="D56" t="str">
            <v>NA</v>
          </cell>
          <cell r="E56">
            <v>-0.17601201959602991</v>
          </cell>
          <cell r="F56">
            <v>-0.14112834109840633</v>
          </cell>
          <cell r="G56">
            <v>0.54323160806358828</v>
          </cell>
          <cell r="H56">
            <v>-6.3693765650695344E-2</v>
          </cell>
          <cell r="I56">
            <v>-0.14368426437159573</v>
          </cell>
          <cell r="J56">
            <v>-4.7882658716176023E-2</v>
          </cell>
          <cell r="K56">
            <v>-0.10518855996132441</v>
          </cell>
          <cell r="L56">
            <v>-0.66885741730676163</v>
          </cell>
          <cell r="M56">
            <v>-0.66885741730676163</v>
          </cell>
          <cell r="N56">
            <v>0</v>
          </cell>
          <cell r="O56">
            <v>0</v>
          </cell>
          <cell r="P56">
            <v>0</v>
          </cell>
          <cell r="Q56">
            <v>-0.66885741730676163</v>
          </cell>
          <cell r="R56">
            <v>-0.66885741730676163</v>
          </cell>
          <cell r="S56" t="str">
            <v>NA</v>
          </cell>
          <cell r="T56" t="str">
            <v>NA</v>
          </cell>
          <cell r="U56" t="str">
            <v>NA</v>
          </cell>
          <cell r="V56" t="str">
            <v>NA</v>
          </cell>
          <cell r="W56" t="str">
            <v>NA</v>
          </cell>
          <cell r="X56" t="str">
            <v>NA</v>
          </cell>
          <cell r="Y56" t="str">
            <v>NA</v>
          </cell>
          <cell r="Z56" t="str">
            <v>NA</v>
          </cell>
          <cell r="AA56">
            <v>1.9533937541226856E-2</v>
          </cell>
          <cell r="AB56">
            <v>0</v>
          </cell>
          <cell r="AC56">
            <v>4.5100000000000001E-2</v>
          </cell>
          <cell r="AD56">
            <v>-0.24064595713725678</v>
          </cell>
          <cell r="AE56">
            <v>-0.17601201959602991</v>
          </cell>
          <cell r="AF56">
            <v>0</v>
          </cell>
          <cell r="AG56">
            <v>8.9994096820590931E-3</v>
          </cell>
          <cell r="AH56">
            <v>0</v>
          </cell>
          <cell r="AI56">
            <v>3.6666666666666667E-2</v>
          </cell>
          <cell r="AJ56">
            <v>-0.1867944174471321</v>
          </cell>
          <cell r="AK56">
            <v>0</v>
          </cell>
          <cell r="AL56">
            <v>-0.14112834109840633</v>
          </cell>
          <cell r="AM56">
            <v>0</v>
          </cell>
          <cell r="AN56">
            <v>2.0254519141196047E-2</v>
          </cell>
          <cell r="AO56">
            <v>0.67431717488926157</v>
          </cell>
          <cell r="AP56">
            <v>-6.4492398773086254E-2</v>
          </cell>
          <cell r="AQ56">
            <v>-8.6847687193783149E-2</v>
          </cell>
          <cell r="AR56">
            <v>0.54323160806358828</v>
          </cell>
          <cell r="AS56" t="str">
            <v>NA</v>
          </cell>
          <cell r="AT56">
            <v>-1.21208902537035</v>
          </cell>
          <cell r="AU56" t="str">
            <v>NA</v>
          </cell>
          <cell r="AV56">
            <v>-0.71924362765961813</v>
          </cell>
          <cell r="AW56">
            <v>-0.68435994916199461</v>
          </cell>
          <cell r="AX56">
            <v>0.35031272569902011</v>
          </cell>
          <cell r="AY56">
            <v>1.3565430995513121E-2</v>
          </cell>
          <cell r="AZ56">
            <v>0.30497926061222841</v>
          </cell>
          <cell r="BA56">
            <v>0.66885741730676163</v>
          </cell>
          <cell r="BB56">
            <v>1</v>
          </cell>
          <cell r="BC56">
            <v>0.35031272569902011</v>
          </cell>
          <cell r="BD56">
            <v>1.3565430995513121E-2</v>
          </cell>
          <cell r="BE56">
            <v>0.30497926061222841</v>
          </cell>
          <cell r="BF56">
            <v>0.66885741730676163</v>
          </cell>
          <cell r="BG56" t="str">
            <v>NA</v>
          </cell>
          <cell r="BH56" t="str">
            <v>NA</v>
          </cell>
          <cell r="BI56" t="str">
            <v>NA</v>
          </cell>
          <cell r="BJ56" t="str">
            <v>NA</v>
          </cell>
          <cell r="BK56">
            <v>1.3750648614786171E-2</v>
          </cell>
          <cell r="BL56">
            <v>-0.12404887246769211</v>
          </cell>
          <cell r="BM56">
            <v>-2.1618716632795795E-2</v>
          </cell>
          <cell r="BN56">
            <v>-3.2846012739872248E-2</v>
          </cell>
          <cell r="BO56">
            <v>9.7785100400303901E-2</v>
          </cell>
          <cell r="BP56">
            <v>3.2840871745747425E-3</v>
          </cell>
          <cell r="BQ56">
            <v>-6.3693765650695344E-2</v>
          </cell>
          <cell r="BR56">
            <v>1.2150753523987968E-2</v>
          </cell>
          <cell r="BS56">
            <v>-0.12505947200089057</v>
          </cell>
          <cell r="BT56">
            <v>-3.370304961204227E-2</v>
          </cell>
          <cell r="BU56">
            <v>-7.820479223779106E-2</v>
          </cell>
          <cell r="BV56">
            <v>7.7848208780565475E-2</v>
          </cell>
          <cell r="BW56">
            <v>3.2840871745747425E-3</v>
          </cell>
          <cell r="BX56">
            <v>-0.14368426437159573</v>
          </cell>
          <cell r="BY56">
            <v>1.9248750480925173E-2</v>
          </cell>
          <cell r="BZ56">
            <v>-0.14673696864739627</v>
          </cell>
          <cell r="CA56">
            <v>-1.1966944188332697E-2</v>
          </cell>
          <cell r="CB56">
            <v>-3.2846012739872248E-2</v>
          </cell>
          <cell r="CC56">
            <v>0.12113442920392528</v>
          </cell>
          <cell r="CD56">
            <v>3.2840871745747425E-3</v>
          </cell>
          <cell r="CE56">
            <v>-4.7882658716176023E-2</v>
          </cell>
          <cell r="CF56">
            <v>1.8832060603640344E-2</v>
          </cell>
          <cell r="CG56">
            <v>-0.14690540190292933</v>
          </cell>
          <cell r="CH56">
            <v>-1.8009110677955933E-2</v>
          </cell>
          <cell r="CI56">
            <v>-7.820479223779106E-2</v>
          </cell>
          <cell r="CJ56">
            <v>0.11581459707913683</v>
          </cell>
          <cell r="CK56">
            <v>3.2840871745747425E-3</v>
          </cell>
          <cell r="CL56">
            <v>-0.10518855996132441</v>
          </cell>
        </row>
        <row r="57">
          <cell r="B57" t="str">
            <v>Fruits and Vegetables</v>
          </cell>
          <cell r="C57">
            <v>-0.43975723056728039</v>
          </cell>
          <cell r="D57" t="str">
            <v>NA</v>
          </cell>
          <cell r="E57">
            <v>-0.17601201959602991</v>
          </cell>
          <cell r="F57">
            <v>-0.14112834109840633</v>
          </cell>
          <cell r="G57">
            <v>0.54323160806358828</v>
          </cell>
          <cell r="H57">
            <v>-6.3693765650695344E-2</v>
          </cell>
          <cell r="I57">
            <v>-0.14368426437159573</v>
          </cell>
          <cell r="J57">
            <v>-4.7882658716176023E-2</v>
          </cell>
          <cell r="K57">
            <v>-0.10518855996132441</v>
          </cell>
          <cell r="L57">
            <v>-0.43975723056728039</v>
          </cell>
          <cell r="M57">
            <v>-0.43975723056728044</v>
          </cell>
          <cell r="N57">
            <v>0</v>
          </cell>
          <cell r="O57">
            <v>0</v>
          </cell>
          <cell r="P57">
            <v>0</v>
          </cell>
          <cell r="Q57">
            <v>-0.43975723056728039</v>
          </cell>
          <cell r="R57">
            <v>-0.43975723056728044</v>
          </cell>
          <cell r="S57" t="str">
            <v>NA</v>
          </cell>
          <cell r="T57" t="str">
            <v>NA</v>
          </cell>
          <cell r="U57" t="str">
            <v>NA</v>
          </cell>
          <cell r="V57" t="str">
            <v>NA</v>
          </cell>
          <cell r="W57" t="str">
            <v>NA</v>
          </cell>
          <cell r="X57" t="str">
            <v>NA</v>
          </cell>
          <cell r="Y57" t="str">
            <v>NA</v>
          </cell>
          <cell r="Z57" t="str">
            <v>NA</v>
          </cell>
          <cell r="AA57">
            <v>1.9533937541226856E-2</v>
          </cell>
          <cell r="AB57">
            <v>0</v>
          </cell>
          <cell r="AC57">
            <v>4.5100000000000001E-2</v>
          </cell>
          <cell r="AD57">
            <v>-0.24064595713725678</v>
          </cell>
          <cell r="AE57">
            <v>-0.17601201959602991</v>
          </cell>
          <cell r="AF57">
            <v>0</v>
          </cell>
          <cell r="AG57">
            <v>8.9994096820590931E-3</v>
          </cell>
          <cell r="AH57">
            <v>0</v>
          </cell>
          <cell r="AI57">
            <v>3.6666666666666667E-2</v>
          </cell>
          <cell r="AJ57">
            <v>-0.1867944174471321</v>
          </cell>
          <cell r="AK57">
            <v>0</v>
          </cell>
          <cell r="AL57">
            <v>-0.14112834109840633</v>
          </cell>
          <cell r="AM57">
            <v>0</v>
          </cell>
          <cell r="AN57">
            <v>2.0254519141196047E-2</v>
          </cell>
          <cell r="AO57">
            <v>0.67431717488926157</v>
          </cell>
          <cell r="AP57">
            <v>-6.4492398773086254E-2</v>
          </cell>
          <cell r="AQ57">
            <v>-8.6847687193783149E-2</v>
          </cell>
          <cell r="AR57">
            <v>0.54323160806358828</v>
          </cell>
          <cell r="AS57" t="str">
            <v>NA</v>
          </cell>
          <cell r="AT57">
            <v>-0.98298883863086872</v>
          </cell>
          <cell r="AU57" t="str">
            <v>NA</v>
          </cell>
          <cell r="AV57">
            <v>-0.71924362765961813</v>
          </cell>
          <cell r="AW57">
            <v>-0.68435994916199461</v>
          </cell>
          <cell r="AX57">
            <v>0.20499516078050842</v>
          </cell>
          <cell r="AY57">
            <v>0.16868148452786483</v>
          </cell>
          <cell r="AZ57">
            <v>6.6080585258907157E-2</v>
          </cell>
          <cell r="BA57">
            <v>0.43975723056728044</v>
          </cell>
          <cell r="BB57">
            <v>1</v>
          </cell>
          <cell r="BC57">
            <v>0.20499516078050842</v>
          </cell>
          <cell r="BD57">
            <v>0.16868148452786483</v>
          </cell>
          <cell r="BE57">
            <v>6.6080585258907157E-2</v>
          </cell>
          <cell r="BF57">
            <v>0.43975723056728039</v>
          </cell>
          <cell r="BG57" t="str">
            <v>NA</v>
          </cell>
          <cell r="BH57" t="str">
            <v>NA</v>
          </cell>
          <cell r="BI57" t="str">
            <v>NA</v>
          </cell>
          <cell r="BJ57" t="str">
            <v>NA</v>
          </cell>
          <cell r="BK57">
            <v>1.3750648614786171E-2</v>
          </cell>
          <cell r="BL57">
            <v>-0.12404887246769211</v>
          </cell>
          <cell r="BM57">
            <v>-2.1618716632795795E-2</v>
          </cell>
          <cell r="BN57">
            <v>-3.2846012739872248E-2</v>
          </cell>
          <cell r="BO57">
            <v>9.7785100400303901E-2</v>
          </cell>
          <cell r="BP57">
            <v>3.2840871745747425E-3</v>
          </cell>
          <cell r="BQ57">
            <v>-6.3693765650695344E-2</v>
          </cell>
          <cell r="BR57">
            <v>1.2150753523987968E-2</v>
          </cell>
          <cell r="BS57">
            <v>-0.12505947200089057</v>
          </cell>
          <cell r="BT57">
            <v>-3.370304961204227E-2</v>
          </cell>
          <cell r="BU57">
            <v>-7.820479223779106E-2</v>
          </cell>
          <cell r="BV57">
            <v>7.7848208780565475E-2</v>
          </cell>
          <cell r="BW57">
            <v>3.2840871745747425E-3</v>
          </cell>
          <cell r="BX57">
            <v>-0.14368426437159573</v>
          </cell>
          <cell r="BY57">
            <v>1.9248750480925173E-2</v>
          </cell>
          <cell r="BZ57">
            <v>-0.14673696864739627</v>
          </cell>
          <cell r="CA57">
            <v>-1.1966944188332697E-2</v>
          </cell>
          <cell r="CB57">
            <v>-3.2846012739872248E-2</v>
          </cell>
          <cell r="CC57">
            <v>0.12113442920392528</v>
          </cell>
          <cell r="CD57">
            <v>3.2840871745747425E-3</v>
          </cell>
          <cell r="CE57">
            <v>-4.7882658716176023E-2</v>
          </cell>
          <cell r="CF57">
            <v>1.8832060603640344E-2</v>
          </cell>
          <cell r="CG57">
            <v>-0.14690540190292933</v>
          </cell>
          <cell r="CH57">
            <v>-1.8009110677955933E-2</v>
          </cell>
          <cell r="CI57">
            <v>-7.820479223779106E-2</v>
          </cell>
          <cell r="CJ57">
            <v>0.11581459707913683</v>
          </cell>
          <cell r="CK57">
            <v>3.2840871745747425E-3</v>
          </cell>
          <cell r="CL57">
            <v>-0.10518855996132441</v>
          </cell>
        </row>
        <row r="58">
          <cell r="B58" t="str">
            <v>Beef</v>
          </cell>
          <cell r="C58">
            <v>-30.052031630109216</v>
          </cell>
          <cell r="D58" t="str">
            <v>NA</v>
          </cell>
          <cell r="E58">
            <v>-0.17601201959602991</v>
          </cell>
          <cell r="F58">
            <v>-0.14112834109840633</v>
          </cell>
          <cell r="G58">
            <v>0.54323160806358828</v>
          </cell>
          <cell r="H58">
            <v>-6.3693765650695344E-2</v>
          </cell>
          <cell r="I58">
            <v>-0.14368426437159573</v>
          </cell>
          <cell r="J58">
            <v>-4.7882658716176023E-2</v>
          </cell>
          <cell r="K58">
            <v>-0.10518855996132441</v>
          </cell>
          <cell r="L58">
            <v>-30.052031630109216</v>
          </cell>
          <cell r="M58">
            <v>-30.052031630109216</v>
          </cell>
          <cell r="N58">
            <v>0</v>
          </cell>
          <cell r="O58">
            <v>0</v>
          </cell>
          <cell r="P58">
            <v>0</v>
          </cell>
          <cell r="Q58">
            <v>-30.052031630109216</v>
          </cell>
          <cell r="R58">
            <v>-30.052031630109216</v>
          </cell>
          <cell r="S58" t="str">
            <v>NA</v>
          </cell>
          <cell r="T58" t="str">
            <v>NA</v>
          </cell>
          <cell r="U58" t="str">
            <v>NA</v>
          </cell>
          <cell r="V58" t="str">
            <v>NA</v>
          </cell>
          <cell r="W58" t="str">
            <v>NA</v>
          </cell>
          <cell r="X58" t="str">
            <v>NA</v>
          </cell>
          <cell r="Y58" t="str">
            <v>NA</v>
          </cell>
          <cell r="Z58" t="str">
            <v>NA</v>
          </cell>
          <cell r="AA58">
            <v>1.9533937541226856E-2</v>
          </cell>
          <cell r="AB58">
            <v>0</v>
          </cell>
          <cell r="AC58">
            <v>4.5100000000000001E-2</v>
          </cell>
          <cell r="AD58">
            <v>-0.24064595713725678</v>
          </cell>
          <cell r="AE58">
            <v>-0.17601201959602991</v>
          </cell>
          <cell r="AF58">
            <v>0</v>
          </cell>
          <cell r="AG58">
            <v>8.9994096820590931E-3</v>
          </cell>
          <cell r="AH58">
            <v>0</v>
          </cell>
          <cell r="AI58">
            <v>3.6666666666666667E-2</v>
          </cell>
          <cell r="AJ58">
            <v>-0.1867944174471321</v>
          </cell>
          <cell r="AK58">
            <v>0</v>
          </cell>
          <cell r="AL58">
            <v>-0.14112834109840633</v>
          </cell>
          <cell r="AM58">
            <v>0</v>
          </cell>
          <cell r="AN58">
            <v>2.0254519141196047E-2</v>
          </cell>
          <cell r="AO58">
            <v>0.67431717488926157</v>
          </cell>
          <cell r="AP58">
            <v>-6.4492398773086254E-2</v>
          </cell>
          <cell r="AQ58">
            <v>-8.6847687193783149E-2</v>
          </cell>
          <cell r="AR58">
            <v>0.54323160806358828</v>
          </cell>
          <cell r="AS58" t="str">
            <v>NA</v>
          </cell>
          <cell r="AT58">
            <v>-30.595263238172805</v>
          </cell>
          <cell r="AU58" t="str">
            <v>NA</v>
          </cell>
          <cell r="AV58">
            <v>-0.71924362765961813</v>
          </cell>
          <cell r="AW58">
            <v>-0.68435994916199461</v>
          </cell>
          <cell r="AX58">
            <v>3.8454637245057035</v>
          </cell>
          <cell r="AY58">
            <v>0.12056751940351466</v>
          </cell>
          <cell r="AZ58">
            <v>26.086000386199999</v>
          </cell>
          <cell r="BA58">
            <v>30.052031630109216</v>
          </cell>
          <cell r="BB58">
            <v>1</v>
          </cell>
          <cell r="BC58">
            <v>3.8454637245057035</v>
          </cell>
          <cell r="BD58">
            <v>0.12056751940351466</v>
          </cell>
          <cell r="BE58">
            <v>26.086000386199999</v>
          </cell>
          <cell r="BF58">
            <v>30.052031630109216</v>
          </cell>
          <cell r="BG58" t="str">
            <v>NA</v>
          </cell>
          <cell r="BH58" t="str">
            <v>NA</v>
          </cell>
          <cell r="BI58" t="str">
            <v>NA</v>
          </cell>
          <cell r="BJ58" t="str">
            <v>NA</v>
          </cell>
          <cell r="BK58">
            <v>1.3750648614786171E-2</v>
          </cell>
          <cell r="BL58">
            <v>-0.12404887246769211</v>
          </cell>
          <cell r="BM58">
            <v>-2.1618716632795795E-2</v>
          </cell>
          <cell r="BN58">
            <v>-3.2846012739872248E-2</v>
          </cell>
          <cell r="BO58">
            <v>9.7785100400303901E-2</v>
          </cell>
          <cell r="BP58">
            <v>3.2840871745747425E-3</v>
          </cell>
          <cell r="BQ58">
            <v>-6.3693765650695344E-2</v>
          </cell>
          <cell r="BR58">
            <v>1.2150753523987968E-2</v>
          </cell>
          <cell r="BS58">
            <v>-0.12505947200089057</v>
          </cell>
          <cell r="BT58">
            <v>-3.370304961204227E-2</v>
          </cell>
          <cell r="BU58">
            <v>-7.820479223779106E-2</v>
          </cell>
          <cell r="BV58">
            <v>7.7848208780565475E-2</v>
          </cell>
          <cell r="BW58">
            <v>3.2840871745747425E-3</v>
          </cell>
          <cell r="BX58">
            <v>-0.14368426437159573</v>
          </cell>
          <cell r="BY58">
            <v>1.9248750480925173E-2</v>
          </cell>
          <cell r="BZ58">
            <v>-0.14673696864739627</v>
          </cell>
          <cell r="CA58">
            <v>-1.1966944188332697E-2</v>
          </cell>
          <cell r="CB58">
            <v>-3.2846012739872248E-2</v>
          </cell>
          <cell r="CC58">
            <v>0.12113442920392528</v>
          </cell>
          <cell r="CD58">
            <v>3.2840871745747425E-3</v>
          </cell>
          <cell r="CE58">
            <v>-4.7882658716176023E-2</v>
          </cell>
          <cell r="CF58">
            <v>1.8832060603640344E-2</v>
          </cell>
          <cell r="CG58">
            <v>-0.14690540190292933</v>
          </cell>
          <cell r="CH58">
            <v>-1.8009110677955933E-2</v>
          </cell>
          <cell r="CI58">
            <v>-7.820479223779106E-2</v>
          </cell>
          <cell r="CJ58">
            <v>0.11581459707913683</v>
          </cell>
          <cell r="CK58">
            <v>3.2840871745747425E-3</v>
          </cell>
          <cell r="CL58">
            <v>-0.10518855996132441</v>
          </cell>
        </row>
        <row r="59">
          <cell r="B59" t="str">
            <v>Poultry</v>
          </cell>
          <cell r="C59">
            <v>-2.4730482422145905</v>
          </cell>
          <cell r="D59" t="str">
            <v>NA</v>
          </cell>
          <cell r="E59">
            <v>-0.17601201959602991</v>
          </cell>
          <cell r="F59">
            <v>-0.14112834109840633</v>
          </cell>
          <cell r="G59">
            <v>0.54323160806358828</v>
          </cell>
          <cell r="H59">
            <v>-6.3693765650695344E-2</v>
          </cell>
          <cell r="I59">
            <v>-0.14368426437159573</v>
          </cell>
          <cell r="J59">
            <v>-4.7882658716176023E-2</v>
          </cell>
          <cell r="K59">
            <v>-0.10518855996132441</v>
          </cell>
          <cell r="L59">
            <v>-2.4730482422145905</v>
          </cell>
          <cell r="M59">
            <v>-2.4730482422145905</v>
          </cell>
          <cell r="N59">
            <v>0</v>
          </cell>
          <cell r="O59">
            <v>0</v>
          </cell>
          <cell r="P59">
            <v>0</v>
          </cell>
          <cell r="Q59">
            <v>-2.4730482422145905</v>
          </cell>
          <cell r="R59">
            <v>-2.4730482422145905</v>
          </cell>
          <cell r="S59" t="str">
            <v>NA</v>
          </cell>
          <cell r="T59" t="str">
            <v>NA</v>
          </cell>
          <cell r="U59" t="str">
            <v>NA</v>
          </cell>
          <cell r="V59" t="str">
            <v>NA</v>
          </cell>
          <cell r="W59" t="str">
            <v>NA</v>
          </cell>
          <cell r="X59" t="str">
            <v>NA</v>
          </cell>
          <cell r="Y59" t="str">
            <v>NA</v>
          </cell>
          <cell r="Z59" t="str">
            <v>NA</v>
          </cell>
          <cell r="AA59">
            <v>1.9533937541226856E-2</v>
          </cell>
          <cell r="AB59">
            <v>0</v>
          </cell>
          <cell r="AC59">
            <v>4.5100000000000001E-2</v>
          </cell>
          <cell r="AD59">
            <v>-0.24064595713725678</v>
          </cell>
          <cell r="AE59">
            <v>-0.17601201959602991</v>
          </cell>
          <cell r="AF59">
            <v>0</v>
          </cell>
          <cell r="AG59">
            <v>8.9994096820590931E-3</v>
          </cell>
          <cell r="AH59">
            <v>0</v>
          </cell>
          <cell r="AI59">
            <v>3.6666666666666667E-2</v>
          </cell>
          <cell r="AJ59">
            <v>-0.1867944174471321</v>
          </cell>
          <cell r="AK59">
            <v>0</v>
          </cell>
          <cell r="AL59">
            <v>-0.14112834109840633</v>
          </cell>
          <cell r="AM59">
            <v>0</v>
          </cell>
          <cell r="AN59">
            <v>2.0254519141196047E-2</v>
          </cell>
          <cell r="AO59">
            <v>0.67431717488926157</v>
          </cell>
          <cell r="AP59">
            <v>-6.4492398773086254E-2</v>
          </cell>
          <cell r="AQ59">
            <v>-8.6847687193783149E-2</v>
          </cell>
          <cell r="AR59">
            <v>0.54323160806358828</v>
          </cell>
          <cell r="AS59" t="str">
            <v>NA</v>
          </cell>
          <cell r="AT59">
            <v>-3.0162798502781789</v>
          </cell>
          <cell r="AU59" t="str">
            <v>NA</v>
          </cell>
          <cell r="AV59">
            <v>-0.71924362765961813</v>
          </cell>
          <cell r="AW59">
            <v>-0.68435994916199461</v>
          </cell>
          <cell r="AX59">
            <v>1.3353412180769215</v>
          </cell>
          <cell r="AY59">
            <v>0.26608868679907494</v>
          </cell>
          <cell r="AZ59">
            <v>0.87161833733859406</v>
          </cell>
          <cell r="BA59">
            <v>2.4730482422145905</v>
          </cell>
          <cell r="BB59">
            <v>1</v>
          </cell>
          <cell r="BC59">
            <v>1.3353412180769215</v>
          </cell>
          <cell r="BD59">
            <v>0.26608868679907494</v>
          </cell>
          <cell r="BE59">
            <v>0.87161833733859406</v>
          </cell>
          <cell r="BF59">
            <v>2.4730482422145905</v>
          </cell>
          <cell r="BG59" t="str">
            <v>NA</v>
          </cell>
          <cell r="BH59" t="str">
            <v>NA</v>
          </cell>
          <cell r="BI59" t="str">
            <v>NA</v>
          </cell>
          <cell r="BJ59" t="str">
            <v>NA</v>
          </cell>
          <cell r="BK59">
            <v>1.3750648614786171E-2</v>
          </cell>
          <cell r="BL59">
            <v>-0.12404887246769211</v>
          </cell>
          <cell r="BM59">
            <v>-2.1618716632795795E-2</v>
          </cell>
          <cell r="BN59">
            <v>-3.2846012739872248E-2</v>
          </cell>
          <cell r="BO59">
            <v>9.7785100400303901E-2</v>
          </cell>
          <cell r="BP59">
            <v>3.2840871745747425E-3</v>
          </cell>
          <cell r="BQ59">
            <v>-6.3693765650695344E-2</v>
          </cell>
          <cell r="BR59">
            <v>1.2150753523987968E-2</v>
          </cell>
          <cell r="BS59">
            <v>-0.12505947200089057</v>
          </cell>
          <cell r="BT59">
            <v>-3.370304961204227E-2</v>
          </cell>
          <cell r="BU59">
            <v>-7.820479223779106E-2</v>
          </cell>
          <cell r="BV59">
            <v>7.7848208780565475E-2</v>
          </cell>
          <cell r="BW59">
            <v>3.2840871745747425E-3</v>
          </cell>
          <cell r="BX59">
            <v>-0.14368426437159573</v>
          </cell>
          <cell r="BY59">
            <v>1.9248750480925173E-2</v>
          </cell>
          <cell r="BZ59">
            <v>-0.14673696864739627</v>
          </cell>
          <cell r="CA59">
            <v>-1.1966944188332697E-2</v>
          </cell>
          <cell r="CB59">
            <v>-3.2846012739872248E-2</v>
          </cell>
          <cell r="CC59">
            <v>0.12113442920392528</v>
          </cell>
          <cell r="CD59">
            <v>3.2840871745747425E-3</v>
          </cell>
          <cell r="CE59">
            <v>-4.7882658716176023E-2</v>
          </cell>
          <cell r="CF59">
            <v>1.8832060603640344E-2</v>
          </cell>
          <cell r="CG59">
            <v>-0.14690540190292933</v>
          </cell>
          <cell r="CH59">
            <v>-1.8009110677955933E-2</v>
          </cell>
          <cell r="CI59">
            <v>-7.820479223779106E-2</v>
          </cell>
          <cell r="CJ59">
            <v>0.11581459707913683</v>
          </cell>
          <cell r="CK59">
            <v>3.2840871745747425E-3</v>
          </cell>
          <cell r="CL59">
            <v>-0.10518855996132441</v>
          </cell>
        </row>
        <row r="60">
          <cell r="B60" t="str">
            <v>Food Waste (meat only)</v>
          </cell>
          <cell r="C60">
            <v>-15.098113839071496</v>
          </cell>
          <cell r="D60" t="str">
            <v>NA</v>
          </cell>
          <cell r="E60">
            <v>-0.17601201959602991</v>
          </cell>
          <cell r="F60">
            <v>-0.14112834109840633</v>
          </cell>
          <cell r="G60">
            <v>0.54323160806358828</v>
          </cell>
          <cell r="H60">
            <v>-6.3693765650695344E-2</v>
          </cell>
          <cell r="I60">
            <v>-0.14368426437159573</v>
          </cell>
          <cell r="J60">
            <v>-4.7882658716176023E-2</v>
          </cell>
          <cell r="K60">
            <v>-0.10518855996132441</v>
          </cell>
          <cell r="L60">
            <v>-15.098113839071496</v>
          </cell>
          <cell r="M60">
            <v>-15.098113839071496</v>
          </cell>
          <cell r="N60">
            <v>0</v>
          </cell>
          <cell r="O60">
            <v>0</v>
          </cell>
          <cell r="P60">
            <v>0</v>
          </cell>
          <cell r="Q60">
            <v>-15.098113839071496</v>
          </cell>
          <cell r="R60">
            <v>-15.098113839071496</v>
          </cell>
          <cell r="S60" t="str">
            <v>NA</v>
          </cell>
          <cell r="T60" t="str">
            <v>NA</v>
          </cell>
          <cell r="U60" t="str">
            <v>NA</v>
          </cell>
          <cell r="V60" t="str">
            <v>NA</v>
          </cell>
          <cell r="W60" t="str">
            <v>NA</v>
          </cell>
          <cell r="X60" t="str">
            <v>NA</v>
          </cell>
          <cell r="Y60" t="str">
            <v>NA</v>
          </cell>
          <cell r="Z60" t="str">
            <v>NA</v>
          </cell>
          <cell r="AA60">
            <v>1.9533937541226856E-2</v>
          </cell>
          <cell r="AB60">
            <v>0</v>
          </cell>
          <cell r="AC60">
            <v>4.5100000000000001E-2</v>
          </cell>
          <cell r="AD60">
            <v>-0.24064595713725678</v>
          </cell>
          <cell r="AE60">
            <v>-0.17601201959602991</v>
          </cell>
          <cell r="AF60">
            <v>0</v>
          </cell>
          <cell r="AG60">
            <v>8.9994096820590931E-3</v>
          </cell>
          <cell r="AH60">
            <v>0</v>
          </cell>
          <cell r="AI60">
            <v>3.6666666666666667E-2</v>
          </cell>
          <cell r="AJ60">
            <v>-0.1867944174471321</v>
          </cell>
          <cell r="AK60">
            <v>0</v>
          </cell>
          <cell r="AL60">
            <v>-0.14112834109840633</v>
          </cell>
          <cell r="AM60">
            <v>0</v>
          </cell>
          <cell r="AN60">
            <v>2.0254519141196047E-2</v>
          </cell>
          <cell r="AO60">
            <v>0.67431717488926157</v>
          </cell>
          <cell r="AP60">
            <v>-6.4492398773086254E-2</v>
          </cell>
          <cell r="AQ60">
            <v>-8.6847687193783149E-2</v>
          </cell>
          <cell r="AR60">
            <v>0.54323160806358828</v>
          </cell>
          <cell r="AS60" t="str">
            <v>NA</v>
          </cell>
          <cell r="AT60">
            <v>-15.641345447135084</v>
          </cell>
          <cell r="AU60" t="str">
            <v>NA</v>
          </cell>
          <cell r="AV60">
            <v>-0.71924362765961813</v>
          </cell>
          <cell r="AW60">
            <v>-0.68435994916199461</v>
          </cell>
          <cell r="AX60">
            <v>2.4844213293373061</v>
          </cell>
          <cell r="AY60">
            <v>0.19947222533419878</v>
          </cell>
          <cell r="AZ60">
            <v>12.414220284399992</v>
          </cell>
          <cell r="BA60">
            <v>15.098113839071496</v>
          </cell>
          <cell r="BB60">
            <v>1</v>
          </cell>
          <cell r="BC60">
            <v>2.4844213293373061</v>
          </cell>
          <cell r="BD60">
            <v>0.19947222533419878</v>
          </cell>
          <cell r="BE60">
            <v>12.414220284399992</v>
          </cell>
          <cell r="BF60">
            <v>15.098113839071496</v>
          </cell>
          <cell r="BG60" t="str">
            <v>NA</v>
          </cell>
          <cell r="BH60" t="str">
            <v>NA</v>
          </cell>
          <cell r="BI60" t="str">
            <v>NA</v>
          </cell>
          <cell r="BJ60" t="str">
            <v>NA</v>
          </cell>
          <cell r="BK60">
            <v>1.3750648614786171E-2</v>
          </cell>
          <cell r="BL60">
            <v>-0.12404887246769211</v>
          </cell>
          <cell r="BM60">
            <v>-2.1618716632795795E-2</v>
          </cell>
          <cell r="BN60">
            <v>-3.2846012739872248E-2</v>
          </cell>
          <cell r="BO60">
            <v>9.7785100400303901E-2</v>
          </cell>
          <cell r="BP60">
            <v>3.2840871745747425E-3</v>
          </cell>
          <cell r="BQ60">
            <v>-6.3693765650695344E-2</v>
          </cell>
          <cell r="BR60">
            <v>1.2150753523987968E-2</v>
          </cell>
          <cell r="BS60">
            <v>-0.12505947200089057</v>
          </cell>
          <cell r="BT60">
            <v>-3.370304961204227E-2</v>
          </cell>
          <cell r="BU60">
            <v>-7.820479223779106E-2</v>
          </cell>
          <cell r="BV60">
            <v>7.7848208780565475E-2</v>
          </cell>
          <cell r="BW60">
            <v>3.2840871745747425E-3</v>
          </cell>
          <cell r="BX60">
            <v>-0.14368426437159573</v>
          </cell>
          <cell r="BY60">
            <v>1.9248750480925173E-2</v>
          </cell>
          <cell r="BZ60">
            <v>-0.14673696864739627</v>
          </cell>
          <cell r="CA60">
            <v>-1.1966944188332697E-2</v>
          </cell>
          <cell r="CB60">
            <v>-3.2846012739872248E-2</v>
          </cell>
          <cell r="CC60">
            <v>0.12113442920392528</v>
          </cell>
          <cell r="CD60">
            <v>3.2840871745747425E-3</v>
          </cell>
          <cell r="CE60">
            <v>-4.7882658716176023E-2</v>
          </cell>
          <cell r="CF60">
            <v>1.8832060603640344E-2</v>
          </cell>
          <cell r="CG60">
            <v>-0.14690540190292933</v>
          </cell>
          <cell r="CH60">
            <v>-1.8009110677955933E-2</v>
          </cell>
          <cell r="CI60">
            <v>-7.820479223779106E-2</v>
          </cell>
          <cell r="CJ60">
            <v>0.11581459707913683</v>
          </cell>
          <cell r="CK60">
            <v>3.2840871745747425E-3</v>
          </cell>
          <cell r="CL60">
            <v>-0.10518855996132441</v>
          </cell>
        </row>
        <row r="61">
          <cell r="B61" t="str">
            <v>Food Waste (non-meat)</v>
          </cell>
          <cell r="C61">
            <v>-0.75780310692084685</v>
          </cell>
          <cell r="D61" t="str">
            <v>NA</v>
          </cell>
          <cell r="E61">
            <v>-0.17601201959602991</v>
          </cell>
          <cell r="F61">
            <v>-0.14112834109840633</v>
          </cell>
          <cell r="G61">
            <v>0.54323160806358828</v>
          </cell>
          <cell r="H61">
            <v>-6.3693765650695344E-2</v>
          </cell>
          <cell r="I61">
            <v>-0.14368426437159573</v>
          </cell>
          <cell r="J61">
            <v>-4.7882658716176023E-2</v>
          </cell>
          <cell r="K61">
            <v>-0.10518855996132441</v>
          </cell>
          <cell r="L61">
            <v>-0.75780310692084685</v>
          </cell>
          <cell r="M61">
            <v>-0.75780310692084685</v>
          </cell>
          <cell r="N61">
            <v>0</v>
          </cell>
          <cell r="O61">
            <v>0</v>
          </cell>
          <cell r="P61">
            <v>0</v>
          </cell>
          <cell r="Q61">
            <v>-0.75780310692084685</v>
          </cell>
          <cell r="R61">
            <v>-0.75780310692084685</v>
          </cell>
          <cell r="S61" t="str">
            <v>NA</v>
          </cell>
          <cell r="T61" t="str">
            <v>NA</v>
          </cell>
          <cell r="U61" t="str">
            <v>NA</v>
          </cell>
          <cell r="V61" t="str">
            <v>NA</v>
          </cell>
          <cell r="W61" t="str">
            <v>NA</v>
          </cell>
          <cell r="X61" t="str">
            <v>NA</v>
          </cell>
          <cell r="Y61" t="str">
            <v>NA</v>
          </cell>
          <cell r="Z61" t="str">
            <v>NA</v>
          </cell>
          <cell r="AA61">
            <v>1.9533937541226856E-2</v>
          </cell>
          <cell r="AB61">
            <v>0</v>
          </cell>
          <cell r="AC61">
            <v>4.5100000000000001E-2</v>
          </cell>
          <cell r="AD61">
            <v>-0.24064595713725678</v>
          </cell>
          <cell r="AE61">
            <v>-0.17601201959602991</v>
          </cell>
          <cell r="AF61">
            <v>0</v>
          </cell>
          <cell r="AG61">
            <v>8.9994096820590931E-3</v>
          </cell>
          <cell r="AH61">
            <v>0</v>
          </cell>
          <cell r="AI61">
            <v>3.6666666666666667E-2</v>
          </cell>
          <cell r="AJ61">
            <v>-0.1867944174471321</v>
          </cell>
          <cell r="AK61">
            <v>0</v>
          </cell>
          <cell r="AL61">
            <v>-0.14112834109840633</v>
          </cell>
          <cell r="AM61">
            <v>0</v>
          </cell>
          <cell r="AN61">
            <v>2.0254519141196047E-2</v>
          </cell>
          <cell r="AO61">
            <v>0.67431717488926157</v>
          </cell>
          <cell r="AP61">
            <v>-6.4492398773086254E-2</v>
          </cell>
          <cell r="AQ61">
            <v>-8.6847687193783149E-2</v>
          </cell>
          <cell r="AR61">
            <v>0.54323160806358828</v>
          </cell>
          <cell r="AS61" t="str">
            <v>NA</v>
          </cell>
          <cell r="AT61">
            <v>-1.3010347149844352</v>
          </cell>
          <cell r="AU61" t="str">
            <v>NA</v>
          </cell>
          <cell r="AV61">
            <v>-0.71924362765961813</v>
          </cell>
          <cell r="AW61">
            <v>-0.68435994916199461</v>
          </cell>
          <cell r="AX61">
            <v>0.35517752298254734</v>
          </cell>
          <cell r="AY61">
            <v>0.11768455742063187</v>
          </cell>
          <cell r="AZ61">
            <v>0.28494102651766756</v>
          </cell>
          <cell r="BA61">
            <v>0.75780310692084685</v>
          </cell>
          <cell r="BB61">
            <v>1</v>
          </cell>
          <cell r="BC61">
            <v>0.35517752298254734</v>
          </cell>
          <cell r="BD61">
            <v>0.11768455742063187</v>
          </cell>
          <cell r="BE61">
            <v>0.28494102651766756</v>
          </cell>
          <cell r="BF61">
            <v>0.75780310692084685</v>
          </cell>
          <cell r="BG61" t="str">
            <v>NA</v>
          </cell>
          <cell r="BH61" t="str">
            <v>NA</v>
          </cell>
          <cell r="BI61" t="str">
            <v>NA</v>
          </cell>
          <cell r="BJ61" t="str">
            <v>NA</v>
          </cell>
          <cell r="BK61">
            <v>1.3750648614786171E-2</v>
          </cell>
          <cell r="BL61">
            <v>-0.12404887246769211</v>
          </cell>
          <cell r="BM61">
            <v>-2.1618716632795795E-2</v>
          </cell>
          <cell r="BN61">
            <v>-3.2846012739872248E-2</v>
          </cell>
          <cell r="BO61">
            <v>9.7785100400303901E-2</v>
          </cell>
          <cell r="BP61">
            <v>3.2840871745747425E-3</v>
          </cell>
          <cell r="BQ61">
            <v>-6.3693765650695344E-2</v>
          </cell>
          <cell r="BR61">
            <v>1.2150753523987968E-2</v>
          </cell>
          <cell r="BS61">
            <v>-0.12505947200089057</v>
          </cell>
          <cell r="BT61">
            <v>-3.370304961204227E-2</v>
          </cell>
          <cell r="BU61">
            <v>-7.820479223779106E-2</v>
          </cell>
          <cell r="BV61">
            <v>7.7848208780565475E-2</v>
          </cell>
          <cell r="BW61">
            <v>3.2840871745747425E-3</v>
          </cell>
          <cell r="BX61">
            <v>-0.14368426437159573</v>
          </cell>
          <cell r="BY61">
            <v>1.9248750480925173E-2</v>
          </cell>
          <cell r="BZ61">
            <v>-0.14673696864739627</v>
          </cell>
          <cell r="CA61">
            <v>-1.1966944188332697E-2</v>
          </cell>
          <cell r="CB61">
            <v>-3.2846012739872248E-2</v>
          </cell>
          <cell r="CC61">
            <v>0.12113442920392528</v>
          </cell>
          <cell r="CD61">
            <v>3.2840871745747425E-3</v>
          </cell>
          <cell r="CE61">
            <v>-4.7882658716176023E-2</v>
          </cell>
          <cell r="CF61">
            <v>1.8832060603640344E-2</v>
          </cell>
          <cell r="CG61">
            <v>-0.14690540190292933</v>
          </cell>
          <cell r="CH61">
            <v>-1.8009110677955933E-2</v>
          </cell>
          <cell r="CI61">
            <v>-7.820479223779106E-2</v>
          </cell>
          <cell r="CJ61">
            <v>0.11581459707913683</v>
          </cell>
          <cell r="CK61">
            <v>3.2840871745747425E-3</v>
          </cell>
          <cell r="CL61">
            <v>-0.10518855996132441</v>
          </cell>
        </row>
        <row r="62">
          <cell r="C62" t="str">
            <v>*Includes emissions from the initial production of the material being managed, except for food waste, yard waste, and mixed MSW.</v>
          </cell>
          <cell r="AK62" t="str">
            <v>loss rates in collection, processing, and remanufacturing.  Recycling credit is based on weighted average of closed and open</v>
          </cell>
          <cell r="AW62" t="str">
            <v xml:space="preserve"> PC Recycling Calculation (open loop recycling)</v>
          </cell>
          <cell r="BA62" t="str">
            <v>Do Not Move These Cells Unless WARM, Energy Savings, GHG_Report, and Green Buildings Data is linked.</v>
          </cell>
        </row>
        <row r="63">
          <cell r="R63" t="str">
            <v>Gypsum Open Loop Recycling</v>
          </cell>
          <cell r="AK63" t="str">
            <v>loop recycling for office paper, corrugated cardboard, and mixed paper.  All other estimates are for closed loop recycling.</v>
          </cell>
          <cell r="AX63" t="str">
            <v>Product Manufacture Using 100% Virgin Inputs</v>
          </cell>
          <cell r="BA63" t="str">
            <v>Product Manufacture Using 100% Recycled Inputs</v>
          </cell>
          <cell r="BD63" t="str">
            <v>Delta, after factoring in loss rate</v>
          </cell>
        </row>
        <row r="64">
          <cell r="S64" t="str">
            <v>Product Manufacture Using 100% Virgin Inputs</v>
          </cell>
          <cell r="V64" t="str">
            <v>Product Manufacture Using 100% Recycled Inputs</v>
          </cell>
          <cell r="Y64" t="str">
            <v>Delta, after factoring in loss rate</v>
          </cell>
          <cell r="AK64" t="str">
            <v>Do Not Move These Cells Unless WARM, Energy Savings, GHG_Report, and Green Buildings Data is linked.</v>
          </cell>
          <cell r="AX64" t="str">
            <v>(GHG Emissions in MTCO2E/Ton)</v>
          </cell>
          <cell r="BA64" t="str">
            <v>(GHG Emissions in MTCO2E/Ton)</v>
          </cell>
          <cell r="BD64" t="str">
            <v>(GHG Emissions in MTCO2E/Ton)</v>
          </cell>
        </row>
        <row r="65">
          <cell r="S65" t="str">
            <v>(GHG Emissions in MTCO2E/Ton)</v>
          </cell>
          <cell r="V65" t="str">
            <v>(GHG Emissions in MTCO2E/Ton)</v>
          </cell>
          <cell r="Y65" t="str">
            <v>(GHG Emissions in MTCO2E/Ton)</v>
          </cell>
          <cell r="AK65" t="str">
            <v>Office Paper Transportation side analysis</v>
          </cell>
          <cell r="BA65" t="str">
            <v xml:space="preserve"> </v>
          </cell>
          <cell r="BD65" t="str">
            <v xml:space="preserve"> </v>
          </cell>
        </row>
        <row r="66">
          <cell r="V66" t="str">
            <v xml:space="preserve"> </v>
          </cell>
          <cell r="Y66" t="str">
            <v xml:space="preserve"> </v>
          </cell>
          <cell r="AK66" t="str">
            <v>Ave Recyc Transp</v>
          </cell>
          <cell r="AL66" t="str">
            <v>Ave Virgin Transp</v>
          </cell>
          <cell r="AM66" t="str">
            <v>Difference</v>
          </cell>
          <cell r="AN66" t="str">
            <v>% recyc OP that is converted into new:</v>
          </cell>
          <cell r="AX66" t="str">
            <v>Process Energy</v>
          </cell>
          <cell r="AY66" t="str">
            <v>Transportation Energy</v>
          </cell>
          <cell r="AZ66" t="str">
            <v>Process Non-Energy</v>
          </cell>
          <cell r="BA66" t="str">
            <v>Process Energy</v>
          </cell>
          <cell r="BB66" t="str">
            <v>Transportation Energy</v>
          </cell>
          <cell r="BC66" t="str">
            <v>Process Non-Energy</v>
          </cell>
          <cell r="BD66" t="str">
            <v>Process Energy</v>
          </cell>
          <cell r="BE66" t="str">
            <v>Transportation Energy</v>
          </cell>
          <cell r="BF66" t="str">
            <v>Process Non-Energy</v>
          </cell>
        </row>
        <row r="67">
          <cell r="S67" t="str">
            <v>Process Energy</v>
          </cell>
          <cell r="T67" t="str">
            <v>Transportation Energy</v>
          </cell>
          <cell r="U67" t="str">
            <v>Process Non-Energy</v>
          </cell>
          <cell r="V67" t="str">
            <v>Process Energy</v>
          </cell>
          <cell r="W67" t="str">
            <v>Transportation Energy</v>
          </cell>
          <cell r="X67" t="str">
            <v>Process Non-Energy</v>
          </cell>
          <cell r="Y67" t="str">
            <v>Process Energy</v>
          </cell>
          <cell r="Z67" t="str">
            <v>Transportation Energy</v>
          </cell>
          <cell r="AA67" t="str">
            <v>Process Non-Energy</v>
          </cell>
          <cell r="AK67">
            <v>0</v>
          </cell>
          <cell r="AL67">
            <v>0</v>
          </cell>
          <cell r="AM67">
            <v>0</v>
          </cell>
          <cell r="AN67">
            <v>0.42056074766355145</v>
          </cell>
          <cell r="AO67" t="str">
            <v>OP</v>
          </cell>
          <cell r="AP67">
            <v>0</v>
          </cell>
          <cell r="AW67" t="str">
            <v>Asphalt</v>
          </cell>
          <cell r="AX67">
            <v>1.0796303937259352E-2</v>
          </cell>
          <cell r="AY67">
            <v>5.6866476120960904E-3</v>
          </cell>
          <cell r="AZ67">
            <v>6.9550830066666838E-4</v>
          </cell>
          <cell r="BA67">
            <v>0.1117759007671138</v>
          </cell>
          <cell r="BB67">
            <v>2.7202315800243428E-2</v>
          </cell>
          <cell r="BC67">
            <v>8.4156504380666875E-4</v>
          </cell>
          <cell r="BD67">
            <v>5.4128431892119716E-2</v>
          </cell>
          <cell r="BE67">
            <v>1.1533115764939013E-2</v>
          </cell>
          <cell r="BF67">
            <v>7.8291285780822102E-5</v>
          </cell>
        </row>
        <row r="68">
          <cell r="AK68">
            <v>0.11907023333333333</v>
          </cell>
          <cell r="AL68">
            <v>0.18161575066798513</v>
          </cell>
          <cell r="AM68">
            <v>-6.2545517334651801E-2</v>
          </cell>
          <cell r="AN68">
            <v>0.5140186915887851</v>
          </cell>
          <cell r="AO68" t="str">
            <v>TP</v>
          </cell>
          <cell r="AP68">
            <v>-3.2149564985101395E-2</v>
          </cell>
          <cell r="AW68" t="str">
            <v>Steel Sheet</v>
          </cell>
          <cell r="AX68">
            <v>0.21568515163187615</v>
          </cell>
          <cell r="AY68">
            <v>2.7200429514980938E-2</v>
          </cell>
          <cell r="AZ68">
            <v>0.39486727783066766</v>
          </cell>
          <cell r="BA68">
            <v>0.17760816107843735</v>
          </cell>
          <cell r="BB68">
            <v>1.2865254033592887E-2</v>
          </cell>
          <cell r="BC68">
            <v>6.3381973834666832E-3</v>
          </cell>
          <cell r="BD68">
            <v>-3.1296156619264763E-2</v>
          </cell>
          <cell r="BE68">
            <v>-1.1782336012099768E-2</v>
          </cell>
          <cell r="BF68">
            <v>-0.31933897023057611</v>
          </cell>
        </row>
        <row r="69">
          <cell r="R69" t="str">
            <v>Wallboard (weighted)</v>
          </cell>
          <cell r="S69">
            <v>3.43738575096946E-2</v>
          </cell>
          <cell r="T69">
            <v>6.8998812091123169E-3</v>
          </cell>
          <cell r="U69">
            <v>0</v>
          </cell>
          <cell r="V69">
            <v>3.5464991650032862E-2</v>
          </cell>
          <cell r="W69">
            <v>1.2804451245859338E-2</v>
          </cell>
          <cell r="Y69">
            <v>1.0889518720575858E-3</v>
          </cell>
          <cell r="Z69">
            <v>5.8927608966735266E-3</v>
          </cell>
          <cell r="AA69">
            <v>0</v>
          </cell>
          <cell r="AP69">
            <v>-3.2149564985101395E-2</v>
          </cell>
          <cell r="AW69" t="str">
            <v>Lead Bullion</v>
          </cell>
          <cell r="AX69">
            <v>0.1030874039192262</v>
          </cell>
          <cell r="AY69">
            <v>4.5732715768387611E-3</v>
          </cell>
          <cell r="AZ69">
            <v>3.1116436582000078E-3</v>
          </cell>
          <cell r="BA69">
            <v>0.10325166608699134</v>
          </cell>
          <cell r="BB69">
            <v>2.9091812832772054E-2</v>
          </cell>
          <cell r="BC69">
            <v>1.542214058000004E-3</v>
          </cell>
          <cell r="BD69">
            <v>1.3433495089833518E-4</v>
          </cell>
          <cell r="BE69">
            <v>2.0051464561359145E-2</v>
          </cell>
          <cell r="BF69">
            <v>-1.2834924264649346E-3</v>
          </cell>
        </row>
        <row r="70">
          <cell r="R70" t="str">
            <v>Ag Gypsum (weighted)</v>
          </cell>
          <cell r="S70">
            <v>5.4892122758215642E-4</v>
          </cell>
          <cell r="T70">
            <v>2.2897225379519378E-2</v>
          </cell>
          <cell r="V70">
            <v>4.8170339798413227E-3</v>
          </cell>
          <cell r="W70">
            <v>3.9940212465315886E-2</v>
          </cell>
          <cell r="Y70">
            <v>4.2595765267546479E-3</v>
          </cell>
          <cell r="Z70">
            <v>1.7008901111624914E-2</v>
          </cell>
          <cell r="AA70">
            <v>0</v>
          </cell>
          <cell r="AK70" t="str">
            <v>Corrugated Transportation side analysis</v>
          </cell>
          <cell r="AW70" t="str">
            <v>CRT Glass</v>
          </cell>
          <cell r="AX70">
            <v>8.6636138591703778E-3</v>
          </cell>
          <cell r="AY70">
            <v>3.4246665054311112E-4</v>
          </cell>
          <cell r="AZ70">
            <v>2.736673965666674E-3</v>
          </cell>
          <cell r="BA70">
            <v>6.77598028428623E-3</v>
          </cell>
          <cell r="BB70">
            <v>6.4399427011822231E-3</v>
          </cell>
          <cell r="BC70">
            <v>0</v>
          </cell>
          <cell r="BD70">
            <v>-1.5514796505897105E-3</v>
          </cell>
          <cell r="BE70">
            <v>5.0116241512102285E-3</v>
          </cell>
          <cell r="BF70">
            <v>-2.2493210676712387E-3</v>
          </cell>
        </row>
        <row r="71">
          <cell r="R71" t="str">
            <v>Note: these #s are weighted by the percentages that wallboard and ag gypsum comprise the end use markets</v>
          </cell>
          <cell r="AK71" t="str">
            <v>Ave Recyc Transp</v>
          </cell>
          <cell r="AL71" t="str">
            <v>Ave Virgin Transp</v>
          </cell>
          <cell r="AM71" t="str">
            <v>Difference</v>
          </cell>
          <cell r="AN71" t="str">
            <v>% recyc C that is converted into new:</v>
          </cell>
          <cell r="AW71" t="str">
            <v>Copper Wire</v>
          </cell>
          <cell r="AX71">
            <v>0.35079228227795167</v>
          </cell>
          <cell r="AY71">
            <v>1.6809914811407303E-3</v>
          </cell>
          <cell r="AZ71">
            <v>1.6329325320000041E-7</v>
          </cell>
          <cell r="BA71">
            <v>0.27926252447170968</v>
          </cell>
          <cell r="BB71">
            <v>7.8785197478580642E-3</v>
          </cell>
          <cell r="BC71">
            <v>1.6329325320000041E-7</v>
          </cell>
          <cell r="BD71">
            <v>-5.8203665940969498E-2</v>
          </cell>
          <cell r="BE71">
            <v>5.0429202608631447E-3</v>
          </cell>
          <cell r="BF71">
            <v>0</v>
          </cell>
        </row>
        <row r="72">
          <cell r="AK72">
            <v>5.9043848557362832E-2</v>
          </cell>
          <cell r="AL72">
            <v>9.6904570026862077E-2</v>
          </cell>
          <cell r="AM72">
            <v>-3.7860721469499245E-2</v>
          </cell>
          <cell r="AN72">
            <v>0.65420560747663559</v>
          </cell>
          <cell r="AO72" t="str">
            <v>Corr boxes</v>
          </cell>
          <cell r="AP72">
            <v>-2.4768696288457452E-2</v>
          </cell>
          <cell r="AW72" t="str">
            <v>Alum Sheet</v>
          </cell>
          <cell r="AX72">
            <v>2.0735683455582796</v>
          </cell>
          <cell r="AY72">
            <v>9.6084677015585124E-2</v>
          </cell>
          <cell r="AZ72">
            <v>0.68209428910738501</v>
          </cell>
          <cell r="BA72">
            <v>0.16403256458901763</v>
          </cell>
          <cell r="BB72">
            <v>1.3430522484416889E-2</v>
          </cell>
          <cell r="BC72">
            <v>0</v>
          </cell>
          <cell r="BD72">
            <v>-1.5694814638103523</v>
          </cell>
          <cell r="BE72">
            <v>-6.7934921532467038E-2</v>
          </cell>
          <cell r="BF72">
            <v>-0.56062544310196027</v>
          </cell>
        </row>
        <row r="73">
          <cell r="AK73">
            <v>9.5109410000000005E-2</v>
          </cell>
          <cell r="AL73">
            <v>7.4804764621365774E-2</v>
          </cell>
          <cell r="AM73">
            <v>2.0304645378634231E-2</v>
          </cell>
          <cell r="AN73">
            <v>0.28037383177570102</v>
          </cell>
          <cell r="AO73" t="str">
            <v>Folding boxes</v>
          </cell>
          <cell r="AP73">
            <v>5.6928912276544589E-3</v>
          </cell>
        </row>
        <row r="74">
          <cell r="AP74">
            <v>-1.9075805060802992E-2</v>
          </cell>
        </row>
      </sheetData>
      <sheetData sheetId="1" refreshError="1">
        <row r="6">
          <cell r="T6" t="str">
            <v>GHG Emissions from Virgin Production: Transportation Only</v>
          </cell>
        </row>
        <row r="7">
          <cell r="C7" t="str">
            <v>Average Fuel Mix (in Percent)</v>
          </cell>
          <cell r="V7" t="str">
            <v>Average Fuel Mix (in Percent)</v>
          </cell>
        </row>
        <row r="8">
          <cell r="B8" t="str">
            <v>Process Energy Per Ton Made from Virgin Inputs (Million BTUs)</v>
          </cell>
          <cell r="C8" t="str">
            <v>Gasoline</v>
          </cell>
          <cell r="D8" t="str">
            <v>LPG</v>
          </cell>
          <cell r="E8" t="str">
            <v>Distillate Fuel</v>
          </cell>
          <cell r="F8" t="str">
            <v>Residual Fuel</v>
          </cell>
          <cell r="G8" t="str">
            <v>Biomass/Hydro</v>
          </cell>
          <cell r="H8" t="str">
            <v>Diesel</v>
          </cell>
          <cell r="I8" t="str">
            <v>Electricity</v>
          </cell>
          <cell r="J8" t="str">
            <v>Coal</v>
          </cell>
          <cell r="K8" t="str">
            <v>Natural Gas</v>
          </cell>
          <cell r="L8" t="str">
            <v>Nuclear</v>
          </cell>
          <cell r="M8" t="str">
            <v>Other</v>
          </cell>
          <cell r="N8" t="str">
            <v>Total</v>
          </cell>
          <cell r="O8" t="str">
            <v>Energy Emissions (MTCO2E/Ton)</v>
          </cell>
          <cell r="P8" t="str">
            <v>CO2 Emissions (MT/Ton)</v>
          </cell>
          <cell r="Q8" t="str">
            <v>CH4 Emissions (MT/Ton)</v>
          </cell>
          <cell r="T8" t="str">
            <v>Type of Product</v>
          </cell>
          <cell r="U8" t="str">
            <v>Transportation Energy Per Ton Made from Virgin Inputs (Million BTUs)</v>
          </cell>
          <cell r="V8" t="str">
            <v>Gasoline</v>
          </cell>
          <cell r="W8" t="str">
            <v>LPG</v>
          </cell>
          <cell r="X8" t="str">
            <v>Distillate Fuel</v>
          </cell>
          <cell r="Y8" t="str">
            <v>Residual Oil</v>
          </cell>
          <cell r="Z8" t="str">
            <v>Biomass/Hydro</v>
          </cell>
          <cell r="AA8" t="str">
            <v>Diesel</v>
          </cell>
          <cell r="AB8" t="str">
            <v>Electricity</v>
          </cell>
          <cell r="AC8" t="str">
            <v>Coal</v>
          </cell>
          <cell r="AD8" t="str">
            <v>Natural Gas</v>
          </cell>
          <cell r="AE8" t="str">
            <v>Nuclear</v>
          </cell>
          <cell r="AF8" t="str">
            <v>Other</v>
          </cell>
          <cell r="AG8" t="str">
            <v>Total</v>
          </cell>
          <cell r="AH8" t="str">
            <v>Transportation Emissions (MTCO2E/ton)</v>
          </cell>
          <cell r="AI8" t="str">
            <v>CO2 Emissions (MT/Ton)</v>
          </cell>
          <cell r="AJ8" t="str">
            <v>CH4 Emissions (MT/Ton)</v>
          </cell>
        </row>
        <row r="9">
          <cell r="B9">
            <v>184.74488080807973</v>
          </cell>
          <cell r="C9">
            <v>6.6694582126471894E-4</v>
          </cell>
          <cell r="D9">
            <v>3.4157488595911105E-2</v>
          </cell>
          <cell r="E9">
            <v>2.2094587405173047E-3</v>
          </cell>
          <cell r="F9">
            <v>5.1063257328394496</v>
          </cell>
          <cell r="H9">
            <v>0.32956730019831104</v>
          </cell>
          <cell r="I9">
            <v>80.994404277609505</v>
          </cell>
          <cell r="J9">
            <v>1.9879138942340544</v>
          </cell>
          <cell r="K9">
            <v>11.537672339705816</v>
          </cell>
          <cell r="M9">
            <v>7.082562255174946E-3</v>
          </cell>
          <cell r="N9">
            <v>100.00000000000001</v>
          </cell>
          <cell r="O9">
            <v>7.270416360564484</v>
          </cell>
          <cell r="P9">
            <v>7.1289187941630425</v>
          </cell>
          <cell r="Q9">
            <v>1.7516165649949959E-2</v>
          </cell>
          <cell r="T9" t="str">
            <v>Aluminum Cans</v>
          </cell>
          <cell r="U9">
            <v>0.90833496711941919</v>
          </cell>
          <cell r="V9">
            <v>0</v>
          </cell>
          <cell r="W9">
            <v>0</v>
          </cell>
          <cell r="X9">
            <v>0</v>
          </cell>
          <cell r="Y9">
            <v>82.902987206184278</v>
          </cell>
          <cell r="AA9">
            <v>17.097012793815715</v>
          </cell>
          <cell r="AC9">
            <v>0</v>
          </cell>
          <cell r="AD9">
            <v>0</v>
          </cell>
          <cell r="AG9">
            <v>100</v>
          </cell>
          <cell r="AH9">
            <v>6.8033378238791464E-2</v>
          </cell>
          <cell r="AI9">
            <v>6.7644672661502925E-2</v>
          </cell>
          <cell r="AJ9">
            <v>1.5548223091541826E-5</v>
          </cell>
        </row>
        <row r="10">
          <cell r="B10">
            <v>31.580319230769231</v>
          </cell>
          <cell r="C10">
            <v>0.21089059483614619</v>
          </cell>
          <cell r="D10">
            <v>0</v>
          </cell>
          <cell r="E10">
            <v>5.0635338489173458</v>
          </cell>
          <cell r="F10">
            <v>0.35026610414494996</v>
          </cell>
          <cell r="G10">
            <v>0</v>
          </cell>
          <cell r="H10">
            <v>0</v>
          </cell>
          <cell r="I10">
            <v>21.017674469359754</v>
          </cell>
          <cell r="J10">
            <v>53.904184239380832</v>
          </cell>
          <cell r="K10">
            <v>19.453450743360968</v>
          </cell>
          <cell r="N10">
            <v>100</v>
          </cell>
          <cell r="O10">
            <v>2.4285850424786783</v>
          </cell>
          <cell r="P10">
            <v>2.3249756476467938</v>
          </cell>
          <cell r="Q10">
            <v>4.1443757932753747E-3</v>
          </cell>
          <cell r="T10" t="str">
            <v>Steel Cans</v>
          </cell>
          <cell r="U10">
            <v>4.6032023076923059</v>
          </cell>
          <cell r="Y10">
            <v>1.7646155360407139</v>
          </cell>
          <cell r="AA10">
            <v>98.235384463959292</v>
          </cell>
          <cell r="AB10">
            <v>0</v>
          </cell>
          <cell r="AD10">
            <v>0</v>
          </cell>
          <cell r="AG10">
            <v>100</v>
          </cell>
          <cell r="AH10">
            <v>0.34052982876479476</v>
          </cell>
          <cell r="AI10">
            <v>0.33855997130564414</v>
          </cell>
          <cell r="AJ10">
            <v>7.8794298366024017E-5</v>
          </cell>
        </row>
        <row r="11">
          <cell r="B11">
            <v>6.4938650434164726</v>
          </cell>
          <cell r="C11">
            <v>0.55051960213191686</v>
          </cell>
          <cell r="D11">
            <v>2.500051955415852E-3</v>
          </cell>
          <cell r="E11">
            <v>1.4523862040468218</v>
          </cell>
          <cell r="F11">
            <v>0.46796630045166543</v>
          </cell>
          <cell r="G11">
            <v>2.7872460975070477E-2</v>
          </cell>
          <cell r="H11">
            <v>0</v>
          </cell>
          <cell r="I11">
            <v>10.119737537242312</v>
          </cell>
          <cell r="J11">
            <v>7.1825588749009466</v>
          </cell>
          <cell r="K11">
            <v>79.948689498304915</v>
          </cell>
          <cell r="L11">
            <v>0.2275965838708626</v>
          </cell>
          <cell r="M11">
            <v>2.0172886120078632E-2</v>
          </cell>
          <cell r="N11">
            <v>100</v>
          </cell>
          <cell r="O11">
            <v>0.36601462508645399</v>
          </cell>
          <cell r="P11">
            <v>0.34661623912974326</v>
          </cell>
          <cell r="Q11">
            <v>7.7593543826842833E-4</v>
          </cell>
          <cell r="T11" t="str">
            <v>Glass</v>
          </cell>
          <cell r="U11">
            <v>0.58278203409999996</v>
          </cell>
          <cell r="V11">
            <v>0.10080955925610956</v>
          </cell>
          <cell r="W11">
            <v>7.8657194830639335E-2</v>
          </cell>
          <cell r="X11">
            <v>0.40459380386379695</v>
          </cell>
          <cell r="Y11">
            <v>2.6406373394412781</v>
          </cell>
          <cell r="Z11">
            <v>4.2897684789833856E-2</v>
          </cell>
          <cell r="AA11">
            <v>88.947954753020426</v>
          </cell>
          <cell r="AB11">
            <v>0</v>
          </cell>
          <cell r="AC11">
            <v>0.89244343436770335</v>
          </cell>
          <cell r="AD11">
            <v>6.5060687841131921</v>
          </cell>
          <cell r="AE11">
            <v>0.35505111326835254</v>
          </cell>
          <cell r="AF11">
            <v>3.0886333048680378E-2</v>
          </cell>
          <cell r="AG11">
            <v>100.00000000000003</v>
          </cell>
          <cell r="AH11">
            <v>4.22503125782639E-2</v>
          </cell>
          <cell r="AI11">
            <v>4.1883408858093753E-2</v>
          </cell>
          <cell r="AJ11">
            <v>1.4676148806805817E-5</v>
          </cell>
        </row>
        <row r="12">
          <cell r="B12">
            <v>23.677094679255816</v>
          </cell>
          <cell r="C12">
            <v>0.11844240421977925</v>
          </cell>
          <cell r="D12">
            <v>2.7273593160485415E-2</v>
          </cell>
          <cell r="E12">
            <v>0.23042811644806155</v>
          </cell>
          <cell r="F12">
            <v>2.0650686964452105</v>
          </cell>
          <cell r="G12">
            <v>0</v>
          </cell>
          <cell r="H12">
            <v>0</v>
          </cell>
          <cell r="I12">
            <v>13.783774218364595</v>
          </cell>
          <cell r="J12">
            <v>0</v>
          </cell>
          <cell r="K12">
            <v>23.17559244499558</v>
          </cell>
          <cell r="L12">
            <v>0</v>
          </cell>
          <cell r="M12">
            <v>60.599420526366288</v>
          </cell>
          <cell r="N12">
            <v>100</v>
          </cell>
          <cell r="O12">
            <v>1.1825983411429133</v>
          </cell>
          <cell r="P12">
            <v>0.48015100255673354</v>
          </cell>
          <cell r="Q12">
            <v>9.9071465695761913E-4</v>
          </cell>
          <cell r="T12" t="str">
            <v>HDPE</v>
          </cell>
          <cell r="U12">
            <v>2.7407418675065354</v>
          </cell>
          <cell r="V12">
            <v>0</v>
          </cell>
          <cell r="W12">
            <v>0</v>
          </cell>
          <cell r="X12">
            <v>0</v>
          </cell>
          <cell r="Y12">
            <v>3.1658996648416737</v>
          </cell>
          <cell r="Z12">
            <v>0</v>
          </cell>
          <cell r="AA12">
            <v>3.4451112004042392</v>
          </cell>
          <cell r="AB12">
            <v>0</v>
          </cell>
          <cell r="AC12">
            <v>0</v>
          </cell>
          <cell r="AD12">
            <v>93.388989134754084</v>
          </cell>
          <cell r="AE12">
            <v>0</v>
          </cell>
          <cell r="AF12">
            <v>0</v>
          </cell>
          <cell r="AG12">
            <v>100</v>
          </cell>
          <cell r="AH12">
            <v>0.14920629158353116</v>
          </cell>
          <cell r="AI12">
            <v>0.14128789334744224</v>
          </cell>
          <cell r="AJ12">
            <v>3.1673592944355636E-4</v>
          </cell>
        </row>
        <row r="13">
          <cell r="B13">
            <v>27.772482306845394</v>
          </cell>
          <cell r="C13">
            <v>0.10279081236419876</v>
          </cell>
          <cell r="D13">
            <v>2.3074861889198696E-2</v>
          </cell>
          <cell r="E13">
            <v>0.19997815340946123</v>
          </cell>
          <cell r="F13">
            <v>1.0823216045980786</v>
          </cell>
          <cell r="G13">
            <v>0</v>
          </cell>
          <cell r="H13">
            <v>0</v>
          </cell>
          <cell r="I13">
            <v>12.218277989619015</v>
          </cell>
          <cell r="J13">
            <v>0</v>
          </cell>
          <cell r="K13">
            <v>33.782056888985302</v>
          </cell>
          <cell r="L13">
            <v>0</v>
          </cell>
          <cell r="M13">
            <v>52.591499689134736</v>
          </cell>
          <cell r="N13">
            <v>99.999999999999986</v>
          </cell>
          <cell r="O13">
            <v>1.3949662933306786</v>
          </cell>
          <cell r="P13">
            <v>0.66724476975838021</v>
          </cell>
          <cell r="Q13">
            <v>1.4770248146264572E-3</v>
          </cell>
          <cell r="T13" t="str">
            <v>LDPE</v>
          </cell>
          <cell r="U13">
            <v>2.789982672373204</v>
          </cell>
          <cell r="V13">
            <v>0</v>
          </cell>
          <cell r="W13">
            <v>0</v>
          </cell>
          <cell r="X13">
            <v>0</v>
          </cell>
          <cell r="Y13">
            <v>3.1658996648416733</v>
          </cell>
          <cell r="Z13">
            <v>0</v>
          </cell>
          <cell r="AA13">
            <v>3.4451112004042383</v>
          </cell>
          <cell r="AB13">
            <v>0</v>
          </cell>
          <cell r="AC13">
            <v>0</v>
          </cell>
          <cell r="AD13">
            <v>93.38898913475407</v>
          </cell>
          <cell r="AE13">
            <v>0</v>
          </cell>
          <cell r="AF13">
            <v>0</v>
          </cell>
          <cell r="AG13">
            <v>99.999999999999986</v>
          </cell>
          <cell r="AH13">
            <v>0.15188696646789307</v>
          </cell>
          <cell r="AI13">
            <v>0.14382630445022643</v>
          </cell>
          <cell r="AJ13">
            <v>3.2242648070666464E-4</v>
          </cell>
        </row>
        <row r="14">
          <cell r="B14">
            <v>28.249948368571953</v>
          </cell>
          <cell r="C14">
            <v>4.7946562561500441E-2</v>
          </cell>
          <cell r="D14">
            <v>0.51735333785330262</v>
          </cell>
          <cell r="E14">
            <v>1.8242431750970374</v>
          </cell>
          <cell r="F14">
            <v>12.951977317776873</v>
          </cell>
          <cell r="G14">
            <v>0.15791665905199706</v>
          </cell>
          <cell r="H14">
            <v>0</v>
          </cell>
          <cell r="I14">
            <v>25.355998871094293</v>
          </cell>
          <cell r="J14">
            <v>6.5120912825513786</v>
          </cell>
          <cell r="K14">
            <v>51.572384241842641</v>
          </cell>
          <cell r="L14">
            <v>1.0600885521709673</v>
          </cell>
          <cell r="N14">
            <v>99.999999999999986</v>
          </cell>
          <cell r="O14">
            <v>1.7413294706074818</v>
          </cell>
          <cell r="P14">
            <v>1.5757061184872572</v>
          </cell>
          <cell r="Q14">
            <v>2.8318276764963835E-3</v>
          </cell>
          <cell r="T14" t="str">
            <v>PET</v>
          </cell>
          <cell r="U14">
            <v>1.0013604181932196</v>
          </cell>
          <cell r="V14">
            <v>0</v>
          </cell>
          <cell r="W14">
            <v>0</v>
          </cell>
          <cell r="X14">
            <v>0</v>
          </cell>
          <cell r="Y14">
            <v>25.135180728052735</v>
          </cell>
          <cell r="Z14">
            <v>0</v>
          </cell>
          <cell r="AA14">
            <v>61.951545545795724</v>
          </cell>
          <cell r="AB14">
            <v>0</v>
          </cell>
          <cell r="AC14">
            <v>0</v>
          </cell>
          <cell r="AD14">
            <v>12.913273726151525</v>
          </cell>
          <cell r="AE14">
            <v>0</v>
          </cell>
          <cell r="AF14">
            <v>0</v>
          </cell>
          <cell r="AG14">
            <v>99.999999999999986</v>
          </cell>
          <cell r="AH14">
            <v>7.1636083443539042E-2</v>
          </cell>
          <cell r="AI14">
            <v>7.0866784551623013E-2</v>
          </cell>
          <cell r="AJ14">
            <v>3.0771955676640411E-5</v>
          </cell>
        </row>
        <row r="15">
          <cell r="B15">
            <v>25.128291765211031</v>
          </cell>
          <cell r="C15">
            <v>9.1530296666813005E-3</v>
          </cell>
          <cell r="D15">
            <v>1.1781541012265214E-3</v>
          </cell>
          <cell r="E15">
            <v>2.4838536810691886E-2</v>
          </cell>
          <cell r="F15">
            <v>0.53914727378151417</v>
          </cell>
          <cell r="G15">
            <v>61.326671721214723</v>
          </cell>
          <cell r="H15">
            <v>1.2003601471135132</v>
          </cell>
          <cell r="I15">
            <v>14.056328614828811</v>
          </cell>
          <cell r="J15">
            <v>15.523339335785687</v>
          </cell>
          <cell r="K15">
            <v>7.3126976444296625</v>
          </cell>
          <cell r="L15">
            <v>5.4896266442981392E-3</v>
          </cell>
          <cell r="M15">
            <v>7.9591562318967837E-4</v>
          </cell>
          <cell r="N15">
            <v>100.00000000000001</v>
          </cell>
          <cell r="O15">
            <v>0.68753434084502563</v>
          </cell>
          <cell r="P15">
            <v>0.65770770664670575</v>
          </cell>
          <cell r="Q15">
            <v>1.1930653679327889E-3</v>
          </cell>
          <cell r="T15" t="str">
            <v>Corrugated Containers</v>
          </cell>
          <cell r="U15">
            <v>1.3148458676102981</v>
          </cell>
          <cell r="V15">
            <v>5.0386133943142584E-2</v>
          </cell>
          <cell r="W15">
            <v>4.3579252451955777E-3</v>
          </cell>
          <cell r="X15">
            <v>5.2743824738972649E-2</v>
          </cell>
          <cell r="Y15">
            <v>0.26869461181948273</v>
          </cell>
          <cell r="Z15">
            <v>6.0843633440775952E-3</v>
          </cell>
          <cell r="AA15">
            <v>98.508256968100284</v>
          </cell>
          <cell r="AB15">
            <v>1.5145503722432973E-4</v>
          </cell>
          <cell r="AC15">
            <v>5.1422757347889788E-5</v>
          </cell>
          <cell r="AD15">
            <v>1.0679791712409241</v>
          </cell>
          <cell r="AE15">
            <v>3.597030584729928E-2</v>
          </cell>
          <cell r="AF15">
            <v>5.3238179260678958E-3</v>
          </cell>
          <cell r="AG15">
            <v>100.00000000000003</v>
          </cell>
          <cell r="AH15">
            <v>9.6904570026862077E-2</v>
          </cell>
          <cell r="AI15">
            <v>9.6305158133583341E-2</v>
          </cell>
          <cell r="AJ15">
            <v>2.3976475731148742E-5</v>
          </cell>
        </row>
        <row r="16">
          <cell r="B16">
            <v>32.988560868843905</v>
          </cell>
          <cell r="C16">
            <v>0.15357378410234893</v>
          </cell>
          <cell r="D16">
            <v>7.4163449221230681E-3</v>
          </cell>
          <cell r="E16">
            <v>0.31741845990800294</v>
          </cell>
          <cell r="F16">
            <v>8.2988022113746034</v>
          </cell>
          <cell r="G16">
            <v>24.267006751216595</v>
          </cell>
          <cell r="H16">
            <v>0</v>
          </cell>
          <cell r="I16">
            <v>25.396682302417791</v>
          </cell>
          <cell r="J16">
            <v>17.106660807153681</v>
          </cell>
          <cell r="K16">
            <v>24.33229659466523</v>
          </cell>
          <cell r="L16">
            <v>0.10581220736083097</v>
          </cell>
          <cell r="M16">
            <v>1.4330536878803431E-2</v>
          </cell>
          <cell r="N16">
            <v>99.999999999999986</v>
          </cell>
          <cell r="O16">
            <v>1.6195286013956749</v>
          </cell>
          <cell r="P16">
            <v>1.5512481926096522</v>
          </cell>
          <cell r="Q16">
            <v>2.7312163514409062E-3</v>
          </cell>
          <cell r="T16" t="str">
            <v>Magazines/Third-class Mail</v>
          </cell>
          <cell r="U16" t="str">
            <v>NA</v>
          </cell>
          <cell r="AG16">
            <v>0</v>
          </cell>
          <cell r="AH16">
            <v>0</v>
          </cell>
          <cell r="AI16">
            <v>0</v>
          </cell>
          <cell r="AJ16">
            <v>0</v>
          </cell>
        </row>
        <row r="17">
          <cell r="B17">
            <v>39.924113560018625</v>
          </cell>
          <cell r="C17">
            <v>0.25398184444988009</v>
          </cell>
          <cell r="D17">
            <v>3.3581822624175871E-3</v>
          </cell>
          <cell r="E17">
            <v>0.52111363646743158</v>
          </cell>
          <cell r="F17">
            <v>0.74992272414491223</v>
          </cell>
          <cell r="G17">
            <v>9.0921242234797077</v>
          </cell>
          <cell r="H17">
            <v>0.67543140211395147</v>
          </cell>
          <cell r="I17">
            <v>54.211289858650858</v>
          </cell>
          <cell r="J17">
            <v>1.7534631018108784</v>
          </cell>
          <cell r="K17">
            <v>32.4282616332533</v>
          </cell>
          <cell r="L17">
            <v>0.27147831306777159</v>
          </cell>
          <cell r="M17">
            <v>3.957508029889651E-2</v>
          </cell>
          <cell r="N17">
            <v>100.00000000000001</v>
          </cell>
          <cell r="O17">
            <v>1.9509297065500428</v>
          </cell>
          <cell r="P17">
            <v>1.8569454728009263</v>
          </cell>
          <cell r="Q17">
            <v>3.7593693499646474E-3</v>
          </cell>
          <cell r="T17" t="str">
            <v>Newspaper</v>
          </cell>
          <cell r="U17">
            <v>0.49632626569999999</v>
          </cell>
          <cell r="V17">
            <v>0.10074018534860707</v>
          </cell>
          <cell r="W17">
            <v>7.8889639146494203E-2</v>
          </cell>
          <cell r="X17">
            <v>0.39123458381985049</v>
          </cell>
          <cell r="Y17">
            <v>3.6344741849514417</v>
          </cell>
          <cell r="Z17">
            <v>5.2384896381275678E-2</v>
          </cell>
          <cell r="AA17">
            <v>87.971729520338386</v>
          </cell>
          <cell r="AB17">
            <v>0</v>
          </cell>
          <cell r="AC17">
            <v>0.85927751455689294</v>
          </cell>
          <cell r="AD17">
            <v>6.5274401616259263</v>
          </cell>
          <cell r="AE17">
            <v>0.33748882857077456</v>
          </cell>
          <cell r="AF17">
            <v>4.6340485260359256E-2</v>
          </cell>
          <cell r="AG17">
            <v>100.00000000000001</v>
          </cell>
          <cell r="AH17">
            <v>3.5979336779992425E-2</v>
          </cell>
          <cell r="AI17">
            <v>3.5667189854412466E-2</v>
          </cell>
          <cell r="AJ17">
            <v>1.2485877023198158E-5</v>
          </cell>
        </row>
        <row r="18">
          <cell r="B18">
            <v>37.011955084323986</v>
          </cell>
          <cell r="C18">
            <v>8.0039711083181767E-2</v>
          </cell>
          <cell r="D18">
            <v>3.8652567450206707E-3</v>
          </cell>
          <cell r="E18">
            <v>0.16543241395011299</v>
          </cell>
          <cell r="F18">
            <v>4.3251765606831434</v>
          </cell>
          <cell r="G18">
            <v>60.529416302867098</v>
          </cell>
          <cell r="H18">
            <v>0</v>
          </cell>
          <cell r="I18">
            <v>13.236263766230817</v>
          </cell>
          <cell r="J18">
            <v>8.9156635463905793</v>
          </cell>
          <cell r="K18">
            <v>12.681526347813058</v>
          </cell>
          <cell r="L18">
            <v>5.514729324238285E-2</v>
          </cell>
          <cell r="M18">
            <v>7.4688009945882696E-3</v>
          </cell>
          <cell r="N18">
            <v>99.999999999999986</v>
          </cell>
          <cell r="O18">
            <v>0.94701248725679288</v>
          </cell>
          <cell r="P18">
            <v>0.90708580754293222</v>
          </cell>
          <cell r="Q18">
            <v>1.5970671885544283E-3</v>
          </cell>
          <cell r="T18" t="str">
            <v>Office Paper</v>
          </cell>
          <cell r="U18" t="str">
            <v>NA</v>
          </cell>
          <cell r="AG18">
            <v>0</v>
          </cell>
          <cell r="AH18">
            <v>0</v>
          </cell>
          <cell r="AI18">
            <v>0</v>
          </cell>
          <cell r="AJ18">
            <v>0</v>
          </cell>
        </row>
        <row r="19">
          <cell r="B19">
            <v>39.606352780829546</v>
          </cell>
          <cell r="C19">
            <v>0.18482383605472866</v>
          </cell>
          <cell r="D19">
            <v>8.9254642387289335E-3</v>
          </cell>
          <cell r="E19">
            <v>0.38200854226319647</v>
          </cell>
          <cell r="F19">
            <v>9.9874888694772963</v>
          </cell>
          <cell r="G19">
            <v>8.8564339938477428</v>
          </cell>
          <cell r="H19">
            <v>0</v>
          </cell>
          <cell r="I19">
            <v>30.564541165879227</v>
          </cell>
          <cell r="J19">
            <v>20.587619761704268</v>
          </cell>
          <cell r="K19">
            <v>29.283568305188705</v>
          </cell>
          <cell r="L19">
            <v>0.1273434667261549</v>
          </cell>
          <cell r="M19">
            <v>1.7246594619945269E-2</v>
          </cell>
          <cell r="N19">
            <v>100.00000000000001</v>
          </cell>
          <cell r="O19">
            <v>2.3400815808301907</v>
          </cell>
          <cell r="P19">
            <v>2.2414221766097091</v>
          </cell>
          <cell r="Q19">
            <v>3.946376168819276E-3</v>
          </cell>
          <cell r="T19" t="str">
            <v>Phonebooks</v>
          </cell>
          <cell r="U19" t="str">
            <v>NA</v>
          </cell>
          <cell r="AG19">
            <v>0</v>
          </cell>
          <cell r="AH19">
            <v>0</v>
          </cell>
          <cell r="AI19">
            <v>0</v>
          </cell>
          <cell r="AJ19">
            <v>0</v>
          </cell>
        </row>
        <row r="20">
          <cell r="B20">
            <v>35.071003481025485</v>
          </cell>
          <cell r="C20">
            <v>0.18424120080164566</v>
          </cell>
          <cell r="D20">
            <v>8.8973277698263242E-3</v>
          </cell>
          <cell r="E20">
            <v>0.38080430557786193</v>
          </cell>
          <cell r="F20">
            <v>9.9560044937098322</v>
          </cell>
          <cell r="G20">
            <v>9.1437532908628594</v>
          </cell>
          <cell r="H20">
            <v>0</v>
          </cell>
          <cell r="I20">
            <v>30.468190069842716</v>
          </cell>
          <cell r="J20">
            <v>20.522719728752435</v>
          </cell>
          <cell r="K20">
            <v>29.191255324380244</v>
          </cell>
          <cell r="L20">
            <v>0.12694203152954703</v>
          </cell>
          <cell r="M20">
            <v>1.7192226773050049E-2</v>
          </cell>
          <cell r="N20">
            <v>100.00000000000001</v>
          </cell>
          <cell r="O20">
            <v>2.0655852077122803</v>
          </cell>
          <cell r="P20">
            <v>1.9784987541334973</v>
          </cell>
          <cell r="Q20">
            <v>3.4834581431513263E-3</v>
          </cell>
          <cell r="T20" t="str">
            <v>Textbooks</v>
          </cell>
          <cell r="U20" t="str">
            <v>NA</v>
          </cell>
          <cell r="AG20">
            <v>0</v>
          </cell>
          <cell r="AH20">
            <v>0</v>
          </cell>
          <cell r="AI20">
            <v>0</v>
          </cell>
          <cell r="AJ20">
            <v>0</v>
          </cell>
        </row>
        <row r="21">
          <cell r="B21">
            <v>2.5270000000000001</v>
          </cell>
          <cell r="C21">
            <v>1.5670755836960821</v>
          </cell>
          <cell r="D21">
            <v>0</v>
          </cell>
          <cell r="E21">
            <v>0</v>
          </cell>
          <cell r="F21">
            <v>0</v>
          </cell>
          <cell r="G21">
            <v>32.805698456667983</v>
          </cell>
          <cell r="H21">
            <v>15.98733676296003</v>
          </cell>
          <cell r="I21">
            <v>43.094578551642265</v>
          </cell>
          <cell r="J21">
            <v>0</v>
          </cell>
          <cell r="K21">
            <v>6.5294815987336765</v>
          </cell>
          <cell r="N21">
            <v>99.98417095370003</v>
          </cell>
          <cell r="O21">
            <v>9.8421358670047338E-2</v>
          </cell>
          <cell r="P21">
            <v>9.5153108968566602E-2</v>
          </cell>
          <cell r="Q21">
            <v>1.3072998805922951E-4</v>
          </cell>
          <cell r="T21" t="str">
            <v>Dimensional Lumber</v>
          </cell>
          <cell r="U21">
            <v>0.88100000000000001</v>
          </cell>
          <cell r="Y21">
            <v>0</v>
          </cell>
          <cell r="AA21">
            <v>100</v>
          </cell>
          <cell r="AB21">
            <v>0</v>
          </cell>
          <cell r="AD21">
            <v>0</v>
          </cell>
          <cell r="AG21">
            <v>100</v>
          </cell>
          <cell r="AH21">
            <v>6.5155823333333321E-2</v>
          </cell>
          <cell r="AI21">
            <v>6.477881526253626E-2</v>
          </cell>
          <cell r="AJ21">
            <v>1.5080322831882645E-5</v>
          </cell>
        </row>
        <row r="22">
          <cell r="B22">
            <v>10.178000000000001</v>
          </cell>
          <cell r="C22">
            <v>0.14049911573983101</v>
          </cell>
          <cell r="D22">
            <v>0</v>
          </cell>
          <cell r="E22">
            <v>0.37630182747101582</v>
          </cell>
          <cell r="F22">
            <v>4.745529573590096E-2</v>
          </cell>
          <cell r="G22">
            <v>51.896246806838271</v>
          </cell>
          <cell r="H22">
            <v>1.2576144625663193</v>
          </cell>
          <cell r="I22">
            <v>27.608567498526231</v>
          </cell>
          <cell r="J22">
            <v>0</v>
          </cell>
          <cell r="K22">
            <v>18.677539791707602</v>
          </cell>
          <cell r="N22">
            <v>100.00422479858517</v>
          </cell>
          <cell r="O22">
            <v>0.2614728973226505</v>
          </cell>
          <cell r="P22">
            <v>0.24893093202813271</v>
          </cell>
          <cell r="Q22">
            <v>5.0167861178070821E-4</v>
          </cell>
          <cell r="T22" t="str">
            <v>Medium-density Fiberboard</v>
          </cell>
          <cell r="U22">
            <v>1.01</v>
          </cell>
          <cell r="Y22">
            <v>5.9405940594059403E-2</v>
          </cell>
          <cell r="AA22">
            <v>98.097029702970289</v>
          </cell>
          <cell r="AB22">
            <v>0</v>
          </cell>
          <cell r="AD22">
            <v>1.8415841584158419</v>
          </cell>
          <cell r="AG22">
            <v>99.998019801980192</v>
          </cell>
          <cell r="AH22">
            <v>7.4306014199999992E-2</v>
          </cell>
          <cell r="AI22">
            <v>7.3824792251792781E-2</v>
          </cell>
          <cell r="AJ22">
            <v>1.9248877928288586E-5</v>
          </cell>
        </row>
        <row r="23">
          <cell r="B23">
            <v>27.219926000000001</v>
          </cell>
          <cell r="C23">
            <v>0.19167208610339354</v>
          </cell>
          <cell r="D23">
            <v>0</v>
          </cell>
          <cell r="E23">
            <v>4.5888552378871275</v>
          </cell>
          <cell r="F23">
            <v>0.31945347683898917</v>
          </cell>
          <cell r="G23">
            <v>0</v>
          </cell>
          <cell r="H23">
            <v>0</v>
          </cell>
          <cell r="I23">
            <v>26.377371488813008</v>
          </cell>
          <cell r="J23">
            <v>48.842557470582392</v>
          </cell>
          <cell r="K23">
            <v>19.68009023977508</v>
          </cell>
          <cell r="N23">
            <v>99.999999999999986</v>
          </cell>
          <cell r="O23">
            <v>2.0308304541950086</v>
          </cell>
          <cell r="P23">
            <v>1.9434836508525422</v>
          </cell>
          <cell r="Q23">
            <v>3.4938721336986488E-3</v>
          </cell>
          <cell r="T23" t="str">
            <v>Miscellaneous Durables</v>
          </cell>
          <cell r="U23">
            <v>4.4769160000000001</v>
          </cell>
          <cell r="Y23">
            <v>1.4167341982739905</v>
          </cell>
          <cell r="AA23">
            <v>98.58762147871434</v>
          </cell>
          <cell r="AB23">
            <v>0</v>
          </cell>
          <cell r="AD23">
            <v>0</v>
          </cell>
          <cell r="AG23">
            <v>100.00435567698833</v>
          </cell>
          <cell r="AH23">
            <v>0.3311843000766666</v>
          </cell>
          <cell r="AI23">
            <v>0.32926840111996469</v>
          </cell>
          <cell r="AJ23">
            <v>7.6635958268073698E-5</v>
          </cell>
        </row>
        <row r="24">
          <cell r="B24">
            <v>32.264000000000003</v>
          </cell>
          <cell r="C24">
            <v>2.6655095462434908E-4</v>
          </cell>
          <cell r="D24">
            <v>1.3947433672204313E-3</v>
          </cell>
          <cell r="E24">
            <v>4.3082072898586654E-3</v>
          </cell>
          <cell r="F24">
            <v>0.94222663030002463</v>
          </cell>
          <cell r="G24">
            <v>59.341681130671951</v>
          </cell>
          <cell r="H24">
            <v>1.3606496404661541</v>
          </cell>
          <cell r="I24">
            <v>5.3217208033721795</v>
          </cell>
          <cell r="J24">
            <v>24.011281924125957</v>
          </cell>
          <cell r="K24">
            <v>9.0193404413587892</v>
          </cell>
          <cell r="N24">
            <v>100.00287007190676</v>
          </cell>
          <cell r="O24">
            <v>1.0387453188628872</v>
          </cell>
          <cell r="P24">
            <v>0.99435139577956011</v>
          </cell>
          <cell r="Q24">
            <v>1.775756923333083E-3</v>
          </cell>
          <cell r="T24" t="str">
            <v>Boxboard</v>
          </cell>
          <cell r="U24">
            <v>1.792</v>
          </cell>
          <cell r="Y24">
            <v>4.7433035714285705E-2</v>
          </cell>
          <cell r="AA24">
            <v>99.932366071428575</v>
          </cell>
          <cell r="AB24">
            <v>2.2879464285714282E-3</v>
          </cell>
          <cell r="AD24">
            <v>1.4508928571428568E-2</v>
          </cell>
          <cell r="AG24">
            <v>99.996595982142864</v>
          </cell>
          <cell r="AH24">
            <v>0.13252047055737998</v>
          </cell>
          <cell r="AI24">
            <v>0.13175287802076149</v>
          </cell>
          <cell r="AJ24">
            <v>3.0703701464739844E-5</v>
          </cell>
        </row>
        <row r="25">
          <cell r="B25">
            <v>73.436999999999998</v>
          </cell>
          <cell r="C25">
            <v>5.5830167354330921E-4</v>
          </cell>
          <cell r="D25">
            <v>1.9063959584405678E-4</v>
          </cell>
          <cell r="E25">
            <v>9.9677274398463998E-3</v>
          </cell>
          <cell r="F25">
            <v>1.7974590465296787</v>
          </cell>
          <cell r="G25">
            <v>24.893446083037158</v>
          </cell>
          <cell r="H25">
            <v>0.44800305023353348</v>
          </cell>
          <cell r="I25">
            <v>28.147936326374989</v>
          </cell>
          <cell r="J25">
            <v>2.9276795076051583</v>
          </cell>
          <cell r="K25">
            <v>41.775944006427281</v>
          </cell>
          <cell r="N25">
            <v>100.00118468891702</v>
          </cell>
          <cell r="O25">
            <v>3.0371477707143208</v>
          </cell>
          <cell r="P25">
            <v>2.8849862829819073</v>
          </cell>
          <cell r="Q25">
            <v>6.0864595092965353E-3</v>
          </cell>
          <cell r="T25" t="str">
            <v>Paper Towels</v>
          </cell>
          <cell r="U25">
            <v>2.069</v>
          </cell>
          <cell r="Y25">
            <v>0.51715804736587723</v>
          </cell>
          <cell r="AA25">
            <v>99.458675688738523</v>
          </cell>
          <cell r="AB25">
            <v>1.2566457225712905E-2</v>
          </cell>
          <cell r="AD25">
            <v>1.6433059449009187E-2</v>
          </cell>
          <cell r="AG25">
            <v>100.00483325277914</v>
          </cell>
          <cell r="AH25">
            <v>0.15302315554110885</v>
          </cell>
          <cell r="AI25">
            <v>0.15213632240418234</v>
          </cell>
          <cell r="AJ25">
            <v>3.5473325477060204E-5</v>
          </cell>
        </row>
        <row r="26">
          <cell r="B26" t="str">
            <v>NA</v>
          </cell>
          <cell r="C26" t="str">
            <v>NA</v>
          </cell>
          <cell r="D26" t="str">
            <v>NA</v>
          </cell>
          <cell r="E26" t="str">
            <v>NA</v>
          </cell>
          <cell r="F26" t="str">
            <v>NA</v>
          </cell>
          <cell r="G26" t="str">
            <v>NA</v>
          </cell>
          <cell r="H26" t="str">
            <v>NA</v>
          </cell>
          <cell r="I26" t="str">
            <v>NA</v>
          </cell>
          <cell r="J26" t="str">
            <v>NA</v>
          </cell>
          <cell r="K26" t="str">
            <v>NA</v>
          </cell>
          <cell r="N26" t="str">
            <v>NA</v>
          </cell>
          <cell r="O26" t="str">
            <v>NA</v>
          </cell>
          <cell r="P26">
            <v>0</v>
          </cell>
          <cell r="Q26">
            <v>0</v>
          </cell>
          <cell r="T26" t="str">
            <v>PET Carpets and Rugs</v>
          </cell>
          <cell r="U26" t="str">
            <v>NA</v>
          </cell>
          <cell r="Y26" t="str">
            <v>NA</v>
          </cell>
          <cell r="AA26" t="str">
            <v>NA</v>
          </cell>
          <cell r="AB26" t="str">
            <v>NA</v>
          </cell>
          <cell r="AD26" t="str">
            <v>NA</v>
          </cell>
          <cell r="AG26">
            <v>0</v>
          </cell>
          <cell r="AH26" t="str">
            <v>NA</v>
          </cell>
          <cell r="AI26">
            <v>0</v>
          </cell>
          <cell r="AJ26">
            <v>0</v>
          </cell>
        </row>
        <row r="27">
          <cell r="B27">
            <v>32.137700000000002</v>
          </cell>
          <cell r="C27">
            <v>9.0859022269795281E-2</v>
          </cell>
          <cell r="D27">
            <v>3.2360747657735306E-2</v>
          </cell>
          <cell r="E27">
            <v>0.22123549600624809</v>
          </cell>
          <cell r="F27">
            <v>0.68144266702346457</v>
          </cell>
          <cell r="G27">
            <v>0</v>
          </cell>
          <cell r="H27">
            <v>0</v>
          </cell>
          <cell r="I27">
            <v>38.71776760626927</v>
          </cell>
          <cell r="J27">
            <v>0</v>
          </cell>
          <cell r="K27">
            <v>60.256334460773488</v>
          </cell>
          <cell r="N27">
            <v>100</v>
          </cell>
          <cell r="O27">
            <v>1.702093348605815</v>
          </cell>
          <cell r="P27">
            <v>1.6132311605890366</v>
          </cell>
          <cell r="Q27">
            <v>3.5544875206711315E-3</v>
          </cell>
          <cell r="T27" t="str">
            <v>PP - unused</v>
          </cell>
          <cell r="U27">
            <v>1.10023</v>
          </cell>
          <cell r="Y27">
            <v>20.062168819246885</v>
          </cell>
          <cell r="AA27">
            <v>52.7253392472483</v>
          </cell>
          <cell r="AB27">
            <v>1.581487507157594</v>
          </cell>
          <cell r="AD27">
            <v>25.631004426347214</v>
          </cell>
          <cell r="AG27">
            <v>99.999999999999986</v>
          </cell>
          <cell r="AH27">
            <v>7.5339501858823529E-2</v>
          </cell>
          <cell r="AI27">
            <v>7.4091819090675845E-2</v>
          </cell>
          <cell r="AJ27">
            <v>4.990731072590692E-5</v>
          </cell>
        </row>
        <row r="28">
          <cell r="B28">
            <v>36.310900000000004</v>
          </cell>
          <cell r="C28">
            <v>9.5563591097989856E-2</v>
          </cell>
          <cell r="D28">
            <v>0.1065795670170665</v>
          </cell>
          <cell r="E28">
            <v>0.23271249129049401</v>
          </cell>
          <cell r="F28">
            <v>1.4127989116215791</v>
          </cell>
          <cell r="G28">
            <v>0</v>
          </cell>
          <cell r="H28">
            <v>0</v>
          </cell>
          <cell r="I28">
            <v>30.580349151356749</v>
          </cell>
          <cell r="J28">
            <v>0</v>
          </cell>
          <cell r="K28">
            <v>67.571996287616102</v>
          </cell>
          <cell r="N28">
            <v>99.999999999999972</v>
          </cell>
          <cell r="O28">
            <v>1.9314198142285328</v>
          </cell>
          <cell r="P28">
            <v>1.8297345451493814</v>
          </cell>
          <cell r="Q28">
            <v>4.0674107631660317E-3</v>
          </cell>
          <cell r="T28" t="str">
            <v>PS - unused</v>
          </cell>
          <cell r="U28">
            <v>2.0211999999999999</v>
          </cell>
          <cell r="Y28">
            <v>41.519889174747682</v>
          </cell>
          <cell r="AA28">
            <v>45.878685929150997</v>
          </cell>
          <cell r="AB28">
            <v>7.6687116564417179</v>
          </cell>
          <cell r="AD28">
            <v>4.9327132396596083</v>
          </cell>
          <cell r="AG28">
            <v>100</v>
          </cell>
          <cell r="AH28">
            <v>0.14499296789181881</v>
          </cell>
          <cell r="AI28">
            <v>0.14356539176398372</v>
          </cell>
          <cell r="AJ28">
            <v>5.7103045113402446E-5</v>
          </cell>
        </row>
        <row r="29">
          <cell r="B29">
            <v>38.4818</v>
          </cell>
          <cell r="C29">
            <v>9.8228253356131973E-2</v>
          </cell>
          <cell r="D29">
            <v>0</v>
          </cell>
          <cell r="E29">
            <v>1.7748650011174114</v>
          </cell>
          <cell r="F29">
            <v>0.12993155205837564</v>
          </cell>
          <cell r="G29">
            <v>0</v>
          </cell>
          <cell r="H29">
            <v>0</v>
          </cell>
          <cell r="I29">
            <v>29.936229594249749</v>
          </cell>
          <cell r="J29">
            <v>29.777713100738531</v>
          </cell>
          <cell r="K29">
            <v>38.283032498479798</v>
          </cell>
          <cell r="N29">
            <v>100</v>
          </cell>
          <cell r="O29">
            <v>2.5340970334099042</v>
          </cell>
          <cell r="P29">
            <v>2.4154118675159904</v>
          </cell>
          <cell r="Q29">
            <v>4.7474066357565655E-3</v>
          </cell>
          <cell r="T29" t="str">
            <v>Flat Steel Products</v>
          </cell>
          <cell r="U29">
            <v>1.2815000000000001</v>
          </cell>
          <cell r="Y29">
            <v>3.4724931720639871</v>
          </cell>
          <cell r="AA29">
            <v>96.527506827936008</v>
          </cell>
          <cell r="AB29">
            <v>0</v>
          </cell>
          <cell r="AD29">
            <v>0</v>
          </cell>
          <cell r="AG29">
            <v>100</v>
          </cell>
          <cell r="AH29">
            <v>9.4826049999999995E-2</v>
          </cell>
          <cell r="AI29">
            <v>9.4277655172841715E-2</v>
          </cell>
          <cell r="AJ29">
            <v>2.1935793086330996E-5</v>
          </cell>
        </row>
        <row r="30">
          <cell r="B30">
            <v>46.238900000000001</v>
          </cell>
          <cell r="C30">
            <v>6.920579858084859E-2</v>
          </cell>
          <cell r="D30">
            <v>7.9802936488541032E-2</v>
          </cell>
          <cell r="E30">
            <v>1.3192355354474263</v>
          </cell>
          <cell r="F30">
            <v>4.0204243613061728</v>
          </cell>
          <cell r="G30">
            <v>0</v>
          </cell>
          <cell r="H30">
            <v>0</v>
          </cell>
          <cell r="I30">
            <v>47.392995940647374</v>
          </cell>
          <cell r="J30">
            <v>1.2284029248100625</v>
          </cell>
          <cell r="K30">
            <v>45.889932502719567</v>
          </cell>
          <cell r="N30">
            <v>100</v>
          </cell>
          <cell r="O30">
            <v>2.5148907216504242</v>
          </cell>
          <cell r="P30">
            <v>2.3947465983080192</v>
          </cell>
          <cell r="Q30">
            <v>4.8057649336962042E-3</v>
          </cell>
          <cell r="T30" t="str">
            <v>Injection Molded Plastic</v>
          </cell>
          <cell r="U30">
            <v>2.4361999999999999</v>
          </cell>
          <cell r="Y30">
            <v>32.866759707741565</v>
          </cell>
          <cell r="AA30">
            <v>58.078154502914366</v>
          </cell>
          <cell r="AB30">
            <v>5.7548641326656265</v>
          </cell>
          <cell r="AD30">
            <v>3.3002216566784339</v>
          </cell>
          <cell r="AG30">
            <v>99.999999999999986</v>
          </cell>
          <cell r="AH30">
            <v>0.17636562524408383</v>
          </cell>
          <cell r="AI30">
            <v>0.17483995569071592</v>
          </cell>
          <cell r="AJ30">
            <v>6.1026782134716823E-5</v>
          </cell>
        </row>
        <row r="31">
          <cell r="B31">
            <v>40.814599999999999</v>
          </cell>
          <cell r="C31">
            <v>7.2033046997888012E-2</v>
          </cell>
          <cell r="D31">
            <v>3.8956647866204744E-2</v>
          </cell>
          <cell r="E31">
            <v>0.17567243094382895</v>
          </cell>
          <cell r="F31">
            <v>0.69582943358504068</v>
          </cell>
          <cell r="G31">
            <v>0</v>
          </cell>
          <cell r="H31">
            <v>0</v>
          </cell>
          <cell r="I31">
            <v>51.697186791001265</v>
          </cell>
          <cell r="J31">
            <v>7.7423275004532693E-2</v>
          </cell>
          <cell r="K31">
            <v>47.242898374601246</v>
          </cell>
          <cell r="N31">
            <v>100</v>
          </cell>
          <cell r="O31">
            <v>2.1588615804252154</v>
          </cell>
          <cell r="P31">
            <v>2.0496425156046638</v>
          </cell>
          <cell r="Q31">
            <v>4.3687625928220432E-3</v>
          </cell>
          <cell r="T31" t="str">
            <v>Injection Molded and Extruded Plast.</v>
          </cell>
          <cell r="U31">
            <v>1.7487000000000001</v>
          </cell>
          <cell r="Y31">
            <v>19.92909018127752</v>
          </cell>
          <cell r="AA31">
            <v>64.024704065877501</v>
          </cell>
          <cell r="AB31">
            <v>2.6076513981815062</v>
          </cell>
          <cell r="AD31">
            <v>13.438554354663463</v>
          </cell>
          <cell r="AG31">
            <v>99.999999999999986</v>
          </cell>
          <cell r="AH31">
            <v>0.12381708833806623</v>
          </cell>
          <cell r="AI31">
            <v>0.12236121027379358</v>
          </cell>
          <cell r="AJ31">
            <v>5.8235122570906625E-5</v>
          </cell>
        </row>
        <row r="32">
          <cell r="B32">
            <v>52.091000000000001</v>
          </cell>
          <cell r="C32">
            <v>2.2863834443569906</v>
          </cell>
          <cell r="D32">
            <v>0</v>
          </cell>
          <cell r="E32">
            <v>3.3499068937052465</v>
          </cell>
          <cell r="F32">
            <v>13.192298093720604</v>
          </cell>
          <cell r="G32">
            <v>40.882302125127183</v>
          </cell>
          <cell r="H32">
            <v>0</v>
          </cell>
          <cell r="I32">
            <v>18.903457411069091</v>
          </cell>
          <cell r="J32">
            <v>11.948321207118312</v>
          </cell>
          <cell r="K32">
            <v>9.4354111074849776</v>
          </cell>
          <cell r="N32">
            <v>99.998080282582407</v>
          </cell>
          <cell r="O32">
            <v>2.0996798558970902</v>
          </cell>
          <cell r="P32">
            <v>2.0321716769822871</v>
          </cell>
          <cell r="Q32">
            <v>2.7003271565921253E-3</v>
          </cell>
          <cell r="T32" t="str">
            <v>Tissue Paper</v>
          </cell>
          <cell r="U32">
            <v>2.4565000000000001</v>
          </cell>
          <cell r="Y32">
            <v>0.43150824343578253</v>
          </cell>
          <cell r="AA32">
            <v>99.429676368817411</v>
          </cell>
          <cell r="AB32">
            <v>2.9717077142275596E-2</v>
          </cell>
          <cell r="AD32">
            <v>0.10991247710156726</v>
          </cell>
          <cell r="AG32">
            <v>100.00081416649705</v>
          </cell>
          <cell r="AH32">
            <v>0.18161575066798513</v>
          </cell>
          <cell r="AI32">
            <v>0.1805559991498254</v>
          </cell>
          <cell r="AJ32">
            <v>4.2390060726387276E-5</v>
          </cell>
        </row>
        <row r="33">
          <cell r="B33">
            <v>40.118000000000002</v>
          </cell>
          <cell r="C33">
            <v>2.7867790019442644</v>
          </cell>
          <cell r="D33">
            <v>0</v>
          </cell>
          <cell r="E33">
            <v>1.4357644947405155</v>
          </cell>
          <cell r="F33">
            <v>5.8776609003439848</v>
          </cell>
          <cell r="G33">
            <v>47.868787078119546</v>
          </cell>
          <cell r="H33">
            <v>0</v>
          </cell>
          <cell r="I33">
            <v>18.221247320404807</v>
          </cell>
          <cell r="J33">
            <v>10.28964554564036</v>
          </cell>
          <cell r="K33">
            <v>13.515130365422005</v>
          </cell>
          <cell r="N33">
            <v>99.995014706615478</v>
          </cell>
          <cell r="O33">
            <v>1.363211014968607</v>
          </cell>
          <cell r="P33">
            <v>1.3110223953093401</v>
          </cell>
          <cell r="Q33">
            <v>2.0875447863706663E-3</v>
          </cell>
          <cell r="T33" t="str">
            <v>Folding Boxes</v>
          </cell>
          <cell r="U33">
            <v>1.012</v>
          </cell>
          <cell r="Y33">
            <v>0.59288537549407105</v>
          </cell>
          <cell r="AA33">
            <v>99.189723320158095</v>
          </cell>
          <cell r="AB33">
            <v>1.9762845849802372E-2</v>
          </cell>
          <cell r="AD33">
            <v>0.19762845849802371</v>
          </cell>
          <cell r="AG33">
            <v>100</v>
          </cell>
          <cell r="AH33">
            <v>7.4804764621365774E-2</v>
          </cell>
          <cell r="AI33">
            <v>7.4366039628473241E-2</v>
          </cell>
          <cell r="AJ33">
            <v>1.7548999715701629E-5</v>
          </cell>
        </row>
        <row r="34">
          <cell r="B34">
            <v>88.887699999999995</v>
          </cell>
          <cell r="C34">
            <v>3.2962940879334261E-2</v>
          </cell>
          <cell r="D34">
            <v>0</v>
          </cell>
          <cell r="E34">
            <v>8.0326074361244587E-2</v>
          </cell>
          <cell r="F34">
            <v>0.12487667022546427</v>
          </cell>
          <cell r="G34">
            <v>0</v>
          </cell>
          <cell r="H34">
            <v>0</v>
          </cell>
          <cell r="I34">
            <v>56.764884230326587</v>
          </cell>
          <cell r="J34">
            <v>0</v>
          </cell>
          <cell r="K34">
            <v>42.996950084207377</v>
          </cell>
          <cell r="N34">
            <v>100</v>
          </cell>
          <cell r="O34">
            <v>4.6816403299344147</v>
          </cell>
          <cell r="P34">
            <v>4.4452567400753598</v>
          </cell>
          <cell r="Q34">
            <v>9.4553435943622414E-3</v>
          </cell>
          <cell r="T34" t="str">
            <v>Injection Molded Auto Parts</v>
          </cell>
          <cell r="U34">
            <v>3.1775800000000003</v>
          </cell>
          <cell r="Y34">
            <v>14.759030457140337</v>
          </cell>
          <cell r="AA34">
            <v>78.427608431573717</v>
          </cell>
          <cell r="AB34">
            <v>1.1801433795529932</v>
          </cell>
          <cell r="AD34">
            <v>5.6332177317329535</v>
          </cell>
          <cell r="AG34">
            <v>100</v>
          </cell>
          <cell r="AH34">
            <v>0.23097700197275187</v>
          </cell>
          <cell r="AI34">
            <v>0.2290729166767638</v>
          </cell>
          <cell r="AJ34">
            <v>7.6163411839521764E-5</v>
          </cell>
        </row>
        <row r="35">
          <cell r="B35">
            <v>109.23100000000001</v>
          </cell>
          <cell r="C35">
            <v>0</v>
          </cell>
          <cell r="D35">
            <v>0</v>
          </cell>
          <cell r="E35">
            <v>0</v>
          </cell>
          <cell r="F35">
            <v>0</v>
          </cell>
          <cell r="G35">
            <v>0</v>
          </cell>
          <cell r="H35">
            <v>21.36</v>
          </cell>
          <cell r="I35">
            <v>51.24</v>
          </cell>
          <cell r="J35">
            <v>3.5999999999999999E-3</v>
          </cell>
          <cell r="K35">
            <v>27.04</v>
          </cell>
          <cell r="N35">
            <v>99.643599999999992</v>
          </cell>
          <cell r="O35">
            <v>6.2198778054171804</v>
          </cell>
          <cell r="P35">
            <v>5.9871583120416139</v>
          </cell>
          <cell r="Q35">
            <v>9.3087797350225789E-3</v>
          </cell>
          <cell r="T35" t="str">
            <v>Copper</v>
          </cell>
          <cell r="U35">
            <v>3.0590000000000002</v>
          </cell>
          <cell r="Y35">
            <v>0</v>
          </cell>
          <cell r="AA35">
            <v>72.25</v>
          </cell>
          <cell r="AB35">
            <v>27.75</v>
          </cell>
          <cell r="AD35">
            <v>0</v>
          </cell>
          <cell r="AG35">
            <v>100</v>
          </cell>
          <cell r="AH35">
            <v>0.20786082058498143</v>
          </cell>
          <cell r="AI35">
            <v>0.20490941920728967</v>
          </cell>
          <cell r="AJ35">
            <v>1.1805605510766916E-4</v>
          </cell>
        </row>
        <row r="36">
          <cell r="B36">
            <v>79472</v>
          </cell>
          <cell r="C36">
            <v>3.5630341880341878</v>
          </cell>
          <cell r="D36">
            <v>0</v>
          </cell>
          <cell r="E36">
            <v>0</v>
          </cell>
          <cell r="F36">
            <v>0</v>
          </cell>
          <cell r="G36">
            <v>0</v>
          </cell>
          <cell r="H36">
            <v>45.404202279202281</v>
          </cell>
          <cell r="I36">
            <v>51.032763532763539</v>
          </cell>
          <cell r="J36">
            <v>0</v>
          </cell>
          <cell r="K36">
            <v>0</v>
          </cell>
          <cell r="N36">
            <v>100</v>
          </cell>
          <cell r="O36">
            <v>4992.319961819624</v>
          </cell>
          <cell r="P36">
            <v>4879.8440980090345</v>
          </cell>
          <cell r="Q36">
            <v>4.4990345524235344</v>
          </cell>
          <cell r="T36" t="str">
            <v>Gold</v>
          </cell>
          <cell r="U36">
            <v>141</v>
          </cell>
          <cell r="Y36">
            <v>0</v>
          </cell>
          <cell r="AA36">
            <v>44.680851063829785</v>
          </cell>
          <cell r="AB36">
            <v>55.319148936170215</v>
          </cell>
          <cell r="AD36">
            <v>0</v>
          </cell>
          <cell r="AG36">
            <v>100</v>
          </cell>
          <cell r="AH36">
            <v>8.7396923326572011</v>
          </cell>
          <cell r="AI36">
            <v>8.5284432959664791</v>
          </cell>
          <cell r="AJ36">
            <v>8.4499614676287783E-3</v>
          </cell>
        </row>
        <row r="37">
          <cell r="B37">
            <v>1474.22</v>
          </cell>
          <cell r="C37">
            <v>0.15671641791044777</v>
          </cell>
          <cell r="D37">
            <v>0.41044776119402987</v>
          </cell>
          <cell r="E37">
            <v>1.7970149253731345</v>
          </cell>
          <cell r="F37">
            <v>0</v>
          </cell>
          <cell r="G37">
            <v>0</v>
          </cell>
          <cell r="H37">
            <v>2.6</v>
          </cell>
          <cell r="I37">
            <v>49.50177564282626</v>
          </cell>
          <cell r="J37">
            <v>0</v>
          </cell>
          <cell r="K37">
            <v>45.534045252696103</v>
          </cell>
          <cell r="N37">
            <v>99.999999999999972</v>
          </cell>
          <cell r="O37">
            <v>79.099366887947767</v>
          </cell>
          <cell r="P37">
            <v>75.287488764793309</v>
          </cell>
          <cell r="Q37">
            <v>0.15247512492617826</v>
          </cell>
          <cell r="T37" t="str">
            <v>Silver</v>
          </cell>
          <cell r="U37">
            <v>0</v>
          </cell>
          <cell r="Y37">
            <v>0</v>
          </cell>
          <cell r="AA37">
            <v>0</v>
          </cell>
          <cell r="AB37">
            <v>0</v>
          </cell>
          <cell r="AD37">
            <v>0</v>
          </cell>
          <cell r="AG37">
            <v>0</v>
          </cell>
          <cell r="AH37">
            <v>0</v>
          </cell>
          <cell r="AI37">
            <v>0</v>
          </cell>
          <cell r="AJ37">
            <v>0</v>
          </cell>
        </row>
        <row r="38">
          <cell r="B38">
            <v>60.320200000000014</v>
          </cell>
          <cell r="C38">
            <v>0.47413635896432704</v>
          </cell>
          <cell r="D38">
            <v>3.6803591500028175E-2</v>
          </cell>
          <cell r="E38">
            <v>0.66975905252303525</v>
          </cell>
          <cell r="F38">
            <v>1.4820905766227561</v>
          </cell>
          <cell r="G38">
            <v>4.6418944234269767E-2</v>
          </cell>
          <cell r="H38">
            <v>0</v>
          </cell>
          <cell r="I38">
            <v>52.055530319859663</v>
          </cell>
          <cell r="J38">
            <v>0.81896280184747383</v>
          </cell>
          <cell r="K38">
            <v>44.097997022556278</v>
          </cell>
          <cell r="L38">
            <v>0.27851366540561867</v>
          </cell>
          <cell r="M38">
            <v>3.9787666486516944E-2</v>
          </cell>
          <cell r="N38">
            <v>99.999999999999957</v>
          </cell>
          <cell r="O38">
            <v>3.2194082966638677</v>
          </cell>
          <cell r="P38">
            <v>3.0610635563354429</v>
          </cell>
          <cell r="Q38">
            <v>6.3337896131370032E-3</v>
          </cell>
          <cell r="T38" t="str">
            <v>Carpet</v>
          </cell>
          <cell r="U38">
            <v>1.3645200000000002</v>
          </cell>
          <cell r="V38">
            <v>0.14657168821270483</v>
          </cell>
          <cell r="W38">
            <v>7.3285844106352416E-2</v>
          </cell>
          <cell r="X38">
            <v>0.39574355817430301</v>
          </cell>
          <cell r="Y38">
            <v>28.610793539119982</v>
          </cell>
          <cell r="Z38">
            <v>5.1300090874446681E-2</v>
          </cell>
          <cell r="AA38">
            <v>51.886377627297506</v>
          </cell>
          <cell r="AB38">
            <v>1.7588602585524578</v>
          </cell>
          <cell r="AC38">
            <v>0.87943012927622888</v>
          </cell>
          <cell r="AD38">
            <v>15.829742326972122</v>
          </cell>
          <cell r="AE38">
            <v>0.3224577140679506</v>
          </cell>
          <cell r="AF38">
            <v>4.5437223345938492E-2</v>
          </cell>
          <cell r="AG38">
            <v>100</v>
          </cell>
          <cell r="AH38">
            <v>9.6147991293494536E-2</v>
          </cell>
          <cell r="AI38">
            <v>9.4907783429615797E-2</v>
          </cell>
          <cell r="AJ38">
            <v>4.9608314555148269E-5</v>
          </cell>
        </row>
        <row r="39">
          <cell r="B39">
            <v>107.4594</v>
          </cell>
          <cell r="C39">
            <v>0.40573463093968509</v>
          </cell>
          <cell r="D39">
            <v>1.991449794061757E-2</v>
          </cell>
          <cell r="E39">
            <v>0.65699231523719648</v>
          </cell>
          <cell r="F39">
            <v>1.3772643435567293</v>
          </cell>
          <cell r="G39">
            <v>4.6529200795835453E-2</v>
          </cell>
          <cell r="H39">
            <v>0</v>
          </cell>
          <cell r="I39">
            <v>58.812909805936009</v>
          </cell>
          <cell r="J39">
            <v>0.96780737655337745</v>
          </cell>
          <cell r="K39">
            <v>37.372254079215026</v>
          </cell>
          <cell r="L39">
            <v>0.29778688509334689</v>
          </cell>
          <cell r="M39">
            <v>4.2806864732168617E-2</v>
          </cell>
          <cell r="N39">
            <v>99.999999999999986</v>
          </cell>
          <cell r="O39">
            <v>5.7314776074875775</v>
          </cell>
          <cell r="P39">
            <v>5.4538241576507804</v>
          </cell>
          <cell r="Q39">
            <v>1.1106137993471918E-2</v>
          </cell>
          <cell r="T39" t="str">
            <v>Carpet Pad/Cushion</v>
          </cell>
          <cell r="U39">
            <v>2.1516000000000002</v>
          </cell>
          <cell r="V39">
            <v>0.35322550659973972</v>
          </cell>
          <cell r="W39">
            <v>7.0645101319947945E-2</v>
          </cell>
          <cell r="X39">
            <v>0.15802193716304141</v>
          </cell>
          <cell r="Y39">
            <v>30.600483361219549</v>
          </cell>
          <cell r="Z39">
            <v>5.1124744376278113E-2</v>
          </cell>
          <cell r="AA39">
            <v>51.589514779698831</v>
          </cell>
          <cell r="AB39">
            <v>1.7661275329986985</v>
          </cell>
          <cell r="AC39">
            <v>0.82729131808886402</v>
          </cell>
          <cell r="AD39">
            <v>14.221974344673729</v>
          </cell>
          <cell r="AE39">
            <v>0.31604387432608283</v>
          </cell>
          <cell r="AF39">
            <v>4.5547499535229588E-2</v>
          </cell>
          <cell r="AG39">
            <v>99.999999999999986</v>
          </cell>
          <cell r="AH39">
            <v>0.14974536872616631</v>
          </cell>
          <cell r="AI39">
            <v>0.14796143957107327</v>
          </cell>
          <cell r="AJ39">
            <v>7.135716620372159E-5</v>
          </cell>
        </row>
        <row r="40">
          <cell r="B40">
            <v>113.74760000000001</v>
          </cell>
          <cell r="C40">
            <v>0.40088757916650553</v>
          </cell>
          <cell r="D40">
            <v>1.8989411644729209E-2</v>
          </cell>
          <cell r="E40">
            <v>0.67517908070148291</v>
          </cell>
          <cell r="F40">
            <v>1.1252984678358049</v>
          </cell>
          <cell r="G40">
            <v>4.7473529111823017E-2</v>
          </cell>
          <cell r="H40">
            <v>0</v>
          </cell>
          <cell r="I40">
            <v>61.188104188571877</v>
          </cell>
          <cell r="J40">
            <v>0.79122548519705038</v>
          </cell>
          <cell r="K40">
            <v>35.411736159707985</v>
          </cell>
          <cell r="L40">
            <v>0.29890740551888567</v>
          </cell>
          <cell r="M40">
            <v>4.2198692543842682E-2</v>
          </cell>
          <cell r="N40">
            <v>100</v>
          </cell>
          <cell r="O40">
            <v>6.0503532426807842</v>
          </cell>
          <cell r="P40">
            <v>5.7578235195756564</v>
          </cell>
          <cell r="Q40">
            <v>1.1701188924205064E-2</v>
          </cell>
          <cell r="T40" t="str">
            <v>Molded Products (auto parts)</v>
          </cell>
          <cell r="U40">
            <v>1.5118400000000001</v>
          </cell>
          <cell r="V40">
            <v>0.15874695734998412</v>
          </cell>
          <cell r="W40">
            <v>6.6144565562493388E-2</v>
          </cell>
          <cell r="X40">
            <v>0.38363848026246161</v>
          </cell>
          <cell r="Y40">
            <v>43.15271457297068</v>
          </cell>
          <cell r="Z40">
            <v>5.026986982749497E-2</v>
          </cell>
          <cell r="AA40">
            <v>35.188908879246483</v>
          </cell>
          <cell r="AB40">
            <v>2.5134934913747484</v>
          </cell>
          <cell r="AC40">
            <v>0.80696369986241934</v>
          </cell>
          <cell r="AD40">
            <v>17.329876177373265</v>
          </cell>
          <cell r="AE40">
            <v>0.30426500158746955</v>
          </cell>
          <cell r="AF40">
            <v>4.4978304582495507E-2</v>
          </cell>
          <cell r="AG40">
            <v>100</v>
          </cell>
          <cell r="AH40">
            <v>0.106055200594593</v>
          </cell>
          <cell r="AI40">
            <v>0.10460305249176971</v>
          </cell>
          <cell r="AJ40">
            <v>5.8085924112931655E-5</v>
          </cell>
        </row>
        <row r="41">
          <cell r="B41">
            <v>46.535380000000004</v>
          </cell>
          <cell r="C41">
            <v>0.70913786456670169</v>
          </cell>
          <cell r="D41">
            <v>2.1016267622613161E-2</v>
          </cell>
          <cell r="E41">
            <v>0.70054225408710535</v>
          </cell>
          <cell r="F41">
            <v>0.71343566980649986</v>
          </cell>
          <cell r="G41">
            <v>4.7275857637780111E-2</v>
          </cell>
          <cell r="H41">
            <v>0</v>
          </cell>
          <cell r="I41">
            <v>60.169273357174688</v>
          </cell>
          <cell r="J41">
            <v>0.77360494316367456</v>
          </cell>
          <cell r="K41">
            <v>36.531344538284635</v>
          </cell>
          <cell r="L41">
            <v>0.29225075630627706</v>
          </cell>
          <cell r="M41">
            <v>4.2118491350022283E-2</v>
          </cell>
          <cell r="N41">
            <v>100</v>
          </cell>
          <cell r="O41">
            <v>2.4740688408982776</v>
          </cell>
          <cell r="P41">
            <v>2.3539639786987334</v>
          </cell>
          <cell r="Q41">
            <v>4.8041944879817517E-3</v>
          </cell>
          <cell r="T41" t="str">
            <v>Backing for Commercial Carpet Tiles</v>
          </cell>
          <cell r="U41">
            <v>1.3580400000000004</v>
          </cell>
          <cell r="V41">
            <v>0.19145238726399805</v>
          </cell>
          <cell r="W41">
            <v>6.0381137521722472E-2</v>
          </cell>
          <cell r="X41">
            <v>0.38290477452799609</v>
          </cell>
          <cell r="Y41">
            <v>23.754823127448375</v>
          </cell>
          <cell r="Z41">
            <v>4.7126741480368758E-2</v>
          </cell>
          <cell r="AA41">
            <v>47.126741480368757</v>
          </cell>
          <cell r="AB41">
            <v>1.2665311772849104</v>
          </cell>
          <cell r="AC41">
            <v>0.76580954905599219</v>
          </cell>
          <cell r="AD41">
            <v>26.066978881328968</v>
          </cell>
          <cell r="AE41">
            <v>0.29454213425230474</v>
          </cell>
          <cell r="AF41">
            <v>4.2708609466584183E-2</v>
          </cell>
          <cell r="AG41">
            <v>99.999999999999972</v>
          </cell>
          <cell r="AH41">
            <v>9.2851648456444419E-2</v>
          </cell>
          <cell r="AI41">
            <v>9.1269204282178079E-2</v>
          </cell>
          <cell r="AJ41">
            <v>6.329776697065337E-5</v>
          </cell>
        </row>
        <row r="42">
          <cell r="B42">
            <v>945.12868223430814</v>
          </cell>
          <cell r="C42">
            <v>0.1364913569149965</v>
          </cell>
          <cell r="D42">
            <v>3.8977465141818782E-3</v>
          </cell>
          <cell r="E42">
            <v>0.72149851991539682</v>
          </cell>
          <cell r="F42">
            <v>0.37738566365095666</v>
          </cell>
          <cell r="G42">
            <v>5.7420113709383942E-2</v>
          </cell>
          <cell r="H42">
            <v>0.10377702684488352</v>
          </cell>
          <cell r="I42">
            <v>92.419077935451341</v>
          </cell>
          <cell r="J42">
            <v>0.96706408045863224</v>
          </cell>
          <cell r="K42">
            <v>4.9976277971148253</v>
          </cell>
          <cell r="L42">
            <v>0.35031103912524675</v>
          </cell>
          <cell r="M42">
            <v>5.0931313987273637E-2</v>
          </cell>
          <cell r="N42">
            <v>100.18548259368713</v>
          </cell>
          <cell r="O42">
            <v>50.020131207142484</v>
          </cell>
          <cell r="P42">
            <v>47.769551919124112</v>
          </cell>
          <cell r="Q42">
            <v>9.0023171520735246E-2</v>
          </cell>
          <cell r="T42" t="str">
            <v>Personal Computers</v>
          </cell>
          <cell r="U42">
            <v>5.0333998194205209</v>
          </cell>
          <cell r="V42">
            <v>0.10274191200386794</v>
          </cell>
          <cell r="W42">
            <v>7.8084452948852273E-2</v>
          </cell>
          <cell r="X42">
            <v>0.41095765091692771</v>
          </cell>
          <cell r="Y42">
            <v>60.220479144995522</v>
          </cell>
          <cell r="Z42">
            <v>5.3426993893836608E-2</v>
          </cell>
          <cell r="AA42">
            <v>30.644611789444316</v>
          </cell>
          <cell r="AB42">
            <v>0.28732045719280896</v>
          </cell>
          <cell r="AC42">
            <v>0.86303605967190822</v>
          </cell>
          <cell r="AD42">
            <v>7.0270759177231437</v>
          </cell>
          <cell r="AE42">
            <v>0.3287911134799022</v>
          </cell>
          <cell r="AF42">
            <v>4.521034015013406E-2</v>
          </cell>
          <cell r="AG42">
            <v>100.06173583242122</v>
          </cell>
          <cell r="AH42">
            <v>0.36754107773285666</v>
          </cell>
          <cell r="AI42">
            <v>0.36427904238221459</v>
          </cell>
          <cell r="AJ42">
            <v>1.3048141402568198E-4</v>
          </cell>
        </row>
        <row r="43">
          <cell r="B43">
            <v>0.49626999999999999</v>
          </cell>
          <cell r="C43">
            <v>1.08811735547182</v>
          </cell>
          <cell r="D43">
            <v>0.74072581457674247</v>
          </cell>
          <cell r="E43">
            <v>4.83607713543031</v>
          </cell>
          <cell r="F43">
            <v>10.558768412356176</v>
          </cell>
          <cell r="G43">
            <v>3.9897636367300059E-2</v>
          </cell>
          <cell r="H43">
            <v>0</v>
          </cell>
          <cell r="I43">
            <v>22.165353537388921</v>
          </cell>
          <cell r="J43">
            <v>1.0478167126765672</v>
          </cell>
          <cell r="K43">
            <v>59.241944909021306</v>
          </cell>
          <cell r="L43">
            <v>0.24583392105104077</v>
          </cell>
          <cell r="M43">
            <v>3.5464565659822277E-2</v>
          </cell>
          <cell r="N43">
            <v>100.00000000000001</v>
          </cell>
          <cell r="O43">
            <v>2.8164271140676572E-2</v>
          </cell>
          <cell r="P43">
            <v>2.6946288375938945E-2</v>
          </cell>
          <cell r="Q43">
            <v>4.8719310589504892E-5</v>
          </cell>
          <cell r="T43" t="str">
            <v>Asphalt</v>
          </cell>
          <cell r="U43">
            <v>0.20484599999999997</v>
          </cell>
          <cell r="V43">
            <v>0.10739775245794403</v>
          </cell>
          <cell r="W43">
            <v>7.7131113128887069E-2</v>
          </cell>
          <cell r="X43">
            <v>0.40030071370688225</v>
          </cell>
          <cell r="Y43">
            <v>41.982757779014477</v>
          </cell>
          <cell r="Z43">
            <v>5.3698876228972015E-2</v>
          </cell>
          <cell r="AA43">
            <v>47.255011081495375</v>
          </cell>
          <cell r="AB43">
            <v>2.3432236899915058</v>
          </cell>
          <cell r="AC43">
            <v>0.85918201966355223</v>
          </cell>
          <cell r="AD43">
            <v>6.5414994678929546</v>
          </cell>
          <cell r="AE43">
            <v>0.33195668941546341</v>
          </cell>
          <cell r="AF43">
            <v>4.7840817003993251E-2</v>
          </cell>
          <cell r="AG43">
            <v>99.999999999999986</v>
          </cell>
          <cell r="AH43">
            <v>1.4834732901120237E-2</v>
          </cell>
          <cell r="AI43">
            <v>1.4696537834360916E-2</v>
          </cell>
          <cell r="AJ43">
            <v>5.5278026703726653E-6</v>
          </cell>
        </row>
        <row r="44">
          <cell r="B44">
            <v>14.596272173913043</v>
          </cell>
          <cell r="C44">
            <v>0.66774841994101364</v>
          </cell>
          <cell r="D44">
            <v>1.0902128494631118E-2</v>
          </cell>
          <cell r="E44">
            <v>9.4234503671862697</v>
          </cell>
          <cell r="F44">
            <v>0.81698445974065359</v>
          </cell>
          <cell r="G44">
            <v>3.9875180359233681E-2</v>
          </cell>
          <cell r="H44">
            <v>0</v>
          </cell>
          <cell r="I44">
            <v>44.670925407418402</v>
          </cell>
          <cell r="J44">
            <v>1.4440852169937615</v>
          </cell>
          <cell r="K44">
            <v>42.609648653788696</v>
          </cell>
          <cell r="L44">
            <v>0.27404257418198441</v>
          </cell>
          <cell r="M44">
            <v>4.2337591895361654E-2</v>
          </cell>
          <cell r="N44">
            <v>100.00000000000001</v>
          </cell>
          <cell r="O44">
            <v>0.8088193186195356</v>
          </cell>
          <cell r="P44">
            <v>0.77283321389302428</v>
          </cell>
          <cell r="Q44">
            <v>1.4394441890604535E-3</v>
          </cell>
          <cell r="T44" t="str">
            <v>Steel Sheet</v>
          </cell>
          <cell r="U44">
            <v>1.4054550724637684</v>
          </cell>
          <cell r="V44">
            <v>0.10456152218477895</v>
          </cell>
          <cell r="W44">
            <v>7.824584125622315E-2</v>
          </cell>
          <cell r="X44">
            <v>0.39122920628111568</v>
          </cell>
          <cell r="Y44">
            <v>13.180113924624958</v>
          </cell>
          <cell r="Z44">
            <v>5.2425126113157437E-2</v>
          </cell>
          <cell r="AA44">
            <v>78.300699964114955</v>
          </cell>
          <cell r="AB44">
            <v>4.1247148790839822E-2</v>
          </cell>
          <cell r="AC44">
            <v>0.84577278595617045</v>
          </cell>
          <cell r="AD44">
            <v>6.6366662404461287</v>
          </cell>
          <cell r="AE44">
            <v>0.32152152482459651</v>
          </cell>
          <cell r="AF44">
            <v>4.7516715407047466E-2</v>
          </cell>
          <cell r="AG44">
            <v>99.999999999999972</v>
          </cell>
          <cell r="AH44">
            <v>0.10200161068117852</v>
          </cell>
          <cell r="AI44">
            <v>0.1011131239999313</v>
          </cell>
          <cell r="AJ44">
            <v>3.553946724988772E-5</v>
          </cell>
        </row>
        <row r="45">
          <cell r="B45">
            <v>19.462799999999998</v>
          </cell>
          <cell r="C45">
            <v>0.16030581416856773</v>
          </cell>
          <cell r="D45">
            <v>4.1104054915017379E-3</v>
          </cell>
          <cell r="E45">
            <v>0.73987298847031269</v>
          </cell>
          <cell r="F45">
            <v>0.92484123558789089</v>
          </cell>
          <cell r="G45">
            <v>5.4462872762398015E-2</v>
          </cell>
          <cell r="H45">
            <v>1.7469223338882379E-2</v>
          </cell>
          <cell r="I45">
            <v>86.112995046961402</v>
          </cell>
          <cell r="J45">
            <v>0.9114824177405102</v>
          </cell>
          <cell r="K45">
            <v>10.687054277904517</v>
          </cell>
          <cell r="L45">
            <v>0.33910845304889331</v>
          </cell>
          <cell r="M45">
            <v>4.8297264525145413E-2</v>
          </cell>
          <cell r="N45">
            <v>100.00000000000003</v>
          </cell>
          <cell r="O45">
            <v>1.0308740391922622</v>
          </cell>
          <cell r="P45">
            <v>0.98403758992765245</v>
          </cell>
          <cell r="Q45">
            <v>1.8734579705843844E-3</v>
          </cell>
          <cell r="T45" t="str">
            <v>Lead Bullion</v>
          </cell>
          <cell r="U45">
            <v>0.630888</v>
          </cell>
          <cell r="V45">
            <v>0.10461444820633772</v>
          </cell>
          <cell r="W45">
            <v>7.9253369853286168E-2</v>
          </cell>
          <cell r="X45">
            <v>0.412117523237088</v>
          </cell>
          <cell r="Y45">
            <v>5.1039170185516287</v>
          </cell>
          <cell r="Z45">
            <v>5.3892291500234599E-2</v>
          </cell>
          <cell r="AA45">
            <v>86.354471792140615</v>
          </cell>
          <cell r="AB45">
            <v>1.3948593094178363E-2</v>
          </cell>
          <cell r="AC45">
            <v>0.85593639441549052</v>
          </cell>
          <cell r="AD45">
            <v>6.6572830676760386</v>
          </cell>
          <cell r="AE45">
            <v>0.31701347941314467</v>
          </cell>
          <cell r="AF45">
            <v>4.7552021911971692E-2</v>
          </cell>
          <cell r="AG45">
            <v>100.00000000000001</v>
          </cell>
          <cell r="AH45">
            <v>4.5732715768387618E-2</v>
          </cell>
          <cell r="AI45">
            <v>4.53336395358074E-2</v>
          </cell>
          <cell r="AJ45">
            <v>1.5963049303208593E-5</v>
          </cell>
        </row>
        <row r="46">
          <cell r="B46">
            <v>9.16296</v>
          </cell>
          <cell r="C46">
            <v>0.40379964552939229</v>
          </cell>
          <cell r="D46">
            <v>1.2659664562543109E-2</v>
          </cell>
          <cell r="E46">
            <v>6.9846425172651632</v>
          </cell>
          <cell r="F46">
            <v>6.8755074779328957</v>
          </cell>
          <cell r="G46">
            <v>3.9288614159616542E-2</v>
          </cell>
          <cell r="H46">
            <v>0</v>
          </cell>
          <cell r="I46">
            <v>19.644307079808272</v>
          </cell>
          <cell r="J46">
            <v>2.2481818102447244</v>
          </cell>
          <cell r="K46">
            <v>63.516592891380085</v>
          </cell>
          <cell r="L46">
            <v>0.24009708653098999</v>
          </cell>
          <cell r="M46">
            <v>3.4923212586325816E-2</v>
          </cell>
          <cell r="N46">
            <v>100.00000000000001</v>
          </cell>
          <cell r="O46">
            <v>0.51981683155022262</v>
          </cell>
          <cell r="P46">
            <v>0.49634827957319538</v>
          </cell>
          <cell r="Q46">
            <v>9.387420790810888E-4</v>
          </cell>
          <cell r="T46" t="str">
            <v>CRT Glass</v>
          </cell>
          <cell r="U46">
            <v>0.28333600000000003</v>
          </cell>
          <cell r="V46">
            <v>0.34587909760849306</v>
          </cell>
          <cell r="W46">
            <v>7.7646328034559675E-2</v>
          </cell>
          <cell r="X46">
            <v>0.11294011350481407</v>
          </cell>
          <cell r="Y46">
            <v>3.8470226162577288</v>
          </cell>
          <cell r="Z46">
            <v>5.1528926786571415E-2</v>
          </cell>
          <cell r="AA46">
            <v>87.930937120591807</v>
          </cell>
          <cell r="AB46">
            <v>0</v>
          </cell>
          <cell r="AC46">
            <v>0.84705085128610536</v>
          </cell>
          <cell r="AD46">
            <v>6.4234689555863005</v>
          </cell>
          <cell r="AE46">
            <v>0.31764406923228949</v>
          </cell>
          <cell r="AF46">
            <v>4.5881921111330708E-2</v>
          </cell>
          <cell r="AG46">
            <v>99.999999999999986</v>
          </cell>
          <cell r="AH46">
            <v>2.0547999032586667E-2</v>
          </cell>
          <cell r="AI46">
            <v>2.0370679811641031E-2</v>
          </cell>
          <cell r="AJ46">
            <v>7.0927688378253417E-6</v>
          </cell>
        </row>
        <row r="47">
          <cell r="B47">
            <v>122.52204200000001</v>
          </cell>
          <cell r="C47">
            <v>0.28566288505051196</v>
          </cell>
          <cell r="D47">
            <v>1.635787297766389E-2</v>
          </cell>
          <cell r="E47">
            <v>0.76720889127851788</v>
          </cell>
          <cell r="F47">
            <v>6.137671130228143</v>
          </cell>
          <cell r="G47">
            <v>4.8970780294373475E-2</v>
          </cell>
          <cell r="H47">
            <v>10.822542445056538</v>
          </cell>
          <cell r="I47">
            <v>49.950195900260944</v>
          </cell>
          <cell r="J47">
            <v>2.25265589354118</v>
          </cell>
          <cell r="K47">
            <v>29.382468176624087</v>
          </cell>
          <cell r="L47">
            <v>0.29382468176624088</v>
          </cell>
          <cell r="M47">
            <v>4.2441342921790338E-2</v>
          </cell>
          <cell r="N47">
            <v>99.999999999999986</v>
          </cell>
          <cell r="O47">
            <v>7.0158456455590343</v>
          </cell>
          <cell r="P47">
            <v>6.7404336018168385</v>
          </cell>
          <cell r="Q47">
            <v>1.1016481749687796E-2</v>
          </cell>
          <cell r="T47" t="str">
            <v>Copper Wire</v>
          </cell>
          <cell r="U47">
            <v>0.46434999999999998</v>
          </cell>
          <cell r="V47">
            <v>8.614191881124153E-2</v>
          </cell>
          <cell r="W47">
            <v>8.1834822870679447E-2</v>
          </cell>
          <cell r="X47">
            <v>0.38763863465058684</v>
          </cell>
          <cell r="Y47">
            <v>4.1550554538602347</v>
          </cell>
          <cell r="Z47">
            <v>5.5992247227306988E-2</v>
          </cell>
          <cell r="AA47">
            <v>87.036071928502224</v>
          </cell>
          <cell r="AB47">
            <v>1.9381931732529344E-2</v>
          </cell>
          <cell r="AC47">
            <v>0.86141918811241536</v>
          </cell>
          <cell r="AD47">
            <v>6.9245181436416505</v>
          </cell>
          <cell r="AE47">
            <v>0.34456767524496612</v>
          </cell>
          <cell r="AF47">
            <v>4.7378055346182835E-2</v>
          </cell>
          <cell r="AG47">
            <v>100.00000000000001</v>
          </cell>
          <cell r="AH47">
            <v>3.3619829622814609E-2</v>
          </cell>
          <cell r="AI47">
            <v>3.3322747229206966E-2</v>
          </cell>
          <cell r="AJ47">
            <v>1.1883295744305608E-5</v>
          </cell>
        </row>
        <row r="48">
          <cell r="B48">
            <v>213.33320000000003</v>
          </cell>
          <cell r="C48">
            <v>0.10743756714847946</v>
          </cell>
          <cell r="D48">
            <v>1.0312506445316526E-2</v>
          </cell>
          <cell r="E48">
            <v>0.59062536914085562</v>
          </cell>
          <cell r="F48">
            <v>1.1250007031254392</v>
          </cell>
          <cell r="G48">
            <v>2.5312515820322384E-2</v>
          </cell>
          <cell r="H48">
            <v>0.19687512304695187</v>
          </cell>
          <cell r="I48">
            <v>88.50005531253457</v>
          </cell>
          <cell r="J48">
            <v>0.69375043359402089</v>
          </cell>
          <cell r="K48">
            <v>8.5687553554720957</v>
          </cell>
          <cell r="L48">
            <v>0.15937509960943724</v>
          </cell>
          <cell r="M48">
            <v>2.2500014062508785E-2</v>
          </cell>
          <cell r="N48">
            <v>100</v>
          </cell>
          <cell r="O48">
            <v>11.310372793954253</v>
          </cell>
          <cell r="P48">
            <v>10.800504040467981</v>
          </cell>
          <cell r="Q48">
            <v>2.0394750139450784E-2</v>
          </cell>
          <cell r="T48" t="str">
            <v>Aluminum Sheet</v>
          </cell>
          <cell r="U48">
            <v>7.1546000000000003</v>
          </cell>
          <cell r="V48">
            <v>0.10342996114387946</v>
          </cell>
          <cell r="W48">
            <v>7.8271321946719596E-2</v>
          </cell>
          <cell r="X48">
            <v>0.39135660973359798</v>
          </cell>
          <cell r="Y48">
            <v>80.2644452520057</v>
          </cell>
          <cell r="Z48">
            <v>5.3112682749559728E-2</v>
          </cell>
          <cell r="AA48">
            <v>10.815419450423503</v>
          </cell>
          <cell r="AB48">
            <v>0.33544852262879826</v>
          </cell>
          <cell r="AC48">
            <v>0.86657535012439546</v>
          </cell>
          <cell r="AD48">
            <v>6.7089704525759641</v>
          </cell>
          <cell r="AE48">
            <v>0.33544852262879826</v>
          </cell>
          <cell r="AF48">
            <v>4.7521874039079745E-2</v>
          </cell>
          <cell r="AG48">
            <v>99.999999999999986</v>
          </cell>
          <cell r="AH48">
            <v>0.52409823826682789</v>
          </cell>
          <cell r="AI48">
            <v>0.51951606510477744</v>
          </cell>
          <cell r="AJ48">
            <v>1.8328692648201974E-4</v>
          </cell>
        </row>
        <row r="49">
          <cell r="B49">
            <v>5.1007839107601605</v>
          </cell>
          <cell r="C49">
            <v>0</v>
          </cell>
          <cell r="D49">
            <v>0</v>
          </cell>
          <cell r="E49">
            <v>0</v>
          </cell>
          <cell r="F49">
            <v>0</v>
          </cell>
          <cell r="G49">
            <v>0</v>
          </cell>
          <cell r="H49">
            <v>1.88781451391556</v>
          </cell>
          <cell r="I49">
            <v>39.380916915193183</v>
          </cell>
          <cell r="J49">
            <v>0</v>
          </cell>
          <cell r="K49">
            <v>58.73126857089126</v>
          </cell>
          <cell r="L49">
            <v>0</v>
          </cell>
          <cell r="M49">
            <v>0</v>
          </cell>
          <cell r="N49">
            <v>100</v>
          </cell>
          <cell r="O49">
            <v>0.27103966310019134</v>
          </cell>
          <cell r="P49">
            <v>0.25707533311712744</v>
          </cell>
          <cell r="Q49">
            <v>5.5857319932255556E-4</v>
          </cell>
          <cell r="T49" t="str">
            <v>Clay Bricks</v>
          </cell>
          <cell r="U49">
            <v>3.06950489328E-2</v>
          </cell>
          <cell r="AA49">
            <v>100</v>
          </cell>
          <cell r="AH49">
            <v>2.2701035022401118E-3</v>
          </cell>
          <cell r="AI49">
            <v>2.2569681092989352E-3</v>
          </cell>
          <cell r="AJ49">
            <v>5.2541571764705887E-7</v>
          </cell>
        </row>
        <row r="50">
          <cell r="B50">
            <v>4.8563621432519501E-2</v>
          </cell>
          <cell r="C50">
            <v>3.1621942825366443</v>
          </cell>
          <cell r="D50">
            <v>0</v>
          </cell>
          <cell r="E50">
            <v>60.424548356334107</v>
          </cell>
          <cell r="F50">
            <v>5.6750418700274192</v>
          </cell>
          <cell r="G50">
            <v>0</v>
          </cell>
          <cell r="H50">
            <v>0</v>
          </cell>
          <cell r="I50">
            <v>22.605397461383983</v>
          </cell>
          <cell r="J50">
            <v>1.3955167296563808</v>
          </cell>
          <cell r="K50">
            <v>6.7373013000614739</v>
          </cell>
          <cell r="L50">
            <v>0</v>
          </cell>
          <cell r="M50">
            <v>0</v>
          </cell>
          <cell r="N50">
            <v>100.00000000000001</v>
          </cell>
          <cell r="O50">
            <v>3.2991777980361874E-3</v>
          </cell>
          <cell r="P50">
            <v>3.2461023406668943E-3</v>
          </cell>
          <cell r="Q50">
            <v>2.1230182947717337E-6</v>
          </cell>
          <cell r="T50" t="str">
            <v>Concrete</v>
          </cell>
          <cell r="U50">
            <v>0.18683889177790491</v>
          </cell>
          <cell r="V50">
            <v>0</v>
          </cell>
          <cell r="W50">
            <v>0</v>
          </cell>
          <cell r="X50">
            <v>0</v>
          </cell>
          <cell r="Y50">
            <v>0</v>
          </cell>
          <cell r="Z50">
            <v>0</v>
          </cell>
          <cell r="AA50">
            <v>100</v>
          </cell>
          <cell r="AB50">
            <v>0</v>
          </cell>
          <cell r="AC50">
            <v>0</v>
          </cell>
          <cell r="AD50">
            <v>0</v>
          </cell>
          <cell r="AE50">
            <v>0</v>
          </cell>
          <cell r="AF50">
            <v>0</v>
          </cell>
          <cell r="AG50">
            <v>100</v>
          </cell>
          <cell r="AH50">
            <v>1.3817981639587919E-2</v>
          </cell>
          <cell r="AI50">
            <v>1.3738027303448247E-2</v>
          </cell>
          <cell r="AJ50">
            <v>3.1981734455868217E-6</v>
          </cell>
        </row>
        <row r="51">
          <cell r="B51">
            <v>4.7666763130925007</v>
          </cell>
          <cell r="C51">
            <v>0.10549392993579629</v>
          </cell>
          <cell r="D51">
            <v>6.4004345367866299E-3</v>
          </cell>
          <cell r="E51">
            <v>0.88858129077618486</v>
          </cell>
          <cell r="F51">
            <v>8.6991097772061626E-2</v>
          </cell>
          <cell r="G51">
            <v>0</v>
          </cell>
          <cell r="H51">
            <v>0</v>
          </cell>
          <cell r="I51">
            <v>9.9841449836403999</v>
          </cell>
          <cell r="J51">
            <v>58.24137641125845</v>
          </cell>
          <cell r="K51">
            <v>5.5811789160779428</v>
          </cell>
          <cell r="L51">
            <v>0</v>
          </cell>
          <cell r="M51">
            <v>25.105832936002365</v>
          </cell>
          <cell r="N51">
            <v>100</v>
          </cell>
          <cell r="O51">
            <v>0.41916059905234299</v>
          </cell>
          <cell r="P51">
            <v>0.40553455704067581</v>
          </cell>
          <cell r="Q51">
            <v>5.2473827826795747E-4</v>
          </cell>
          <cell r="T51" t="str">
            <v>Cement/Fly Ash</v>
          </cell>
          <cell r="U51">
            <v>0.10416149999999999</v>
          </cell>
          <cell r="V51">
            <v>0</v>
          </cell>
          <cell r="W51">
            <v>0</v>
          </cell>
          <cell r="X51">
            <v>0</v>
          </cell>
          <cell r="Y51">
            <v>0</v>
          </cell>
          <cell r="Z51">
            <v>0</v>
          </cell>
          <cell r="AA51">
            <v>100</v>
          </cell>
          <cell r="AB51">
            <v>0</v>
          </cell>
          <cell r="AC51">
            <v>0</v>
          </cell>
          <cell r="AD51">
            <v>0</v>
          </cell>
          <cell r="AE51">
            <v>0</v>
          </cell>
          <cell r="AF51">
            <v>0</v>
          </cell>
          <cell r="AG51">
            <v>100</v>
          </cell>
          <cell r="AH51">
            <v>7.7034373349999987E-3</v>
          </cell>
          <cell r="AI51">
            <v>7.6588632984888414E-3</v>
          </cell>
          <cell r="AJ51">
            <v>1.7829614604462473E-6</v>
          </cell>
        </row>
        <row r="52">
          <cell r="D52">
            <v>2.5412960609911056E-3</v>
          </cell>
          <cell r="E52">
            <v>5.5061414654807286E-3</v>
          </cell>
          <cell r="F52">
            <v>4.2354934349851756E-2</v>
          </cell>
          <cell r="G52">
            <v>0.54044896230410844</v>
          </cell>
          <cell r="I52">
            <v>9.445150360016942E-2</v>
          </cell>
          <cell r="J52">
            <v>9.9110546378653117E-2</v>
          </cell>
          <cell r="K52">
            <v>0.21346886912325286</v>
          </cell>
          <cell r="M52">
            <v>1.6941973739940702E-3</v>
          </cell>
          <cell r="N52">
            <v>99.957645065650141</v>
          </cell>
        </row>
        <row r="53">
          <cell r="A53" t="str">
            <v>Tires</v>
          </cell>
          <cell r="B53">
            <v>73.787599472631982</v>
          </cell>
          <cell r="C53">
            <v>0</v>
          </cell>
          <cell r="D53">
            <v>0</v>
          </cell>
          <cell r="E53">
            <v>0</v>
          </cell>
          <cell r="F53">
            <v>0</v>
          </cell>
          <cell r="G53">
            <v>0</v>
          </cell>
          <cell r="H53">
            <v>0</v>
          </cell>
          <cell r="I53">
            <v>15.789473684210483</v>
          </cell>
          <cell r="J53">
            <v>15.789473684210526</v>
          </cell>
          <cell r="K53">
            <v>68.421052631578945</v>
          </cell>
          <cell r="L53">
            <v>0</v>
          </cell>
          <cell r="M53">
            <v>0</v>
          </cell>
          <cell r="N53">
            <v>99.999999999999957</v>
          </cell>
          <cell r="O53">
            <v>4.3979483217700759</v>
          </cell>
          <cell r="P53">
            <v>4.1689860743829295</v>
          </cell>
          <cell r="Q53">
            <v>9.1584898954858215E-3</v>
          </cell>
          <cell r="T53" t="str">
            <v>Tires</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A54" t="str">
            <v>Asphalt Concrete</v>
          </cell>
          <cell r="B54">
            <v>0.94460627159429389</v>
          </cell>
          <cell r="C54">
            <v>0.27746502588564687</v>
          </cell>
          <cell r="D54">
            <v>1.5607029895910569</v>
          </cell>
          <cell r="E54">
            <v>2.8509340470495745</v>
          </cell>
          <cell r="F54">
            <v>25.760261971230815</v>
          </cell>
          <cell r="G54">
            <v>0.16201466554881189</v>
          </cell>
          <cell r="H54">
            <v>5.2915007564086176</v>
          </cell>
          <cell r="I54">
            <v>14.99531037112572</v>
          </cell>
          <cell r="J54">
            <v>3.1249649014615026</v>
          </cell>
          <cell r="K54">
            <v>44.926031442323577</v>
          </cell>
          <cell r="L54">
            <v>1.0508138293746712</v>
          </cell>
          <cell r="M54">
            <v>0</v>
          </cell>
          <cell r="N54">
            <v>100</v>
          </cell>
          <cell r="O54">
            <v>5.7815343094385428E-2</v>
          </cell>
          <cell r="P54">
            <v>5.5917669749435205E-2</v>
          </cell>
          <cell r="Q54">
            <v>7.5906933798008686E-5</v>
          </cell>
          <cell r="T54" t="str">
            <v>Asphalt Concrete</v>
          </cell>
          <cell r="U54">
            <v>0.73484225773813561</v>
          </cell>
          <cell r="V54">
            <v>0</v>
          </cell>
          <cell r="W54">
            <v>13.900882878499868</v>
          </cell>
          <cell r="X54">
            <v>0</v>
          </cell>
          <cell r="Y54">
            <v>36.337081949336266</v>
          </cell>
          <cell r="Z54">
            <v>0</v>
          </cell>
          <cell r="AA54">
            <v>49.762035172163891</v>
          </cell>
          <cell r="AB54">
            <v>0</v>
          </cell>
          <cell r="AC54">
            <v>0</v>
          </cell>
          <cell r="AD54">
            <v>0</v>
          </cell>
          <cell r="AE54">
            <v>0</v>
          </cell>
          <cell r="AF54">
            <v>0</v>
          </cell>
          <cell r="AG54">
            <v>100.00000000000003</v>
          </cell>
          <cell r="AH54">
            <v>5.3399005275805385E-2</v>
          </cell>
          <cell r="AI54">
            <v>5.3084542776452352E-2</v>
          </cell>
          <cell r="AJ54">
            <v>1.2578499974120999E-5</v>
          </cell>
        </row>
        <row r="55">
          <cell r="A55" t="str">
            <v>Asphalt Binder</v>
          </cell>
          <cell r="B55">
            <v>9.1993803734382116</v>
          </cell>
          <cell r="C55">
            <v>0.26095222571400339</v>
          </cell>
          <cell r="D55">
            <v>0.26572275483757668</v>
          </cell>
          <cell r="E55">
            <v>0</v>
          </cell>
          <cell r="F55">
            <v>18.726704266670335</v>
          </cell>
          <cell r="G55">
            <v>0.31992135706464625</v>
          </cell>
          <cell r="H55">
            <v>0.56529187359728061</v>
          </cell>
          <cell r="I55">
            <v>18.588154097473879</v>
          </cell>
          <cell r="J55">
            <v>6.0380278976290604</v>
          </cell>
          <cell r="K55">
            <v>53.160241850831405</v>
          </cell>
          <cell r="L55">
            <v>2.0749836761818243</v>
          </cell>
          <cell r="M55">
            <v>0</v>
          </cell>
          <cell r="N55">
            <v>100.00000000000003</v>
          </cell>
          <cell r="O55">
            <v>0.53876961485485264</v>
          </cell>
          <cell r="P55">
            <v>0.51673791153598059</v>
          </cell>
          <cell r="Q55">
            <v>8.8126813275488092E-4</v>
          </cell>
          <cell r="T55" t="str">
            <v>Asphalt Binder</v>
          </cell>
          <cell r="U55">
            <v>0.63619002837522065</v>
          </cell>
          <cell r="V55">
            <v>0</v>
          </cell>
          <cell r="W55">
            <v>16.056454366438956</v>
          </cell>
          <cell r="X55">
            <v>0</v>
          </cell>
          <cell r="Y55">
            <v>41.971772816780515</v>
          </cell>
          <cell r="Z55">
            <v>0</v>
          </cell>
          <cell r="AA55">
            <v>41.971772816780515</v>
          </cell>
          <cell r="AB55">
            <v>0</v>
          </cell>
          <cell r="AC55">
            <v>0</v>
          </cell>
          <cell r="AD55">
            <v>0</v>
          </cell>
          <cell r="AE55">
            <v>0</v>
          </cell>
          <cell r="AF55">
            <v>0</v>
          </cell>
          <cell r="AG55">
            <v>99.999999999999986</v>
          </cell>
          <cell r="AH55">
            <v>4.6103015232888706E-2</v>
          </cell>
          <cell r="AI55">
            <v>4.5830769176977162E-2</v>
          </cell>
          <cell r="AJ55">
            <v>1.088984223646187E-5</v>
          </cell>
        </row>
        <row r="56">
          <cell r="A56" t="str">
            <v>Paper Felt Shingle</v>
          </cell>
          <cell r="B56">
            <v>3.2025821579168956</v>
          </cell>
          <cell r="C56">
            <v>0.25943167352785129</v>
          </cell>
          <cell r="D56">
            <v>0.41027598556613815</v>
          </cell>
          <cell r="E56">
            <v>0</v>
          </cell>
          <cell r="F56">
            <v>16.070324636109806</v>
          </cell>
          <cell r="G56">
            <v>0</v>
          </cell>
          <cell r="H56">
            <v>0</v>
          </cell>
          <cell r="I56">
            <v>31.783544408573377</v>
          </cell>
          <cell r="J56">
            <v>0</v>
          </cell>
          <cell r="K56">
            <v>51.476423296222826</v>
          </cell>
          <cell r="L56">
            <v>0</v>
          </cell>
          <cell r="M56">
            <v>0</v>
          </cell>
          <cell r="N56">
            <v>100</v>
          </cell>
          <cell r="O56">
            <v>0.18070824776040001</v>
          </cell>
          <cell r="P56">
            <v>0.17302366588402002</v>
          </cell>
          <cell r="Q56">
            <v>3.0738327505519975E-4</v>
          </cell>
          <cell r="T56" t="str">
            <v>Paper Felt Shingle</v>
          </cell>
          <cell r="U56">
            <v>0.49031975229550123</v>
          </cell>
          <cell r="V56">
            <v>0</v>
          </cell>
          <cell r="W56">
            <v>0</v>
          </cell>
          <cell r="X56">
            <v>0</v>
          </cell>
          <cell r="Y56">
            <v>0</v>
          </cell>
          <cell r="Z56">
            <v>0</v>
          </cell>
          <cell r="AA56">
            <v>100</v>
          </cell>
          <cell r="AB56">
            <v>0</v>
          </cell>
          <cell r="AC56">
            <v>0</v>
          </cell>
          <cell r="AD56">
            <v>0</v>
          </cell>
          <cell r="AE56">
            <v>0</v>
          </cell>
          <cell r="AF56">
            <v>0</v>
          </cell>
          <cell r="AG56">
            <v>100</v>
          </cell>
          <cell r="AH56">
            <v>3.6262414480600948E-2</v>
          </cell>
          <cell r="AI56">
            <v>3.6052590980162107E-2</v>
          </cell>
          <cell r="AJ56">
            <v>8.3929400175537905E-6</v>
          </cell>
        </row>
        <row r="57">
          <cell r="A57" t="str">
            <v>Asphalt Shingles</v>
          </cell>
          <cell r="B57">
            <v>2.1675266764188788</v>
          </cell>
          <cell r="C57">
            <v>0.21646173617329739</v>
          </cell>
          <cell r="D57">
            <v>0.45352322402526329</v>
          </cell>
          <cell r="E57">
            <v>0</v>
          </cell>
          <cell r="F57">
            <v>16.625143903333701</v>
          </cell>
          <cell r="G57">
            <v>0</v>
          </cell>
          <cell r="H57">
            <v>0</v>
          </cell>
          <cell r="I57">
            <v>35.513476061625603</v>
          </cell>
          <cell r="J57">
            <v>0</v>
          </cell>
          <cell r="K57">
            <v>47.191395074842127</v>
          </cell>
          <cell r="L57">
            <v>0</v>
          </cell>
          <cell r="M57">
            <v>0</v>
          </cell>
          <cell r="N57">
            <v>100</v>
          </cell>
          <cell r="O57">
            <v>0.12250378915221129</v>
          </cell>
          <cell r="P57">
            <v>0.11739117650865459</v>
          </cell>
          <cell r="Q57">
            <v>2.0450450574226658E-4</v>
          </cell>
          <cell r="T57" t="str">
            <v>Asphalt Shingles</v>
          </cell>
          <cell r="U57">
            <v>0.57515628912382755</v>
          </cell>
          <cell r="V57">
            <v>0</v>
          </cell>
          <cell r="W57">
            <v>0</v>
          </cell>
          <cell r="X57">
            <v>0</v>
          </cell>
          <cell r="Y57">
            <v>0</v>
          </cell>
          <cell r="Z57">
            <v>0</v>
          </cell>
          <cell r="AA57">
            <v>100</v>
          </cell>
          <cell r="AB57">
            <v>0</v>
          </cell>
          <cell r="AC57">
            <v>0</v>
          </cell>
          <cell r="AD57">
            <v>0</v>
          </cell>
          <cell r="AE57">
            <v>0</v>
          </cell>
          <cell r="AF57">
            <v>0</v>
          </cell>
          <cell r="AG57">
            <v>100</v>
          </cell>
          <cell r="AH57">
            <v>4.2536641955967874E-2</v>
          </cell>
          <cell r="AI57">
            <v>4.2290514188692757E-2</v>
          </cell>
          <cell r="AJ57">
            <v>9.8451106910044866E-6</v>
          </cell>
        </row>
        <row r="58">
          <cell r="A58" t="str">
            <v>#15 Felt</v>
          </cell>
          <cell r="B58">
            <v>11.715729899900156</v>
          </cell>
          <cell r="C58">
            <v>0.23110788847907482</v>
          </cell>
          <cell r="D58">
            <v>0.28411840247852926</v>
          </cell>
          <cell r="E58">
            <v>0</v>
          </cell>
          <cell r="F58">
            <v>12.238505687339579</v>
          </cell>
          <cell r="G58">
            <v>0</v>
          </cell>
          <cell r="H58">
            <v>0</v>
          </cell>
          <cell r="I58">
            <v>32.188315195878339</v>
          </cell>
          <cell r="J58">
            <v>0</v>
          </cell>
          <cell r="K58">
            <v>55.057952825824486</v>
          </cell>
          <cell r="L58">
            <v>0</v>
          </cell>
          <cell r="M58">
            <v>0</v>
          </cell>
          <cell r="N58">
            <v>100</v>
          </cell>
          <cell r="O58">
            <v>0.65093730369668334</v>
          </cell>
          <cell r="P58">
            <v>0.62162787418621501</v>
          </cell>
          <cell r="Q58">
            <v>1.1723771804187358E-3</v>
          </cell>
          <cell r="T58" t="str">
            <v>#15 Felt</v>
          </cell>
          <cell r="U58">
            <v>0.32074509689502978</v>
          </cell>
          <cell r="V58">
            <v>0</v>
          </cell>
          <cell r="W58">
            <v>0</v>
          </cell>
          <cell r="X58">
            <v>0</v>
          </cell>
          <cell r="Y58">
            <v>0</v>
          </cell>
          <cell r="Z58">
            <v>0</v>
          </cell>
          <cell r="AA58">
            <v>100</v>
          </cell>
          <cell r="AB58">
            <v>0</v>
          </cell>
          <cell r="AC58">
            <v>0</v>
          </cell>
          <cell r="AD58">
            <v>0</v>
          </cell>
          <cell r="AE58">
            <v>0</v>
          </cell>
          <cell r="AF58">
            <v>0</v>
          </cell>
          <cell r="AG58">
            <v>100</v>
          </cell>
          <cell r="AH58">
            <v>2.3721238216033416E-2</v>
          </cell>
          <cell r="AI58">
            <v>2.3583981132948271E-2</v>
          </cell>
          <cell r="AJ58">
            <v>5.4902833234058215E-6</v>
          </cell>
        </row>
        <row r="59">
          <cell r="A59" t="str">
            <v>#30 Felt</v>
          </cell>
          <cell r="B59">
            <v>11.550383071562871</v>
          </cell>
          <cell r="C59">
            <v>0.23441625982286363</v>
          </cell>
          <cell r="D59">
            <v>0.29408416989207348</v>
          </cell>
          <cell r="E59">
            <v>0</v>
          </cell>
          <cell r="F59">
            <v>12.563851739569696</v>
          </cell>
          <cell r="G59">
            <v>0</v>
          </cell>
          <cell r="H59">
            <v>0</v>
          </cell>
          <cell r="I59">
            <v>31.876750288618243</v>
          </cell>
          <cell r="J59">
            <v>0</v>
          </cell>
          <cell r="K59">
            <v>55.030897542097122</v>
          </cell>
          <cell r="L59">
            <v>0</v>
          </cell>
          <cell r="M59">
            <v>0</v>
          </cell>
          <cell r="N59">
            <v>100</v>
          </cell>
          <cell r="O59">
            <v>0.64262240878624477</v>
          </cell>
          <cell r="P59">
            <v>0.61380449160698536</v>
          </cell>
          <cell r="Q59">
            <v>1.1527166871703786E-3</v>
          </cell>
          <cell r="T59" t="str">
            <v>#30 Felt</v>
          </cell>
          <cell r="U59">
            <v>0.31936724130849081</v>
          </cell>
          <cell r="V59">
            <v>0</v>
          </cell>
          <cell r="W59">
            <v>0</v>
          </cell>
          <cell r="X59">
            <v>0</v>
          </cell>
          <cell r="Y59">
            <v>0</v>
          </cell>
          <cell r="Z59">
            <v>0</v>
          </cell>
          <cell r="AA59">
            <v>100</v>
          </cell>
          <cell r="AB59">
            <v>0</v>
          </cell>
          <cell r="AC59">
            <v>0</v>
          </cell>
          <cell r="AD59">
            <v>0</v>
          </cell>
          <cell r="AE59">
            <v>0</v>
          </cell>
          <cell r="AF59">
            <v>0</v>
          </cell>
          <cell r="AG59">
            <v>100</v>
          </cell>
          <cell r="AH59">
            <v>2.3619336609704954E-2</v>
          </cell>
          <cell r="AI59">
            <v>2.3482669155083503E-2</v>
          </cell>
          <cell r="AJ59">
            <v>5.4666981848578986E-6</v>
          </cell>
        </row>
        <row r="60">
          <cell r="A60" t="str">
            <v>Mineral Surface Roll</v>
          </cell>
          <cell r="B60">
            <v>3.3537514981456429</v>
          </cell>
          <cell r="C60">
            <v>0.25356699518678411</v>
          </cell>
          <cell r="D60">
            <v>0.3888808232006371</v>
          </cell>
          <cell r="E60">
            <v>0</v>
          </cell>
          <cell r="F60">
            <v>15.375341089942502</v>
          </cell>
          <cell r="G60">
            <v>0</v>
          </cell>
          <cell r="H60">
            <v>0</v>
          </cell>
          <cell r="I60">
            <v>32.349881730030468</v>
          </cell>
          <cell r="J60">
            <v>0</v>
          </cell>
          <cell r="K60">
            <v>51.632329361639606</v>
          </cell>
          <cell r="L60">
            <v>0</v>
          </cell>
          <cell r="M60">
            <v>0</v>
          </cell>
          <cell r="N60">
            <v>100</v>
          </cell>
          <cell r="O60">
            <v>0.18870034464685542</v>
          </cell>
          <cell r="P60">
            <v>0.18060250486683707</v>
          </cell>
          <cell r="Q60">
            <v>3.2391359120073507E-4</v>
          </cell>
          <cell r="T60" t="str">
            <v>Mineral Surface Roll</v>
          </cell>
          <cell r="U60">
            <v>0.47408074002557798</v>
          </cell>
          <cell r="V60">
            <v>0</v>
          </cell>
          <cell r="W60">
            <v>0</v>
          </cell>
          <cell r="X60">
            <v>0</v>
          </cell>
          <cell r="Y60">
            <v>0</v>
          </cell>
          <cell r="Z60">
            <v>0</v>
          </cell>
          <cell r="AA60">
            <v>100</v>
          </cell>
          <cell r="AB60">
            <v>0</v>
          </cell>
          <cell r="AC60">
            <v>0</v>
          </cell>
          <cell r="AD60">
            <v>0</v>
          </cell>
          <cell r="AE60">
            <v>0</v>
          </cell>
          <cell r="AF60">
            <v>0</v>
          </cell>
          <cell r="AG60">
            <v>100</v>
          </cell>
          <cell r="AH60">
            <v>3.5061431263158326E-2</v>
          </cell>
          <cell r="AI60">
            <v>3.4858556955327351E-2</v>
          </cell>
          <cell r="AJ60">
            <v>8.1149723132389836E-6</v>
          </cell>
        </row>
        <row r="61">
          <cell r="A61" t="str">
            <v>Drywall</v>
          </cell>
          <cell r="B61">
            <v>3.0782645466811958</v>
          </cell>
          <cell r="C61">
            <v>0</v>
          </cell>
          <cell r="D61">
            <v>0</v>
          </cell>
          <cell r="E61">
            <v>19.105707286593148</v>
          </cell>
          <cell r="F61">
            <v>0</v>
          </cell>
          <cell r="G61">
            <v>0</v>
          </cell>
          <cell r="H61">
            <v>3.456642440007073</v>
          </cell>
          <cell r="I61">
            <v>7.7439923243579525</v>
          </cell>
          <cell r="J61">
            <v>1.2312163953521948E-2</v>
          </cell>
          <cell r="K61">
            <v>69.681345785088311</v>
          </cell>
          <cell r="L61">
            <v>0</v>
          </cell>
          <cell r="M61">
            <v>0</v>
          </cell>
          <cell r="N61">
            <v>100</v>
          </cell>
          <cell r="O61">
            <v>0.17759826380008878</v>
          </cell>
          <cell r="P61">
            <v>0.17016545016783916</v>
          </cell>
          <cell r="Q61">
            <v>2.9731254528998351E-4</v>
          </cell>
          <cell r="T61" t="str">
            <v>Drywall</v>
          </cell>
          <cell r="U61">
            <v>9.5538372775304137E-2</v>
          </cell>
          <cell r="V61">
            <v>0</v>
          </cell>
          <cell r="W61">
            <v>0</v>
          </cell>
          <cell r="X61">
            <v>60.726373075356712</v>
          </cell>
          <cell r="Y61">
            <v>7.353783981828145</v>
          </cell>
          <cell r="Z61">
            <v>0</v>
          </cell>
          <cell r="AA61">
            <v>31.919842942815137</v>
          </cell>
          <cell r="AB61">
            <v>0</v>
          </cell>
          <cell r="AC61">
            <v>0</v>
          </cell>
          <cell r="AD61">
            <v>0</v>
          </cell>
          <cell r="AE61">
            <v>0</v>
          </cell>
          <cell r="AF61">
            <v>0</v>
          </cell>
          <cell r="AG61">
            <v>100</v>
          </cell>
          <cell r="AH61">
            <v>7.0736854517982235E-3</v>
          </cell>
          <cell r="AI61">
            <v>7.0328015271590542E-3</v>
          </cell>
          <cell r="AJ61">
            <v>1.6353569855667811E-6</v>
          </cell>
        </row>
        <row r="62">
          <cell r="A62" t="str">
            <v>Ag Gypsum</v>
          </cell>
          <cell r="B62">
            <v>1.0988256263160339E-2</v>
          </cell>
          <cell r="E62">
            <v>3.4555652121066869</v>
          </cell>
          <cell r="F62">
            <v>0</v>
          </cell>
          <cell r="H62">
            <v>33.81728348600133</v>
          </cell>
          <cell r="I62">
            <v>59.098220984057789</v>
          </cell>
          <cell r="J62">
            <v>3.628930317834183</v>
          </cell>
          <cell r="K62">
            <v>0</v>
          </cell>
          <cell r="N62">
            <v>99.999999999999986</v>
          </cell>
          <cell r="O62">
            <v>6.8066232220187397E-4</v>
          </cell>
          <cell r="P62">
            <v>6.6196572703114658E-4</v>
          </cell>
          <cell r="Q62">
            <v>7.4786380682909159E-7</v>
          </cell>
          <cell r="T62" t="str">
            <v>Ag Gypsum</v>
          </cell>
          <cell r="U62">
            <v>0.10051824971792236</v>
          </cell>
          <cell r="X62">
            <v>60.726373075356712</v>
          </cell>
          <cell r="Y62">
            <v>7.353783981828145</v>
          </cell>
          <cell r="AA62">
            <v>31.919842942815137</v>
          </cell>
          <cell r="AB62">
            <v>0</v>
          </cell>
          <cell r="AG62">
            <v>100</v>
          </cell>
          <cell r="AH62">
            <v>7.4423968088944128E-3</v>
          </cell>
          <cell r="AI62">
            <v>7.3993818356752851E-3</v>
          </cell>
          <cell r="AJ62">
            <v>1.7205989287651143E-6</v>
          </cell>
        </row>
        <row r="63">
          <cell r="A63" t="str">
            <v>Fiberglass Insulation</v>
          </cell>
          <cell r="B63">
            <v>4.7357922731332982</v>
          </cell>
          <cell r="C63">
            <v>5.8798462092114713E-3</v>
          </cell>
          <cell r="F63">
            <v>0.28719213429402113</v>
          </cell>
          <cell r="H63">
            <v>0.48106101585954802</v>
          </cell>
          <cell r="I63">
            <v>35.106999239307306</v>
          </cell>
          <cell r="J63">
            <v>10.885823411441066</v>
          </cell>
          <cell r="K63">
            <v>53.233044352888847</v>
          </cell>
          <cell r="N63">
            <v>100</v>
          </cell>
          <cell r="O63">
            <v>0.27255618474737314</v>
          </cell>
          <cell r="P63">
            <v>0.25881968791910276</v>
          </cell>
          <cell r="Q63">
            <v>5.4945987313081534E-4</v>
          </cell>
          <cell r="T63" t="str">
            <v>Fiberglass Insulation</v>
          </cell>
          <cell r="U63">
            <v>0.44089984848484853</v>
          </cell>
          <cell r="AA63">
            <v>100</v>
          </cell>
          <cell r="AG63">
            <v>100</v>
          </cell>
          <cell r="AH63">
            <v>3.2607483127777781E-2</v>
          </cell>
          <cell r="AI63">
            <v>3.2418807984427048E-2</v>
          </cell>
          <cell r="AJ63">
            <v>7.5470057340291258E-6</v>
          </cell>
        </row>
        <row r="64">
          <cell r="A64" t="str">
            <v>Vinyl Flooring</v>
          </cell>
          <cell r="B64">
            <v>9.4669712395988128</v>
          </cell>
          <cell r="C64">
            <v>3.347999269226086E-2</v>
          </cell>
          <cell r="D64">
            <v>3.6376097323875776E-3</v>
          </cell>
          <cell r="E64">
            <v>0</v>
          </cell>
          <cell r="F64">
            <v>3.5515770460619436</v>
          </cell>
          <cell r="G64">
            <v>0.13561585303935719</v>
          </cell>
          <cell r="H64">
            <v>1.1539692237290207</v>
          </cell>
          <cell r="I64">
            <v>48.090929929238413</v>
          </cell>
          <cell r="J64">
            <v>1.3576266758458475</v>
          </cell>
          <cell r="K64">
            <v>40.807363442140549</v>
          </cell>
          <cell r="L64">
            <v>0.58425340899306488</v>
          </cell>
          <cell r="M64">
            <v>4.2815468185271373</v>
          </cell>
          <cell r="N64">
            <v>99.999999999999972</v>
          </cell>
          <cell r="O64">
            <v>0.51049741398325044</v>
          </cell>
          <cell r="P64">
            <v>0.48595635530520653</v>
          </cell>
          <cell r="Q64">
            <v>9.8164234712174933E-4</v>
          </cell>
          <cell r="T64" t="str">
            <v>Vinyl Flooring</v>
          </cell>
          <cell r="U64">
            <v>0.72008152529493652</v>
          </cell>
          <cell r="V64">
            <v>0</v>
          </cell>
          <cell r="W64">
            <v>0.55673356219969949</v>
          </cell>
          <cell r="X64">
            <v>0</v>
          </cell>
          <cell r="Y64">
            <v>1.3988863855986551</v>
          </cell>
          <cell r="Z64">
            <v>0</v>
          </cell>
          <cell r="AA64">
            <v>80.006378696251446</v>
          </cell>
          <cell r="AB64">
            <v>0</v>
          </cell>
          <cell r="AC64">
            <v>0</v>
          </cell>
          <cell r="AD64">
            <v>18.038001355950193</v>
          </cell>
          <cell r="AE64">
            <v>0</v>
          </cell>
          <cell r="AF64">
            <v>0</v>
          </cell>
          <cell r="AG64">
            <v>100</v>
          </cell>
          <cell r="AH64">
            <v>5.0497754663207273E-2</v>
          </cell>
          <cell r="AI64">
            <v>4.9847295701964452E-2</v>
          </cell>
          <cell r="AJ64">
            <v>2.6018358449713136E-5</v>
          </cell>
        </row>
        <row r="65">
          <cell r="A65" t="str">
            <v>Wood Flooring</v>
          </cell>
          <cell r="B65">
            <v>13.050186237712804</v>
          </cell>
          <cell r="C65">
            <v>0.8543501773066744</v>
          </cell>
          <cell r="D65">
            <v>0.38174234614723718</v>
          </cell>
          <cell r="E65">
            <v>0</v>
          </cell>
          <cell r="F65">
            <v>5.0168966065022493E-3</v>
          </cell>
          <cell r="G65">
            <v>61.315623866848156</v>
          </cell>
          <cell r="H65">
            <v>6.6013263325290712</v>
          </cell>
          <cell r="I65">
            <v>23.293580546778092</v>
          </cell>
          <cell r="J65">
            <v>0</v>
          </cell>
          <cell r="K65">
            <v>7.5483598337842652</v>
          </cell>
          <cell r="L65">
            <v>0</v>
          </cell>
          <cell r="M65">
            <v>0</v>
          </cell>
          <cell r="N65">
            <v>99.999999999999986</v>
          </cell>
          <cell r="O65">
            <v>0.2860444854980338</v>
          </cell>
          <cell r="P65">
            <v>0.27540664769436973</v>
          </cell>
          <cell r="Q65">
            <v>4.2551351214656428E-4</v>
          </cell>
          <cell r="T65" t="str">
            <v>Wood Flooring</v>
          </cell>
          <cell r="U65">
            <v>1.0810527898129594</v>
          </cell>
          <cell r="V65">
            <v>2.9587661430117289</v>
          </cell>
          <cell r="W65">
            <v>1.4738922681776352</v>
          </cell>
          <cell r="X65">
            <v>0</v>
          </cell>
          <cell r="Y65">
            <v>0</v>
          </cell>
          <cell r="Z65">
            <v>0</v>
          </cell>
          <cell r="AA65">
            <v>95.567341588810635</v>
          </cell>
          <cell r="AB65">
            <v>0</v>
          </cell>
          <cell r="AC65">
            <v>0</v>
          </cell>
          <cell r="AD65">
            <v>0</v>
          </cell>
          <cell r="AE65">
            <v>0</v>
          </cell>
          <cell r="AF65">
            <v>0</v>
          </cell>
          <cell r="AG65">
            <v>100</v>
          </cell>
          <cell r="AH65">
            <v>7.9672658145294298E-2</v>
          </cell>
          <cell r="AI65">
            <v>7.9210041088861635E-2</v>
          </cell>
          <cell r="AJ65">
            <v>1.8504682257306241E-5</v>
          </cell>
        </row>
        <row r="66">
          <cell r="A66" t="str">
            <v>Aluminum Ingot</v>
          </cell>
          <cell r="B66">
            <v>115.16230480507434</v>
          </cell>
          <cell r="C66">
            <v>0</v>
          </cell>
          <cell r="D66">
            <v>0</v>
          </cell>
          <cell r="E66">
            <v>0</v>
          </cell>
          <cell r="F66">
            <v>5.9715414475797086</v>
          </cell>
          <cell r="H66">
            <v>0.37423453162017789</v>
          </cell>
          <cell r="I66">
            <v>83.688529050030397</v>
          </cell>
          <cell r="J66">
            <v>2.3806245686623129</v>
          </cell>
          <cell r="K66">
            <v>7.585070402107406</v>
          </cell>
          <cell r="N66">
            <v>100</v>
          </cell>
          <cell r="O66">
            <v>4.2271715841621784</v>
          </cell>
          <cell r="P66">
            <v>4.1798404663585664</v>
          </cell>
          <cell r="Q66">
            <v>1.0744142090502362E-2</v>
          </cell>
          <cell r="T66" t="str">
            <v>Aluminum Ingot</v>
          </cell>
          <cell r="U66">
            <v>0.56214388359716505</v>
          </cell>
          <cell r="V66">
            <v>0</v>
          </cell>
          <cell r="W66">
            <v>0</v>
          </cell>
          <cell r="X66">
            <v>0</v>
          </cell>
          <cell r="Y66">
            <v>100</v>
          </cell>
          <cell r="AA66">
            <v>0</v>
          </cell>
          <cell r="AB66">
            <v>0</v>
          </cell>
          <cell r="AC66">
            <v>0</v>
          </cell>
          <cell r="AD66">
            <v>0</v>
          </cell>
          <cell r="AG66">
            <v>100</v>
          </cell>
          <cell r="AH66">
            <v>4.2213258032256444E-2</v>
          </cell>
          <cell r="AI66">
            <v>4.1972698689389999E-2</v>
          </cell>
          <cell r="AJ66">
            <v>9.6223737146577835E-6</v>
          </cell>
        </row>
        <row r="67">
          <cell r="A67" t="str">
            <v>PLA</v>
          </cell>
          <cell r="B67">
            <v>29.986069576406472</v>
          </cell>
          <cell r="I67">
            <v>54.808871128203492</v>
          </cell>
          <cell r="K67">
            <v>45.191128871796508</v>
          </cell>
          <cell r="N67">
            <v>100</v>
          </cell>
          <cell r="O67">
            <v>1.814951508786794</v>
          </cell>
          <cell r="P67" t="str">
            <v>NA</v>
          </cell>
          <cell r="Q67" t="str">
            <v>NA</v>
          </cell>
          <cell r="T67" t="str">
            <v>PLA</v>
          </cell>
          <cell r="U67">
            <v>0.16771213665268214</v>
          </cell>
          <cell r="AA67">
            <v>100</v>
          </cell>
          <cell r="AG67">
            <v>100</v>
          </cell>
          <cell r="AH67">
            <v>1.2403430586376862E-2</v>
          </cell>
          <cell r="AI67">
            <v>1.2331661200351117E-2</v>
          </cell>
          <cell r="AJ67">
            <v>2.8707754410298125E-6</v>
          </cell>
        </row>
        <row r="68">
          <cell r="A68" t="str">
            <v>LLDPE</v>
          </cell>
          <cell r="B68">
            <v>23.036951190877133</v>
          </cell>
          <cell r="C68">
            <v>0.12412296153931925</v>
          </cell>
          <cell r="D68">
            <v>2.4035023599981668E-2</v>
          </cell>
          <cell r="E68">
            <v>0.24011564994375667</v>
          </cell>
          <cell r="F68">
            <v>1.6549211511151363</v>
          </cell>
          <cell r="G68">
            <v>0</v>
          </cell>
          <cell r="H68">
            <v>0</v>
          </cell>
          <cell r="I68">
            <v>12.104653663839628</v>
          </cell>
          <cell r="J68">
            <v>0</v>
          </cell>
          <cell r="K68">
            <v>22.977436410043403</v>
          </cell>
          <cell r="L68">
            <v>0</v>
          </cell>
          <cell r="M68">
            <v>62.874715139918791</v>
          </cell>
          <cell r="N68">
            <v>100.00000000000001</v>
          </cell>
          <cell r="O68">
            <v>1.1391473746407792</v>
          </cell>
          <cell r="P68">
            <v>0.43872734623127585</v>
          </cell>
          <cell r="Q68">
            <v>9.2020902140614396E-4</v>
          </cell>
          <cell r="T68" t="str">
            <v>LLDPE</v>
          </cell>
          <cell r="U68">
            <v>2.7667650731172029</v>
          </cell>
          <cell r="V68">
            <v>0</v>
          </cell>
          <cell r="W68">
            <v>0</v>
          </cell>
          <cell r="X68">
            <v>0</v>
          </cell>
          <cell r="Y68">
            <v>3.1658996648416737</v>
          </cell>
          <cell r="Z68">
            <v>0</v>
          </cell>
          <cell r="AA68">
            <v>3.4451112004042397</v>
          </cell>
          <cell r="AB68">
            <v>0</v>
          </cell>
          <cell r="AC68">
            <v>0</v>
          </cell>
          <cell r="AD68">
            <v>93.388989134754084</v>
          </cell>
          <cell r="AE68">
            <v>0</v>
          </cell>
          <cell r="AF68">
            <v>0</v>
          </cell>
          <cell r="AG68">
            <v>100</v>
          </cell>
          <cell r="AH68">
            <v>0.15062299778644547</v>
          </cell>
          <cell r="AI68">
            <v>0.14262941475902399</v>
          </cell>
          <cell r="AJ68">
            <v>3.1974332109685878E-4</v>
          </cell>
        </row>
        <row r="69">
          <cell r="A69" t="str">
            <v>PP</v>
          </cell>
          <cell r="B69">
            <v>23.624973162969582</v>
          </cell>
          <cell r="C69">
            <v>0.10653111790405027</v>
          </cell>
          <cell r="D69">
            <v>4.5453660233114236E-2</v>
          </cell>
          <cell r="E69">
            <v>0.21845881635754844</v>
          </cell>
          <cell r="F69">
            <v>2.6135240239008413</v>
          </cell>
          <cell r="G69">
            <v>0</v>
          </cell>
          <cell r="H69">
            <v>0</v>
          </cell>
          <cell r="I69">
            <v>15.034817407951543</v>
          </cell>
          <cell r="J69">
            <v>0</v>
          </cell>
          <cell r="K69">
            <v>17.5535877682216</v>
          </cell>
          <cell r="L69">
            <v>0</v>
          </cell>
          <cell r="M69">
            <v>64.427627205431321</v>
          </cell>
          <cell r="N69">
            <v>100.00000000000001</v>
          </cell>
          <cell r="O69">
            <v>1.1654287391383698</v>
          </cell>
          <cell r="P69">
            <v>0.43703849390451471</v>
          </cell>
          <cell r="Q69">
            <v>8.5591053640657984E-4</v>
          </cell>
          <cell r="T69" t="str">
            <v>PP</v>
          </cell>
          <cell r="U69">
            <v>2.3621087877598779</v>
          </cell>
          <cell r="V69">
            <v>0</v>
          </cell>
          <cell r="W69">
            <v>0</v>
          </cell>
          <cell r="X69">
            <v>0</v>
          </cell>
          <cell r="Y69">
            <v>7.40290934372607</v>
          </cell>
          <cell r="Z69">
            <v>0</v>
          </cell>
          <cell r="AA69">
            <v>5.2762630323886315</v>
          </cell>
          <cell r="AB69">
            <v>0</v>
          </cell>
          <cell r="AC69">
            <v>0</v>
          </cell>
          <cell r="AD69">
            <v>87.320827623885293</v>
          </cell>
          <cell r="AE69">
            <v>0</v>
          </cell>
          <cell r="AF69">
            <v>0</v>
          </cell>
          <cell r="AG69">
            <v>100</v>
          </cell>
          <cell r="AH69">
            <v>0.13170821555767731</v>
          </cell>
          <cell r="AI69">
            <v>0.12526149801143574</v>
          </cell>
          <cell r="AJ69">
            <v>2.5786870184966217E-4</v>
          </cell>
        </row>
        <row r="70">
          <cell r="A70" t="str">
            <v>PS</v>
          </cell>
          <cell r="B70">
            <v>35.861232165940578</v>
          </cell>
          <cell r="C70">
            <v>7.6207366145170805E-2</v>
          </cell>
          <cell r="D70">
            <v>5.8598432606193823E-2</v>
          </cell>
          <cell r="E70">
            <v>0.43369975013679812</v>
          </cell>
          <cell r="F70">
            <v>5.2096295237177515</v>
          </cell>
          <cell r="G70">
            <v>0</v>
          </cell>
          <cell r="H70">
            <v>0</v>
          </cell>
          <cell r="I70">
            <v>13.281899662620717</v>
          </cell>
          <cell r="J70">
            <v>0</v>
          </cell>
          <cell r="K70">
            <v>54.171562536104759</v>
          </cell>
          <cell r="L70">
            <v>0</v>
          </cell>
          <cell r="M70">
            <v>26.76840272866859</v>
          </cell>
          <cell r="N70">
            <v>99.999999999999986</v>
          </cell>
          <cell r="O70">
            <v>1.8628585262959778</v>
          </cell>
          <cell r="P70">
            <v>1.3626237853919729</v>
          </cell>
          <cell r="Q70">
            <v>2.8660483391715953E-3</v>
          </cell>
          <cell r="T70" t="str">
            <v>PS</v>
          </cell>
          <cell r="U70">
            <v>2.3638541193430074</v>
          </cell>
          <cell r="V70">
            <v>0</v>
          </cell>
          <cell r="W70">
            <v>0</v>
          </cell>
          <cell r="X70">
            <v>0</v>
          </cell>
          <cell r="Y70">
            <v>17.55153346635764</v>
          </cell>
          <cell r="Z70">
            <v>0</v>
          </cell>
          <cell r="AA70">
            <v>29.662763565580384</v>
          </cell>
          <cell r="AB70">
            <v>0</v>
          </cell>
          <cell r="AC70">
            <v>0</v>
          </cell>
          <cell r="AD70">
            <v>52.785702968061962</v>
          </cell>
          <cell r="AE70">
            <v>0</v>
          </cell>
          <cell r="AF70">
            <v>0</v>
          </cell>
          <cell r="AG70">
            <v>99.999999999999986</v>
          </cell>
          <cell r="AH70">
            <v>0.14917007437762675</v>
          </cell>
          <cell r="AI70">
            <v>0.14487006233801089</v>
          </cell>
          <cell r="AJ70">
            <v>1.7200048158463332E-4</v>
          </cell>
        </row>
        <row r="71">
          <cell r="A71" t="str">
            <v>PVC</v>
          </cell>
          <cell r="B71">
            <v>30.248548177945462</v>
          </cell>
          <cell r="C71">
            <v>4.2443500090544699E-2</v>
          </cell>
          <cell r="D71">
            <v>8.3012017704351092E-3</v>
          </cell>
          <cell r="E71">
            <v>0.69020947362126395</v>
          </cell>
          <cell r="F71">
            <v>0.68589746418738873</v>
          </cell>
          <cell r="G71">
            <v>8.2253309833002969E-2</v>
          </cell>
          <cell r="H71">
            <v>0</v>
          </cell>
          <cell r="I71">
            <v>23.906650013935781</v>
          </cell>
          <cell r="J71">
            <v>3.6031492754976004</v>
          </cell>
          <cell r="K71">
            <v>48.713301693650592</v>
          </cell>
          <cell r="L71">
            <v>0.55216335609197731</v>
          </cell>
          <cell r="M71">
            <v>21.715630711321413</v>
          </cell>
          <cell r="N71">
            <v>100</v>
          </cell>
          <cell r="O71">
            <v>1.6823993892458957</v>
          </cell>
          <cell r="P71">
            <v>1.2294162695833517</v>
          </cell>
          <cell r="Q71">
            <v>2.6714069403405592E-3</v>
          </cell>
          <cell r="T71" t="str">
            <v>PVC</v>
          </cell>
          <cell r="U71">
            <v>1.4619790392283802</v>
          </cell>
          <cell r="V71">
            <v>0</v>
          </cell>
          <cell r="W71">
            <v>0</v>
          </cell>
          <cell r="X71">
            <v>0</v>
          </cell>
          <cell r="Y71">
            <v>2.7235638566361291</v>
          </cell>
          <cell r="Z71">
            <v>0</v>
          </cell>
          <cell r="AA71">
            <v>17.099730053102984</v>
          </cell>
          <cell r="AB71">
            <v>0</v>
          </cell>
          <cell r="AC71">
            <v>0</v>
          </cell>
          <cell r="AD71">
            <v>80.176706090260879</v>
          </cell>
          <cell r="AE71">
            <v>0</v>
          </cell>
          <cell r="AF71">
            <v>0</v>
          </cell>
          <cell r="AG71">
            <v>100</v>
          </cell>
          <cell r="AH71">
            <v>8.3627094030024218E-2</v>
          </cell>
          <cell r="AI71">
            <v>7.9912289896912889E-2</v>
          </cell>
          <cell r="AJ71">
            <v>1.4859216532445293E-4</v>
          </cell>
        </row>
        <row r="72">
          <cell r="A72" t="str">
            <v>Nylon 6 resin</v>
          </cell>
          <cell r="B72">
            <v>112.15863828066793</v>
          </cell>
          <cell r="E72">
            <v>28.882901519334869</v>
          </cell>
          <cell r="G72">
            <v>0.22884687700353265</v>
          </cell>
          <cell r="J72">
            <v>9.3216710861990233</v>
          </cell>
          <cell r="K72">
            <v>53.680261996152431</v>
          </cell>
          <cell r="L72">
            <v>3.9282279332467649</v>
          </cell>
          <cell r="M72">
            <v>3.9365810869029745</v>
          </cell>
          <cell r="N72">
            <v>99.978490498839591</v>
          </cell>
          <cell r="O72">
            <v>6.5991991913251491</v>
          </cell>
          <cell r="P72">
            <v>6.3589230083321002</v>
          </cell>
          <cell r="Q72">
            <v>9.6110473197219253E-3</v>
          </cell>
          <cell r="T72" t="str">
            <v>Nylon 6 resin</v>
          </cell>
          <cell r="U72">
            <v>1.0453788735811562</v>
          </cell>
          <cell r="AA72">
            <v>73.48395379803911</v>
          </cell>
          <cell r="AC72">
            <v>10.276567257137907</v>
          </cell>
          <cell r="AD72">
            <v>8.7392770215375606</v>
          </cell>
          <cell r="AE72">
            <v>6.3056865346083191</v>
          </cell>
          <cell r="AF72">
            <v>1.1945153886771038</v>
          </cell>
          <cell r="AG72">
            <v>100</v>
          </cell>
          <cell r="AH72">
            <v>7.2110709280262308E-2</v>
          </cell>
          <cell r="AI72">
            <v>7.107078781236717E-2</v>
          </cell>
          <cell r="AJ72">
            <v>4.1596858715805351E-5</v>
          </cell>
        </row>
        <row r="73">
          <cell r="A73" t="str">
            <v>Nylon 6-6 resin</v>
          </cell>
          <cell r="B73">
            <v>122.40298854737024</v>
          </cell>
          <cell r="E73">
            <v>28.790835219025663</v>
          </cell>
          <cell r="G73">
            <v>0.44651220540458963</v>
          </cell>
          <cell r="J73">
            <v>12.897020106867437</v>
          </cell>
          <cell r="K73">
            <v>51.005209230515014</v>
          </cell>
          <cell r="L73">
            <v>6.4052690781313162</v>
          </cell>
          <cell r="M73">
            <v>0.41643607800256821</v>
          </cell>
          <cell r="N73">
            <v>99.961281917946579</v>
          </cell>
          <cell r="O73">
            <v>7.4469700405173151</v>
          </cell>
          <cell r="P73">
            <v>7.1772554003136131</v>
          </cell>
          <cell r="Q73">
            <v>1.0788585608148028E-2</v>
          </cell>
          <cell r="T73" t="str">
            <v>Nylon 6-6 resin</v>
          </cell>
          <cell r="U73">
            <v>0.81858727602110393</v>
          </cell>
          <cell r="AA73">
            <v>61.885449547390216</v>
          </cell>
          <cell r="AC73">
            <v>14.154159017093543</v>
          </cell>
          <cell r="AD73">
            <v>12.741369118912408</v>
          </cell>
          <cell r="AE73">
            <v>9.5523504342447989</v>
          </cell>
          <cell r="AF73">
            <v>1.6666718823590232</v>
          </cell>
          <cell r="AG73">
            <v>99.999999999999986</v>
          </cell>
          <cell r="AH73">
            <v>5.4292614472284402E-2</v>
          </cell>
          <cell r="AI73">
            <v>5.329113097742235E-2</v>
          </cell>
          <cell r="AJ73">
            <v>4.0059339794481422E-5</v>
          </cell>
        </row>
        <row r="74">
          <cell r="A74" t="str">
            <v>Dairy Products</v>
          </cell>
          <cell r="B74">
            <v>13.614106752104734</v>
          </cell>
          <cell r="C74">
            <v>0</v>
          </cell>
          <cell r="D74">
            <v>0</v>
          </cell>
          <cell r="E74">
            <v>0</v>
          </cell>
          <cell r="F74">
            <v>0</v>
          </cell>
          <cell r="G74">
            <v>8.7478805773791546</v>
          </cell>
          <cell r="H74">
            <v>25.117606723285096</v>
          </cell>
          <cell r="I74">
            <v>0</v>
          </cell>
          <cell r="J74">
            <v>21.070534190839247</v>
          </cell>
          <cell r="K74">
            <v>37.953640406964709</v>
          </cell>
          <cell r="L74">
            <v>6.881523003342922</v>
          </cell>
          <cell r="M74">
            <v>0.2288150981888708</v>
          </cell>
          <cell r="N74">
            <v>100</v>
          </cell>
          <cell r="O74">
            <v>0.80346320452113473</v>
          </cell>
          <cell r="P74">
            <v>0.77465406094245604</v>
          </cell>
          <cell r="Q74">
            <v>1.1523657431471461E-3</v>
          </cell>
          <cell r="T74" t="str">
            <v>Dairy Products</v>
          </cell>
          <cell r="U74">
            <v>0.65326973639383323</v>
          </cell>
          <cell r="V74">
            <v>0</v>
          </cell>
          <cell r="W74">
            <v>0</v>
          </cell>
          <cell r="X74">
            <v>0</v>
          </cell>
          <cell r="Y74">
            <v>0</v>
          </cell>
          <cell r="Z74">
            <v>7.5526704510942178E-2</v>
          </cell>
          <cell r="AA74">
            <v>92.693422946891829</v>
          </cell>
          <cell r="AB74">
            <v>0</v>
          </cell>
          <cell r="AC74">
            <v>1.0734370946285896</v>
          </cell>
          <cell r="AD74">
            <v>5.5320697779169183</v>
          </cell>
          <cell r="AE74">
            <v>0.60821942497961845</v>
          </cell>
          <cell r="AF74">
            <v>1.7324051072102688E-2</v>
          </cell>
          <cell r="AG74">
            <v>100.00000000000001</v>
          </cell>
          <cell r="AH74">
            <v>4.7381080273429167E-2</v>
          </cell>
          <cell r="AI74">
            <v>4.6983088118887573E-2</v>
          </cell>
          <cell r="AJ74">
            <v>1.5919686181663859E-5</v>
          </cell>
        </row>
        <row r="75">
          <cell r="A75" t="str">
            <v>Wheat</v>
          </cell>
          <cell r="B75">
            <v>3.7882439270244199</v>
          </cell>
          <cell r="C75">
            <v>0</v>
          </cell>
          <cell r="D75">
            <v>0</v>
          </cell>
          <cell r="E75">
            <v>0</v>
          </cell>
          <cell r="F75">
            <v>0</v>
          </cell>
          <cell r="G75">
            <v>7.2258793914620147</v>
          </cell>
          <cell r="H75">
            <v>31.819275312340157</v>
          </cell>
          <cell r="I75">
            <v>0</v>
          </cell>
          <cell r="J75">
            <v>6.4228705358368927</v>
          </cell>
          <cell r="K75">
            <v>51.886742803797944</v>
          </cell>
          <cell r="L75">
            <v>2.6326975478605141</v>
          </cell>
          <cell r="M75">
            <v>1.2534408702473304E-2</v>
          </cell>
          <cell r="N75">
            <v>100</v>
          </cell>
          <cell r="O75">
            <v>0.21688749411850849</v>
          </cell>
          <cell r="P75">
            <v>0.20937341337937998</v>
          </cell>
          <cell r="Q75">
            <v>3.005632295651411E-4</v>
          </cell>
          <cell r="AG75">
            <v>0</v>
          </cell>
          <cell r="AH75">
            <v>0</v>
          </cell>
          <cell r="AI75">
            <v>0</v>
          </cell>
          <cell r="AJ75">
            <v>0</v>
          </cell>
        </row>
        <row r="76">
          <cell r="A76" t="str">
            <v>Wheat Flour</v>
          </cell>
          <cell r="B76">
            <v>4.0165902639488946</v>
          </cell>
          <cell r="O76">
            <v>0.22883300043603533</v>
          </cell>
          <cell r="P76">
            <v>0.22077940954741646</v>
          </cell>
          <cell r="Q76">
            <v>3.005632295651411E-4</v>
          </cell>
          <cell r="R76">
            <v>0.24205064749896069</v>
          </cell>
          <cell r="S76">
            <v>0.54702990811118912</v>
          </cell>
        </row>
        <row r="77">
          <cell r="A77" t="str">
            <v>Corn</v>
          </cell>
          <cell r="B77">
            <v>6.9755320080485781</v>
          </cell>
          <cell r="C77">
            <v>0</v>
          </cell>
          <cell r="D77">
            <v>0</v>
          </cell>
          <cell r="E77">
            <v>0</v>
          </cell>
          <cell r="F77">
            <v>0</v>
          </cell>
          <cell r="G77">
            <v>1.9788634188746708</v>
          </cell>
          <cell r="H77">
            <v>30.39080583478772</v>
          </cell>
          <cell r="I77">
            <v>0</v>
          </cell>
          <cell r="J77">
            <v>19.397412588351845</v>
          </cell>
          <cell r="K77">
            <v>34.005094634616611</v>
          </cell>
          <cell r="L77">
            <v>8.8297900665535352</v>
          </cell>
          <cell r="M77">
            <v>5.3980334568156243</v>
          </cell>
          <cell r="N77">
            <v>100</v>
          </cell>
          <cell r="O77">
            <v>0.41355896205405429</v>
          </cell>
          <cell r="P77">
            <v>0.39995279611513312</v>
          </cell>
          <cell r="Q77">
            <v>5.4424663755684821E-4</v>
          </cell>
          <cell r="R77">
            <v>0.42122403406667736</v>
          </cell>
          <cell r="S77">
            <v>0.59920241697484677</v>
          </cell>
          <cell r="AG77">
            <v>0</v>
          </cell>
          <cell r="AH77">
            <v>0</v>
          </cell>
          <cell r="AI77">
            <v>0</v>
          </cell>
          <cell r="AJ77">
            <v>0</v>
          </cell>
        </row>
        <row r="78">
          <cell r="A78" t="str">
            <v>Rice</v>
          </cell>
          <cell r="B78">
            <v>9.6554077559210381</v>
          </cell>
          <cell r="C78">
            <v>0</v>
          </cell>
          <cell r="D78">
            <v>0</v>
          </cell>
          <cell r="E78">
            <v>0</v>
          </cell>
          <cell r="F78">
            <v>0</v>
          </cell>
          <cell r="G78">
            <v>2.7335296776418656</v>
          </cell>
          <cell r="H78">
            <v>25.932617228268899</v>
          </cell>
          <cell r="I78">
            <v>0</v>
          </cell>
          <cell r="J78">
            <v>21.290687463986313</v>
          </cell>
          <cell r="K78">
            <v>38.110597796847188</v>
          </cell>
          <cell r="L78">
            <v>11.881907609781713</v>
          </cell>
          <cell r="M78">
            <v>5.0660223474016004E-2</v>
          </cell>
          <cell r="N78">
            <v>100</v>
          </cell>
          <cell r="O78">
            <v>0.57997680410858221</v>
          </cell>
          <cell r="P78">
            <v>0.55937931490156301</v>
          </cell>
          <cell r="Q78">
            <v>8.238995682807662E-4</v>
          </cell>
          <cell r="R78">
            <v>0.58065055285310729</v>
          </cell>
          <cell r="S78">
            <v>0.89293595726393216</v>
          </cell>
          <cell r="AG78">
            <v>0</v>
          </cell>
          <cell r="AH78">
            <v>0</v>
          </cell>
          <cell r="AI78">
            <v>0</v>
          </cell>
          <cell r="AJ78">
            <v>0</v>
          </cell>
        </row>
        <row r="79">
          <cell r="A79" t="str">
            <v>Grain Milling</v>
          </cell>
          <cell r="B79">
            <v>0.22834633692447498</v>
          </cell>
          <cell r="I79">
            <v>100</v>
          </cell>
          <cell r="N79">
            <v>100</v>
          </cell>
          <cell r="O79">
            <v>1.1945506317526838E-2</v>
          </cell>
          <cell r="P79">
            <v>1.1405996168036482E-2</v>
          </cell>
        </row>
        <row r="80">
          <cell r="A80" t="str">
            <v>Bread Baking</v>
          </cell>
          <cell r="B80">
            <v>2.3221661382149996</v>
          </cell>
          <cell r="I80">
            <v>100</v>
          </cell>
          <cell r="N80">
            <v>100</v>
          </cell>
          <cell r="O80">
            <v>0.12147972526298478</v>
          </cell>
          <cell r="P80">
            <v>0.11599318136986252</v>
          </cell>
          <cell r="Q80">
            <v>2.1946175572488984E-4</v>
          </cell>
          <cell r="AG80">
            <v>0</v>
          </cell>
          <cell r="AH80">
            <v>0</v>
          </cell>
          <cell r="AI80">
            <v>0</v>
          </cell>
          <cell r="AJ80">
            <v>0</v>
          </cell>
        </row>
        <row r="81">
          <cell r="A81" t="str">
            <v>Potatoes</v>
          </cell>
          <cell r="B81">
            <v>1.6056597628592473</v>
          </cell>
          <cell r="C81">
            <v>0</v>
          </cell>
          <cell r="D81">
            <v>0</v>
          </cell>
          <cell r="E81">
            <v>0</v>
          </cell>
          <cell r="F81">
            <v>0</v>
          </cell>
          <cell r="G81">
            <v>12.390705291784052</v>
          </cell>
          <cell r="H81">
            <v>29.174639045183685</v>
          </cell>
          <cell r="I81">
            <v>0</v>
          </cell>
          <cell r="J81">
            <v>19.157943444737363</v>
          </cell>
          <cell r="K81">
            <v>28.888131905743059</v>
          </cell>
          <cell r="L81">
            <v>10.342000698869173</v>
          </cell>
          <cell r="M81">
            <v>4.6579613682666797E-2</v>
          </cell>
          <cell r="N81">
            <v>100</v>
          </cell>
          <cell r="O81">
            <v>8.9102686252849561E-2</v>
          </cell>
          <cell r="P81">
            <v>8.6246241054921194E-2</v>
          </cell>
          <cell r="Q81">
            <v>1.1425780791713514E-4</v>
          </cell>
          <cell r="AG81">
            <v>0</v>
          </cell>
          <cell r="AH81">
            <v>0</v>
          </cell>
          <cell r="AI81">
            <v>0</v>
          </cell>
          <cell r="AJ81">
            <v>0</v>
          </cell>
        </row>
        <row r="82">
          <cell r="B82">
            <v>3.5058403872719692</v>
          </cell>
          <cell r="C82">
            <v>0</v>
          </cell>
          <cell r="D82">
            <v>0</v>
          </cell>
          <cell r="E82">
            <v>0</v>
          </cell>
          <cell r="F82">
            <v>0</v>
          </cell>
          <cell r="G82">
            <v>1.294211493180373</v>
          </cell>
          <cell r="H82">
            <v>53.210059000106902</v>
          </cell>
          <cell r="I82">
            <v>0</v>
          </cell>
          <cell r="J82">
            <v>15.940932190703045</v>
          </cell>
          <cell r="K82">
            <v>21.247807478320851</v>
          </cell>
          <cell r="L82">
            <v>8.2683298948014858</v>
          </cell>
          <cell r="M82">
            <v>3.8659942887344347E-2</v>
          </cell>
          <cell r="N82">
            <v>100</v>
          </cell>
          <cell r="O82">
            <v>0.23168020375620063</v>
          </cell>
          <cell r="P82">
            <v>0.22635614067254248</v>
          </cell>
          <cell r="Q82">
            <v>2.1296252334632542E-4</v>
          </cell>
          <cell r="AG82">
            <v>0</v>
          </cell>
          <cell r="AH82">
            <v>0</v>
          </cell>
          <cell r="AI82">
            <v>0</v>
          </cell>
          <cell r="AJ82">
            <v>0</v>
          </cell>
        </row>
        <row r="83">
          <cell r="B83">
            <v>4.269962773625358</v>
          </cell>
          <cell r="C83">
            <v>0</v>
          </cell>
          <cell r="D83">
            <v>0</v>
          </cell>
          <cell r="E83">
            <v>0</v>
          </cell>
          <cell r="F83">
            <v>0</v>
          </cell>
          <cell r="G83">
            <v>1.1262475118490505</v>
          </cell>
          <cell r="H83">
            <v>62.693730202708899</v>
          </cell>
          <cell r="I83">
            <v>0</v>
          </cell>
          <cell r="J83">
            <v>13.626609503288986</v>
          </cell>
          <cell r="K83">
            <v>15.204715472660785</v>
          </cell>
          <cell r="L83">
            <v>7.3146138403156131</v>
          </cell>
          <cell r="M83">
            <v>3.4083469176671474E-2</v>
          </cell>
          <cell r="N83">
            <v>100</v>
          </cell>
          <cell r="O83">
            <v>0.28888889998078793</v>
          </cell>
          <cell r="P83">
            <v>0.28341835811167893</v>
          </cell>
          <cell r="Q83">
            <v>2.1882167476435906E-4</v>
          </cell>
          <cell r="AG83">
            <v>0</v>
          </cell>
          <cell r="AH83">
            <v>0</v>
          </cell>
          <cell r="AI83">
            <v>0</v>
          </cell>
          <cell r="AJ83">
            <v>0</v>
          </cell>
        </row>
        <row r="84">
          <cell r="B84">
            <v>1.6704852755103199</v>
          </cell>
          <cell r="C84">
            <v>0</v>
          </cell>
          <cell r="D84">
            <v>0</v>
          </cell>
          <cell r="E84">
            <v>0</v>
          </cell>
          <cell r="F84">
            <v>0</v>
          </cell>
          <cell r="G84">
            <v>3.666823902770096</v>
          </cell>
          <cell r="H84">
            <v>67.66255004100698</v>
          </cell>
          <cell r="I84">
            <v>0</v>
          </cell>
          <cell r="J84">
            <v>8.9339113172439539</v>
          </cell>
          <cell r="K84">
            <v>15.553137818109942</v>
          </cell>
          <cell r="L84">
            <v>4.1626217486706416</v>
          </cell>
          <cell r="M84">
            <v>2.0955172198388571E-2</v>
          </cell>
          <cell r="N84">
            <v>100</v>
          </cell>
          <cell r="O84">
            <v>0.11182306755960963</v>
          </cell>
          <cell r="P84">
            <v>0.10994428184754243</v>
          </cell>
          <cell r="Q84">
            <v>7.5151428482689026E-5</v>
          </cell>
          <cell r="AG84">
            <v>0</v>
          </cell>
          <cell r="AH84">
            <v>0</v>
          </cell>
          <cell r="AI84">
            <v>0</v>
          </cell>
          <cell r="AJ84">
            <v>0</v>
          </cell>
        </row>
        <row r="85">
          <cell r="B85">
            <v>4.2497998101997627</v>
          </cell>
          <cell r="C85">
            <v>0</v>
          </cell>
          <cell r="D85">
            <v>0</v>
          </cell>
          <cell r="E85">
            <v>0</v>
          </cell>
          <cell r="F85">
            <v>0</v>
          </cell>
          <cell r="G85">
            <v>1.5649365323082656</v>
          </cell>
          <cell r="H85">
            <v>54.848032610475819</v>
          </cell>
          <cell r="I85">
            <v>0</v>
          </cell>
          <cell r="J85">
            <v>18.274834281397776</v>
          </cell>
          <cell r="K85">
            <v>15.438370683628127</v>
          </cell>
          <cell r="L85">
            <v>9.8187439743634553</v>
          </cell>
          <cell r="M85">
            <v>5.5081917826561799E-2</v>
          </cell>
          <cell r="N85">
            <v>100</v>
          </cell>
          <cell r="O85">
            <v>0.28256997371377257</v>
          </cell>
          <cell r="P85">
            <v>0.2764444100157627</v>
          </cell>
          <cell r="Q85">
            <v>2.450225479203912E-4</v>
          </cell>
          <cell r="AG85">
            <v>0</v>
          </cell>
          <cell r="AH85">
            <v>0</v>
          </cell>
          <cell r="AI85">
            <v>0</v>
          </cell>
          <cell r="AJ85">
            <v>0</v>
          </cell>
        </row>
        <row r="86">
          <cell r="B86">
            <v>2.279001326474801</v>
          </cell>
          <cell r="C86">
            <v>0</v>
          </cell>
          <cell r="D86">
            <v>0</v>
          </cell>
          <cell r="E86">
            <v>0</v>
          </cell>
          <cell r="F86">
            <v>0</v>
          </cell>
          <cell r="G86">
            <v>5.3717962017199596</v>
          </cell>
          <cell r="H86">
            <v>31.208315034634186</v>
          </cell>
          <cell r="I86">
            <v>0</v>
          </cell>
          <cell r="J86">
            <v>9.9472056060102396</v>
          </cell>
          <cell r="K86">
            <v>46.073122535665846</v>
          </cell>
          <cell r="L86">
            <v>7.0203759979709872</v>
          </cell>
          <cell r="M86">
            <v>0.37918462399877201</v>
          </cell>
          <cell r="N86">
            <v>99.999999999999986</v>
          </cell>
          <cell r="O86">
            <v>0.13039767881245429</v>
          </cell>
          <cell r="P86">
            <v>0.12596657131534311</v>
          </cell>
          <cell r="Q86">
            <v>1.7724429988444723E-4</v>
          </cell>
          <cell r="AG86">
            <v>0</v>
          </cell>
          <cell r="AH86">
            <v>0</v>
          </cell>
          <cell r="AI86">
            <v>0</v>
          </cell>
          <cell r="AJ86">
            <v>0</v>
          </cell>
        </row>
        <row r="87">
          <cell r="B87">
            <v>2.9478223751654755</v>
          </cell>
          <cell r="C87">
            <v>0</v>
          </cell>
          <cell r="D87">
            <v>0</v>
          </cell>
          <cell r="E87">
            <v>0</v>
          </cell>
          <cell r="F87">
            <v>0</v>
          </cell>
          <cell r="G87">
            <v>3.2837462658829564</v>
          </cell>
          <cell r="H87">
            <v>52.26131389398082</v>
          </cell>
          <cell r="I87">
            <v>0</v>
          </cell>
          <cell r="J87">
            <v>15.305611047784486</v>
          </cell>
          <cell r="K87">
            <v>20.901743431596483</v>
          </cell>
          <cell r="L87">
            <v>8.1898266569057334</v>
          </cell>
          <cell r="M87">
            <v>5.7758703849524917E-2</v>
          </cell>
          <cell r="N87">
            <v>100.00000000000001</v>
          </cell>
          <cell r="O87">
            <v>0.19040070141747734</v>
          </cell>
          <cell r="P87">
            <v>0.18604247107815092</v>
          </cell>
          <cell r="Q87">
            <v>1.7432921357305608E-4</v>
          </cell>
          <cell r="T87" t="str">
            <v>Fruits and Vegetables Transport</v>
          </cell>
          <cell r="U87">
            <v>2.121401068468864</v>
          </cell>
          <cell r="V87">
            <v>0</v>
          </cell>
          <cell r="W87">
            <v>0</v>
          </cell>
          <cell r="X87">
            <v>0</v>
          </cell>
          <cell r="Y87">
            <v>0</v>
          </cell>
          <cell r="Z87">
            <v>7.4199993210801812E-2</v>
          </cell>
          <cell r="AA87">
            <v>92.7384486385548</v>
          </cell>
          <cell r="AB87">
            <v>0</v>
          </cell>
          <cell r="AC87">
            <v>1.0549132306752866</v>
          </cell>
          <cell r="AD87">
            <v>5.5323253709520346</v>
          </cell>
          <cell r="AE87">
            <v>0.59741949284644968</v>
          </cell>
          <cell r="AF87">
            <v>2.6932737606220922E-3</v>
          </cell>
          <cell r="AG87">
            <v>100</v>
          </cell>
          <cell r="AH87">
            <v>0.15389608137542254</v>
          </cell>
          <cell r="AI87">
            <v>0.15260481053247821</v>
          </cell>
          <cell r="AJ87">
            <v>5.1650833717772061E-5</v>
          </cell>
        </row>
        <row r="88">
          <cell r="B88">
            <v>62.252628616769414</v>
          </cell>
          <cell r="C88">
            <v>8.9220462850182738</v>
          </cell>
          <cell r="D88">
            <v>3.0450669914738139E-2</v>
          </cell>
          <cell r="E88">
            <v>0</v>
          </cell>
          <cell r="F88">
            <v>0.45676004872107212</v>
          </cell>
          <cell r="G88">
            <v>6.1371357308088612</v>
          </cell>
          <cell r="H88">
            <v>14.803148085873602</v>
          </cell>
          <cell r="I88">
            <v>0</v>
          </cell>
          <cell r="J88">
            <v>27.776868556839251</v>
          </cell>
          <cell r="K88">
            <v>32.666562335332301</v>
          </cell>
          <cell r="L88">
            <v>8.8022662179325462</v>
          </cell>
          <cell r="M88">
            <v>0.40476206955934724</v>
          </cell>
          <cell r="N88">
            <v>100</v>
          </cell>
          <cell r="O88">
            <v>3.8454637245057035</v>
          </cell>
          <cell r="P88">
            <v>3.7072911906944177</v>
          </cell>
          <cell r="Q88">
            <v>5.5269013524514368E-3</v>
          </cell>
          <cell r="T88" t="str">
            <v>Beef Transport</v>
          </cell>
          <cell r="U88">
            <v>1.630245450987263</v>
          </cell>
          <cell r="V88">
            <v>0</v>
          </cell>
          <cell r="W88">
            <v>0</v>
          </cell>
          <cell r="X88">
            <v>0</v>
          </cell>
          <cell r="Y88">
            <v>0</v>
          </cell>
          <cell r="Z88">
            <v>0</v>
          </cell>
          <cell r="AA88">
            <v>100</v>
          </cell>
          <cell r="AB88">
            <v>0</v>
          </cell>
          <cell r="AC88">
            <v>0</v>
          </cell>
          <cell r="AD88">
            <v>0</v>
          </cell>
          <cell r="AE88">
            <v>0</v>
          </cell>
          <cell r="AF88">
            <v>0</v>
          </cell>
          <cell r="AG88">
            <v>100</v>
          </cell>
          <cell r="AH88">
            <v>0.12056751940351466</v>
          </cell>
          <cell r="AI88">
            <v>0.11986988524641774</v>
          </cell>
          <cell r="AJ88">
            <v>2.790536628387746E-5</v>
          </cell>
        </row>
        <row r="89">
          <cell r="B89">
            <v>22.802060027575713</v>
          </cell>
          <cell r="C89">
            <v>19.459811115911265</v>
          </cell>
          <cell r="D89">
            <v>11.519057925379974</v>
          </cell>
          <cell r="E89">
            <v>0</v>
          </cell>
          <cell r="F89">
            <v>0</v>
          </cell>
          <cell r="G89">
            <v>1.2394300337903092</v>
          </cell>
          <cell r="H89">
            <v>1.2132759754099554</v>
          </cell>
          <cell r="I89">
            <v>23.709855127868469</v>
          </cell>
          <cell r="J89">
            <v>11.287128689768723</v>
          </cell>
          <cell r="K89">
            <v>25.081959204777711</v>
          </cell>
          <cell r="L89">
            <v>6.4574857817853282</v>
          </cell>
          <cell r="M89">
            <v>3.199614530826296E-2</v>
          </cell>
          <cell r="N89">
            <v>99.999999999999986</v>
          </cell>
          <cell r="O89">
            <v>1.3353412180769215</v>
          </cell>
          <cell r="P89">
            <v>1.2915731503413173</v>
          </cell>
          <cell r="Q89">
            <v>1.7507227094241678E-3</v>
          </cell>
          <cell r="T89" t="str">
            <v>Poultry Transport</v>
          </cell>
          <cell r="U89">
            <v>3.6784294895421543</v>
          </cell>
          <cell r="V89">
            <v>32.364945132822079</v>
          </cell>
          <cell r="W89">
            <v>0</v>
          </cell>
          <cell r="X89">
            <v>0</v>
          </cell>
          <cell r="Y89">
            <v>0.19151078080933459</v>
          </cell>
          <cell r="Z89">
            <v>4.8134698511127581E-2</v>
          </cell>
          <cell r="AA89">
            <v>63.301390944273315</v>
          </cell>
          <cell r="AB89">
            <v>0</v>
          </cell>
          <cell r="AC89">
            <v>0.70952811981668173</v>
          </cell>
          <cell r="AD89">
            <v>3.0105208225589473</v>
          </cell>
          <cell r="AE89">
            <v>0.37224947656583529</v>
          </cell>
          <cell r="AF89">
            <v>1.7200246426822623E-3</v>
          </cell>
          <cell r="AG89">
            <v>100</v>
          </cell>
          <cell r="AH89">
            <v>0.26608868679907494</v>
          </cell>
          <cell r="AI89">
            <v>0.26413574516534061</v>
          </cell>
          <cell r="AJ89">
            <v>7.811766534937195E-5</v>
          </cell>
        </row>
        <row r="91">
          <cell r="G91" t="str">
            <v>Average Fuel Mix (in Percent)</v>
          </cell>
        </row>
        <row r="92">
          <cell r="A92" t="str">
            <v>Type of Product</v>
          </cell>
          <cell r="B92" t="str">
            <v>Process Energy Per Ton Made from Virgin Inputs (Million BTUs)</v>
          </cell>
          <cell r="C92" t="str">
            <v>Gasoline</v>
          </cell>
          <cell r="D92" t="str">
            <v>LPG</v>
          </cell>
          <cell r="E92" t="str">
            <v>Distillate Fuel</v>
          </cell>
          <cell r="F92" t="str">
            <v>Residual Fuel</v>
          </cell>
          <cell r="G92" t="str">
            <v>Biomass</v>
          </cell>
          <cell r="H92" t="str">
            <v>Diesel</v>
          </cell>
          <cell r="I92" t="str">
            <v>Electricity</v>
          </cell>
          <cell r="J92" t="str">
            <v>Coal</v>
          </cell>
          <cell r="K92" t="str">
            <v>Natural Gas</v>
          </cell>
          <cell r="L92" t="str">
            <v>Total</v>
          </cell>
          <cell r="T92" t="str">
            <v>Concrete Transportation</v>
          </cell>
          <cell r="U92" t="str">
            <v>joules/kg-km</v>
          </cell>
          <cell r="V92" t="str">
            <v>BTU/kg-km</v>
          </cell>
          <cell r="W92" t="str">
            <v>BTU/tonne-km</v>
          </cell>
          <cell r="X92" t="str">
            <v>BTU/tonne-mile</v>
          </cell>
          <cell r="Y92" t="str">
            <v>BTU/ton-mile</v>
          </cell>
          <cell r="Z92" t="str">
            <v>miles</v>
          </cell>
          <cell r="AA92" t="str">
            <v>million BTU/ton</v>
          </cell>
          <cell r="AB92" t="str">
            <v>precombustion energy, %</v>
          </cell>
          <cell r="AC92" t="str">
            <v>precombustion energy, million btu/ton</v>
          </cell>
          <cell r="AD92" t="str">
            <v>million BTU/ton</v>
          </cell>
        </row>
        <row r="93">
          <cell r="A93" t="str">
            <v>Steel Cans</v>
          </cell>
          <cell r="C93">
            <v>66.599923076923091</v>
          </cell>
          <cell r="D93">
            <v>0</v>
          </cell>
          <cell r="E93">
            <v>1599.080153846154</v>
          </cell>
          <cell r="F93">
            <v>110.61515384615382</v>
          </cell>
          <cell r="G93">
            <v>0</v>
          </cell>
          <cell r="H93">
            <v>0</v>
          </cell>
          <cell r="I93">
            <v>6637.4486923076929</v>
          </cell>
          <cell r="J93">
            <v>17023.113461538462</v>
          </cell>
          <cell r="K93">
            <v>6143.4618461538439</v>
          </cell>
          <cell r="T93" t="str">
            <v>Virgin</v>
          </cell>
          <cell r="U93">
            <v>3800</v>
          </cell>
          <cell r="V93">
            <v>3.5999848421690857</v>
          </cell>
          <cell r="W93">
            <v>3599.9848421690858</v>
          </cell>
          <cell r="X93">
            <v>5793.3454170728774</v>
          </cell>
          <cell r="Y93">
            <v>5255.6650289143436</v>
          </cell>
          <cell r="Z93">
            <v>30</v>
          </cell>
          <cell r="AA93">
            <v>0.1576699508674303</v>
          </cell>
          <cell r="AB93">
            <v>0.185</v>
          </cell>
          <cell r="AC93">
            <v>2.9168940910474606E-2</v>
          </cell>
          <cell r="AD93">
            <v>0.18683889177790491</v>
          </cell>
        </row>
        <row r="94">
          <cell r="B94">
            <v>27.219926000000001</v>
          </cell>
          <cell r="C94">
            <v>0.19167208610339354</v>
          </cell>
          <cell r="D94">
            <v>0</v>
          </cell>
          <cell r="E94">
            <v>4.5888552378871275</v>
          </cell>
          <cell r="F94">
            <v>0.31945347683898917</v>
          </cell>
          <cell r="G94">
            <v>0</v>
          </cell>
          <cell r="H94">
            <v>0</v>
          </cell>
          <cell r="I94">
            <v>26.377371488813008</v>
          </cell>
          <cell r="J94">
            <v>48.842557470582392</v>
          </cell>
          <cell r="K94">
            <v>19.68009023977508</v>
          </cell>
          <cell r="L94">
            <v>99.999999999999986</v>
          </cell>
          <cell r="T94" t="str">
            <v>Recycled aggregates</v>
          </cell>
          <cell r="U94">
            <v>3800</v>
          </cell>
          <cell r="V94">
            <v>3.5999848421690857</v>
          </cell>
          <cell r="W94">
            <v>3599.9848421690858</v>
          </cell>
          <cell r="X94">
            <v>5790.5498506821386</v>
          </cell>
          <cell r="Y94">
            <v>5253.1289190403295</v>
          </cell>
          <cell r="Z94">
            <v>15</v>
          </cell>
          <cell r="AA94">
            <v>7.8796933785604942E-2</v>
          </cell>
          <cell r="AB94">
            <v>0.185</v>
          </cell>
          <cell r="AC94">
            <v>1.4577432750336914E-2</v>
          </cell>
          <cell r="AD94">
            <v>9.3374366535941861E-2</v>
          </cell>
        </row>
        <row r="96">
          <cell r="A96" t="str">
            <v xml:space="preserve">Transportation energy numbers in above (right) table for steel cans are for 100 percent virgin inputs.  Franklin provided data fro processes with less than 100% virgin inputs  -- this table scales them correctly.  </v>
          </cell>
        </row>
        <row r="97">
          <cell r="E97" t="str">
            <v>Average Fuel Mix (in Percent)</v>
          </cell>
          <cell r="T97" t="str">
            <v>Virgin Aggregate</v>
          </cell>
        </row>
        <row r="98">
          <cell r="A98" t="str">
            <v>Type of Product</v>
          </cell>
          <cell r="B98" t="str">
            <v>Transportation Energy Per Ton Made from Virgin Inputs (Million BTUs)</v>
          </cell>
          <cell r="C98" t="str">
            <v>Diesel</v>
          </cell>
          <cell r="D98" t="str">
            <v>Residual Oil</v>
          </cell>
          <cell r="E98" t="str">
            <v>Natural Gas</v>
          </cell>
          <cell r="F98" t="str">
            <v>Electricity</v>
          </cell>
          <cell r="G98" t="str">
            <v>Total</v>
          </cell>
          <cell r="T98" t="str">
            <v>total process, Mbtu/ton</v>
          </cell>
          <cell r="U98" t="str">
            <v>%, adjusted so that undistributed and other included under distillate fuel oil</v>
          </cell>
        </row>
        <row r="99">
          <cell r="A99" t="str">
            <v>Steel Cans</v>
          </cell>
          <cell r="C99">
            <v>4521.9734846153833</v>
          </cell>
          <cell r="D99">
            <v>81.228823076923092</v>
          </cell>
          <cell r="E99">
            <v>0</v>
          </cell>
          <cell r="F99">
            <v>0</v>
          </cell>
          <cell r="S99" t="str">
            <v>Coal</v>
          </cell>
          <cell r="T99">
            <v>6.7771346161780142E-4</v>
          </cell>
          <cell r="U99">
            <v>1.3955167296563808</v>
          </cell>
        </row>
        <row r="100">
          <cell r="B100">
            <v>4.4771109999999998</v>
          </cell>
          <cell r="C100">
            <v>98.583327507403766</v>
          </cell>
          <cell r="D100">
            <v>1.4166724925962302</v>
          </cell>
          <cell r="E100">
            <v>0</v>
          </cell>
          <cell r="F100">
            <v>0</v>
          </cell>
          <cell r="G100">
            <v>100</v>
          </cell>
          <cell r="S100" t="str">
            <v>Distillate fuel oil</v>
          </cell>
          <cell r="T100">
            <v>1.6619528756693806E-2</v>
          </cell>
          <cell r="U100">
            <v>60.424548356334107</v>
          </cell>
        </row>
        <row r="101">
          <cell r="S101" t="str">
            <v>Residual fuel oil</v>
          </cell>
          <cell r="T101">
            <v>2.7560058498970912E-3</v>
          </cell>
          <cell r="U101">
            <v>5.6750418700274192</v>
          </cell>
        </row>
        <row r="102">
          <cell r="A102" t="str">
            <v xml:space="preserve">Energy numbers in above table for steel sheet are for 100 percent virgin inputs.  Franklin provided data for processes with less than 100% virgin inputs  -- this table scales them correctly.  </v>
          </cell>
          <cell r="S102" t="str">
            <v>Gas</v>
          </cell>
          <cell r="T102">
            <v>3.2718774981300687E-3</v>
          </cell>
          <cell r="U102">
            <v>6.7373013000614739</v>
          </cell>
        </row>
        <row r="103">
          <cell r="G103" t="str">
            <v>Average Fuel Mix (in Percent)</v>
          </cell>
          <cell r="S103" t="str">
            <v>Gasoline</v>
          </cell>
          <cell r="T103">
            <v>1.535676060331872E-3</v>
          </cell>
          <cell r="U103">
            <v>3.1621942825366443</v>
          </cell>
        </row>
        <row r="104">
          <cell r="A104" t="str">
            <v>Type of Product</v>
          </cell>
          <cell r="B104" t="str">
            <v>Process Energy Per Ton Made from Virgin Inputs (Million BTUs)</v>
          </cell>
          <cell r="C104" t="str">
            <v>Gasoline</v>
          </cell>
          <cell r="D104" t="str">
            <v>LPG</v>
          </cell>
          <cell r="E104" t="str">
            <v>Distillate Fuel</v>
          </cell>
          <cell r="F104" t="str">
            <v>Residual Fuel</v>
          </cell>
          <cell r="G104" t="str">
            <v>Biomass</v>
          </cell>
          <cell r="H104" t="str">
            <v>Diesel</v>
          </cell>
          <cell r="I104" t="str">
            <v>Electricity</v>
          </cell>
          <cell r="J104" t="str">
            <v>Coal</v>
          </cell>
          <cell r="K104" t="str">
            <v>Natural Gas</v>
          </cell>
          <cell r="L104" t="str">
            <v>Nuclear</v>
          </cell>
          <cell r="M104" t="str">
            <v>Other</v>
          </cell>
          <cell r="N104" t="str">
            <v>Total</v>
          </cell>
          <cell r="S104" t="str">
            <v>Undistributed</v>
          </cell>
          <cell r="T104">
            <v>3.9024185427570551E-4</v>
          </cell>
        </row>
        <row r="105">
          <cell r="A105" t="str">
            <v>Steel Sheet</v>
          </cell>
          <cell r="C105">
            <v>9.7466376811594188E-2</v>
          </cell>
          <cell r="D105">
            <v>1.5913043478260869E-3</v>
          </cell>
          <cell r="E105">
            <v>1.3754724637681159</v>
          </cell>
          <cell r="F105">
            <v>0.11924927536231883</v>
          </cell>
          <cell r="G105">
            <v>5.8202898550724644E-3</v>
          </cell>
          <cell r="H105">
            <v>0</v>
          </cell>
          <cell r="I105">
            <v>6.5202898550724635</v>
          </cell>
          <cell r="J105">
            <v>0.21078260869565221</v>
          </cell>
          <cell r="K105">
            <v>6.2194202898550728</v>
          </cell>
          <cell r="L105">
            <v>3.9999999999999994E-2</v>
          </cell>
          <cell r="M105">
            <v>6.1797101449275367E-3</v>
          </cell>
          <cell r="S105" t="str">
            <v>Other</v>
          </cell>
          <cell r="T105">
            <v>1.2334578305110266E-2</v>
          </cell>
        </row>
        <row r="106">
          <cell r="B106">
            <v>13.957221999999998</v>
          </cell>
          <cell r="C106">
            <v>0.54452096556177154</v>
          </cell>
          <cell r="D106">
            <v>8.7553239462695373E-3</v>
          </cell>
          <cell r="E106">
            <v>6.9784660586469149</v>
          </cell>
          <cell r="F106">
            <v>0.67348645740534907</v>
          </cell>
          <cell r="G106">
            <v>4.29884972811925E-2</v>
          </cell>
          <cell r="H106">
            <v>0</v>
          </cell>
          <cell r="I106">
            <v>52.445966683054849</v>
          </cell>
          <cell r="J106">
            <v>1.4329499093730833</v>
          </cell>
          <cell r="K106">
            <v>37.543287625574777</v>
          </cell>
          <cell r="L106">
            <v>0.2865899818746166</v>
          </cell>
          <cell r="M106">
            <v>4.29884972811925E-2</v>
          </cell>
          <cell r="N106">
            <v>100</v>
          </cell>
          <cell r="S106" t="str">
            <v>Electricity</v>
          </cell>
          <cell r="T106">
            <v>1.0977999646462891E-2</v>
          </cell>
          <cell r="U106">
            <v>22.605397461383983</v>
          </cell>
        </row>
        <row r="107">
          <cell r="T107">
            <v>4.8563621432519501E-2</v>
          </cell>
          <cell r="U107">
            <v>100.00000000000001</v>
          </cell>
        </row>
        <row r="108">
          <cell r="A108" t="str">
            <v xml:space="preserve">Transportation energy numbers in above (right) table for steel sheet are for 100 percent virgin inputs.  Franklin provided data for processes with less than 100% virgin inputs  -- this table scales them correctly.  </v>
          </cell>
        </row>
        <row r="109">
          <cell r="D109" t="str">
            <v>Average Fuel Mix (in Percent)</v>
          </cell>
        </row>
        <row r="110">
          <cell r="A110" t="str">
            <v>Type of Product</v>
          </cell>
          <cell r="B110" t="str">
            <v>Transportation Energy Per Ton Made from Virgin Inputs (Million BTUs)</v>
          </cell>
          <cell r="C110" t="str">
            <v>Gasoline</v>
          </cell>
          <cell r="D110" t="str">
            <v>LPG</v>
          </cell>
          <cell r="E110" t="str">
            <v>Distillate Fuel</v>
          </cell>
          <cell r="F110" t="str">
            <v>Residual Oil</v>
          </cell>
          <cell r="G110" t="str">
            <v>Biomass/Hydro</v>
          </cell>
          <cell r="H110" t="str">
            <v>Diesel</v>
          </cell>
          <cell r="I110" t="str">
            <v>Electricity</v>
          </cell>
          <cell r="J110" t="str">
            <v>Coal</v>
          </cell>
          <cell r="K110" t="str">
            <v>Natural Gas</v>
          </cell>
          <cell r="L110" t="str">
            <v>Nuclear</v>
          </cell>
          <cell r="M110" t="str">
            <v>Other</v>
          </cell>
          <cell r="N110" t="str">
            <v>Total</v>
          </cell>
        </row>
        <row r="111">
          <cell r="A111" t="str">
            <v>Steel Sheet</v>
          </cell>
          <cell r="C111">
            <v>1.4695652173913043E-3</v>
          </cell>
          <cell r="D111">
            <v>1.0997101449275364E-3</v>
          </cell>
          <cell r="E111">
            <v>5.4985507246376811E-3</v>
          </cell>
          <cell r="F111">
            <v>0.18524057971014493</v>
          </cell>
          <cell r="G111">
            <v>7.3681159420289878E-4</v>
          </cell>
          <cell r="H111">
            <v>1.1004811594202899</v>
          </cell>
          <cell r="I111">
            <v>5.7971014492753622E-4</v>
          </cell>
          <cell r="J111">
            <v>1.188695652173913E-2</v>
          </cell>
          <cell r="K111">
            <v>9.3275362318840593E-2</v>
          </cell>
          <cell r="L111">
            <v>4.5188405797101459E-3</v>
          </cell>
          <cell r="M111">
            <v>6.6782608695652157E-4</v>
          </cell>
        </row>
        <row r="112">
          <cell r="B112">
            <v>1.1761000000000001</v>
          </cell>
          <cell r="C112">
            <v>0.10203214012413908</v>
          </cell>
          <cell r="D112">
            <v>7.8224640761839978E-2</v>
          </cell>
          <cell r="E112">
            <v>0.39112320380919979</v>
          </cell>
          <cell r="F112">
            <v>11.563642547402431</v>
          </cell>
          <cell r="G112">
            <v>5.2716605730805201E-2</v>
          </cell>
          <cell r="H112">
            <v>79.925176430575618</v>
          </cell>
          <cell r="I112">
            <v>3.4010713374713029E-2</v>
          </cell>
          <cell r="J112">
            <v>0.85026783436782571</v>
          </cell>
          <cell r="K112">
            <v>6.6320891080690405</v>
          </cell>
          <cell r="L112">
            <v>0.32310177705977383</v>
          </cell>
          <cell r="M112">
            <v>4.7614998724598234E-2</v>
          </cell>
          <cell r="N112">
            <v>99.999999999999986</v>
          </cell>
        </row>
        <row r="116">
          <cell r="A116" t="str">
            <v>The Franklin report erroneously provided data for 213.5 pounds of glass, which should have been 220 pounds (see 8/22/2002 e-mail from Melissa Huff to Noam Glick). In addition, 32 pounds of miscellaneous materials were not included in Franklin's estimate o</v>
          </cell>
        </row>
        <row r="117">
          <cell r="A117" t="str">
            <v>Type of Product</v>
          </cell>
          <cell r="B117" t="str">
            <v>Process Energy Per Ton Made from Virgin Inputs (Million BTUs)</v>
          </cell>
          <cell r="C117" t="str">
            <v>Gasoline</v>
          </cell>
          <cell r="D117" t="str">
            <v>LPG</v>
          </cell>
          <cell r="E117" t="str">
            <v>Distillate Fuel</v>
          </cell>
          <cell r="F117" t="str">
            <v>Residual Fuel</v>
          </cell>
          <cell r="G117" t="str">
            <v>Biomass/Hydro</v>
          </cell>
          <cell r="H117" t="str">
            <v>Diesel</v>
          </cell>
          <cell r="I117" t="str">
            <v>Electricity</v>
          </cell>
          <cell r="J117" t="str">
            <v>Coal</v>
          </cell>
          <cell r="K117" t="str">
            <v>Natural Gas</v>
          </cell>
          <cell r="L117" t="str">
            <v>Nuclear</v>
          </cell>
          <cell r="M117" t="str">
            <v>Other</v>
          </cell>
          <cell r="N117" t="str">
            <v>Total</v>
          </cell>
        </row>
        <row r="118">
          <cell r="A118" t="str">
            <v>Personal Computers (original)</v>
          </cell>
          <cell r="B118">
            <v>943.33039999999994</v>
          </cell>
          <cell r="C118">
            <v>0.13505342348767727</v>
          </cell>
          <cell r="D118">
            <v>3.8586692425050654E-3</v>
          </cell>
          <cell r="E118">
            <v>0.7166100021795121</v>
          </cell>
          <cell r="F118">
            <v>0.3689057407669678</v>
          </cell>
          <cell r="G118">
            <v>5.7243994256943279E-2</v>
          </cell>
          <cell r="H118">
            <v>9.7526805030347816E-2</v>
          </cell>
          <cell r="I118">
            <v>92.438449985286169</v>
          </cell>
          <cell r="J118">
            <v>0.96890760649715102</v>
          </cell>
          <cell r="K118">
            <v>4.81273581345412</v>
          </cell>
          <cell r="L118">
            <v>0.3498244093479867</v>
          </cell>
          <cell r="M118">
            <v>5.0883550450616245E-2</v>
          </cell>
          <cell r="N118">
            <v>100.00000000000001</v>
          </cell>
        </row>
        <row r="119">
          <cell r="A119" t="str">
            <v>Glass in personal computers (original)</v>
          </cell>
          <cell r="B119">
            <v>1.95252</v>
          </cell>
          <cell r="C119">
            <v>0.43226189744535271</v>
          </cell>
          <cell r="D119">
            <v>1.229180751029439E-2</v>
          </cell>
          <cell r="E119">
            <v>6.9756007620920659</v>
          </cell>
          <cell r="F119">
            <v>6.9141417245405945</v>
          </cell>
          <cell r="G119">
            <v>3.8924057115932234E-2</v>
          </cell>
          <cell r="H119">
            <v>0</v>
          </cell>
          <cell r="I119">
            <v>19.462028557966114</v>
          </cell>
          <cell r="J119">
            <v>2.273984389404462</v>
          </cell>
          <cell r="K119">
            <v>63.610103865773461</v>
          </cell>
          <cell r="L119">
            <v>0.24583615020588775</v>
          </cell>
          <cell r="M119">
            <v>3.4826787945834103E-2</v>
          </cell>
          <cell r="N119">
            <v>100</v>
          </cell>
        </row>
        <row r="120">
          <cell r="H120">
            <v>0</v>
          </cell>
          <cell r="I120">
            <v>19.462028557966114</v>
          </cell>
          <cell r="J120">
            <v>2.273984389404462</v>
          </cell>
          <cell r="K120">
            <v>63.610103865773461</v>
          </cell>
          <cell r="L120">
            <v>0.24583615020588775</v>
          </cell>
          <cell r="M120">
            <v>3.4826787945834103E-2</v>
          </cell>
          <cell r="N120">
            <v>100</v>
          </cell>
        </row>
        <row r="121">
          <cell r="H121">
            <v>0</v>
          </cell>
          <cell r="I121">
            <v>1.1569086651053873E-2</v>
          </cell>
          <cell r="J121">
            <v>1.3517564402810316E-3</v>
          </cell>
          <cell r="K121">
            <v>3.7812646370023448E-2</v>
          </cell>
          <cell r="L121">
            <v>1.4613583138173313E-4</v>
          </cell>
          <cell r="M121">
            <v>2.0702576112412194E-5</v>
          </cell>
          <cell r="N121">
            <v>5.9444402810304497E-2</v>
          </cell>
        </row>
        <row r="122">
          <cell r="H122">
            <v>9.7520659720731193E-2</v>
          </cell>
          <cell r="I122">
            <v>92.435077963481248</v>
          </cell>
          <cell r="J122">
            <v>0.96913312848604249</v>
          </cell>
          <cell r="K122">
            <v>4.8204488910443244</v>
          </cell>
          <cell r="L122">
            <v>0.34983334739541661</v>
          </cell>
          <cell r="M122">
            <v>5.0884733177947575E-2</v>
          </cell>
          <cell r="N122">
            <v>100.00630114932474</v>
          </cell>
        </row>
        <row r="123">
          <cell r="H123">
            <v>1.7490546035737833</v>
          </cell>
          <cell r="I123">
            <v>41.869207833864678</v>
          </cell>
          <cell r="J123">
            <v>1.3359421892948011</v>
          </cell>
          <cell r="K123">
            <v>50.562174840424269</v>
          </cell>
          <cell r="L123">
            <v>0.30473906050984256</v>
          </cell>
          <cell r="M123">
            <v>3.8101643416941437E-2</v>
          </cell>
          <cell r="N123">
            <v>100.11301250694788</v>
          </cell>
        </row>
        <row r="124">
          <cell r="H124">
            <v>1.7490546035737833</v>
          </cell>
          <cell r="I124">
            <v>41.869207833864678</v>
          </cell>
          <cell r="J124">
            <v>1.3359421892948011</v>
          </cell>
          <cell r="K124">
            <v>50.562174840424269</v>
          </cell>
          <cell r="L124">
            <v>0.30473906050984256</v>
          </cell>
          <cell r="M124">
            <v>3.8101643416941437E-2</v>
          </cell>
          <cell r="N124">
            <v>100.11301250694788</v>
          </cell>
        </row>
        <row r="125">
          <cell r="H125">
            <v>3.0413223140495882E-2</v>
          </cell>
          <cell r="I125">
            <v>0.7280376255637051</v>
          </cell>
          <cell r="J125">
            <v>2.3229868194398772E-2</v>
          </cell>
          <cell r="K125">
            <v>0.87919422455339047</v>
          </cell>
          <cell r="L125">
            <v>5.2989180714963016E-3</v>
          </cell>
          <cell r="M125">
            <v>6.6252579015619196E-4</v>
          </cell>
          <cell r="N125">
            <v>1.7408029357229953</v>
          </cell>
        </row>
        <row r="126">
          <cell r="H126">
            <v>0.10377702684488352</v>
          </cell>
          <cell r="I126">
            <v>92.419077935451341</v>
          </cell>
          <cell r="J126">
            <v>0.96706408045863224</v>
          </cell>
          <cell r="K126">
            <v>4.9976277971148253</v>
          </cell>
          <cell r="L126">
            <v>0.35031103912524675</v>
          </cell>
          <cell r="M126">
            <v>5.0931313987273637E-2</v>
          </cell>
          <cell r="N126">
            <v>100.18548259368713</v>
          </cell>
        </row>
        <row r="129">
          <cell r="A129" t="str">
            <v>Type of Product</v>
          </cell>
          <cell r="B129" t="str">
            <v>Transportation Energy Per Ton Made from Virgin Inputs (Million BTUs)</v>
          </cell>
          <cell r="C129" t="str">
            <v>Gasoline</v>
          </cell>
          <cell r="D129" t="str">
            <v>LPG</v>
          </cell>
          <cell r="E129" t="str">
            <v>Distillate Fuel</v>
          </cell>
          <cell r="F129" t="str">
            <v>Residual Oil</v>
          </cell>
          <cell r="G129" t="str">
            <v>Biomass/Hydro</v>
          </cell>
          <cell r="H129" t="str">
            <v>Diesel</v>
          </cell>
          <cell r="I129" t="str">
            <v>Electricity</v>
          </cell>
          <cell r="J129" t="str">
            <v>Coal</v>
          </cell>
          <cell r="K129" t="str">
            <v>Natural Gas</v>
          </cell>
          <cell r="L129" t="str">
            <v>Nuclear</v>
          </cell>
          <cell r="M129" t="str">
            <v>Other</v>
          </cell>
          <cell r="N129" t="str">
            <v>Total</v>
          </cell>
          <cell r="S129" t="str">
            <v>Middle Distillates</v>
          </cell>
        </row>
        <row r="130">
          <cell r="A130" t="str">
            <v>Personal Computers (original)</v>
          </cell>
          <cell r="B130">
            <v>4.869600000000001</v>
          </cell>
          <cell r="C130">
            <v>0.10267783801544274</v>
          </cell>
          <cell r="D130">
            <v>7.8035156891736471E-2</v>
          </cell>
          <cell r="E130">
            <v>0.41071135206177095</v>
          </cell>
          <cell r="F130">
            <v>60.210284212255615</v>
          </cell>
          <cell r="G130">
            <v>5.3392475768030218E-2</v>
          </cell>
          <cell r="H130">
            <v>30.597995728601934</v>
          </cell>
          <cell r="I130">
            <v>0.28749794644323962</v>
          </cell>
          <cell r="J130">
            <v>0.8624938393297189</v>
          </cell>
          <cell r="K130">
            <v>7.0231641202562827</v>
          </cell>
          <cell r="L130">
            <v>0.32856908164941673</v>
          </cell>
          <cell r="M130">
            <v>4.5178248726794802E-2</v>
          </cell>
          <cell r="N130">
            <v>99.999999999999986</v>
          </cell>
          <cell r="S130" t="str">
            <v>Residual Oil</v>
          </cell>
        </row>
        <row r="131">
          <cell r="A131" t="str">
            <v>Glass in personal computers (original)</v>
          </cell>
          <cell r="B131">
            <v>9.8805999999999991E-2</v>
          </cell>
          <cell r="C131">
            <v>0.10323259721069572</v>
          </cell>
          <cell r="D131">
            <v>7.8942574337590846E-2</v>
          </cell>
          <cell r="E131">
            <v>0.40483371455174788</v>
          </cell>
          <cell r="F131">
            <v>38.362042790923631</v>
          </cell>
          <cell r="G131">
            <v>5.4652551464485971E-2</v>
          </cell>
          <cell r="H131">
            <v>53.05345829200656</v>
          </cell>
          <cell r="I131">
            <v>0</v>
          </cell>
          <cell r="J131">
            <v>0.87039248628625798</v>
          </cell>
          <cell r="K131">
            <v>6.6797562901038399</v>
          </cell>
          <cell r="L131">
            <v>0.34410865736898577</v>
          </cell>
          <cell r="M131">
            <v>4.8580045746209749E-2</v>
          </cell>
          <cell r="N131">
            <v>100.00000000000001</v>
          </cell>
          <cell r="S131" t="str">
            <v>LPG</v>
          </cell>
        </row>
        <row r="132">
          <cell r="A132" t="str">
            <v>Adjusted glass in personal computers</v>
          </cell>
          <cell r="B132">
            <v>0.10181414519906322</v>
          </cell>
          <cell r="C132">
            <v>0.10323259721069572</v>
          </cell>
          <cell r="D132">
            <v>7.8942574337590846E-2</v>
          </cell>
          <cell r="E132">
            <v>0.40483371455174788</v>
          </cell>
          <cell r="F132">
            <v>38.362042790923631</v>
          </cell>
          <cell r="G132">
            <v>5.4652551464485971E-2</v>
          </cell>
          <cell r="H132">
            <v>53.05345829200656</v>
          </cell>
          <cell r="I132">
            <v>0</v>
          </cell>
          <cell r="J132">
            <v>0.87039248628625798</v>
          </cell>
          <cell r="K132">
            <v>6.6797562901038399</v>
          </cell>
          <cell r="L132">
            <v>0.34410865736898577</v>
          </cell>
          <cell r="M132">
            <v>4.8580045746209749E-2</v>
          </cell>
          <cell r="N132">
            <v>100.00000000000001</v>
          </cell>
          <cell r="S132" t="str">
            <v>Natural Gas</v>
          </cell>
        </row>
        <row r="133">
          <cell r="A133" t="str">
            <v>Delta in energy use for glass</v>
          </cell>
          <cell r="B133">
            <v>3.008145199063228E-3</v>
          </cell>
          <cell r="C133">
            <v>3.1053864168618228E-6</v>
          </cell>
          <cell r="D133">
            <v>2.3747072599531586E-6</v>
          </cell>
          <cell r="E133">
            <v>1.2177985948477736E-5</v>
          </cell>
          <cell r="F133">
            <v>1.1539859484777503E-3</v>
          </cell>
          <cell r="G133">
            <v>1.6440281030444945E-6</v>
          </cell>
          <cell r="H133">
            <v>1.5959250585480074E-3</v>
          </cell>
          <cell r="I133">
            <v>0</v>
          </cell>
          <cell r="J133">
            <v>2.6182669789227134E-5</v>
          </cell>
          <cell r="K133">
            <v>2.0093676814988265E-4</v>
          </cell>
          <cell r="L133">
            <v>1.0351288056206077E-5</v>
          </cell>
          <cell r="M133">
            <v>1.4613583138173283E-6</v>
          </cell>
          <cell r="N133">
            <v>3.008145199063228E-3</v>
          </cell>
          <cell r="S133" t="str">
            <v>Coal</v>
          </cell>
        </row>
        <row r="134">
          <cell r="A134" t="str">
            <v>Personal computers with adjusted glass</v>
          </cell>
          <cell r="B134">
            <v>4.8726081451990639</v>
          </cell>
          <cell r="C134">
            <v>0.10274191200386794</v>
          </cell>
          <cell r="D134">
            <v>7.8084452948852273E-2</v>
          </cell>
          <cell r="E134">
            <v>0.41095765091692771</v>
          </cell>
          <cell r="F134">
            <v>60.220479144995522</v>
          </cell>
          <cell r="G134">
            <v>5.3426993893836608E-2</v>
          </cell>
          <cell r="H134">
            <v>30.644611789444316</v>
          </cell>
          <cell r="I134">
            <v>0.28732045719280896</v>
          </cell>
          <cell r="J134">
            <v>0.86303605967190822</v>
          </cell>
          <cell r="K134">
            <v>7.0270759177231437</v>
          </cell>
          <cell r="L134">
            <v>0.3287911134799022</v>
          </cell>
          <cell r="M134">
            <v>4.521034015013406E-2</v>
          </cell>
          <cell r="N134">
            <v>100.06173583242122</v>
          </cell>
          <cell r="S134" t="str">
            <v>Petroleum Coke</v>
          </cell>
        </row>
        <row r="135">
          <cell r="A135" t="str">
            <v>Energy from non-wafer materials</v>
          </cell>
          <cell r="B135">
            <v>4.863948145199064</v>
          </cell>
          <cell r="S135" t="str">
            <v>Waste Fuel</v>
          </cell>
        </row>
        <row r="136">
          <cell r="A136" t="str">
            <v>Adjusted Energy from non-wafer materials</v>
          </cell>
          <cell r="B136">
            <v>5.0247398194205211</v>
          </cell>
          <cell r="S136" t="str">
            <v>Electricity</v>
          </cell>
        </row>
        <row r="137">
          <cell r="A137" t="str">
            <v>Delta in energy use for non-wafer materials</v>
          </cell>
          <cell r="B137">
            <v>0.16079167422145701</v>
          </cell>
          <cell r="S137" t="str">
            <v>Total</v>
          </cell>
        </row>
        <row r="138">
          <cell r="A138" t="str">
            <v>Adjusted Personal Computers</v>
          </cell>
          <cell r="B138">
            <v>5.0333998194205209</v>
          </cell>
          <cell r="C138">
            <v>0.10274191200386794</v>
          </cell>
          <cell r="D138">
            <v>7.8084452948852273E-2</v>
          </cell>
          <cell r="E138">
            <v>0.41095765091692771</v>
          </cell>
          <cell r="F138">
            <v>60.220479144995522</v>
          </cell>
          <cell r="G138">
            <v>5.3426993893836608E-2</v>
          </cell>
          <cell r="H138">
            <v>30.644611789444316</v>
          </cell>
          <cell r="I138">
            <v>0.28732045719280896</v>
          </cell>
          <cell r="J138">
            <v>0.86303605967190822</v>
          </cell>
          <cell r="K138">
            <v>7.0270759177231437</v>
          </cell>
          <cell r="L138">
            <v>0.3287911134799022</v>
          </cell>
          <cell r="M138">
            <v>4.521034015013406E-2</v>
          </cell>
          <cell r="N138">
            <v>100.06173583242122</v>
          </cell>
        </row>
        <row r="144">
          <cell r="A144" t="str">
            <v>GHG Emissions from Recycled Production: Process Energy Only</v>
          </cell>
        </row>
        <row r="145">
          <cell r="C145" t="str">
            <v>Average Fuel Mix (in Percent)</v>
          </cell>
        </row>
        <row r="146">
          <cell r="A146" t="str">
            <v>Type of Product</v>
          </cell>
          <cell r="B146" t="str">
            <v>Process Energy Per Ton Made from Recycled Inputs (Million BTUs)</v>
          </cell>
          <cell r="C146" t="str">
            <v>Gasoline</v>
          </cell>
          <cell r="D146" t="str">
            <v>LPG</v>
          </cell>
          <cell r="E146" t="str">
            <v>Distillate Fuel</v>
          </cell>
          <cell r="F146" t="str">
            <v>Residual Fuel</v>
          </cell>
          <cell r="G146" t="str">
            <v>Biomass/Hydro</v>
          </cell>
          <cell r="H146" t="str">
            <v>Diesel</v>
          </cell>
          <cell r="I146" t="str">
            <v>Electricity</v>
          </cell>
          <cell r="J146" t="str">
            <v>Coal</v>
          </cell>
          <cell r="K146" t="str">
            <v>Natural Gas</v>
          </cell>
          <cell r="L146" t="str">
            <v>Nuclear</v>
          </cell>
          <cell r="M146" t="str">
            <v>Other</v>
          </cell>
          <cell r="N146" t="str">
            <v>Total</v>
          </cell>
          <cell r="O146" t="str">
            <v>Energy Emissions (MTCO2E/Ton)</v>
          </cell>
          <cell r="P146" t="str">
            <v>CO2 Emissions (MT/Ton)</v>
          </cell>
          <cell r="Q146" t="str">
            <v>CH4 Emissions (MT/Ton)</v>
          </cell>
        </row>
        <row r="147">
          <cell r="A147" t="str">
            <v>Aluminum Cans</v>
          </cell>
          <cell r="B147">
            <v>36.237087109322573</v>
          </cell>
          <cell r="C147">
            <v>6.6694582126471894E-4</v>
          </cell>
          <cell r="D147">
            <v>0.22144280060189489</v>
          </cell>
          <cell r="E147">
            <v>1.1264321285974085E-2</v>
          </cell>
          <cell r="F147">
            <v>1.5097523806143527</v>
          </cell>
          <cell r="H147">
            <v>0.18395585543807255</v>
          </cell>
          <cell r="I147">
            <v>65.756668219702021</v>
          </cell>
          <cell r="J147">
            <v>0</v>
          </cell>
          <cell r="K147">
            <v>32.275707785905048</v>
          </cell>
          <cell r="M147">
            <v>3.6108507168377657E-2</v>
          </cell>
          <cell r="N147">
            <v>99.995566816537021</v>
          </cell>
          <cell r="O147">
            <v>1.9188839600156506</v>
          </cell>
          <cell r="P147">
            <v>1.8264522605292961</v>
          </cell>
          <cell r="Q147">
            <v>3.6972679794541607E-3</v>
          </cell>
        </row>
        <row r="148">
          <cell r="A148" t="str">
            <v>Steel Cans</v>
          </cell>
          <cell r="B148">
            <v>11.779787000000001</v>
          </cell>
          <cell r="C148">
            <v>8.6843675526560877E-3</v>
          </cell>
          <cell r="D148">
            <v>0.16500298350046566</v>
          </cell>
          <cell r="E148">
            <v>6.9474940421248702E-2</v>
          </cell>
          <cell r="F148">
            <v>2.6053102657968265E-2</v>
          </cell>
          <cell r="G148">
            <v>0</v>
          </cell>
          <cell r="H148">
            <v>0</v>
          </cell>
          <cell r="I148">
            <v>77.277636683923063</v>
          </cell>
          <cell r="J148">
            <v>0.65132756644920653</v>
          </cell>
          <cell r="K148">
            <v>21.801820355495391</v>
          </cell>
          <cell r="N148">
            <v>100.00000000000001</v>
          </cell>
          <cell r="O148">
            <v>0.62180909845926979</v>
          </cell>
          <cell r="P148">
            <v>0.59211225632001541</v>
          </cell>
          <cell r="Q148">
            <v>1.1878736855701801E-3</v>
          </cell>
        </row>
        <row r="149">
          <cell r="A149" t="str">
            <v>Glass</v>
          </cell>
          <cell r="B149">
            <v>4.3152828843256135</v>
          </cell>
          <cell r="C149">
            <v>0.55036948067221825</v>
          </cell>
          <cell r="D149">
            <v>1.3057081426726795E-3</v>
          </cell>
          <cell r="E149">
            <v>0.38569893205509054</v>
          </cell>
          <cell r="F149">
            <v>0.26017993028409814</v>
          </cell>
          <cell r="G149">
            <v>2.5954266035910924E-2</v>
          </cell>
          <cell r="H149">
            <v>0</v>
          </cell>
          <cell r="I149">
            <v>5.1005262951610746</v>
          </cell>
          <cell r="J149">
            <v>0.53995255061109082</v>
          </cell>
          <cell r="K149">
            <v>92.909459413726665</v>
          </cell>
          <cell r="L149">
            <v>0.20778292733875456</v>
          </cell>
          <cell r="M149">
            <v>1.8770495972399864E-2</v>
          </cell>
          <cell r="N149">
            <v>99.999999999999986</v>
          </cell>
          <cell r="O149">
            <v>0.23011079571513754</v>
          </cell>
          <cell r="P149">
            <v>0.21719309708646731</v>
          </cell>
          <cell r="Q149">
            <v>5.1670794514680884E-4</v>
          </cell>
        </row>
        <row r="150">
          <cell r="A150" t="str">
            <v>HDPE</v>
          </cell>
          <cell r="B150">
            <v>5.3267460827913045</v>
          </cell>
          <cell r="C150">
            <v>0</v>
          </cell>
          <cell r="D150">
            <v>1.7904903936381038</v>
          </cell>
          <cell r="E150">
            <v>0</v>
          </cell>
          <cell r="F150">
            <v>0</v>
          </cell>
          <cell r="G150">
            <v>0</v>
          </cell>
          <cell r="H150">
            <v>1.4592879762876658</v>
          </cell>
          <cell r="I150">
            <v>91.566546504122243</v>
          </cell>
          <cell r="J150">
            <v>0</v>
          </cell>
          <cell r="K150">
            <v>5.1836751259519813</v>
          </cell>
          <cell r="L150">
            <v>0</v>
          </cell>
          <cell r="M150">
            <v>0</v>
          </cell>
          <cell r="N150">
            <v>99.999999999999986</v>
          </cell>
          <cell r="O150">
            <v>0.34600316025975675</v>
          </cell>
          <cell r="P150">
            <v>0.26898849091142257</v>
          </cell>
          <cell r="Q150">
            <v>4.9775884484314905E-4</v>
          </cell>
        </row>
        <row r="151">
          <cell r="A151" t="str">
            <v>LDPE</v>
          </cell>
        </row>
        <row r="152">
          <cell r="A152" t="str">
            <v>PET</v>
          </cell>
          <cell r="B152">
            <v>12.02462390307679</v>
          </cell>
          <cell r="C152">
            <v>0</v>
          </cell>
          <cell r="D152">
            <v>0.49057064933832456</v>
          </cell>
          <cell r="E152">
            <v>0</v>
          </cell>
          <cell r="F152">
            <v>0</v>
          </cell>
          <cell r="G152">
            <v>0</v>
          </cell>
          <cell r="H152">
            <v>0.45052396880809586</v>
          </cell>
          <cell r="I152">
            <v>76.698444445205553</v>
          </cell>
          <cell r="J152">
            <v>0</v>
          </cell>
          <cell r="K152">
            <v>22.360460936648018</v>
          </cell>
          <cell r="L152">
            <v>0</v>
          </cell>
          <cell r="M152">
            <v>0</v>
          </cell>
          <cell r="N152">
            <v>100</v>
          </cell>
          <cell r="O152">
            <v>0.75476704104475767</v>
          </cell>
          <cell r="P152">
            <v>0.60259750479865992</v>
          </cell>
          <cell r="Q152">
            <v>1.2030170849848857E-3</v>
          </cell>
        </row>
        <row r="153">
          <cell r="A153" t="str">
            <v>Corrugated Containers</v>
          </cell>
          <cell r="B153">
            <v>11.730295084597655</v>
          </cell>
          <cell r="C153">
            <v>1.4918635783492095E-2</v>
          </cell>
          <cell r="D153">
            <v>4.7545265995252634E-2</v>
          </cell>
          <cell r="E153">
            <v>4.7296337901036649E-2</v>
          </cell>
          <cell r="F153">
            <v>0.65978647119988132</v>
          </cell>
          <cell r="G153">
            <v>1.9607349886875325E-3</v>
          </cell>
          <cell r="H153">
            <v>0.30809114126594528</v>
          </cell>
          <cell r="I153">
            <v>51.108373317646048</v>
          </cell>
          <cell r="J153">
            <v>38.396868685034349</v>
          </cell>
          <cell r="K153">
            <v>9.4007694780665751</v>
          </cell>
          <cell r="L153">
            <v>1.2599695824708185E-2</v>
          </cell>
          <cell r="M153">
            <v>1.7902362940190515E-3</v>
          </cell>
          <cell r="N153">
            <v>99.999999999999986</v>
          </cell>
          <cell r="O153">
            <v>0.81123041702777654</v>
          </cell>
          <cell r="P153">
            <v>0.77554984403224225</v>
          </cell>
          <cell r="Q153">
            <v>1.4272229198213676E-3</v>
          </cell>
        </row>
        <row r="154">
          <cell r="A154" t="str">
            <v>Magazines/Third-class Mail</v>
          </cell>
          <cell r="B154">
            <v>31.970909671358605</v>
          </cell>
          <cell r="C154">
            <v>0.1564477710128433</v>
          </cell>
          <cell r="D154">
            <v>7.5551347445818812E-3</v>
          </cell>
          <cell r="E154">
            <v>0.32335864367215966</v>
          </cell>
          <cell r="F154">
            <v>8.454106380427163</v>
          </cell>
          <cell r="G154">
            <v>22.849736006982617</v>
          </cell>
          <cell r="H154">
            <v>0</v>
          </cell>
          <cell r="I154">
            <v>25.871956991608808</v>
          </cell>
          <cell r="J154">
            <v>17.426795650020228</v>
          </cell>
          <cell r="K154">
            <v>24.787652320410256</v>
          </cell>
          <cell r="L154">
            <v>0.1077923819114748</v>
          </cell>
          <cell r="M154">
            <v>1.4598719209861895E-2</v>
          </cell>
          <cell r="N154">
            <v>100</v>
          </cell>
          <cell r="O154">
            <v>1.5989413734118318</v>
          </cell>
          <cell r="P154">
            <v>1.5315289359239364</v>
          </cell>
          <cell r="Q154">
            <v>2.6964974995158102E-3</v>
          </cell>
        </row>
        <row r="155">
          <cell r="A155" t="str">
            <v>Newspaper</v>
          </cell>
          <cell r="B155">
            <v>21.977864283677025</v>
          </cell>
          <cell r="C155">
            <v>0.29706025643487599</v>
          </cell>
          <cell r="D155">
            <v>2.607168706677143E-3</v>
          </cell>
          <cell r="E155">
            <v>0.57997127634766854</v>
          </cell>
          <cell r="F155">
            <v>0.30310724982261417</v>
          </cell>
          <cell r="G155">
            <v>4.8230346057203687E-2</v>
          </cell>
          <cell r="H155">
            <v>0</v>
          </cell>
          <cell r="I155">
            <v>57.751547074134038</v>
          </cell>
          <cell r="J155">
            <v>1.0923634658091241</v>
          </cell>
          <cell r="K155">
            <v>39.586585337419287</v>
          </cell>
          <cell r="L155">
            <v>0.29589401936701698</v>
          </cell>
          <cell r="M155">
            <v>4.2633805901509302E-2</v>
          </cell>
          <cell r="N155">
            <v>100</v>
          </cell>
          <cell r="O155">
            <v>1.16750823522377</v>
          </cell>
          <cell r="P155">
            <v>1.1097923694570573</v>
          </cell>
          <cell r="Q155">
            <v>2.3086346306684983E-3</v>
          </cell>
        </row>
        <row r="156">
          <cell r="A156" t="str">
            <v>Office Paper</v>
          </cell>
          <cell r="B156">
            <v>20.117909174069251</v>
          </cell>
          <cell r="C156">
            <v>0.20273989171723819</v>
          </cell>
          <cell r="D156">
            <v>9.7906617020445102E-3</v>
          </cell>
          <cell r="E156">
            <v>0.41903886504426335</v>
          </cell>
          <cell r="F156">
            <v>10.95563459317748</v>
          </cell>
          <cell r="G156">
            <v>2.1354943966378274E-2</v>
          </cell>
          <cell r="H156">
            <v>0</v>
          </cell>
          <cell r="I156">
            <v>33.527340946015855</v>
          </cell>
          <cell r="J156">
            <v>22.583298184372946</v>
          </cell>
          <cell r="K156">
            <v>32.122195892148362</v>
          </cell>
          <cell r="L156">
            <v>0.139687613925043</v>
          </cell>
          <cell r="M156">
            <v>1.8918407930367965E-2</v>
          </cell>
          <cell r="N156">
            <v>99.999999999999986</v>
          </cell>
          <cell r="O156">
            <v>1.3038577723100773</v>
          </cell>
          <cell r="P156">
            <v>1.2488862567620083</v>
          </cell>
          <cell r="Q156">
            <v>2.1988606219227637E-3</v>
          </cell>
        </row>
        <row r="157">
          <cell r="A157" t="str">
            <v>Phonebooks</v>
          </cell>
          <cell r="B157">
            <v>22.023816358981069</v>
          </cell>
          <cell r="C157">
            <v>0.20273989171723819</v>
          </cell>
          <cell r="D157">
            <v>9.7906617020445154E-3</v>
          </cell>
          <cell r="E157">
            <v>0.41903886504426335</v>
          </cell>
          <cell r="F157">
            <v>10.955634593177486</v>
          </cell>
          <cell r="G157">
            <v>2.1354943966378274E-2</v>
          </cell>
          <cell r="H157">
            <v>0</v>
          </cell>
          <cell r="I157">
            <v>33.527340946015862</v>
          </cell>
          <cell r="J157">
            <v>22.58329818437295</v>
          </cell>
          <cell r="K157">
            <v>32.122195892148369</v>
          </cell>
          <cell r="L157">
            <v>0.139687613925043</v>
          </cell>
          <cell r="M157">
            <v>1.8918407930367968E-2</v>
          </cell>
          <cell r="N157">
            <v>100.00000000000001</v>
          </cell>
          <cell r="O157">
            <v>1.4273811402131371</v>
          </cell>
          <cell r="P157">
            <v>1.3672017968763035</v>
          </cell>
          <cell r="Q157">
            <v>2.4071737334733414E-3</v>
          </cell>
        </row>
        <row r="158">
          <cell r="H158">
            <v>0</v>
          </cell>
          <cell r="I158">
            <v>30.4007356188363</v>
          </cell>
          <cell r="J158">
            <v>20.611082105357937</v>
          </cell>
          <cell r="K158">
            <v>29.57043038319382</v>
          </cell>
          <cell r="L158">
            <v>0.17335443542295711</v>
          </cell>
          <cell r="M158">
            <v>2.3444784739179939E-2</v>
          </cell>
          <cell r="N158">
            <v>100</v>
          </cell>
          <cell r="O158">
            <v>1.9899867673253318</v>
          </cell>
          <cell r="P158">
            <v>1.9062674015002634</v>
          </cell>
          <cell r="Q158">
            <v>3.3487746330027289E-3</v>
          </cell>
        </row>
        <row r="159">
          <cell r="H159">
            <v>23.612862547288778</v>
          </cell>
          <cell r="I159">
            <v>76.387137452711215</v>
          </cell>
          <cell r="J159">
            <v>0</v>
          </cell>
          <cell r="K159">
            <v>0</v>
          </cell>
          <cell r="N159">
            <v>100</v>
          </cell>
          <cell r="O159">
            <v>0.18214820117985128</v>
          </cell>
          <cell r="P159">
            <v>0.1761028977233722</v>
          </cell>
          <cell r="Q159">
            <v>2.4181213825916125E-4</v>
          </cell>
        </row>
        <row r="160">
          <cell r="H160">
            <v>8.5554443736923496</v>
          </cell>
          <cell r="I160">
            <v>25.561721095242426</v>
          </cell>
          <cell r="J160">
            <v>0</v>
          </cell>
          <cell r="K160">
            <v>17.292822705357956</v>
          </cell>
          <cell r="N160">
            <v>99.98116983534976</v>
          </cell>
          <cell r="O160">
            <v>0.32156268898931711</v>
          </cell>
          <cell r="P160">
            <v>0.30867302896435372</v>
          </cell>
          <cell r="Q160">
            <v>5.1558640099853413E-4</v>
          </cell>
        </row>
        <row r="161">
          <cell r="H161">
            <v>0</v>
          </cell>
          <cell r="I161">
            <v>77.284348340793656</v>
          </cell>
          <cell r="J161">
            <v>0.65138413504167336</v>
          </cell>
          <cell r="K161">
            <v>21.803713870148009</v>
          </cell>
          <cell r="N161">
            <v>100.00868512180057</v>
          </cell>
          <cell r="O161">
            <v>0.62180909845926979</v>
          </cell>
          <cell r="P161">
            <v>0.5921122563200153</v>
          </cell>
          <cell r="Q161">
            <v>1.1878736855701801E-3</v>
          </cell>
        </row>
        <row r="162">
          <cell r="D162">
            <v>0</v>
          </cell>
          <cell r="E162">
            <v>0</v>
          </cell>
          <cell r="F162">
            <v>9.8515861882580626</v>
          </cell>
          <cell r="G162">
            <v>0</v>
          </cell>
          <cell r="H162">
            <v>0</v>
          </cell>
          <cell r="I162">
            <v>37.661017265816149</v>
          </cell>
          <cell r="J162">
            <v>0</v>
          </cell>
          <cell r="K162">
            <v>52.48739654592579</v>
          </cell>
          <cell r="L162">
            <v>0</v>
          </cell>
          <cell r="M162">
            <v>0</v>
          </cell>
          <cell r="N162">
            <v>100</v>
          </cell>
          <cell r="O162">
            <v>0.64987992835714448</v>
          </cell>
          <cell r="P162">
            <v>0.61982987306099291</v>
          </cell>
          <cell r="Q162">
            <v>1.2020022118460654E-3</v>
          </cell>
        </row>
        <row r="163">
          <cell r="D163">
            <v>0</v>
          </cell>
          <cell r="E163">
            <v>0</v>
          </cell>
          <cell r="F163">
            <v>9.8515861882580626</v>
          </cell>
          <cell r="G163">
            <v>0</v>
          </cell>
          <cell r="H163">
            <v>0</v>
          </cell>
          <cell r="I163">
            <v>37.661017265816149</v>
          </cell>
          <cell r="J163">
            <v>0</v>
          </cell>
          <cell r="K163">
            <v>52.48739654592579</v>
          </cell>
          <cell r="L163">
            <v>0</v>
          </cell>
          <cell r="M163">
            <v>0</v>
          </cell>
          <cell r="N163">
            <v>100</v>
          </cell>
          <cell r="O163">
            <v>0.64987992835714448</v>
          </cell>
          <cell r="P163">
            <v>0.61982987306099291</v>
          </cell>
          <cell r="Q163">
            <v>1.2020022118460654E-3</v>
          </cell>
        </row>
        <row r="164">
          <cell r="D164">
            <v>2.7084542464693364E-4</v>
          </cell>
          <cell r="E164">
            <v>3.0373379763977562E-3</v>
          </cell>
          <cell r="F164">
            <v>0.45076417101953964</v>
          </cell>
          <cell r="G164">
            <v>6.9394467014896506</v>
          </cell>
          <cell r="H164">
            <v>0.15225382085509773</v>
          </cell>
          <cell r="I164">
            <v>36.322306055329854</v>
          </cell>
          <cell r="J164">
            <v>0.97891274908106019</v>
          </cell>
          <cell r="K164">
            <v>55.144128458115695</v>
          </cell>
          <cell r="N164">
            <v>99.99183594505709</v>
          </cell>
          <cell r="O164">
            <v>2.5652104710447863</v>
          </cell>
          <cell r="P164">
            <v>2.431366836532638</v>
          </cell>
          <cell r="Q164">
            <v>5.3537453804859327E-3</v>
          </cell>
        </row>
        <row r="165">
          <cell r="D165" t="str">
            <v>NA</v>
          </cell>
          <cell r="E165" t="str">
            <v>NA</v>
          </cell>
          <cell r="F165" t="str">
            <v>NA</v>
          </cell>
          <cell r="G165" t="str">
            <v>NA</v>
          </cell>
          <cell r="H165" t="str">
            <v>NA</v>
          </cell>
          <cell r="I165" t="str">
            <v>NA</v>
          </cell>
          <cell r="J165" t="str">
            <v>NA</v>
          </cell>
          <cell r="K165" t="str">
            <v>NA</v>
          </cell>
          <cell r="N165">
            <v>0</v>
          </cell>
          <cell r="O165" t="str">
            <v>NA</v>
          </cell>
          <cell r="P165">
            <v>0</v>
          </cell>
          <cell r="Q165">
            <v>0</v>
          </cell>
        </row>
        <row r="166">
          <cell r="D166">
            <v>0.21258469549431908</v>
          </cell>
          <cell r="E166">
            <v>0</v>
          </cell>
          <cell r="F166">
            <v>0</v>
          </cell>
          <cell r="G166">
            <v>0</v>
          </cell>
          <cell r="H166">
            <v>0</v>
          </cell>
          <cell r="I166">
            <v>99.787415304505672</v>
          </cell>
          <cell r="J166">
            <v>0</v>
          </cell>
          <cell r="K166">
            <v>0</v>
          </cell>
          <cell r="N166">
            <v>99.999999999999986</v>
          </cell>
          <cell r="O166">
            <v>0.65728782488708593</v>
          </cell>
          <cell r="P166">
            <v>0.62766488531846309</v>
          </cell>
          <cell r="Q166">
            <v>1.1849175827449126E-3</v>
          </cell>
        </row>
        <row r="167">
          <cell r="A167" t="str">
            <v>PS - unused</v>
          </cell>
          <cell r="B167">
            <v>12.372</v>
          </cell>
          <cell r="C167">
            <v>0</v>
          </cell>
          <cell r="D167">
            <v>0.19883608147429682</v>
          </cell>
          <cell r="E167">
            <v>0</v>
          </cell>
          <cell r="F167">
            <v>0</v>
          </cell>
          <cell r="G167">
            <v>0</v>
          </cell>
          <cell r="H167">
            <v>0</v>
          </cell>
          <cell r="I167">
            <v>99.801163918525702</v>
          </cell>
          <cell r="J167">
            <v>0</v>
          </cell>
          <cell r="K167">
            <v>0</v>
          </cell>
          <cell r="N167">
            <v>100</v>
          </cell>
          <cell r="O167">
            <v>0.64744892125963471</v>
          </cell>
          <cell r="P167">
            <v>0.61826539442766937</v>
          </cell>
          <cell r="Q167">
            <v>1.1673410732786229E-3</v>
          </cell>
        </row>
        <row r="168">
          <cell r="A168" t="str">
            <v>Flat Steel Products Made from Misc. Durables</v>
          </cell>
          <cell r="B168">
            <v>28.330699999999997</v>
          </cell>
          <cell r="C168">
            <v>0.27214294034386727</v>
          </cell>
          <cell r="D168">
            <v>0</v>
          </cell>
          <cell r="E168">
            <v>0.76595354156445139</v>
          </cell>
          <cell r="F168">
            <v>6.2123420882646753E-2</v>
          </cell>
          <cell r="G168">
            <v>0</v>
          </cell>
          <cell r="H168">
            <v>0</v>
          </cell>
          <cell r="I168">
            <v>47.217329610634408</v>
          </cell>
          <cell r="J168">
            <v>12.728241801296829</v>
          </cell>
          <cell r="K168">
            <v>38.954208685277813</v>
          </cell>
          <cell r="N168">
            <v>100.00000000000003</v>
          </cell>
          <cell r="O168">
            <v>1.6518701384288437</v>
          </cell>
          <cell r="P168">
            <v>1.5718457490111561</v>
          </cell>
          <cell r="Q168">
            <v>3.2009755767074878E-3</v>
          </cell>
        </row>
        <row r="169">
          <cell r="A169" t="str">
            <v>Injection Molded Plastic from Consumer Elect.</v>
          </cell>
          <cell r="B169">
            <v>34.586800000000004</v>
          </cell>
          <cell r="C169">
            <v>4.62604230515688E-2</v>
          </cell>
          <cell r="D169">
            <v>9.1942590814992994E-2</v>
          </cell>
          <cell r="E169">
            <v>0.88183931442053021</v>
          </cell>
          <cell r="F169">
            <v>2.6859958134317137</v>
          </cell>
          <cell r="G169">
            <v>0</v>
          </cell>
          <cell r="H169">
            <v>0</v>
          </cell>
          <cell r="I169">
            <v>64.796396313044269</v>
          </cell>
          <cell r="J169">
            <v>0.82112250916534624</v>
          </cell>
          <cell r="K169">
            <v>30.676443036071561</v>
          </cell>
          <cell r="N169">
            <v>99.999999999999986</v>
          </cell>
          <cell r="O169">
            <v>1.8574524782772064</v>
          </cell>
          <cell r="P169">
            <v>1.7703112078323926</v>
          </cell>
          <cell r="Q169">
            <v>3.4856508177925614E-3</v>
          </cell>
        </row>
        <row r="170">
          <cell r="A170" t="str">
            <v>Inject. Mld and Extru. Plast. from Housewares</v>
          </cell>
          <cell r="B170">
            <v>29.670399999999997</v>
          </cell>
          <cell r="C170">
            <v>4.9544327006039689E-2</v>
          </cell>
          <cell r="D170">
            <v>6.7744283865401225E-2</v>
          </cell>
          <cell r="E170">
            <v>0.12065897325280414</v>
          </cell>
          <cell r="F170">
            <v>0.47859145815358073</v>
          </cell>
          <cell r="G170">
            <v>0</v>
          </cell>
          <cell r="H170">
            <v>0</v>
          </cell>
          <cell r="I170">
            <v>66.736545513373613</v>
          </cell>
          <cell r="J170">
            <v>5.3251725625539273E-2</v>
          </cell>
          <cell r="K170">
            <v>32.493663718723042</v>
          </cell>
          <cell r="N170">
            <v>100.00000000000003</v>
          </cell>
          <cell r="O170">
            <v>1.564125420153784</v>
          </cell>
          <cell r="P170">
            <v>1.4876535236161339</v>
          </cell>
          <cell r="Q170">
            <v>3.0588758615060123E-3</v>
          </cell>
        </row>
        <row r="171">
          <cell r="A171" t="str">
            <v>Tissue Paper Made from Office Paper</v>
          </cell>
          <cell r="B171">
            <v>26.46</v>
          </cell>
          <cell r="C171">
            <v>0</v>
          </cell>
          <cell r="D171">
            <v>0</v>
          </cell>
          <cell r="E171">
            <v>14.28949357520786</v>
          </cell>
          <cell r="F171">
            <v>13.257747543461829</v>
          </cell>
          <cell r="G171">
            <v>0</v>
          </cell>
          <cell r="H171">
            <v>0</v>
          </cell>
          <cell r="I171">
            <v>48.639455782312922</v>
          </cell>
          <cell r="J171">
            <v>0</v>
          </cell>
          <cell r="K171">
            <v>23.813303099017382</v>
          </cell>
          <cell r="N171">
            <v>100</v>
          </cell>
          <cell r="O171">
            <v>1.5504062748884382</v>
          </cell>
          <cell r="P171">
            <v>1.4975770245324802</v>
          </cell>
          <cell r="Q171">
            <v>2.1131700142383168E-3</v>
          </cell>
        </row>
        <row r="172">
          <cell r="A172" t="str">
            <v>Folding Boxes</v>
          </cell>
          <cell r="B172">
            <v>18.898</v>
          </cell>
          <cell r="C172">
            <v>0</v>
          </cell>
          <cell r="D172">
            <v>0</v>
          </cell>
          <cell r="E172">
            <v>0</v>
          </cell>
          <cell r="F172">
            <v>3.2241507037781774</v>
          </cell>
          <cell r="G172">
            <v>0</v>
          </cell>
          <cell r="H172">
            <v>0</v>
          </cell>
          <cell r="I172">
            <v>36.22605566726638</v>
          </cell>
          <cell r="J172">
            <v>22.446819769287757</v>
          </cell>
          <cell r="K172">
            <v>38.104561329241193</v>
          </cell>
          <cell r="N172">
            <v>100.00158746957351</v>
          </cell>
          <cell r="O172">
            <v>1.190450189864513</v>
          </cell>
          <cell r="P172">
            <v>1.1349236484777563</v>
          </cell>
          <cell r="Q172">
            <v>2.2210616554702591E-3</v>
          </cell>
        </row>
        <row r="173">
          <cell r="A173" t="str">
            <v>Carpet</v>
          </cell>
        </row>
        <row r="174">
          <cell r="A174" t="str">
            <v>Carpet Pad/Cushion</v>
          </cell>
          <cell r="B174">
            <v>2.139192</v>
          </cell>
          <cell r="C174">
            <v>0.12154121743162838</v>
          </cell>
          <cell r="D174">
            <v>3.3657567904143248E-3</v>
          </cell>
          <cell r="E174">
            <v>0.68250068250068252</v>
          </cell>
          <cell r="F174">
            <v>0.26178108369889191</v>
          </cell>
          <cell r="G174">
            <v>5.7030878948687164E-2</v>
          </cell>
          <cell r="H174">
            <v>0</v>
          </cell>
          <cell r="I174">
            <v>95.363109061739209</v>
          </cell>
          <cell r="J174">
            <v>0.95363109061739193</v>
          </cell>
          <cell r="K174">
            <v>2.1503446160980411</v>
          </cell>
          <cell r="L174">
            <v>0.35527432787706759</v>
          </cell>
          <cell r="M174">
            <v>5.1421284297996632E-2</v>
          </cell>
          <cell r="N174">
            <v>100.00000000000001</v>
          </cell>
          <cell r="O174">
            <v>0.11281792907802116</v>
          </cell>
          <cell r="P174">
            <v>0.10776544619632202</v>
          </cell>
          <cell r="Q174">
            <v>2.0209931526796589E-4</v>
          </cell>
        </row>
        <row r="175">
          <cell r="A175" t="str">
            <v>Molded Products (auto parts)</v>
          </cell>
          <cell r="B175">
            <v>20.240680000000005</v>
          </cell>
          <cell r="C175">
            <v>0.11857309141787725</v>
          </cell>
          <cell r="D175">
            <v>3.3595709235065222E-3</v>
          </cell>
          <cell r="E175">
            <v>0.68179527565279419</v>
          </cell>
          <cell r="F175">
            <v>0.25690836473873402</v>
          </cell>
          <cell r="G175">
            <v>5.7310327518640659E-2</v>
          </cell>
          <cell r="H175">
            <v>0</v>
          </cell>
          <cell r="I175">
            <v>95.451338591391178</v>
          </cell>
          <cell r="J175">
            <v>0.94858473134301802</v>
          </cell>
          <cell r="K175">
            <v>2.0750290998128516</v>
          </cell>
          <cell r="L175">
            <v>0.3557192742536317</v>
          </cell>
          <cell r="M175">
            <v>5.1381672947746794E-2</v>
          </cell>
          <cell r="N175">
            <v>99.999999999999972</v>
          </cell>
          <cell r="O175">
            <v>1.0673657533420247</v>
          </cell>
          <cell r="P175">
            <v>1.0195693456188311</v>
          </cell>
          <cell r="Q175">
            <v>1.9118563089277523E-3</v>
          </cell>
        </row>
        <row r="176">
          <cell r="A176" t="str">
            <v>Backing for Commercial Carpet Tiles</v>
          </cell>
          <cell r="B176">
            <v>23.273979999999998</v>
          </cell>
          <cell r="C176">
            <v>0.1203060241522937</v>
          </cell>
          <cell r="D176">
            <v>3.3513821013853237E-3</v>
          </cell>
          <cell r="E176">
            <v>0.67886970771651434</v>
          </cell>
          <cell r="F176">
            <v>0.25779862318348645</v>
          </cell>
          <cell r="G176">
            <v>5.7575025844311983E-2</v>
          </cell>
          <cell r="H176">
            <v>0</v>
          </cell>
          <cell r="I176">
            <v>95.385490577889982</v>
          </cell>
          <cell r="J176">
            <v>0.94526161833945033</v>
          </cell>
          <cell r="K176">
            <v>2.1483218598623872</v>
          </cell>
          <cell r="L176">
            <v>0.35232478501743153</v>
          </cell>
          <cell r="M176">
            <v>5.0700395892752333E-2</v>
          </cell>
          <cell r="N176">
            <v>99.999999999999986</v>
          </cell>
          <cell r="O176">
            <v>1.2273431801117674</v>
          </cell>
          <cell r="P176">
            <v>1.172371017814801</v>
          </cell>
          <cell r="Q176">
            <v>2.1988864918786617E-3</v>
          </cell>
        </row>
        <row r="177">
          <cell r="A177" t="str">
            <v>Asphalt</v>
          </cell>
          <cell r="B177">
            <v>5.4886400000000002</v>
          </cell>
          <cell r="C177">
            <v>0.19677005597014924</v>
          </cell>
          <cell r="D177">
            <v>9.9113805970149238E-2</v>
          </cell>
          <cell r="E177">
            <v>0.84902635261194015</v>
          </cell>
          <cell r="F177">
            <v>1.5231459888059704</v>
          </cell>
          <cell r="G177">
            <v>5.4658348880597007E-2</v>
          </cell>
          <cell r="H177">
            <v>0</v>
          </cell>
          <cell r="I177">
            <v>87.088969216417908</v>
          </cell>
          <cell r="J177">
            <v>0.91097248134328368</v>
          </cell>
          <cell r="K177">
            <v>8.891091417910447</v>
          </cell>
          <cell r="L177">
            <v>0.33888176305970141</v>
          </cell>
          <cell r="M177">
            <v>4.7370569029850741E-2</v>
          </cell>
          <cell r="N177">
            <v>100</v>
          </cell>
          <cell r="O177">
            <v>0.29158930634899255</v>
          </cell>
          <cell r="P177">
            <v>0.27853733737643788</v>
          </cell>
          <cell r="Q177">
            <v>5.2207875890218939E-4</v>
          </cell>
        </row>
        <row r="178">
          <cell r="A178" t="str">
            <v>Steel Sheet</v>
          </cell>
          <cell r="B178">
            <v>12.53482</v>
          </cell>
          <cell r="C178">
            <v>0.22513286987766878</v>
          </cell>
          <cell r="D178">
            <v>3.1911108416395294E-3</v>
          </cell>
          <cell r="E178">
            <v>0.64141327916954538</v>
          </cell>
          <cell r="F178">
            <v>0.30155997453493549</v>
          </cell>
          <cell r="G178">
            <v>5.105777346623247E-2</v>
          </cell>
          <cell r="H178">
            <v>0</v>
          </cell>
          <cell r="I178">
            <v>72.597771647299282</v>
          </cell>
          <cell r="J178">
            <v>1.4040887703213927</v>
          </cell>
          <cell r="K178">
            <v>24.411997938542395</v>
          </cell>
          <cell r="L178">
            <v>0.3191110841639529</v>
          </cell>
          <cell r="M178">
            <v>4.4675551782953404E-2</v>
          </cell>
          <cell r="N178">
            <v>100</v>
          </cell>
          <cell r="O178">
            <v>0.66603060404414005</v>
          </cell>
          <cell r="P178">
            <v>0.63438679606914417</v>
          </cell>
          <cell r="Q178">
            <v>1.2657523189998337E-3</v>
          </cell>
        </row>
        <row r="179">
          <cell r="A179" t="str">
            <v>Lead Bullion</v>
          </cell>
          <cell r="B179">
            <v>19.497600000000002</v>
          </cell>
          <cell r="C179">
            <v>0.1959215493188905</v>
          </cell>
          <cell r="D179">
            <v>4.1030690956835713E-3</v>
          </cell>
          <cell r="E179">
            <v>0.70265058263581148</v>
          </cell>
          <cell r="F179">
            <v>0.90267520105038557</v>
          </cell>
          <cell r="G179">
            <v>5.5391432791728208E-2</v>
          </cell>
          <cell r="H179">
            <v>0</v>
          </cell>
          <cell r="I179">
            <v>86.67733464631543</v>
          </cell>
          <cell r="J179">
            <v>0.9201132447070407</v>
          </cell>
          <cell r="K179">
            <v>10.155096011816838</v>
          </cell>
          <cell r="L179">
            <v>0.33850320039389459</v>
          </cell>
          <cell r="M179">
            <v>4.8211061874281959E-2</v>
          </cell>
          <cell r="N179">
            <v>99.999999999999986</v>
          </cell>
          <cell r="O179">
            <v>1.0325166608699134</v>
          </cell>
          <cell r="P179">
            <v>0.98565090999166116</v>
          </cell>
          <cell r="Q179">
            <v>1.8746300351300948E-3</v>
          </cell>
        </row>
        <row r="180">
          <cell r="A180" t="str">
            <v>CRT Glass</v>
          </cell>
          <cell r="B180">
            <v>7.2870999999999997</v>
          </cell>
          <cell r="C180">
            <v>0.3567948841102771</v>
          </cell>
          <cell r="D180">
            <v>1.2350592142278821E-2</v>
          </cell>
          <cell r="E180">
            <v>6.4771994346173383</v>
          </cell>
          <cell r="F180">
            <v>6.5046451949335129</v>
          </cell>
          <cell r="G180">
            <v>4.116864047426274E-2</v>
          </cell>
          <cell r="H180">
            <v>0</v>
          </cell>
          <cell r="I180">
            <v>29.641421141469177</v>
          </cell>
          <cell r="J180">
            <v>0.68614400790437902</v>
          </cell>
          <cell r="K180">
            <v>55.989351044997328</v>
          </cell>
          <cell r="L180">
            <v>0.25524557094042893</v>
          </cell>
          <cell r="M180">
            <v>3.5679488411027707E-2</v>
          </cell>
          <cell r="N180">
            <v>100.00000000000001</v>
          </cell>
          <cell r="O180">
            <v>0.40655881705717378</v>
          </cell>
          <cell r="P180">
            <v>0.38833977312150514</v>
          </cell>
          <cell r="Q180">
            <v>7.2876175742674478E-4</v>
          </cell>
        </row>
        <row r="181">
          <cell r="A181" t="str">
            <v>Copper Wire</v>
          </cell>
          <cell r="B181">
            <v>101.04844200000001</v>
          </cell>
          <cell r="C181">
            <v>0.32657603963849341</v>
          </cell>
          <cell r="D181">
            <v>8.3544088685701852E-3</v>
          </cell>
          <cell r="E181">
            <v>0.81149197728352906</v>
          </cell>
          <cell r="F181">
            <v>6.8679930760337697</v>
          </cell>
          <cell r="G181">
            <v>4.7501969401962676E-2</v>
          </cell>
          <cell r="H181">
            <v>0</v>
          </cell>
          <cell r="I181">
            <v>52.6480160871753</v>
          </cell>
          <cell r="J181">
            <v>2.5334383681046759</v>
          </cell>
          <cell r="K181">
            <v>36.418176541504707</v>
          </cell>
          <cell r="L181">
            <v>0.29688730876226671</v>
          </cell>
          <cell r="M181">
            <v>4.1564223226717344E-2</v>
          </cell>
          <cell r="N181">
            <v>99.999999999999986</v>
          </cell>
          <cell r="O181">
            <v>5.5852504894341939</v>
          </cell>
          <cell r="P181">
            <v>5.3330796636544457</v>
          </cell>
          <cell r="Q181">
            <v>1.008683303118988E-2</v>
          </cell>
        </row>
        <row r="182">
          <cell r="A182" t="str">
            <v>Aluminum Sheet</v>
          </cell>
          <cell r="B182">
            <v>16.586520000000007</v>
          </cell>
          <cell r="C182">
            <v>0.33762356419550321</v>
          </cell>
          <cell r="D182">
            <v>5.5466728403546954E-3</v>
          </cell>
          <cell r="E182">
            <v>0.49437736185770109</v>
          </cell>
          <cell r="F182">
            <v>4.2805844746215582</v>
          </cell>
          <cell r="G182">
            <v>4.3408743967993262E-2</v>
          </cell>
          <cell r="H182">
            <v>0</v>
          </cell>
          <cell r="I182">
            <v>45.096861788970784</v>
          </cell>
          <cell r="J182">
            <v>0.7234790661332211</v>
          </cell>
          <cell r="K182">
            <v>48.714257119636891</v>
          </cell>
          <cell r="L182">
            <v>0.26527565758218102</v>
          </cell>
          <cell r="M182">
            <v>3.8585550193771793E-2</v>
          </cell>
          <cell r="N182">
            <v>99.999999999999957</v>
          </cell>
          <cell r="O182">
            <v>0.8947230795764598</v>
          </cell>
          <cell r="P182">
            <v>0.85145307189951724</v>
          </cell>
          <cell r="Q182">
            <v>1.730800307077709E-3</v>
          </cell>
        </row>
        <row r="183">
          <cell r="A183" t="str">
            <v>Clay Bricks</v>
          </cell>
        </row>
        <row r="184">
          <cell r="A184" t="str">
            <v>Concrete</v>
          </cell>
          <cell r="B184">
            <v>3.5206030999999999E-2</v>
          </cell>
          <cell r="C184">
            <v>0</v>
          </cell>
          <cell r="D184">
            <v>0</v>
          </cell>
          <cell r="E184">
            <v>0</v>
          </cell>
          <cell r="F184">
            <v>0</v>
          </cell>
          <cell r="G184">
            <v>0</v>
          </cell>
          <cell r="H184">
            <v>54.233409610983983</v>
          </cell>
          <cell r="I184">
            <v>45.766590389016024</v>
          </cell>
          <cell r="J184">
            <v>0</v>
          </cell>
          <cell r="K184">
            <v>0</v>
          </cell>
          <cell r="L184">
            <v>0</v>
          </cell>
          <cell r="M184">
            <v>0</v>
          </cell>
          <cell r="N184">
            <v>100</v>
          </cell>
          <cell r="O184">
            <v>2.2549866770819544E-3</v>
          </cell>
          <cell r="P184">
            <v>2.2087470113627884E-3</v>
          </cell>
          <cell r="Q184">
            <v>1.8495866287666102E-6</v>
          </cell>
        </row>
        <row r="185">
          <cell r="A185" t="str">
            <v>Fly Ash</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t="str">
            <v>Copper No. 1 Scrap</v>
          </cell>
          <cell r="B186">
            <v>7.8867500000000001</v>
          </cell>
          <cell r="C186">
            <v>0</v>
          </cell>
          <cell r="D186">
            <v>0</v>
          </cell>
          <cell r="E186">
            <v>17.128728563730299</v>
          </cell>
          <cell r="F186">
            <v>0</v>
          </cell>
          <cell r="G186">
            <v>0</v>
          </cell>
          <cell r="H186">
            <v>0</v>
          </cell>
          <cell r="I186">
            <v>25.9929628807811</v>
          </cell>
          <cell r="J186">
            <v>0</v>
          </cell>
          <cell r="K186">
            <v>54.722794560497</v>
          </cell>
          <cell r="L186">
            <v>0</v>
          </cell>
          <cell r="M186">
            <v>2.1555139949916002</v>
          </cell>
          <cell r="N186">
            <v>100</v>
          </cell>
          <cell r="O186">
            <v>0.43597629699932389</v>
          </cell>
          <cell r="P186">
            <v>0.41733364203298207</v>
          </cell>
          <cell r="Q186">
            <v>7.4570619865367116E-4</v>
          </cell>
        </row>
        <row r="187">
          <cell r="A187" t="str">
            <v>Copper No. 2 Scrap</v>
          </cell>
          <cell r="B187">
            <v>22.397839999999999</v>
          </cell>
          <cell r="C187">
            <v>0</v>
          </cell>
          <cell r="D187">
            <v>0</v>
          </cell>
          <cell r="E187">
            <v>43.595275258685703</v>
          </cell>
          <cell r="F187">
            <v>0</v>
          </cell>
          <cell r="G187">
            <v>0</v>
          </cell>
          <cell r="H187">
            <v>0</v>
          </cell>
          <cell r="I187">
            <v>50.317352030374394</v>
          </cell>
          <cell r="J187">
            <v>1.28262368156929</v>
          </cell>
          <cell r="K187">
            <v>4.80474902937069</v>
          </cell>
          <cell r="L187">
            <v>0</v>
          </cell>
          <cell r="M187">
            <v>0</v>
          </cell>
          <cell r="N187">
            <v>100.00000000000009</v>
          </cell>
          <cell r="O187">
            <v>1.3961808840927616</v>
          </cell>
          <cell r="P187">
            <v>1.3609248391414071</v>
          </cell>
          <cell r="Q187">
            <v>1.410241798054177E-3</v>
          </cell>
        </row>
        <row r="188">
          <cell r="A188" t="str">
            <v>Tires</v>
          </cell>
          <cell r="B188">
            <v>1.9460343789533314</v>
          </cell>
          <cell r="C188">
            <v>0</v>
          </cell>
          <cell r="D188">
            <v>0</v>
          </cell>
          <cell r="E188">
            <v>0</v>
          </cell>
          <cell r="F188">
            <v>0</v>
          </cell>
          <cell r="G188">
            <v>0</v>
          </cell>
          <cell r="H188">
            <v>0</v>
          </cell>
          <cell r="I188">
            <v>100</v>
          </cell>
          <cell r="J188">
            <v>0</v>
          </cell>
          <cell r="K188">
            <v>0</v>
          </cell>
          <cell r="L188">
            <v>0</v>
          </cell>
          <cell r="M188">
            <v>0</v>
          </cell>
          <cell r="N188">
            <v>100</v>
          </cell>
          <cell r="O188">
            <v>0.10180310435897257</v>
          </cell>
          <cell r="P188">
            <v>9.7205240811681526E-2</v>
          </cell>
          <cell r="Q188">
            <v>1.8391454189164145E-4</v>
          </cell>
        </row>
        <row r="189">
          <cell r="A189" t="str">
            <v>Asphalt Concrete</v>
          </cell>
          <cell r="B189">
            <v>0.41126957156542265</v>
          </cell>
          <cell r="C189">
            <v>0</v>
          </cell>
          <cell r="D189">
            <v>3.2755562799439599</v>
          </cell>
          <cell r="E189">
            <v>0</v>
          </cell>
          <cell r="F189">
            <v>36.76190167574692</v>
          </cell>
          <cell r="G189">
            <v>0</v>
          </cell>
          <cell r="H189">
            <v>13.225253601063173</v>
          </cell>
          <cell r="I189">
            <v>6.1172553780648071</v>
          </cell>
          <cell r="J189">
            <v>0</v>
          </cell>
          <cell r="K189">
            <v>40.62003306518114</v>
          </cell>
          <cell r="L189">
            <v>0</v>
          </cell>
          <cell r="M189">
            <v>0</v>
          </cell>
          <cell r="N189">
            <v>100</v>
          </cell>
          <cell r="O189">
            <v>2.638084872393813E-2</v>
          </cell>
          <cell r="P189">
            <v>2.5715906901422492E-2</v>
          </cell>
          <cell r="Q189">
            <v>2.6597672900625499E-5</v>
          </cell>
        </row>
        <row r="190">
          <cell r="A190" t="str">
            <v>Asphalt Shingles</v>
          </cell>
          <cell r="B190">
            <v>3.525365442976313E-2</v>
          </cell>
          <cell r="C190">
            <v>0</v>
          </cell>
          <cell r="D190">
            <v>0</v>
          </cell>
          <cell r="E190">
            <v>0</v>
          </cell>
          <cell r="F190">
            <v>0</v>
          </cell>
          <cell r="G190">
            <v>0</v>
          </cell>
          <cell r="H190">
            <v>100</v>
          </cell>
          <cell r="I190">
            <v>0</v>
          </cell>
          <cell r="J190">
            <v>0</v>
          </cell>
          <cell r="K190">
            <v>0</v>
          </cell>
          <cell r="L190">
            <v>0</v>
          </cell>
          <cell r="M190">
            <v>0</v>
          </cell>
          <cell r="N190">
            <v>100</v>
          </cell>
          <cell r="O190">
            <v>2.6072427694438481E-3</v>
          </cell>
          <cell r="P190">
            <v>2.5921566034448566E-3</v>
          </cell>
          <cell r="Q190">
            <v>6.0344663995965689E-7</v>
          </cell>
        </row>
        <row r="191">
          <cell r="A191" t="str">
            <v>Glass shingle</v>
          </cell>
          <cell r="B191">
            <v>3.525365442976313E-2</v>
          </cell>
          <cell r="C191">
            <v>0</v>
          </cell>
          <cell r="D191">
            <v>0</v>
          </cell>
          <cell r="E191">
            <v>0</v>
          </cell>
          <cell r="F191">
            <v>0</v>
          </cell>
          <cell r="G191">
            <v>0</v>
          </cell>
          <cell r="H191">
            <v>100</v>
          </cell>
          <cell r="I191">
            <v>0</v>
          </cell>
          <cell r="J191">
            <v>0</v>
          </cell>
          <cell r="K191">
            <v>0</v>
          </cell>
          <cell r="L191">
            <v>0</v>
          </cell>
          <cell r="M191">
            <v>0</v>
          </cell>
          <cell r="N191">
            <v>100</v>
          </cell>
          <cell r="O191">
            <v>2.6072427694438481E-3</v>
          </cell>
          <cell r="P191">
            <v>2.5921566034448566E-3</v>
          </cell>
          <cell r="Q191">
            <v>6.0344663995965689E-7</v>
          </cell>
        </row>
        <row r="192">
          <cell r="A192" t="str">
            <v>Drywall</v>
          </cell>
          <cell r="B192">
            <v>3.1863462714209239</v>
          </cell>
          <cell r="C192">
            <v>0</v>
          </cell>
          <cell r="D192">
            <v>0</v>
          </cell>
          <cell r="E192">
            <v>18.446310249648835</v>
          </cell>
          <cell r="F192">
            <v>0</v>
          </cell>
          <cell r="G192">
            <v>0</v>
          </cell>
          <cell r="H192">
            <v>3.3503884424010777</v>
          </cell>
          <cell r="I192">
            <v>10.885565561791774</v>
          </cell>
          <cell r="J192">
            <v>0</v>
          </cell>
          <cell r="K192">
            <v>67.317735746158306</v>
          </cell>
          <cell r="L192">
            <v>0</v>
          </cell>
          <cell r="M192">
            <v>0</v>
          </cell>
          <cell r="N192">
            <v>100</v>
          </cell>
          <cell r="O192">
            <v>0.18323579019183645</v>
          </cell>
          <cell r="P192">
            <v>0.17554821951192909</v>
          </cell>
          <cell r="Q192">
            <v>3.0750282719629136E-4</v>
          </cell>
        </row>
        <row r="193">
          <cell r="A193" t="str">
            <v>Ag Gypsum</v>
          </cell>
          <cell r="B193">
            <v>0.11265360316686816</v>
          </cell>
          <cell r="E193">
            <v>0</v>
          </cell>
          <cell r="H193">
            <v>3.2754219907810738</v>
          </cell>
          <cell r="I193">
            <v>96.724578009218931</v>
          </cell>
          <cell r="K193">
            <v>0</v>
          </cell>
          <cell r="N193">
            <v>100</v>
          </cell>
          <cell r="O193">
            <v>5.9731221350032403E-3</v>
          </cell>
          <cell r="P193">
            <v>5.7140963154020371E-3</v>
          </cell>
          <cell r="Q193">
            <v>1.0361032784048098E-5</v>
          </cell>
        </row>
        <row r="194">
          <cell r="A194" t="str">
            <v>Fiberglass Insulation</v>
          </cell>
          <cell r="B194">
            <v>2.4663719667869466</v>
          </cell>
          <cell r="I194">
            <v>41.422663009941488</v>
          </cell>
          <cell r="K194">
            <v>58.577336990058512</v>
          </cell>
          <cell r="N194">
            <v>100</v>
          </cell>
          <cell r="O194">
            <v>0.13004485349693432</v>
          </cell>
          <cell r="P194">
            <v>0.12320528573819278</v>
          </cell>
          <cell r="Q194">
            <v>2.7358271034966193E-4</v>
          </cell>
        </row>
        <row r="195">
          <cell r="A195" t="str">
            <v>Vinyl Flooring</v>
          </cell>
        </row>
        <row r="197">
          <cell r="H197">
            <v>0.60975176386124663</v>
          </cell>
          <cell r="I197">
            <v>57.293218343483488</v>
          </cell>
          <cell r="J197">
            <v>0</v>
          </cell>
          <cell r="K197">
            <v>36.136327065076138</v>
          </cell>
          <cell r="N197">
            <v>99.989308235928675</v>
          </cell>
          <cell r="O197">
            <v>0.24289390079879974</v>
          </cell>
          <cell r="P197">
            <v>0.23170173785597353</v>
          </cell>
          <cell r="Q197">
            <v>4.4768651771304993E-4</v>
          </cell>
        </row>
        <row r="203">
          <cell r="I203">
            <v>11.099137931034482</v>
          </cell>
          <cell r="K203">
            <v>88.900862068965523</v>
          </cell>
          <cell r="N203">
            <v>100</v>
          </cell>
          <cell r="O203">
            <v>3.9303138873969918</v>
          </cell>
          <cell r="P203">
            <v>3.7086664560102438</v>
          </cell>
          <cell r="Q203">
            <v>8.8658972554699327E-3</v>
          </cell>
        </row>
        <row r="204">
          <cell r="I204">
            <v>100</v>
          </cell>
          <cell r="K204">
            <v>0</v>
          </cell>
          <cell r="N204">
            <v>100</v>
          </cell>
          <cell r="O204">
            <v>0.16367636399720994</v>
          </cell>
          <cell r="P204">
            <v>0.15628403944763364</v>
          </cell>
          <cell r="Q204">
            <v>2.956929819830518E-4</v>
          </cell>
        </row>
        <row r="205">
          <cell r="A205" t="str">
            <v>Nylon 6-6 Pellets</v>
          </cell>
          <cell r="B205">
            <v>13.392212483025801</v>
          </cell>
          <cell r="I205">
            <v>62.227282581056677</v>
          </cell>
          <cell r="K205">
            <v>37.77271741894333</v>
          </cell>
          <cell r="N205">
            <v>100</v>
          </cell>
          <cell r="O205">
            <v>0.70416413391742072</v>
          </cell>
          <cell r="P205">
            <v>0.66897806155622552</v>
          </cell>
          <cell r="Q205">
            <v>1.4074428944478045E-3</v>
          </cell>
        </row>
        <row r="206">
          <cell r="A206" t="str">
            <v>PET Fiber</v>
          </cell>
          <cell r="B206">
            <v>1.2390857249721003</v>
          </cell>
          <cell r="I206">
            <v>100</v>
          </cell>
          <cell r="K206">
            <v>0</v>
          </cell>
          <cell r="N206">
            <v>100</v>
          </cell>
          <cell r="O206">
            <v>6.4820423900678159E-2</v>
          </cell>
          <cell r="P206">
            <v>6.1892856356942312E-2</v>
          </cell>
          <cell r="Q206">
            <v>1.1710270174943362E-4</v>
          </cell>
        </row>
        <row r="207">
          <cell r="A207" t="str">
            <v>PP Fiber</v>
          </cell>
          <cell r="B207">
            <v>10.548244541308508</v>
          </cell>
          <cell r="I207">
            <v>52.043180668142995</v>
          </cell>
          <cell r="K207">
            <v>47.956819331857012</v>
          </cell>
          <cell r="N207">
            <v>100</v>
          </cell>
          <cell r="O207">
            <v>0.55538733516428751</v>
          </cell>
          <cell r="P207">
            <v>0.52692065926921194</v>
          </cell>
          <cell r="Q207">
            <v>1.1386670358030204E-3</v>
          </cell>
        </row>
      </sheetData>
      <sheetData sheetId="2" refreshError="1">
        <row r="6">
          <cell r="B6" t="str">
            <v>Steel Cans</v>
          </cell>
          <cell r="C6">
            <v>-2.9805567090827734</v>
          </cell>
          <cell r="D6">
            <v>-3.2531858241853012E-3</v>
          </cell>
          <cell r="E6">
            <v>0</v>
          </cell>
          <cell r="F6">
            <v>0</v>
          </cell>
          <cell r="G6">
            <v>0</v>
          </cell>
          <cell r="H6">
            <v>-0.83505991491474696</v>
          </cell>
          <cell r="I6">
            <v>-3.561013690095344</v>
          </cell>
          <cell r="J6">
            <v>-4.2231700916413985E-3</v>
          </cell>
          <cell r="K6">
            <v>0</v>
          </cell>
          <cell r="L6">
            <v>0</v>
          </cell>
          <cell r="M6">
            <v>0</v>
          </cell>
          <cell r="N6">
            <v>-0.99997989337810322</v>
          </cell>
          <cell r="O6">
            <v>-1.7395958452364508</v>
          </cell>
          <cell r="P6">
            <v>-2.906986489623778E-3</v>
          </cell>
          <cell r="Q6">
            <v>0</v>
          </cell>
          <cell r="R6">
            <v>0</v>
          </cell>
          <cell r="S6">
            <v>0</v>
          </cell>
          <cell r="T6">
            <v>-0.49425559294828508</v>
          </cell>
          <cell r="U6" t="str">
            <v>NA</v>
          </cell>
          <cell r="V6" t="str">
            <v>NA</v>
          </cell>
          <cell r="W6" t="str">
            <v>NA</v>
          </cell>
          <cell r="X6" t="str">
            <v>NA</v>
          </cell>
          <cell r="Y6" t="str">
            <v>NA</v>
          </cell>
          <cell r="Z6" t="str">
            <v>NA</v>
          </cell>
          <cell r="AA6">
            <v>-1.4406372183798217</v>
          </cell>
          <cell r="AB6">
            <v>-2.5639620838481723E-3</v>
          </cell>
          <cell r="AC6">
            <v>0</v>
          </cell>
          <cell r="AD6">
            <v>0</v>
          </cell>
          <cell r="AE6">
            <v>0</v>
          </cell>
          <cell r="AF6">
            <v>-0.41038261922073432</v>
          </cell>
          <cell r="AG6">
            <v>0.14218986714494056</v>
          </cell>
          <cell r="AH6">
            <v>0</v>
          </cell>
          <cell r="AI6">
            <v>0</v>
          </cell>
          <cell r="AJ6">
            <v>0</v>
          </cell>
          <cell r="AK6">
            <v>0</v>
          </cell>
          <cell r="AL6">
            <v>3.8779054675892877E-2</v>
          </cell>
          <cell r="AM6">
            <v>3.561013690095344</v>
          </cell>
          <cell r="AN6">
            <v>4.2231700916413985E-3</v>
          </cell>
          <cell r="AO6">
            <v>0</v>
          </cell>
          <cell r="AP6">
            <v>0</v>
          </cell>
          <cell r="AQ6">
            <v>0</v>
          </cell>
          <cell r="AR6">
            <v>0.99997989337810322</v>
          </cell>
          <cell r="AS6">
            <v>0.67300000000000004</v>
          </cell>
          <cell r="AT6">
            <v>2.9805567090827734</v>
          </cell>
          <cell r="AU6">
            <v>3.2531858241853012E-3</v>
          </cell>
          <cell r="AV6">
            <v>0</v>
          </cell>
          <cell r="AW6">
            <v>0</v>
          </cell>
          <cell r="AX6">
            <v>0</v>
          </cell>
          <cell r="AY6">
            <v>0.83505991491474696</v>
          </cell>
          <cell r="AZ6">
            <v>1.7859158888336595</v>
          </cell>
          <cell r="BA6">
            <v>1.2568573471273391E-3</v>
          </cell>
          <cell r="BB6">
            <v>0</v>
          </cell>
          <cell r="BC6">
            <v>0</v>
          </cell>
          <cell r="BD6">
            <v>0</v>
          </cell>
          <cell r="BE6">
            <v>0.49563745159413891</v>
          </cell>
        </row>
        <row r="7">
          <cell r="B7" t="str">
            <v>Copper Wire</v>
          </cell>
          <cell r="C7">
            <v>-6.7361046213535332</v>
          </cell>
          <cell r="D7">
            <v>-1.0984034815506782E-2</v>
          </cell>
          <cell r="E7">
            <v>0</v>
          </cell>
          <cell r="F7">
            <v>0</v>
          </cell>
          <cell r="G7">
            <v>0</v>
          </cell>
          <cell r="H7">
            <v>-1.9120105886566916</v>
          </cell>
          <cell r="I7">
            <v>-6.8003285951449248</v>
          </cell>
          <cell r="J7">
            <v>-1.1028365045432101E-2</v>
          </cell>
          <cell r="K7">
            <v>0</v>
          </cell>
          <cell r="L7">
            <v>0</v>
          </cell>
          <cell r="M7">
            <v>0</v>
          </cell>
          <cell r="N7">
            <v>-1.9298284694401981</v>
          </cell>
          <cell r="O7">
            <v>-4.5321629323601993</v>
          </cell>
          <cell r="P7">
            <v>-6.9996696002867769E-3</v>
          </cell>
          <cell r="Q7">
            <v>0</v>
          </cell>
          <cell r="R7">
            <v>0</v>
          </cell>
          <cell r="S7">
            <v>0</v>
          </cell>
          <cell r="T7">
            <v>-1.2837694561001913</v>
          </cell>
          <cell r="U7" t="str">
            <v>NA</v>
          </cell>
          <cell r="V7" t="str">
            <v>NA</v>
          </cell>
          <cell r="W7" t="str">
            <v>NA</v>
          </cell>
          <cell r="X7" t="str">
            <v>NA</v>
          </cell>
          <cell r="Y7" t="str">
            <v>NA</v>
          </cell>
          <cell r="Z7" t="str">
            <v>NA</v>
          </cell>
          <cell r="AA7">
            <v>0.11174836521927695</v>
          </cell>
          <cell r="AB7">
            <v>0</v>
          </cell>
          <cell r="AC7">
            <v>0</v>
          </cell>
          <cell r="AD7">
            <v>0</v>
          </cell>
          <cell r="AE7">
            <v>0</v>
          </cell>
          <cell r="AF7">
            <v>3.0476826877984621E-2</v>
          </cell>
          <cell r="AG7">
            <v>0.14218986714494056</v>
          </cell>
          <cell r="AH7">
            <v>0</v>
          </cell>
          <cell r="AI7">
            <v>0</v>
          </cell>
          <cell r="AJ7">
            <v>0</v>
          </cell>
          <cell r="AK7">
            <v>0</v>
          </cell>
          <cell r="AL7">
            <v>3.8779054675892877E-2</v>
          </cell>
          <cell r="AM7">
            <v>6.8003285951449248</v>
          </cell>
          <cell r="AN7">
            <v>1.1028365045432101E-2</v>
          </cell>
          <cell r="AO7">
            <v>0</v>
          </cell>
          <cell r="AP7">
            <v>0</v>
          </cell>
          <cell r="AQ7">
            <v>0</v>
          </cell>
          <cell r="AR7">
            <v>1.9298284694401981</v>
          </cell>
          <cell r="AS7">
            <v>0.95</v>
          </cell>
          <cell r="AT7">
            <v>6.7361046213535332</v>
          </cell>
          <cell r="AU7">
            <v>1.0984034815506782E-2</v>
          </cell>
          <cell r="AV7">
            <v>0</v>
          </cell>
          <cell r="AW7">
            <v>0</v>
          </cell>
          <cell r="AX7">
            <v>0</v>
          </cell>
          <cell r="AY7">
            <v>1.9120105886566916</v>
          </cell>
          <cell r="AZ7">
            <v>5.5158491193170907</v>
          </cell>
          <cell r="BA7">
            <v>1.0141760446925732E-2</v>
          </cell>
          <cell r="BB7">
            <v>0</v>
          </cell>
          <cell r="BC7">
            <v>0</v>
          </cell>
          <cell r="BD7">
            <v>0</v>
          </cell>
          <cell r="BE7">
            <v>1.5734708537700637</v>
          </cell>
        </row>
        <row r="8">
          <cell r="B8" t="str">
            <v>Glass</v>
          </cell>
          <cell r="C8">
            <v>-0.50743051757762858</v>
          </cell>
          <cell r="D8">
            <v>-7.2940116524595382E-4</v>
          </cell>
          <cell r="E8">
            <v>0</v>
          </cell>
          <cell r="F8">
            <v>0</v>
          </cell>
          <cell r="G8">
            <v>0</v>
          </cell>
          <cell r="H8">
            <v>-0.14336333092057565</v>
          </cell>
          <cell r="I8">
            <v>-0.57855423250311955</v>
          </cell>
          <cell r="J8">
            <v>-7.9061158707523411E-4</v>
          </cell>
          <cell r="K8">
            <v>0</v>
          </cell>
          <cell r="L8">
            <v>0</v>
          </cell>
          <cell r="M8">
            <v>0</v>
          </cell>
          <cell r="N8">
            <v>-0.16317805150363646</v>
          </cell>
          <cell r="O8">
            <v>-0.27069827114906642</v>
          </cell>
          <cell r="P8">
            <v>-2.3296808079906203E-4</v>
          </cell>
          <cell r="Q8">
            <v>0</v>
          </cell>
          <cell r="R8">
            <v>0</v>
          </cell>
          <cell r="S8">
            <v>0</v>
          </cell>
          <cell r="T8">
            <v>-7.5415219955193527E-2</v>
          </cell>
          <cell r="U8" t="str">
            <v>NA</v>
          </cell>
          <cell r="V8" t="str">
            <v>NA</v>
          </cell>
          <cell r="W8" t="str">
            <v>NA</v>
          </cell>
          <cell r="X8" t="str">
            <v>NA</v>
          </cell>
          <cell r="Y8" t="str">
            <v>NA</v>
          </cell>
          <cell r="Z8" t="str">
            <v>NA</v>
          </cell>
          <cell r="AA8">
            <v>0.10091113635894754</v>
          </cell>
          <cell r="AB8">
            <v>0</v>
          </cell>
          <cell r="AC8">
            <v>0</v>
          </cell>
          <cell r="AD8">
            <v>0</v>
          </cell>
          <cell r="AE8">
            <v>0</v>
          </cell>
          <cell r="AF8">
            <v>2.7521219006985689E-2</v>
          </cell>
          <cell r="AG8">
            <v>0.14218986714494056</v>
          </cell>
          <cell r="AH8">
            <v>0</v>
          </cell>
          <cell r="AI8">
            <v>0</v>
          </cell>
          <cell r="AJ8">
            <v>0</v>
          </cell>
          <cell r="AK8">
            <v>0</v>
          </cell>
          <cell r="AL8">
            <v>3.8779054675892877E-2</v>
          </cell>
          <cell r="AM8">
            <v>0.57855423250311955</v>
          </cell>
          <cell r="AN8">
            <v>7.9061158707523411E-4</v>
          </cell>
          <cell r="AO8">
            <v>0</v>
          </cell>
          <cell r="AP8">
            <v>0</v>
          </cell>
          <cell r="AQ8">
            <v>0</v>
          </cell>
          <cell r="AR8">
            <v>0.16317805150363646</v>
          </cell>
          <cell r="AS8">
            <v>0.76929999999999998</v>
          </cell>
          <cell r="AT8">
            <v>0.50743051757762858</v>
          </cell>
          <cell r="AU8">
            <v>7.2940116524595382E-4</v>
          </cell>
          <cell r="AV8">
            <v>0</v>
          </cell>
          <cell r="AW8">
            <v>0</v>
          </cell>
          <cell r="AX8">
            <v>0</v>
          </cell>
          <cell r="AY8">
            <v>0.14336333092057565</v>
          </cell>
          <cell r="AZ8">
            <v>0.27025897925001618</v>
          </cell>
          <cell r="BA8">
            <v>5.2528682838741349E-4</v>
          </cell>
          <cell r="BB8">
            <v>0</v>
          </cell>
          <cell r="BC8">
            <v>0</v>
          </cell>
          <cell r="BD8">
            <v>0</v>
          </cell>
          <cell r="BE8">
            <v>7.7288495443554955E-2</v>
          </cell>
        </row>
        <row r="9">
          <cell r="B9" t="str">
            <v>HDPE</v>
          </cell>
          <cell r="C9">
            <v>-0.69699182514607039</v>
          </cell>
          <cell r="D9">
            <v>-6.2353679588959378E-3</v>
          </cell>
          <cell r="E9">
            <v>0</v>
          </cell>
          <cell r="F9">
            <v>0</v>
          </cell>
          <cell r="G9">
            <v>0</v>
          </cell>
          <cell r="H9">
            <v>-0.23260255203230967</v>
          </cell>
          <cell r="I9">
            <v>-0.72138813045412864</v>
          </cell>
          <cell r="J9">
            <v>-6.8684930426011759E-3</v>
          </cell>
          <cell r="K9">
            <v>0</v>
          </cell>
          <cell r="L9">
            <v>0</v>
          </cell>
          <cell r="M9">
            <v>0</v>
          </cell>
          <cell r="N9">
            <v>-0.24357285177795218</v>
          </cell>
          <cell r="O9">
            <v>-0.20872300036898245</v>
          </cell>
          <cell r="P9">
            <v>-5.4167123017668925E-3</v>
          </cell>
          <cell r="Q9">
            <v>0</v>
          </cell>
          <cell r="R9">
            <v>0</v>
          </cell>
          <cell r="S9">
            <v>0</v>
          </cell>
          <cell r="T9">
            <v>-9.3856583976314925E-2</v>
          </cell>
          <cell r="U9" t="str">
            <v>NA</v>
          </cell>
          <cell r="V9" t="str">
            <v>NA</v>
          </cell>
          <cell r="W9" t="str">
            <v>NA</v>
          </cell>
          <cell r="X9" t="str">
            <v>NA</v>
          </cell>
          <cell r="Y9" t="str">
            <v>NA</v>
          </cell>
          <cell r="Z9" t="str">
            <v>NA</v>
          </cell>
          <cell r="AA9">
            <v>4.5027221260635084</v>
          </cell>
          <cell r="AB9">
            <v>0</v>
          </cell>
          <cell r="AC9">
            <v>0</v>
          </cell>
          <cell r="AD9">
            <v>0</v>
          </cell>
          <cell r="AE9">
            <v>0</v>
          </cell>
          <cell r="AF9">
            <v>1.2280151252900477</v>
          </cell>
          <cell r="AG9">
            <v>0.14218986714494056</v>
          </cell>
          <cell r="AH9">
            <v>0</v>
          </cell>
          <cell r="AI9">
            <v>0</v>
          </cell>
          <cell r="AJ9">
            <v>0</v>
          </cell>
          <cell r="AK9">
            <v>0</v>
          </cell>
          <cell r="AL9">
            <v>3.8779054675892877E-2</v>
          </cell>
          <cell r="AM9">
            <v>0.72138813045412864</v>
          </cell>
          <cell r="AN9">
            <v>6.8684930426011759E-3</v>
          </cell>
          <cell r="AO9">
            <v>0</v>
          </cell>
          <cell r="AP9">
            <v>0</v>
          </cell>
          <cell r="AQ9">
            <v>0</v>
          </cell>
          <cell r="AR9">
            <v>0.24357285177795218</v>
          </cell>
          <cell r="AS9">
            <v>0.9</v>
          </cell>
          <cell r="AT9">
            <v>0.69699182514607039</v>
          </cell>
          <cell r="AU9">
            <v>6.2353679588959378E-3</v>
          </cell>
          <cell r="AV9">
            <v>0</v>
          </cell>
          <cell r="AW9">
            <v>0</v>
          </cell>
          <cell r="AX9">
            <v>0</v>
          </cell>
          <cell r="AY9">
            <v>0.23260255203230967</v>
          </cell>
          <cell r="AZ9">
            <v>0.47742507737354556</v>
          </cell>
          <cell r="BA9">
            <v>5.3724220554879896E-4</v>
          </cell>
          <cell r="BB9">
            <v>0</v>
          </cell>
          <cell r="BC9">
            <v>0</v>
          </cell>
          <cell r="BD9">
            <v>0</v>
          </cell>
          <cell r="BE9">
            <v>0.13386985432152695</v>
          </cell>
        </row>
        <row r="10">
          <cell r="B10" t="str">
            <v>LDPE</v>
          </cell>
          <cell r="C10">
            <v>-0.9211807778465595</v>
          </cell>
          <cell r="D10">
            <v>-7.4602840729331224E-3</v>
          </cell>
          <cell r="E10">
            <v>0</v>
          </cell>
          <cell r="F10">
            <v>0</v>
          </cell>
          <cell r="G10">
            <v>0</v>
          </cell>
          <cell r="H10">
            <v>-0.30209669445542386</v>
          </cell>
          <cell r="I10">
            <v>-0.9211807778465595</v>
          </cell>
          <cell r="J10">
            <v>-7.4602840729331224E-3</v>
          </cell>
          <cell r="K10">
            <v>0</v>
          </cell>
          <cell r="L10">
            <v>0</v>
          </cell>
          <cell r="M10">
            <v>0</v>
          </cell>
          <cell r="N10">
            <v>-0.30209669445542386</v>
          </cell>
          <cell r="O10">
            <v>-0.68493821742326955</v>
          </cell>
          <cell r="P10">
            <v>-5.7981482432122719E-3</v>
          </cell>
          <cell r="Q10">
            <v>0</v>
          </cell>
          <cell r="R10">
            <v>0</v>
          </cell>
          <cell r="S10">
            <v>0</v>
          </cell>
          <cell r="T10">
            <v>-0.22633416095552078</v>
          </cell>
          <cell r="U10" t="str">
            <v>NA</v>
          </cell>
          <cell r="V10" t="str">
            <v>NA</v>
          </cell>
          <cell r="W10" t="str">
            <v>NA</v>
          </cell>
          <cell r="X10" t="str">
            <v>NA</v>
          </cell>
          <cell r="Y10" t="str">
            <v>NA</v>
          </cell>
          <cell r="Z10" t="str">
            <v>NA</v>
          </cell>
          <cell r="AA10">
            <v>4.5339333451812562</v>
          </cell>
          <cell r="AB10">
            <v>0</v>
          </cell>
          <cell r="AC10">
            <v>0</v>
          </cell>
          <cell r="AD10">
            <v>0</v>
          </cell>
          <cell r="AE10">
            <v>0</v>
          </cell>
          <cell r="AF10">
            <v>1.2365272759585244</v>
          </cell>
          <cell r="AG10">
            <v>0.14218986714494056</v>
          </cell>
          <cell r="AH10">
            <v>0</v>
          </cell>
          <cell r="AI10">
            <v>0</v>
          </cell>
          <cell r="AJ10">
            <v>0</v>
          </cell>
          <cell r="AK10">
            <v>0</v>
          </cell>
          <cell r="AL10">
            <v>3.8779054675892877E-2</v>
          </cell>
          <cell r="AM10">
            <v>0.9211807778465595</v>
          </cell>
          <cell r="AN10">
            <v>7.4602840729331224E-3</v>
          </cell>
          <cell r="AO10">
            <v>0</v>
          </cell>
          <cell r="AP10">
            <v>0</v>
          </cell>
          <cell r="AQ10">
            <v>0</v>
          </cell>
          <cell r="AR10">
            <v>0.30209669445542386</v>
          </cell>
          <cell r="AS10">
            <v>1</v>
          </cell>
          <cell r="AT10">
            <v>0.9211807778465595</v>
          </cell>
          <cell r="AU10">
            <v>7.4602840729331224E-3</v>
          </cell>
          <cell r="AV10">
            <v>0</v>
          </cell>
          <cell r="AW10">
            <v>0</v>
          </cell>
          <cell r="AX10">
            <v>0</v>
          </cell>
          <cell r="AY10">
            <v>0.30209669445542386</v>
          </cell>
          <cell r="AZ10">
            <v>3.9893604761952785E-2</v>
          </cell>
          <cell r="BA10">
            <v>0</v>
          </cell>
          <cell r="BB10">
            <v>0</v>
          </cell>
          <cell r="BC10">
            <v>0</v>
          </cell>
          <cell r="BD10">
            <v>0</v>
          </cell>
          <cell r="BE10">
            <v>1.0880074025987122E-2</v>
          </cell>
        </row>
        <row r="11">
          <cell r="B11" t="str">
            <v>PET</v>
          </cell>
          <cell r="C11">
            <v>-1.9195640240298042</v>
          </cell>
          <cell r="D11">
            <v>-7.433984411220962E-3</v>
          </cell>
          <cell r="E11">
            <v>0</v>
          </cell>
          <cell r="F11">
            <v>0</v>
          </cell>
          <cell r="G11">
            <v>0</v>
          </cell>
          <cell r="H11">
            <v>-0.57420371844827134</v>
          </cell>
          <cell r="I11">
            <v>-1.953178821360833</v>
          </cell>
          <cell r="J11">
            <v>-7.6253195171730234E-3</v>
          </cell>
          <cell r="K11">
            <v>0</v>
          </cell>
          <cell r="L11">
            <v>0</v>
          </cell>
          <cell r="M11">
            <v>0</v>
          </cell>
          <cell r="N11">
            <v>-0.58467594798822498</v>
          </cell>
          <cell r="O11">
            <v>-0.99941854073443426</v>
          </cell>
          <cell r="P11">
            <v>-5.6886808062163556E-3</v>
          </cell>
          <cell r="Q11">
            <v>0</v>
          </cell>
          <cell r="R11">
            <v>0</v>
          </cell>
          <cell r="S11">
            <v>0</v>
          </cell>
          <cell r="T11">
            <v>-0.31135515296995719</v>
          </cell>
          <cell r="U11" t="str">
            <v>NA</v>
          </cell>
          <cell r="V11" t="str">
            <v>NA</v>
          </cell>
          <cell r="W11" t="str">
            <v>NA</v>
          </cell>
          <cell r="X11" t="str">
            <v>NA</v>
          </cell>
          <cell r="Y11" t="str">
            <v>NA</v>
          </cell>
          <cell r="Z11" t="str">
            <v>NA</v>
          </cell>
          <cell r="AA11">
            <v>4.440165471226857</v>
          </cell>
          <cell r="AB11">
            <v>0</v>
          </cell>
          <cell r="AC11">
            <v>0</v>
          </cell>
          <cell r="AD11">
            <v>0</v>
          </cell>
          <cell r="AE11">
            <v>0</v>
          </cell>
          <cell r="AF11">
            <v>1.2109542194255063</v>
          </cell>
          <cell r="AG11">
            <v>0.14218986714494056</v>
          </cell>
          <cell r="AH11">
            <v>0</v>
          </cell>
          <cell r="AI11">
            <v>0</v>
          </cell>
          <cell r="AJ11">
            <v>0</v>
          </cell>
          <cell r="AK11">
            <v>0</v>
          </cell>
          <cell r="AL11">
            <v>3.8779054675892877E-2</v>
          </cell>
          <cell r="AM11">
            <v>1.953178821360833</v>
          </cell>
          <cell r="AN11">
            <v>7.6253195171730234E-3</v>
          </cell>
          <cell r="AO11">
            <v>0</v>
          </cell>
          <cell r="AP11">
            <v>0</v>
          </cell>
          <cell r="AQ11">
            <v>0</v>
          </cell>
          <cell r="AR11">
            <v>0.58467594798822498</v>
          </cell>
          <cell r="AS11">
            <v>0.97</v>
          </cell>
          <cell r="AT11">
            <v>1.9195640240298042</v>
          </cell>
          <cell r="AU11">
            <v>7.433984411220962E-3</v>
          </cell>
          <cell r="AV11">
            <v>0</v>
          </cell>
          <cell r="AW11">
            <v>0</v>
          </cell>
          <cell r="AX11">
            <v>0</v>
          </cell>
          <cell r="AY11">
            <v>0.57420371844827134</v>
          </cell>
          <cell r="AZ11">
            <v>0.832685576993205</v>
          </cell>
          <cell r="BA11">
            <v>1.2474826521043439E-3</v>
          </cell>
          <cell r="BB11">
            <v>0</v>
          </cell>
          <cell r="BC11">
            <v>0</v>
          </cell>
          <cell r="BD11">
            <v>0</v>
          </cell>
          <cell r="BE11">
            <v>0.23560162998976733</v>
          </cell>
        </row>
        <row r="12">
          <cell r="B12" t="str">
            <v>Corrugated Containers</v>
          </cell>
          <cell r="C12">
            <v>-18.167292266466966</v>
          </cell>
          <cell r="D12">
            <v>-1.2954946361898344E-3</v>
          </cell>
          <cell r="E12">
            <v>0</v>
          </cell>
          <cell r="F12">
            <v>0</v>
          </cell>
          <cell r="G12">
            <v>0</v>
          </cell>
          <cell r="H12">
            <v>-4.9635489906468298</v>
          </cell>
          <cell r="I12">
            <v>-27.430471935216843</v>
          </cell>
          <cell r="J12">
            <v>-1.2170418436639376E-3</v>
          </cell>
          <cell r="K12">
            <v>0</v>
          </cell>
          <cell r="L12">
            <v>0</v>
          </cell>
          <cell r="M12">
            <v>0</v>
          </cell>
          <cell r="N12">
            <v>-7.4893358130841206</v>
          </cell>
          <cell r="O12">
            <v>-11.270736288925903</v>
          </cell>
          <cell r="P12">
            <v>2.1008701102186972E-4</v>
          </cell>
          <cell r="Q12">
            <v>0</v>
          </cell>
          <cell r="R12">
            <v>0</v>
          </cell>
          <cell r="S12">
            <v>0</v>
          </cell>
          <cell r="T12">
            <v>-3.0724047582682785</v>
          </cell>
          <cell r="U12" t="str">
            <v>NA</v>
          </cell>
          <cell r="V12" t="str">
            <v>NA</v>
          </cell>
          <cell r="W12" t="str">
            <v>NA</v>
          </cell>
          <cell r="X12" t="str">
            <v>NA</v>
          </cell>
          <cell r="Y12" t="str">
            <v>NA</v>
          </cell>
          <cell r="Z12" t="str">
            <v>NA</v>
          </cell>
          <cell r="AA12">
            <v>-2.0023782408537811</v>
          </cell>
          <cell r="AB12">
            <v>0</v>
          </cell>
          <cell r="AC12">
            <v>0</v>
          </cell>
          <cell r="AD12">
            <v>0</v>
          </cell>
          <cell r="AE12">
            <v>1.2304250559284119E-4</v>
          </cell>
          <cell r="AF12">
            <v>-0.53610315659648566</v>
          </cell>
          <cell r="AG12">
            <v>-2.9058884498083524</v>
          </cell>
          <cell r="AH12">
            <v>0.15340595646272959</v>
          </cell>
          <cell r="AI12">
            <v>0</v>
          </cell>
          <cell r="AJ12">
            <v>0</v>
          </cell>
          <cell r="AK12">
            <v>0</v>
          </cell>
          <cell r="AL12">
            <v>0.25343467138906028</v>
          </cell>
          <cell r="AM12">
            <v>0.81354670990588285</v>
          </cell>
          <cell r="AN12">
            <v>1.2170418436639376E-3</v>
          </cell>
          <cell r="AO12">
            <v>0</v>
          </cell>
          <cell r="AP12">
            <v>0</v>
          </cell>
          <cell r="AQ12">
            <v>0</v>
          </cell>
          <cell r="AR12">
            <v>0.23017438799931306</v>
          </cell>
          <cell r="AS12">
            <v>0.65100000000000002</v>
          </cell>
          <cell r="AT12">
            <v>0.83967394478952628</v>
          </cell>
          <cell r="AU12">
            <v>1.2954946361898344E-3</v>
          </cell>
          <cell r="AV12">
            <v>0</v>
          </cell>
          <cell r="AW12">
            <v>0</v>
          </cell>
          <cell r="AX12">
            <v>0</v>
          </cell>
          <cell r="AY12">
            <v>0.23783490291661966</v>
          </cell>
          <cell r="AZ12">
            <v>0.88840984710829962</v>
          </cell>
          <cell r="BA12">
            <v>1.4418349454573382E-3</v>
          </cell>
          <cell r="BB12">
            <v>0</v>
          </cell>
          <cell r="BC12">
            <v>0</v>
          </cell>
          <cell r="BD12">
            <v>0</v>
          </cell>
          <cell r="BE12">
            <v>0.25212428747583626</v>
          </cell>
        </row>
        <row r="13">
          <cell r="B13" t="str">
            <v>Magazines/Third-class Mail</v>
          </cell>
          <cell r="C13">
            <v>-27.096700081530624</v>
          </cell>
          <cell r="D13">
            <v>-2.7297928785119771E-3</v>
          </cell>
          <cell r="E13">
            <v>0</v>
          </cell>
          <cell r="F13">
            <v>0</v>
          </cell>
          <cell r="G13">
            <v>0</v>
          </cell>
          <cell r="H13">
            <v>-7.4086213373163874</v>
          </cell>
          <cell r="I13">
            <v>-28.18880250529249</v>
          </cell>
          <cell r="J13">
            <v>-2.7312163514409062E-3</v>
          </cell>
          <cell r="K13">
            <v>0</v>
          </cell>
          <cell r="L13">
            <v>0</v>
          </cell>
          <cell r="M13">
            <v>0</v>
          </cell>
          <cell r="N13">
            <v>-7.7064771583850487</v>
          </cell>
          <cell r="O13">
            <v>-11.219080559227612</v>
          </cell>
          <cell r="P13">
            <v>-2.3392134275773896E-5</v>
          </cell>
          <cell r="Q13">
            <v>0</v>
          </cell>
          <cell r="R13">
            <v>0</v>
          </cell>
          <cell r="S13">
            <v>0</v>
          </cell>
          <cell r="T13">
            <v>-3.0599087352503198</v>
          </cell>
          <cell r="AA13">
            <v>-1.4865261471021021</v>
          </cell>
          <cell r="AB13">
            <v>0</v>
          </cell>
          <cell r="AC13">
            <v>0</v>
          </cell>
          <cell r="AD13">
            <v>0</v>
          </cell>
          <cell r="AE13">
            <v>1.2304250559284119E-4</v>
          </cell>
          <cell r="AF13">
            <v>-0.39541622193693687</v>
          </cell>
          <cell r="AG13">
            <v>-3.1441770687999249</v>
          </cell>
          <cell r="AH13">
            <v>7.0778654183762404E-2</v>
          </cell>
          <cell r="AI13">
            <v>0</v>
          </cell>
          <cell r="AJ13">
            <v>0</v>
          </cell>
          <cell r="AK13">
            <v>0</v>
          </cell>
          <cell r="AL13">
            <v>-0.37492110387432664</v>
          </cell>
          <cell r="AM13">
            <v>1.5718772799815273</v>
          </cell>
          <cell r="AN13">
            <v>2.7312163514409062E-3</v>
          </cell>
          <cell r="AO13">
            <v>0</v>
          </cell>
          <cell r="AP13">
            <v>0</v>
          </cell>
          <cell r="AQ13">
            <v>0</v>
          </cell>
          <cell r="AR13">
            <v>0.44731573330024088</v>
          </cell>
          <cell r="AS13">
            <v>0.95899999999999996</v>
          </cell>
          <cell r="AT13">
            <v>1.571068790457413</v>
          </cell>
          <cell r="AU13">
            <v>2.7297928785119771E-3</v>
          </cell>
          <cell r="AV13">
            <v>0</v>
          </cell>
          <cell r="AW13">
            <v>0</v>
          </cell>
          <cell r="AX13">
            <v>0</v>
          </cell>
          <cell r="AY13">
            <v>0.44708553066005791</v>
          </cell>
          <cell r="AZ13">
            <v>1.5521580232958114</v>
          </cell>
          <cell r="BA13">
            <v>2.6964974995158102E-3</v>
          </cell>
          <cell r="BB13">
            <v>0</v>
          </cell>
          <cell r="BC13">
            <v>0</v>
          </cell>
          <cell r="BD13">
            <v>0</v>
          </cell>
          <cell r="BE13">
            <v>0.4417010347591927</v>
          </cell>
        </row>
        <row r="14">
          <cell r="B14" t="str">
            <v>Newspaper</v>
          </cell>
          <cell r="C14">
            <v>-12.550517807264697</v>
          </cell>
          <cell r="D14">
            <v>-3.4354902092163216E-3</v>
          </cell>
          <cell r="E14">
            <v>0</v>
          </cell>
          <cell r="F14">
            <v>0</v>
          </cell>
          <cell r="G14">
            <v>0</v>
          </cell>
          <cell r="H14">
            <v>-3.4462922897713923</v>
          </cell>
          <cell r="I14">
            <v>-15.961063396719112</v>
          </cell>
          <cell r="J14">
            <v>-3.7718552269878454E-3</v>
          </cell>
          <cell r="K14">
            <v>0</v>
          </cell>
          <cell r="L14">
            <v>0</v>
          </cell>
          <cell r="M14">
            <v>0</v>
          </cell>
          <cell r="N14">
            <v>-4.3787344847437657</v>
          </cell>
          <cell r="O14">
            <v>-8.0916801607573117</v>
          </cell>
          <cell r="P14">
            <v>-1.3094568982622956E-3</v>
          </cell>
          <cell r="Q14">
            <v>0</v>
          </cell>
          <cell r="R14">
            <v>0</v>
          </cell>
          <cell r="S14">
            <v>0</v>
          </cell>
          <cell r="T14">
            <v>-2.2157499772401459</v>
          </cell>
          <cell r="U14" t="str">
            <v>NA</v>
          </cell>
          <cell r="V14" t="str">
            <v>NA</v>
          </cell>
          <cell r="W14" t="str">
            <v>NA</v>
          </cell>
          <cell r="X14" t="str">
            <v>NA</v>
          </cell>
          <cell r="Y14" t="str">
            <v>NA</v>
          </cell>
          <cell r="Z14" t="str">
            <v>NA</v>
          </cell>
          <cell r="AA14">
            <v>-2.2644946828889481</v>
          </cell>
          <cell r="AB14">
            <v>0</v>
          </cell>
          <cell r="AC14">
            <v>0</v>
          </cell>
          <cell r="AD14">
            <v>0</v>
          </cell>
          <cell r="AE14">
            <v>1.2304250559284119E-4</v>
          </cell>
          <cell r="AF14">
            <v>-0.60758945896971306</v>
          </cell>
          <cell r="AG14">
            <v>-4.4090372427977877</v>
          </cell>
          <cell r="AH14">
            <v>5.8423948971920478E-2</v>
          </cell>
          <cell r="AI14">
            <v>0</v>
          </cell>
          <cell r="AJ14">
            <v>0</v>
          </cell>
          <cell r="AK14">
            <v>0</v>
          </cell>
          <cell r="AL14">
            <v>-0.80411959595448423</v>
          </cell>
          <cell r="AM14">
            <v>1.9132417500272139</v>
          </cell>
          <cell r="AN14">
            <v>3.7718552269878454E-3</v>
          </cell>
          <cell r="AO14">
            <v>0</v>
          </cell>
          <cell r="AP14">
            <v>0</v>
          </cell>
          <cell r="AQ14">
            <v>0</v>
          </cell>
          <cell r="AR14">
            <v>0.54751039928233902</v>
          </cell>
          <cell r="AS14">
            <v>0.77</v>
          </cell>
          <cell r="AT14">
            <v>1.7336951393119375</v>
          </cell>
          <cell r="AU14">
            <v>3.4354902092163216E-3</v>
          </cell>
          <cell r="AV14">
            <v>0</v>
          </cell>
          <cell r="AW14">
            <v>0</v>
          </cell>
          <cell r="AX14">
            <v>0</v>
          </cell>
          <cell r="AY14">
            <v>0.49624974396609423</v>
          </cell>
          <cell r="AZ14">
            <v>1.1326043121347082</v>
          </cell>
          <cell r="BA14">
            <v>2.3093986279812185E-3</v>
          </cell>
          <cell r="BB14">
            <v>0</v>
          </cell>
          <cell r="BC14">
            <v>0</v>
          </cell>
          <cell r="BD14">
            <v>0</v>
          </cell>
          <cell r="BE14">
            <v>0.32463798486388323</v>
          </cell>
        </row>
        <row r="15">
          <cell r="B15" t="str">
            <v>Office Paper</v>
          </cell>
          <cell r="C15">
            <v>-26.493078640769635</v>
          </cell>
          <cell r="D15">
            <v>-1.6217407193225299E-3</v>
          </cell>
          <cell r="E15">
            <v>0</v>
          </cell>
          <cell r="F15">
            <v>0</v>
          </cell>
          <cell r="G15">
            <v>0</v>
          </cell>
          <cell r="H15">
            <v>-7.2364424069325537</v>
          </cell>
          <cell r="I15">
            <v>-27.571458302043951</v>
          </cell>
          <cell r="J15">
            <v>-1.5970671885544283E-3</v>
          </cell>
          <cell r="K15">
            <v>0</v>
          </cell>
          <cell r="L15">
            <v>0</v>
          </cell>
          <cell r="M15">
            <v>0</v>
          </cell>
          <cell r="N15">
            <v>-7.5303777222975841</v>
          </cell>
          <cell r="O15">
            <v>-11.017837903524546</v>
          </cell>
          <cell r="P15">
            <v>3.5910296679684281E-4</v>
          </cell>
          <cell r="Q15">
            <v>0</v>
          </cell>
          <cell r="R15">
            <v>0</v>
          </cell>
          <cell r="S15">
            <v>0</v>
          </cell>
          <cell r="T15">
            <v>-3.0024164534603521</v>
          </cell>
          <cell r="U15" t="str">
            <v>NA</v>
          </cell>
          <cell r="V15" t="str">
            <v>NA</v>
          </cell>
          <cell r="W15" t="str">
            <v>NA</v>
          </cell>
          <cell r="X15" t="str">
            <v>NA</v>
          </cell>
          <cell r="Y15" t="str">
            <v>NA</v>
          </cell>
          <cell r="Z15" t="str">
            <v>NA</v>
          </cell>
          <cell r="AA15">
            <v>-1.9321529978388463</v>
          </cell>
          <cell r="AB15">
            <v>0</v>
          </cell>
          <cell r="AC15">
            <v>0</v>
          </cell>
          <cell r="AD15">
            <v>0</v>
          </cell>
          <cell r="AE15">
            <v>1.2304250559284119E-4</v>
          </cell>
          <cell r="AF15">
            <v>-0.51695081759241257</v>
          </cell>
          <cell r="AG15">
            <v>-0.94063850994934972</v>
          </cell>
          <cell r="AH15">
            <v>0.21908627646693191</v>
          </cell>
          <cell r="AI15">
            <v>0</v>
          </cell>
          <cell r="AJ15">
            <v>0</v>
          </cell>
          <cell r="AK15">
            <v>0</v>
          </cell>
          <cell r="AL15">
            <v>1.2372322913792586</v>
          </cell>
          <cell r="AM15">
            <v>0.95453307673298904</v>
          </cell>
          <cell r="AN15">
            <v>1.5970671885544283E-3</v>
          </cell>
          <cell r="AO15">
            <v>0</v>
          </cell>
          <cell r="AP15">
            <v>0</v>
          </cell>
          <cell r="AQ15">
            <v>0</v>
          </cell>
          <cell r="AR15">
            <v>0.27121629721277718</v>
          </cell>
          <cell r="AS15">
            <v>0.95899999999999996</v>
          </cell>
          <cell r="AT15">
            <v>0.96744734969642565</v>
          </cell>
          <cell r="AU15">
            <v>1.6217407193225299E-3</v>
          </cell>
          <cell r="AV15">
            <v>0</v>
          </cell>
          <cell r="AW15">
            <v>0</v>
          </cell>
          <cell r="AX15">
            <v>0</v>
          </cell>
          <cell r="AY15">
            <v>0.27490660027622421</v>
          </cell>
          <cell r="AZ15">
            <v>1.2695153441338833</v>
          </cell>
          <cell r="BA15">
            <v>2.1988606219227637E-3</v>
          </cell>
          <cell r="BB15">
            <v>0</v>
          </cell>
          <cell r="BC15">
            <v>0</v>
          </cell>
          <cell r="BD15">
            <v>0</v>
          </cell>
          <cell r="BE15">
            <v>0.36122368900416879</v>
          </cell>
        </row>
        <row r="16">
          <cell r="B16" t="str">
            <v>Phonebooks</v>
          </cell>
          <cell r="C16">
            <v>-16.333070600364032</v>
          </cell>
          <cell r="D16">
            <v>-3.946376168819276E-3</v>
          </cell>
          <cell r="E16">
            <v>0</v>
          </cell>
          <cell r="F16">
            <v>0</v>
          </cell>
          <cell r="G16">
            <v>0</v>
          </cell>
          <cell r="H16">
            <v>-4.4813809103412305</v>
          </cell>
          <cell r="I16">
            <v>-16.333070600364032</v>
          </cell>
          <cell r="J16">
            <v>-3.946376168819276E-3</v>
          </cell>
          <cell r="K16">
            <v>0</v>
          </cell>
          <cell r="L16">
            <v>0</v>
          </cell>
          <cell r="M16">
            <v>0</v>
          </cell>
          <cell r="N16">
            <v>-4.4813809103412305</v>
          </cell>
          <cell r="O16">
            <v>-7.9859326445026015</v>
          </cell>
          <cell r="P16">
            <v>-1.0444587954133128E-3</v>
          </cell>
          <cell r="Q16">
            <v>0</v>
          </cell>
          <cell r="R16">
            <v>0</v>
          </cell>
          <cell r="S16">
            <v>0</v>
          </cell>
          <cell r="T16">
            <v>-2.1851029402876185</v>
          </cell>
          <cell r="AA16">
            <v>-2.2644946828889481</v>
          </cell>
          <cell r="AB16">
            <v>0</v>
          </cell>
          <cell r="AC16">
            <v>0</v>
          </cell>
          <cell r="AD16">
            <v>0</v>
          </cell>
          <cell r="AE16">
            <v>1.2304250559284119E-4</v>
          </cell>
          <cell r="AF16">
            <v>-0.60758945896971306</v>
          </cell>
          <cell r="AG16">
            <v>-4.4090372427977877</v>
          </cell>
          <cell r="AH16">
            <v>5.8423948971920478E-2</v>
          </cell>
          <cell r="AI16">
            <v>0</v>
          </cell>
          <cell r="AJ16">
            <v>0</v>
          </cell>
          <cell r="AK16">
            <v>0</v>
          </cell>
          <cell r="AL16">
            <v>-0.80411959595448423</v>
          </cell>
          <cell r="AM16">
            <v>2.2852489536721361</v>
          </cell>
          <cell r="AN16">
            <v>3.946376168819276E-3</v>
          </cell>
          <cell r="AO16">
            <v>0</v>
          </cell>
          <cell r="AP16">
            <v>0</v>
          </cell>
          <cell r="AQ16">
            <v>0</v>
          </cell>
          <cell r="AR16">
            <v>0.65015682487980486</v>
          </cell>
          <cell r="AS16">
            <v>1</v>
          </cell>
          <cell r="AT16">
            <v>2.2852489536721361</v>
          </cell>
          <cell r="AU16">
            <v>3.946376168819276E-3</v>
          </cell>
          <cell r="AV16">
            <v>0</v>
          </cell>
          <cell r="AW16">
            <v>0</v>
          </cell>
          <cell r="AX16">
            <v>0</v>
          </cell>
          <cell r="AY16">
            <v>0.65015682487980486</v>
          </cell>
          <cell r="AZ16">
            <v>1.4110285739387305</v>
          </cell>
          <cell r="BA16">
            <v>2.4071737334733414E-3</v>
          </cell>
          <cell r="BB16">
            <v>0</v>
          </cell>
          <cell r="BC16">
            <v>0</v>
          </cell>
          <cell r="BD16">
            <v>0</v>
          </cell>
          <cell r="BE16">
            <v>0.40123852289333561</v>
          </cell>
        </row>
        <row r="17">
          <cell r="B17" t="str">
            <v>Textbooks</v>
          </cell>
          <cell r="C17">
            <v>-27.544995336811173</v>
          </cell>
          <cell r="D17">
            <v>-3.4779361192352341E-3</v>
          </cell>
          <cell r="E17">
            <v>0</v>
          </cell>
          <cell r="F17">
            <v>0</v>
          </cell>
          <cell r="G17">
            <v>0</v>
          </cell>
          <cell r="H17">
            <v>-7.5359846563069235</v>
          </cell>
          <cell r="I17">
            <v>-28.639250756506886</v>
          </cell>
          <cell r="J17">
            <v>-3.4834581431513263E-3</v>
          </cell>
          <cell r="K17">
            <v>0</v>
          </cell>
          <cell r="L17">
            <v>0</v>
          </cell>
          <cell r="M17">
            <v>0</v>
          </cell>
          <cell r="N17">
            <v>-7.8344556027506362</v>
          </cell>
          <cell r="O17">
            <v>-11.253447163692819</v>
          </cell>
          <cell r="P17">
            <v>-8.8853704611921907E-5</v>
          </cell>
          <cell r="Q17">
            <v>0</v>
          </cell>
          <cell r="R17">
            <v>0</v>
          </cell>
          <cell r="S17">
            <v>0</v>
          </cell>
          <cell r="T17">
            <v>-3.0697277744476681</v>
          </cell>
          <cell r="AA17">
            <v>-1.9321529978388463</v>
          </cell>
          <cell r="AB17">
            <v>0</v>
          </cell>
          <cell r="AC17">
            <v>0</v>
          </cell>
          <cell r="AD17">
            <v>0</v>
          </cell>
          <cell r="AE17">
            <v>1.2304250559284119E-4</v>
          </cell>
          <cell r="AF17">
            <v>-0.51695081759241257</v>
          </cell>
          <cell r="AG17">
            <v>-0.94063850994934972</v>
          </cell>
          <cell r="AH17">
            <v>0.21908627646693191</v>
          </cell>
          <cell r="AI17">
            <v>0</v>
          </cell>
          <cell r="AJ17">
            <v>0</v>
          </cell>
          <cell r="AK17">
            <v>0</v>
          </cell>
          <cell r="AL17">
            <v>1.2372322913792586</v>
          </cell>
          <cell r="AM17">
            <v>2.0223255311959245</v>
          </cell>
          <cell r="AN17">
            <v>3.4834581431513263E-3</v>
          </cell>
          <cell r="AO17">
            <v>0</v>
          </cell>
          <cell r="AP17">
            <v>0</v>
          </cell>
          <cell r="AQ17">
            <v>0</v>
          </cell>
          <cell r="AR17">
            <v>0.57529417766582935</v>
          </cell>
          <cell r="AS17">
            <v>0.95899999999999996</v>
          </cell>
          <cell r="AT17">
            <v>2.0193640457379618</v>
          </cell>
          <cell r="AU17">
            <v>3.4779361192352341E-3</v>
          </cell>
          <cell r="AV17">
            <v>0</v>
          </cell>
          <cell r="AW17">
            <v>0</v>
          </cell>
          <cell r="AX17">
            <v>0</v>
          </cell>
          <cell r="AY17">
            <v>0.5744488496505934</v>
          </cell>
          <cell r="AZ17">
            <v>1.9500941785626904</v>
          </cell>
          <cell r="BA17">
            <v>3.3487746330027289E-3</v>
          </cell>
          <cell r="BB17">
            <v>0</v>
          </cell>
          <cell r="BC17">
            <v>0</v>
          </cell>
          <cell r="BD17">
            <v>0</v>
          </cell>
          <cell r="BE17">
            <v>0.55467642119666138</v>
          </cell>
        </row>
        <row r="18">
          <cell r="B18" t="str">
            <v>Dimensional Lumber</v>
          </cell>
          <cell r="C18">
            <v>-6.9362549096989428</v>
          </cell>
          <cell r="D18">
            <v>-1.4581031089111216E-4</v>
          </cell>
          <cell r="E18">
            <v>0</v>
          </cell>
          <cell r="F18">
            <v>0</v>
          </cell>
          <cell r="G18">
            <v>0</v>
          </cell>
          <cell r="H18">
            <v>-1.8927000456739691</v>
          </cell>
          <cell r="I18">
            <v>-6.9362549096989428</v>
          </cell>
          <cell r="J18">
            <v>-1.4581031089111216E-4</v>
          </cell>
          <cell r="K18">
            <v>0</v>
          </cell>
          <cell r="L18">
            <v>0</v>
          </cell>
          <cell r="M18">
            <v>0</v>
          </cell>
          <cell r="N18">
            <v>-1.8927000456739691</v>
          </cell>
          <cell r="O18">
            <v>-9.2210542879996247</v>
          </cell>
          <cell r="P18">
            <v>9.0097369906516213E-5</v>
          </cell>
          <cell r="Q18">
            <v>0</v>
          </cell>
          <cell r="R18">
            <v>0</v>
          </cell>
          <cell r="S18">
            <v>0</v>
          </cell>
          <cell r="T18">
            <v>-2.5142186873868981</v>
          </cell>
          <cell r="U18" t="str">
            <v>NA</v>
          </cell>
          <cell r="V18" t="str">
            <v>NA</v>
          </cell>
          <cell r="W18" t="str">
            <v>NA</v>
          </cell>
          <cell r="X18" t="str">
            <v>NA</v>
          </cell>
          <cell r="Y18" t="str">
            <v>NA</v>
          </cell>
          <cell r="Z18" t="str">
            <v>NA</v>
          </cell>
          <cell r="AA18">
            <v>-2.3656421522520228</v>
          </cell>
          <cell r="AB18">
            <v>0</v>
          </cell>
          <cell r="AC18">
            <v>0</v>
          </cell>
          <cell r="AD18">
            <v>0</v>
          </cell>
          <cell r="AE18">
            <v>1.2304250559284119E-4</v>
          </cell>
          <cell r="AF18">
            <v>-0.63517513243236978</v>
          </cell>
          <cell r="AG18">
            <v>-3.8793204022805763</v>
          </cell>
          <cell r="AH18">
            <v>9.3558641600844528E-3</v>
          </cell>
          <cell r="AI18">
            <v>0</v>
          </cell>
          <cell r="AJ18">
            <v>0</v>
          </cell>
          <cell r="AK18">
            <v>0</v>
          </cell>
          <cell r="AL18">
            <v>-0.9942064904395812</v>
          </cell>
          <cell r="AM18">
            <v>0.17967805455593261</v>
          </cell>
          <cell r="AN18">
            <v>1.4581031089111216E-4</v>
          </cell>
          <cell r="AO18">
            <v>0</v>
          </cell>
          <cell r="AP18">
            <v>0</v>
          </cell>
          <cell r="AQ18">
            <v>0</v>
          </cell>
          <cell r="AR18">
            <v>4.9997266998602838E-2</v>
          </cell>
          <cell r="AS18">
            <v>1</v>
          </cell>
          <cell r="AT18">
            <v>0.17967805455593261</v>
          </cell>
          <cell r="AU18">
            <v>1.4581031089111216E-4</v>
          </cell>
          <cell r="AV18">
            <v>0</v>
          </cell>
          <cell r="AW18">
            <v>0</v>
          </cell>
          <cell r="AX18">
            <v>0</v>
          </cell>
          <cell r="AY18">
            <v>4.9997266998602838E-2</v>
          </cell>
          <cell r="AZ18">
            <v>0.26728954667371868</v>
          </cell>
          <cell r="BA18">
            <v>2.5844328657182548E-4</v>
          </cell>
          <cell r="BB18">
            <v>0</v>
          </cell>
          <cell r="BC18">
            <v>0</v>
          </cell>
          <cell r="BD18">
            <v>0</v>
          </cell>
          <cell r="BE18">
            <v>7.4659262410367536E-2</v>
          </cell>
        </row>
        <row r="19">
          <cell r="B19" t="str">
            <v>Medium-density Fiberboard</v>
          </cell>
          <cell r="C19">
            <v>-7.134086761855257</v>
          </cell>
          <cell r="D19">
            <v>-5.372911260726332E-4</v>
          </cell>
          <cell r="E19">
            <v>0</v>
          </cell>
          <cell r="F19">
            <v>0</v>
          </cell>
          <cell r="G19">
            <v>0</v>
          </cell>
          <cell r="H19">
            <v>-1.9493233745473835</v>
          </cell>
          <cell r="I19">
            <v>-7.134086761855257</v>
          </cell>
          <cell r="J19">
            <v>-5.372911260726332E-4</v>
          </cell>
          <cell r="K19">
            <v>0</v>
          </cell>
          <cell r="L19">
            <v>0</v>
          </cell>
          <cell r="M19">
            <v>0</v>
          </cell>
          <cell r="N19">
            <v>-1.9493233745473835</v>
          </cell>
          <cell r="O19">
            <v>-9.2281904065178146</v>
          </cell>
          <cell r="P19">
            <v>1.4653664107633412E-5</v>
          </cell>
          <cell r="Q19">
            <v>0</v>
          </cell>
          <cell r="R19">
            <v>0</v>
          </cell>
          <cell r="S19">
            <v>0</v>
          </cell>
          <cell r="T19">
            <v>-2.516679290431397</v>
          </cell>
          <cell r="U19" t="str">
            <v>NA</v>
          </cell>
          <cell r="V19" t="str">
            <v>NA</v>
          </cell>
          <cell r="W19" t="str">
            <v>NA</v>
          </cell>
          <cell r="X19" t="str">
            <v>NA</v>
          </cell>
          <cell r="Y19" t="str">
            <v>NA</v>
          </cell>
          <cell r="Z19" t="str">
            <v>NA</v>
          </cell>
          <cell r="AA19">
            <v>-2.3656421522520228</v>
          </cell>
          <cell r="AB19">
            <v>0</v>
          </cell>
          <cell r="AC19">
            <v>0</v>
          </cell>
          <cell r="AD19">
            <v>0</v>
          </cell>
          <cell r="AE19">
            <v>1.2304250559284119E-4</v>
          </cell>
          <cell r="AF19">
            <v>-0.63517513243236978</v>
          </cell>
          <cell r="AG19">
            <v>-3.2517187620328971</v>
          </cell>
          <cell r="AH19">
            <v>3.0843048626550671E-3</v>
          </cell>
          <cell r="AI19">
            <v>0</v>
          </cell>
          <cell r="AJ19">
            <v>0</v>
          </cell>
          <cell r="AK19">
            <v>0</v>
          </cell>
          <cell r="AL19">
            <v>-0.86580303830905092</v>
          </cell>
          <cell r="AM19">
            <v>0.3775099067122466</v>
          </cell>
          <cell r="AN19">
            <v>5.372911260726332E-4</v>
          </cell>
          <cell r="AO19">
            <v>0</v>
          </cell>
          <cell r="AP19">
            <v>0</v>
          </cell>
          <cell r="AQ19">
            <v>0</v>
          </cell>
          <cell r="AR19">
            <v>0.10662059587201703</v>
          </cell>
          <cell r="AS19">
            <v>1</v>
          </cell>
          <cell r="AT19">
            <v>0.3775099067122466</v>
          </cell>
          <cell r="AU19">
            <v>5.372911260726332E-4</v>
          </cell>
          <cell r="AV19">
            <v>0</v>
          </cell>
          <cell r="AW19">
            <v>0</v>
          </cell>
          <cell r="AX19">
            <v>0</v>
          </cell>
          <cell r="AY19">
            <v>0.10662059587201703</v>
          </cell>
          <cell r="AZ19">
            <v>0.45620035857826968</v>
          </cell>
          <cell r="BA19">
            <v>5.5561003809837754E-4</v>
          </cell>
          <cell r="BB19">
            <v>0</v>
          </cell>
          <cell r="BC19">
            <v>0</v>
          </cell>
          <cell r="BD19">
            <v>0</v>
          </cell>
          <cell r="BE19">
            <v>0.12820652987201703</v>
          </cell>
        </row>
        <row r="20">
          <cell r="B20" t="str">
            <v>Food Scraps</v>
          </cell>
          <cell r="C20" t="str">
            <v>NA</v>
          </cell>
          <cell r="D20" t="str">
            <v>NA</v>
          </cell>
          <cell r="E20" t="str">
            <v>NA</v>
          </cell>
          <cell r="F20" t="str">
            <v>NA</v>
          </cell>
          <cell r="G20" t="str">
            <v>NA</v>
          </cell>
          <cell r="H20" t="str">
            <v>NA</v>
          </cell>
          <cell r="I20" t="str">
            <v>NA</v>
          </cell>
          <cell r="J20" t="str">
            <v>NA</v>
          </cell>
          <cell r="K20" t="str">
            <v>NA</v>
          </cell>
          <cell r="L20" t="str">
            <v>NA</v>
          </cell>
          <cell r="M20" t="str">
            <v>NA</v>
          </cell>
          <cell r="N20" t="str">
            <v>NA</v>
          </cell>
          <cell r="O20" t="str">
            <v>NA</v>
          </cell>
          <cell r="P20" t="str">
            <v>NA</v>
          </cell>
          <cell r="Q20" t="str">
            <v>NA</v>
          </cell>
          <cell r="R20" t="str">
            <v>NA</v>
          </cell>
          <cell r="S20" t="str">
            <v>NA</v>
          </cell>
          <cell r="T20" t="str">
            <v>NA</v>
          </cell>
          <cell r="U20">
            <v>0.15744953055109079</v>
          </cell>
          <cell r="V20">
            <v>0</v>
          </cell>
          <cell r="W20">
            <v>0</v>
          </cell>
          <cell r="X20">
            <v>0</v>
          </cell>
          <cell r="Y20">
            <v>0</v>
          </cell>
          <cell r="Z20">
            <v>4.2940781059388394E-2</v>
          </cell>
          <cell r="AA20">
            <v>-0.65191502847193439</v>
          </cell>
          <cell r="AB20">
            <v>0</v>
          </cell>
          <cell r="AC20">
            <v>0</v>
          </cell>
          <cell r="AD20">
            <v>0</v>
          </cell>
          <cell r="AE20">
            <v>1.2304250559284119E-4</v>
          </cell>
          <cell r="AF20">
            <v>-0.167795007765073</v>
          </cell>
          <cell r="AG20">
            <v>0.14218986714494056</v>
          </cell>
          <cell r="AH20">
            <v>0</v>
          </cell>
          <cell r="AI20" t="str">
            <v>NA</v>
          </cell>
          <cell r="AJ20" t="str">
            <v>NA</v>
          </cell>
          <cell r="AK20" t="str">
            <v>NA</v>
          </cell>
          <cell r="AL20">
            <v>3.8779054675892877E-2</v>
          </cell>
          <cell r="AM20" t="str">
            <v>NA</v>
          </cell>
          <cell r="AN20" t="str">
            <v>NA</v>
          </cell>
          <cell r="AO20" t="str">
            <v>NA</v>
          </cell>
          <cell r="AP20" t="str">
            <v>NA</v>
          </cell>
          <cell r="AQ20" t="str">
            <v>NA</v>
          </cell>
          <cell r="AR20" t="str">
            <v>NA</v>
          </cell>
          <cell r="AS20" t="str">
            <v>NA</v>
          </cell>
          <cell r="AT20" t="str">
            <v>NA</v>
          </cell>
          <cell r="AU20" t="str">
            <v>NA</v>
          </cell>
          <cell r="AV20" t="str">
            <v>NA</v>
          </cell>
          <cell r="AW20" t="str">
            <v>NA</v>
          </cell>
          <cell r="AX20" t="str">
            <v>NA</v>
          </cell>
          <cell r="AY20" t="str">
            <v>NA</v>
          </cell>
          <cell r="AZ20" t="str">
            <v>NA</v>
          </cell>
          <cell r="BA20" t="str">
            <v>NA</v>
          </cell>
          <cell r="BB20" t="str">
            <v>NA</v>
          </cell>
          <cell r="BC20" t="str">
            <v>NA</v>
          </cell>
          <cell r="BD20" t="str">
            <v>NA</v>
          </cell>
          <cell r="BE20" t="str">
            <v>NA</v>
          </cell>
        </row>
        <row r="21">
          <cell r="B21" t="str">
            <v>Yard Trimmings</v>
          </cell>
          <cell r="C21" t="str">
            <v>NA</v>
          </cell>
          <cell r="D21" t="str">
            <v>NA</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v>-0.72491897895218416</v>
          </cell>
          <cell r="V21">
            <v>0</v>
          </cell>
          <cell r="W21">
            <v>0</v>
          </cell>
          <cell r="X21">
            <v>0</v>
          </cell>
          <cell r="Y21">
            <v>0</v>
          </cell>
          <cell r="Z21">
            <v>-0.19770517607786839</v>
          </cell>
          <cell r="AA21">
            <v>-0.77618191940371128</v>
          </cell>
          <cell r="AB21">
            <v>0</v>
          </cell>
          <cell r="AC21">
            <v>0</v>
          </cell>
          <cell r="AD21">
            <v>0</v>
          </cell>
          <cell r="AE21">
            <v>1.2304250559284119E-4</v>
          </cell>
          <cell r="AF21">
            <v>-0.20168597801919397</v>
          </cell>
          <cell r="AG21">
            <v>-1.9277045444260374</v>
          </cell>
          <cell r="AH21">
            <v>5.3452702749761619E-2</v>
          </cell>
          <cell r="AI21" t="str">
            <v>NA</v>
          </cell>
          <cell r="AJ21" t="str">
            <v>NA</v>
          </cell>
          <cell r="AK21" t="str">
            <v>NA</v>
          </cell>
          <cell r="AL21">
            <v>-0.16128735700418101</v>
          </cell>
          <cell r="AM21" t="str">
            <v>NA</v>
          </cell>
          <cell r="AN21" t="str">
            <v>NA</v>
          </cell>
          <cell r="AO21" t="str">
            <v>NA</v>
          </cell>
          <cell r="AP21" t="str">
            <v>NA</v>
          </cell>
          <cell r="AQ21" t="str">
            <v>NA</v>
          </cell>
          <cell r="AR21" t="str">
            <v>NA</v>
          </cell>
          <cell r="AS21" t="str">
            <v>NA</v>
          </cell>
          <cell r="AT21" t="str">
            <v>NA</v>
          </cell>
          <cell r="AU21" t="str">
            <v>NA</v>
          </cell>
          <cell r="AV21" t="str">
            <v>NA</v>
          </cell>
          <cell r="AW21" t="str">
            <v>NA</v>
          </cell>
          <cell r="AX21" t="str">
            <v>NA</v>
          </cell>
          <cell r="AY21" t="str">
            <v>NA</v>
          </cell>
          <cell r="AZ21" t="str">
            <v>NA</v>
          </cell>
          <cell r="BA21" t="str">
            <v>NA</v>
          </cell>
          <cell r="BB21" t="str">
            <v>NA</v>
          </cell>
          <cell r="BC21" t="str">
            <v>NA</v>
          </cell>
          <cell r="BD21" t="str">
            <v>NA</v>
          </cell>
          <cell r="BE21" t="str">
            <v>NA</v>
          </cell>
        </row>
        <row r="22">
          <cell r="B22" t="str">
            <v>Grass</v>
          </cell>
          <cell r="C22" t="str">
            <v>NA</v>
          </cell>
          <cell r="D22" t="str">
            <v>NA</v>
          </cell>
          <cell r="E22" t="str">
            <v>NA</v>
          </cell>
          <cell r="F22" t="str">
            <v>NA</v>
          </cell>
          <cell r="G22" t="str">
            <v>NA</v>
          </cell>
          <cell r="H22" t="str">
            <v>NA</v>
          </cell>
          <cell r="I22" t="str">
            <v>NA</v>
          </cell>
          <cell r="J22" t="str">
            <v>NA</v>
          </cell>
          <cell r="K22" t="str">
            <v>NA</v>
          </cell>
          <cell r="L22" t="str">
            <v>NA</v>
          </cell>
          <cell r="M22" t="str">
            <v>NA</v>
          </cell>
          <cell r="N22" t="str">
            <v>NA</v>
          </cell>
          <cell r="O22" t="str">
            <v>NA</v>
          </cell>
          <cell r="P22" t="str">
            <v>NA</v>
          </cell>
          <cell r="Q22" t="str">
            <v>NA</v>
          </cell>
          <cell r="R22" t="str">
            <v>NA</v>
          </cell>
          <cell r="S22" t="str">
            <v>NA</v>
          </cell>
          <cell r="T22" t="str">
            <v>NA</v>
          </cell>
          <cell r="U22">
            <v>-0.72491897895218416</v>
          </cell>
          <cell r="V22">
            <v>0</v>
          </cell>
          <cell r="W22">
            <v>0</v>
          </cell>
          <cell r="X22">
            <v>0</v>
          </cell>
          <cell r="Y22">
            <v>0</v>
          </cell>
          <cell r="Z22">
            <v>-0.19770517607786839</v>
          </cell>
          <cell r="AA22">
            <v>-0.77618191940371128</v>
          </cell>
          <cell r="AB22">
            <v>0</v>
          </cell>
          <cell r="AC22">
            <v>0</v>
          </cell>
          <cell r="AD22">
            <v>0</v>
          </cell>
          <cell r="AE22">
            <v>1.2304250559284119E-4</v>
          </cell>
          <cell r="AF22">
            <v>-0.20168597801919397</v>
          </cell>
          <cell r="AG22">
            <v>-0.45121445994902332</v>
          </cell>
          <cell r="AH22">
            <v>4.0019045982039585E-2</v>
          </cell>
          <cell r="AI22">
            <v>0</v>
          </cell>
          <cell r="AJ22">
            <v>0</v>
          </cell>
          <cell r="AK22">
            <v>0</v>
          </cell>
          <cell r="AL22">
            <v>0.14979864261871811</v>
          </cell>
        </row>
        <row r="23">
          <cell r="B23" t="str">
            <v>Leaves</v>
          </cell>
          <cell r="C23" t="str">
            <v>NA</v>
          </cell>
          <cell r="D23" t="str">
            <v>NA</v>
          </cell>
          <cell r="E23" t="str">
            <v>NA</v>
          </cell>
          <cell r="F23" t="str">
            <v>NA</v>
          </cell>
          <cell r="G23" t="str">
            <v>NA</v>
          </cell>
          <cell r="H23" t="str">
            <v>NA</v>
          </cell>
          <cell r="I23" t="str">
            <v>NA</v>
          </cell>
          <cell r="J23" t="str">
            <v>NA</v>
          </cell>
          <cell r="K23" t="str">
            <v>NA</v>
          </cell>
          <cell r="L23" t="str">
            <v>NA</v>
          </cell>
          <cell r="M23" t="str">
            <v>NA</v>
          </cell>
          <cell r="N23" t="str">
            <v>NA</v>
          </cell>
          <cell r="O23" t="str">
            <v>NA</v>
          </cell>
          <cell r="P23" t="str">
            <v>NA</v>
          </cell>
          <cell r="Q23" t="str">
            <v>NA</v>
          </cell>
          <cell r="R23" t="str">
            <v>NA</v>
          </cell>
          <cell r="S23" t="str">
            <v>NA</v>
          </cell>
          <cell r="T23" t="str">
            <v>NA</v>
          </cell>
          <cell r="U23">
            <v>-0.72491897895218416</v>
          </cell>
          <cell r="V23">
            <v>0</v>
          </cell>
          <cell r="W23">
            <v>0</v>
          </cell>
          <cell r="X23">
            <v>0</v>
          </cell>
          <cell r="Y23">
            <v>0</v>
          </cell>
          <cell r="Z23">
            <v>-0.19770517607786839</v>
          </cell>
          <cell r="AA23">
            <v>-0.77618191940371128</v>
          </cell>
          <cell r="AB23">
            <v>0</v>
          </cell>
          <cell r="AC23">
            <v>0</v>
          </cell>
          <cell r="AD23">
            <v>0</v>
          </cell>
          <cell r="AE23">
            <v>1.2304250559284119E-4</v>
          </cell>
          <cell r="AF23">
            <v>-0.20168597801919397</v>
          </cell>
          <cell r="AG23">
            <v>-2.8507963697159631</v>
          </cell>
          <cell r="AH23">
            <v>4.1158398729856278E-2</v>
          </cell>
          <cell r="AI23">
            <v>0</v>
          </cell>
          <cell r="AJ23">
            <v>0</v>
          </cell>
          <cell r="AK23">
            <v>0</v>
          </cell>
          <cell r="AL23">
            <v>-0.4968644731280607</v>
          </cell>
        </row>
        <row r="24">
          <cell r="B24" t="str">
            <v>Branches</v>
          </cell>
          <cell r="C24" t="str">
            <v>NA</v>
          </cell>
          <cell r="D24" t="str">
            <v>NA</v>
          </cell>
          <cell r="E24" t="str">
            <v>NA</v>
          </cell>
          <cell r="F24" t="str">
            <v>NA</v>
          </cell>
          <cell r="G24" t="str">
            <v>NA</v>
          </cell>
          <cell r="H24" t="str">
            <v>NA</v>
          </cell>
          <cell r="I24" t="str">
            <v>NA</v>
          </cell>
          <cell r="J24" t="str">
            <v>NA</v>
          </cell>
          <cell r="K24" t="str">
            <v>NA</v>
          </cell>
          <cell r="L24" t="str">
            <v>NA</v>
          </cell>
          <cell r="M24" t="str">
            <v>NA</v>
          </cell>
          <cell r="N24" t="str">
            <v>NA</v>
          </cell>
          <cell r="O24" t="str">
            <v>NA</v>
          </cell>
          <cell r="P24" t="str">
            <v>NA</v>
          </cell>
          <cell r="Q24" t="str">
            <v>NA</v>
          </cell>
          <cell r="R24" t="str">
            <v>NA</v>
          </cell>
          <cell r="S24" t="str">
            <v>NA</v>
          </cell>
          <cell r="T24" t="str">
            <v>NA</v>
          </cell>
          <cell r="U24">
            <v>-0.72491897895218416</v>
          </cell>
          <cell r="V24">
            <v>0</v>
          </cell>
          <cell r="W24">
            <v>0</v>
          </cell>
          <cell r="X24">
            <v>0</v>
          </cell>
          <cell r="Y24">
            <v>0</v>
          </cell>
          <cell r="Z24">
            <v>-0.19770517607786839</v>
          </cell>
          <cell r="AA24">
            <v>-0.77618191940371128</v>
          </cell>
          <cell r="AB24">
            <v>0</v>
          </cell>
          <cell r="AC24">
            <v>0</v>
          </cell>
          <cell r="AD24">
            <v>0</v>
          </cell>
          <cell r="AE24">
            <v>1.2304250559284119E-4</v>
          </cell>
          <cell r="AF24">
            <v>-0.20168597801919397</v>
          </cell>
          <cell r="AG24">
            <v>-3.9770009018045585</v>
          </cell>
          <cell r="AH24">
            <v>8.7296266795430386E-2</v>
          </cell>
          <cell r="AI24">
            <v>0</v>
          </cell>
          <cell r="AJ24">
            <v>0</v>
          </cell>
          <cell r="AK24">
            <v>0</v>
          </cell>
          <cell r="AL24">
            <v>-0.48943479052330863</v>
          </cell>
        </row>
        <row r="25">
          <cell r="B25" t="str">
            <v>Mixed Paper</v>
          </cell>
          <cell r="C25" t="str">
            <v>NA</v>
          </cell>
          <cell r="D25" t="str">
            <v>NA</v>
          </cell>
          <cell r="E25" t="str">
            <v>NA</v>
          </cell>
          <cell r="F25" t="str">
            <v>NA</v>
          </cell>
          <cell r="G25" t="str">
            <v>NA</v>
          </cell>
          <cell r="H25" t="str">
            <v>NA</v>
          </cell>
          <cell r="I25" t="str">
            <v>NA</v>
          </cell>
          <cell r="J25" t="str">
            <v>NA</v>
          </cell>
          <cell r="K25" t="str">
            <v>NA</v>
          </cell>
          <cell r="L25" t="str">
            <v>NA</v>
          </cell>
          <cell r="M25" t="str">
            <v>NA</v>
          </cell>
          <cell r="N25" t="str">
            <v>NA</v>
          </cell>
          <cell r="O25" t="str">
            <v>NA</v>
          </cell>
          <cell r="P25" t="str">
            <v>NA</v>
          </cell>
          <cell r="Q25" t="str">
            <v>NA</v>
          </cell>
          <cell r="R25" t="str">
            <v>NA</v>
          </cell>
          <cell r="S25" t="str">
            <v>NA</v>
          </cell>
          <cell r="T25" t="str">
            <v>NA</v>
          </cell>
          <cell r="AB25">
            <v>0</v>
          </cell>
        </row>
        <row r="26">
          <cell r="B26" t="str">
            <v>Mixed Paper (general)</v>
          </cell>
          <cell r="C26" t="str">
            <v>NA</v>
          </cell>
          <cell r="D26" t="str">
            <v>NA</v>
          </cell>
          <cell r="E26" t="str">
            <v>NA</v>
          </cell>
          <cell r="F26" t="str">
            <v>NA</v>
          </cell>
          <cell r="G26" t="str">
            <v>NA</v>
          </cell>
          <cell r="H26" t="str">
            <v>NA</v>
          </cell>
          <cell r="I26" t="str">
            <v>NA</v>
          </cell>
          <cell r="J26" t="str">
            <v>NA</v>
          </cell>
          <cell r="K26" t="str">
            <v>NA</v>
          </cell>
          <cell r="L26" t="str">
            <v>NA</v>
          </cell>
          <cell r="M26" t="str">
            <v>NA</v>
          </cell>
          <cell r="N26" t="str">
            <v>NA</v>
          </cell>
          <cell r="O26">
            <v>-11.666500245395049</v>
          </cell>
          <cell r="P26">
            <v>-5.5864930266252561E-4</v>
          </cell>
          <cell r="Q26">
            <v>0</v>
          </cell>
          <cell r="R26">
            <v>0</v>
          </cell>
          <cell r="S26">
            <v>0</v>
          </cell>
          <cell r="T26">
            <v>-3.1855817667168029</v>
          </cell>
          <cell r="U26" t="str">
            <v>NA</v>
          </cell>
          <cell r="V26" t="str">
            <v>NA</v>
          </cell>
          <cell r="W26" t="str">
            <v>NA</v>
          </cell>
          <cell r="X26" t="str">
            <v>NA</v>
          </cell>
          <cell r="Y26" t="str">
            <v>NA</v>
          </cell>
          <cell r="Z26" t="str">
            <v>NA</v>
          </cell>
          <cell r="AA26">
            <v>-2.0099729708390996</v>
          </cell>
          <cell r="AB26">
            <v>0</v>
          </cell>
          <cell r="AC26">
            <v>0</v>
          </cell>
          <cell r="AD26">
            <v>0</v>
          </cell>
          <cell r="AE26">
            <v>1.2304250559284119E-4</v>
          </cell>
          <cell r="AF26">
            <v>-0.5381744465924817</v>
          </cell>
          <cell r="AG26">
            <v>-2.8926884982034426</v>
          </cell>
          <cell r="AH26">
            <v>0.13713615448345851</v>
          </cell>
          <cell r="AI26">
            <v>0</v>
          </cell>
          <cell r="AJ26">
            <v>0</v>
          </cell>
          <cell r="AK26">
            <v>0</v>
          </cell>
          <cell r="AL26">
            <v>0.1461041901499146</v>
          </cell>
          <cell r="AM26">
            <v>1.1336042738003216</v>
          </cell>
          <cell r="AN26">
            <v>1.8064606247978228E-3</v>
          </cell>
          <cell r="AO26">
            <v>0</v>
          </cell>
          <cell r="AP26">
            <v>0</v>
          </cell>
          <cell r="AQ26">
            <v>0</v>
          </cell>
          <cell r="AR26">
            <v>0.3214815789328001</v>
          </cell>
          <cell r="AS26">
            <v>0.76579999999999993</v>
          </cell>
          <cell r="AT26">
            <v>1.017710313195475</v>
          </cell>
          <cell r="AU26">
            <v>1.6659282223450156E-3</v>
          </cell>
          <cell r="AV26">
            <v>0</v>
          </cell>
          <cell r="AW26">
            <v>0</v>
          </cell>
          <cell r="AX26">
            <v>0</v>
          </cell>
          <cell r="AY26">
            <v>0.28891595966020917</v>
          </cell>
          <cell r="AZ26">
            <v>0.63875388693077984</v>
          </cell>
          <cell r="BA26">
            <v>1.206407668124863E-3</v>
          </cell>
          <cell r="BB26">
            <v>0</v>
          </cell>
          <cell r="BC26">
            <v>0</v>
          </cell>
          <cell r="BD26">
            <v>0</v>
          </cell>
          <cell r="BE26">
            <v>0.18243111235470036</v>
          </cell>
        </row>
        <row r="27">
          <cell r="B27" t="str">
            <v>Mixed Paper (primarily residential)</v>
          </cell>
          <cell r="C27" t="str">
            <v>NA</v>
          </cell>
          <cell r="D27" t="str">
            <v>NA</v>
          </cell>
          <cell r="E27" t="str">
            <v>NA</v>
          </cell>
          <cell r="F27" t="str">
            <v>NA</v>
          </cell>
          <cell r="G27" t="str">
            <v>NA</v>
          </cell>
          <cell r="H27" t="str">
            <v>NA</v>
          </cell>
          <cell r="I27" t="str">
            <v>NA</v>
          </cell>
          <cell r="J27" t="str">
            <v>NA</v>
          </cell>
          <cell r="K27" t="str">
            <v>NA</v>
          </cell>
          <cell r="L27" t="str">
            <v>NA</v>
          </cell>
          <cell r="M27" t="str">
            <v>NA</v>
          </cell>
          <cell r="N27" t="str">
            <v>NA</v>
          </cell>
          <cell r="O27">
            <v>-11.666500245395049</v>
          </cell>
          <cell r="P27">
            <v>-5.5864930266252561E-4</v>
          </cell>
          <cell r="Q27">
            <v>0</v>
          </cell>
          <cell r="R27">
            <v>0</v>
          </cell>
          <cell r="S27">
            <v>0</v>
          </cell>
          <cell r="T27">
            <v>-3.1855817667168029</v>
          </cell>
          <cell r="U27" t="str">
            <v>NA</v>
          </cell>
          <cell r="V27" t="str">
            <v>NA</v>
          </cell>
          <cell r="W27" t="str">
            <v>NA</v>
          </cell>
          <cell r="X27" t="str">
            <v>NA</v>
          </cell>
          <cell r="Y27" t="str">
            <v>NA</v>
          </cell>
          <cell r="Z27" t="str">
            <v>NA</v>
          </cell>
          <cell r="AA27">
            <v>-2.0012482791246109</v>
          </cell>
          <cell r="AB27">
            <v>0</v>
          </cell>
          <cell r="AC27">
            <v>0</v>
          </cell>
          <cell r="AD27">
            <v>0</v>
          </cell>
          <cell r="AE27">
            <v>1.2304250559284119E-4</v>
          </cell>
          <cell r="AF27">
            <v>-0.53579498521580293</v>
          </cell>
          <cell r="AG27">
            <v>-3.0004744768022897</v>
          </cell>
          <cell r="AH27">
            <v>0.13249260931253512</v>
          </cell>
          <cell r="AI27">
            <v>0</v>
          </cell>
          <cell r="AJ27">
            <v>0</v>
          </cell>
          <cell r="AK27">
            <v>0</v>
          </cell>
          <cell r="AL27">
            <v>8.504747891211506E-2</v>
          </cell>
          <cell r="AM27">
            <v>1.1336042738003216</v>
          </cell>
          <cell r="AN27">
            <v>1.8064606247978228E-3</v>
          </cell>
          <cell r="AO27">
            <v>0</v>
          </cell>
          <cell r="AP27">
            <v>0</v>
          </cell>
          <cell r="AQ27">
            <v>0</v>
          </cell>
          <cell r="AR27">
            <v>0.3214815789328001</v>
          </cell>
          <cell r="AS27">
            <v>0.75229000000000001</v>
          </cell>
          <cell r="AT27">
            <v>1.0110248844688674</v>
          </cell>
          <cell r="AU27">
            <v>1.657821506900364E-3</v>
          </cell>
          <cell r="AV27">
            <v>0</v>
          </cell>
          <cell r="AW27">
            <v>0</v>
          </cell>
          <cell r="AX27">
            <v>0</v>
          </cell>
          <cell r="AY27">
            <v>0.28703738785673905</v>
          </cell>
          <cell r="AZ27">
            <v>0.63875388693077984</v>
          </cell>
          <cell r="BA27">
            <v>1.206407668124863E-3</v>
          </cell>
          <cell r="BB27">
            <v>0</v>
          </cell>
          <cell r="BC27">
            <v>0</v>
          </cell>
          <cell r="BD27">
            <v>0</v>
          </cell>
          <cell r="BE27">
            <v>0.18243111235470036</v>
          </cell>
        </row>
        <row r="28">
          <cell r="B28" t="str">
            <v>Mixed Paper (primarily from offices)</v>
          </cell>
          <cell r="C28" t="str">
            <v>NA</v>
          </cell>
          <cell r="D28" t="str">
            <v>NA</v>
          </cell>
          <cell r="E28" t="str">
            <v>NA</v>
          </cell>
          <cell r="F28" t="str">
            <v>NA</v>
          </cell>
          <cell r="G28" t="str">
            <v>NA</v>
          </cell>
          <cell r="H28" t="str">
            <v>NA</v>
          </cell>
          <cell r="I28" t="str">
            <v>NA</v>
          </cell>
          <cell r="J28" t="str">
            <v>NA</v>
          </cell>
          <cell r="K28" t="str">
            <v>NA</v>
          </cell>
          <cell r="L28" t="str">
            <v>NA</v>
          </cell>
          <cell r="M28" t="str">
            <v>NA</v>
          </cell>
          <cell r="N28" t="str">
            <v>NA</v>
          </cell>
          <cell r="O28">
            <v>-11.549032620885061</v>
          </cell>
          <cell r="P28">
            <v>-4.5390605957103405E-4</v>
          </cell>
          <cell r="Q28">
            <v>0</v>
          </cell>
          <cell r="R28">
            <v>0</v>
          </cell>
          <cell r="S28">
            <v>0</v>
          </cell>
          <cell r="T28">
            <v>-3.1528309833748187</v>
          </cell>
          <cell r="U28" t="str">
            <v>NA</v>
          </cell>
          <cell r="V28" t="str">
            <v>NA</v>
          </cell>
          <cell r="W28" t="str">
            <v>NA</v>
          </cell>
          <cell r="X28" t="str">
            <v>NA</v>
          </cell>
          <cell r="Y28" t="str">
            <v>NA</v>
          </cell>
          <cell r="Z28" t="str">
            <v>NA</v>
          </cell>
          <cell r="AA28">
            <v>-1.8450303475848864</v>
          </cell>
          <cell r="AB28">
            <v>0</v>
          </cell>
          <cell r="AC28">
            <v>0</v>
          </cell>
          <cell r="AD28">
            <v>0</v>
          </cell>
          <cell r="AE28">
            <v>1.2304250559284119E-4</v>
          </cell>
          <cell r="AF28">
            <v>-0.49319009479587805</v>
          </cell>
          <cell r="AG28">
            <v>-2.5557453953671083</v>
          </cell>
          <cell r="AH28">
            <v>0.12867242767082837</v>
          </cell>
          <cell r="AI28">
            <v>0</v>
          </cell>
          <cell r="AJ28">
            <v>0</v>
          </cell>
          <cell r="AK28">
            <v>0</v>
          </cell>
          <cell r="AL28">
            <v>0.18029053538280027</v>
          </cell>
          <cell r="AM28">
            <v>3.0441680599315442</v>
          </cell>
          <cell r="AN28">
            <v>6.1292055620463231E-3</v>
          </cell>
          <cell r="AO28">
            <v>0</v>
          </cell>
          <cell r="AP28">
            <v>0</v>
          </cell>
          <cell r="AQ28">
            <v>0</v>
          </cell>
          <cell r="AR28">
            <v>0.87201769063164603</v>
          </cell>
          <cell r="AS28">
            <v>0.90390999999999999</v>
          </cell>
          <cell r="AT28">
            <v>2.9888964498560551</v>
          </cell>
          <cell r="AU28">
            <v>6.056113094213493E-3</v>
          </cell>
          <cell r="AV28">
            <v>0</v>
          </cell>
          <cell r="AW28">
            <v>0</v>
          </cell>
          <cell r="AX28">
            <v>0</v>
          </cell>
          <cell r="AY28">
            <v>0.85644525742128874</v>
          </cell>
          <cell r="AZ28">
            <v>2.4689613779095958</v>
          </cell>
          <cell r="BA28">
            <v>5.3685388138640959E-3</v>
          </cell>
          <cell r="BB28">
            <v>0</v>
          </cell>
          <cell r="BC28">
            <v>0</v>
          </cell>
          <cell r="BD28">
            <v>0</v>
          </cell>
          <cell r="BE28">
            <v>0.70995677679714497</v>
          </cell>
        </row>
        <row r="29">
          <cell r="B29" t="str">
            <v>Mixed Metals</v>
          </cell>
          <cell r="C29" t="str">
            <v>NA</v>
          </cell>
          <cell r="D29" t="str">
            <v>NA</v>
          </cell>
          <cell r="E29" t="str">
            <v>NA</v>
          </cell>
          <cell r="F29" t="str">
            <v>NA</v>
          </cell>
          <cell r="G29" t="str">
            <v>NA</v>
          </cell>
          <cell r="H29" t="str">
            <v>NA</v>
          </cell>
          <cell r="I29" t="str">
            <v>NA</v>
          </cell>
          <cell r="J29" t="str">
            <v>NA</v>
          </cell>
          <cell r="K29" t="str">
            <v>NA</v>
          </cell>
          <cell r="L29" t="str">
            <v>NA</v>
          </cell>
          <cell r="M29" t="str">
            <v>NA</v>
          </cell>
          <cell r="N29" t="str">
            <v>NA</v>
          </cell>
          <cell r="O29">
            <v>-4.4188113155026558</v>
          </cell>
          <cell r="P29">
            <v>-7.6076755133484648E-3</v>
          </cell>
          <cell r="Q29">
            <v>-5.7139111128083782E-5</v>
          </cell>
          <cell r="R29">
            <v>-5.7517515837541295E-6</v>
          </cell>
          <cell r="S29">
            <v>0</v>
          </cell>
          <cell r="T29">
            <v>-1.3912998010621926</v>
          </cell>
          <cell r="U29" t="str">
            <v>NA</v>
          </cell>
          <cell r="V29" t="str">
            <v>NA</v>
          </cell>
          <cell r="W29" t="str">
            <v>NA</v>
          </cell>
          <cell r="X29" t="str">
            <v>NA</v>
          </cell>
          <cell r="Y29" t="str">
            <v>NA</v>
          </cell>
          <cell r="Z29" t="str">
            <v>NA</v>
          </cell>
          <cell r="AA29">
            <v>-0.39969281328023959</v>
          </cell>
          <cell r="AB29">
            <v>-8.5465402794939079E-4</v>
          </cell>
          <cell r="AC29">
            <v>0</v>
          </cell>
          <cell r="AD29">
            <v>0</v>
          </cell>
          <cell r="AE29">
            <v>0</v>
          </cell>
          <cell r="AF29">
            <v>-0.11483431744881117</v>
          </cell>
          <cell r="AG29">
            <v>0.14218986714494056</v>
          </cell>
          <cell r="AH29">
            <v>0</v>
          </cell>
          <cell r="AI29">
            <v>0</v>
          </cell>
          <cell r="AJ29">
            <v>0</v>
          </cell>
          <cell r="AK29">
            <v>0</v>
          </cell>
          <cell r="AL29">
            <v>3.8779054675892877E-2</v>
          </cell>
          <cell r="AM29">
            <v>6.5745173388758742</v>
          </cell>
          <cell r="AN29">
            <v>1.0927749670038333E-2</v>
          </cell>
          <cell r="AO29">
            <v>6.1167418462613687E-5</v>
          </cell>
          <cell r="AP29">
            <v>6.1572500704087966E-6</v>
          </cell>
          <cell r="AQ29">
            <v>0</v>
          </cell>
          <cell r="AR29">
            <v>2.0113245692521455</v>
          </cell>
          <cell r="AS29">
            <v>0.70433333333333337</v>
          </cell>
          <cell r="AT29">
            <v>5.5360697717338905</v>
          </cell>
          <cell r="AU29">
            <v>9.1852981006969748E-3</v>
          </cell>
          <cell r="AV29">
            <v>4.3082251737167575E-5</v>
          </cell>
          <cell r="AW29">
            <v>4.3367564662579291E-6</v>
          </cell>
          <cell r="AX29">
            <v>0</v>
          </cell>
          <cell r="AY29">
            <v>1.673724134584726</v>
          </cell>
          <cell r="AZ29">
            <v>3.0622933237395125</v>
          </cell>
          <cell r="BA29">
            <v>5.0344523667417438E-3</v>
          </cell>
          <cell r="BB29">
            <v>0</v>
          </cell>
          <cell r="BC29">
            <v>0</v>
          </cell>
          <cell r="BD29">
            <v>0</v>
          </cell>
          <cell r="BE29">
            <v>0.8694967180658334</v>
          </cell>
        </row>
        <row r="30">
          <cell r="B30" t="str">
            <v>Mixed Plastics</v>
          </cell>
          <cell r="C30" t="str">
            <v>NA</v>
          </cell>
          <cell r="D30" t="str">
            <v>NA</v>
          </cell>
          <cell r="E30" t="str">
            <v>NA</v>
          </cell>
          <cell r="F30" t="str">
            <v>NA</v>
          </cell>
          <cell r="G30" t="str">
            <v>NA</v>
          </cell>
          <cell r="H30" t="str">
            <v>NA</v>
          </cell>
          <cell r="I30" t="str">
            <v>NA</v>
          </cell>
          <cell r="J30" t="str">
            <v>NA</v>
          </cell>
          <cell r="K30" t="str">
            <v>NA</v>
          </cell>
          <cell r="L30" t="str">
            <v>NA</v>
          </cell>
          <cell r="M30" t="str">
            <v>NA</v>
          </cell>
          <cell r="N30" t="str">
            <v>NA</v>
          </cell>
          <cell r="O30">
            <v>-0.69895423539556256</v>
          </cell>
          <cell r="P30">
            <v>-5.5853327745255593E-3</v>
          </cell>
          <cell r="Q30">
            <v>0</v>
          </cell>
          <cell r="R30">
            <v>0</v>
          </cell>
          <cell r="S30">
            <v>0</v>
          </cell>
          <cell r="T30">
            <v>-0.22870569675237312</v>
          </cell>
          <cell r="U30" t="str">
            <v>NA</v>
          </cell>
          <cell r="V30" t="str">
            <v>NA</v>
          </cell>
          <cell r="W30" t="str">
            <v>NA</v>
          </cell>
          <cell r="X30" t="str">
            <v>NA</v>
          </cell>
          <cell r="Y30" t="str">
            <v>NA</v>
          </cell>
          <cell r="Z30" t="str">
            <v>NA</v>
          </cell>
          <cell r="AA30">
            <v>4.4639370000647851</v>
          </cell>
          <cell r="AB30">
            <v>0</v>
          </cell>
          <cell r="AC30">
            <v>0</v>
          </cell>
          <cell r="AD30">
            <v>0</v>
          </cell>
          <cell r="AE30">
            <v>0</v>
          </cell>
          <cell r="AF30">
            <v>1.2174373636540323</v>
          </cell>
          <cell r="AG30">
            <v>0.14218986714494056</v>
          </cell>
          <cell r="AH30">
            <v>0</v>
          </cell>
          <cell r="AI30">
            <v>0</v>
          </cell>
          <cell r="AJ30">
            <v>0</v>
          </cell>
          <cell r="AK30">
            <v>0</v>
          </cell>
          <cell r="AL30">
            <v>3.8779054675892877E-2</v>
          </cell>
          <cell r="AR30">
            <v>0</v>
          </cell>
          <cell r="AT30">
            <v>0</v>
          </cell>
          <cell r="AU30">
            <v>0</v>
          </cell>
          <cell r="AV30">
            <v>0</v>
          </cell>
          <cell r="AW30">
            <v>0</v>
          </cell>
          <cell r="AX30">
            <v>0</v>
          </cell>
          <cell r="AY30">
            <v>0</v>
          </cell>
          <cell r="BE30">
            <v>0</v>
          </cell>
        </row>
        <row r="31">
          <cell r="B31" t="str">
            <v>Mixed Recyclables</v>
          </cell>
          <cell r="C31" t="str">
            <v>NA</v>
          </cell>
          <cell r="D31" t="str">
            <v>NA</v>
          </cell>
          <cell r="E31" t="str">
            <v>NA</v>
          </cell>
          <cell r="F31" t="str">
            <v>NA</v>
          </cell>
          <cell r="G31" t="str">
            <v>NA</v>
          </cell>
          <cell r="H31" t="str">
            <v>NA</v>
          </cell>
          <cell r="I31" t="str">
            <v>NA</v>
          </cell>
          <cell r="J31" t="str">
            <v>NA</v>
          </cell>
          <cell r="K31" t="str">
            <v>NA</v>
          </cell>
          <cell r="L31" t="str">
            <v>NA</v>
          </cell>
          <cell r="M31" t="str">
            <v>NA</v>
          </cell>
          <cell r="N31" t="str">
            <v>NA</v>
          </cell>
          <cell r="O31">
            <v>-9.449874564870953</v>
          </cell>
          <cell r="P31">
            <v>-4.4495922221248109E-4</v>
          </cell>
          <cell r="Q31">
            <v>-2.4408489293933269E-6</v>
          </cell>
          <cell r="R31">
            <v>-2.4570134918396402E-7</v>
          </cell>
          <cell r="S31">
            <v>0</v>
          </cell>
          <cell r="T31">
            <v>-2.586009266038507</v>
          </cell>
          <cell r="U31" t="str">
            <v>NA</v>
          </cell>
          <cell r="V31" t="str">
            <v>NA</v>
          </cell>
          <cell r="W31" t="str">
            <v>NA</v>
          </cell>
          <cell r="X31" t="str">
            <v>NA</v>
          </cell>
          <cell r="Y31" t="str">
            <v>NA</v>
          </cell>
          <cell r="Z31" t="str">
            <v>NA</v>
          </cell>
          <cell r="AA31">
            <v>-1.6265524835195657</v>
          </cell>
          <cell r="AB31">
            <v>-6.8845198345801218E-5</v>
          </cell>
          <cell r="AC31">
            <v>0</v>
          </cell>
          <cell r="AD31">
            <v>0</v>
          </cell>
          <cell r="AE31">
            <v>1.0634817051749028E-4</v>
          </cell>
          <cell r="AF31">
            <v>-0.43543141599927232</v>
          </cell>
          <cell r="AG31">
            <v>-2.5090096950373542</v>
          </cell>
          <cell r="AH31">
            <v>0.11442930601008848</v>
          </cell>
          <cell r="AI31">
            <v>0</v>
          </cell>
          <cell r="AJ31">
            <v>0</v>
          </cell>
          <cell r="AK31">
            <v>0</v>
          </cell>
          <cell r="AL31">
            <v>9.5924442331325022E-2</v>
          </cell>
          <cell r="AM31">
            <v>1.1814354480783698</v>
          </cell>
          <cell r="AN31">
            <v>2.0769267983462396E-3</v>
          </cell>
          <cell r="AO31">
            <v>2.6129287789155562E-6</v>
          </cell>
          <cell r="AP31">
            <v>2.6302329430143353E-7</v>
          </cell>
          <cell r="AQ31">
            <v>0</v>
          </cell>
          <cell r="AR31">
            <v>0.34251192161009708</v>
          </cell>
          <cell r="AS31">
            <v>0.74761042979685854</v>
          </cell>
          <cell r="AT31">
            <v>1.1270815672088399</v>
          </cell>
          <cell r="AU31">
            <v>1.9568772324419577E-3</v>
          </cell>
          <cell r="AV31">
            <v>1.9534528074336398E-6</v>
          </cell>
          <cell r="AW31">
            <v>1.9663895809928033E-7</v>
          </cell>
          <cell r="AX31">
            <v>0</v>
          </cell>
          <cell r="AY31">
            <v>0.32531959351517303</v>
          </cell>
          <cell r="AZ31">
            <v>0.96607836804617175</v>
          </cell>
          <cell r="BA31">
            <v>1.6012749486772645E-3</v>
          </cell>
          <cell r="BB31">
            <v>0</v>
          </cell>
          <cell r="BC31">
            <v>0</v>
          </cell>
          <cell r="BD31">
            <v>0</v>
          </cell>
          <cell r="BE31">
            <v>0.27439370229902815</v>
          </cell>
        </row>
        <row r="32">
          <cell r="B32" t="str">
            <v>Mixed Organics</v>
          </cell>
          <cell r="O32" t="str">
            <v>NA</v>
          </cell>
          <cell r="P32" t="str">
            <v>NA</v>
          </cell>
          <cell r="Q32" t="str">
            <v>NA</v>
          </cell>
          <cell r="R32" t="str">
            <v>NA</v>
          </cell>
          <cell r="S32" t="str">
            <v>NA</v>
          </cell>
          <cell r="T32" t="str">
            <v>NA</v>
          </cell>
          <cell r="U32">
            <v>-0.2660279185790243</v>
          </cell>
          <cell r="V32">
            <v>0</v>
          </cell>
          <cell r="W32">
            <v>0</v>
          </cell>
          <cell r="X32">
            <v>0</v>
          </cell>
          <cell r="Y32">
            <v>0</v>
          </cell>
          <cell r="Z32">
            <v>-7.2553068703370263E-2</v>
          </cell>
          <cell r="AA32">
            <v>-0.71155476562976161</v>
          </cell>
          <cell r="AB32">
            <v>0</v>
          </cell>
          <cell r="AC32">
            <v>0</v>
          </cell>
          <cell r="AD32">
            <v>0</v>
          </cell>
          <cell r="AE32">
            <v>1.2304250559284119E-4</v>
          </cell>
          <cell r="AF32">
            <v>-0.18406039062629859</v>
          </cell>
          <cell r="AG32">
            <v>-1.1369176817724447</v>
          </cell>
          <cell r="AH32">
            <v>2.565369680103631E-2</v>
          </cell>
          <cell r="AI32" t="str">
            <v>NA</v>
          </cell>
          <cell r="AJ32" t="str">
            <v>NA</v>
          </cell>
          <cell r="AK32" t="str">
            <v>NA</v>
          </cell>
          <cell r="AL32">
            <v>-0.13515688956723731</v>
          </cell>
        </row>
        <row r="33">
          <cell r="B33" t="str">
            <v>Mixed MSW</v>
          </cell>
          <cell r="C33" t="str">
            <v>NA</v>
          </cell>
          <cell r="D33" t="str">
            <v>NA</v>
          </cell>
          <cell r="E33" t="str">
            <v>NA</v>
          </cell>
          <cell r="F33" t="str">
            <v>NA</v>
          </cell>
          <cell r="G33" t="str">
            <v>NA</v>
          </cell>
          <cell r="H33" t="str">
            <v>NA</v>
          </cell>
          <cell r="I33" t="str">
            <v>NA</v>
          </cell>
          <cell r="J33" t="str">
            <v>NA</v>
          </cell>
          <cell r="K33" t="str">
            <v>NA</v>
          </cell>
          <cell r="L33" t="str">
            <v>NA</v>
          </cell>
          <cell r="M33" t="str">
            <v>NA</v>
          </cell>
          <cell r="N33" t="str">
            <v>NA</v>
          </cell>
          <cell r="O33" t="str">
            <v>NA</v>
          </cell>
          <cell r="P33" t="str">
            <v>NA</v>
          </cell>
          <cell r="Q33" t="str">
            <v>NA</v>
          </cell>
          <cell r="R33" t="str">
            <v>NA</v>
          </cell>
          <cell r="S33" t="str">
            <v>NA</v>
          </cell>
          <cell r="T33" t="str">
            <v>NA</v>
          </cell>
          <cell r="U33" t="str">
            <v>NA</v>
          </cell>
          <cell r="V33" t="str">
            <v>NA</v>
          </cell>
          <cell r="W33" t="str">
            <v>NA</v>
          </cell>
          <cell r="X33" t="str">
            <v>NA</v>
          </cell>
          <cell r="Y33" t="str">
            <v>NA</v>
          </cell>
          <cell r="Z33" t="str">
            <v>NA</v>
          </cell>
          <cell r="AA33">
            <v>-0.27476273107309435</v>
          </cell>
          <cell r="AB33">
            <v>-5.9239833659009866E-5</v>
          </cell>
          <cell r="AC33">
            <v>0</v>
          </cell>
          <cell r="AD33">
            <v>0</v>
          </cell>
          <cell r="AE33">
            <v>1.2304250559284119E-4</v>
          </cell>
          <cell r="AF33">
            <v>-6.5339198249428077E-2</v>
          </cell>
          <cell r="AG33">
            <v>-0.89289135441670342</v>
          </cell>
          <cell r="AH33">
            <v>8.9342441680409015E-2</v>
          </cell>
          <cell r="AI33" t="str">
            <v>NA</v>
          </cell>
          <cell r="AJ33" t="str">
            <v>NA</v>
          </cell>
          <cell r="AK33" t="str">
            <v>NA</v>
          </cell>
          <cell r="AL33">
            <v>0.36563718752550606</v>
          </cell>
          <cell r="AM33" t="str">
            <v>NA</v>
          </cell>
          <cell r="AN33" t="str">
            <v>NA</v>
          </cell>
          <cell r="AO33" t="str">
            <v>NA</v>
          </cell>
          <cell r="AP33" t="str">
            <v>NA</v>
          </cell>
          <cell r="AQ33" t="str">
            <v>NA</v>
          </cell>
          <cell r="AR33" t="str">
            <v>NA</v>
          </cell>
          <cell r="AS33" t="str">
            <v>NA</v>
          </cell>
          <cell r="AT33" t="str">
            <v>NA</v>
          </cell>
          <cell r="AU33" t="str">
            <v>NA</v>
          </cell>
          <cell r="AV33" t="str">
            <v>NA</v>
          </cell>
          <cell r="AW33" t="str">
            <v>NA</v>
          </cell>
          <cell r="AX33" t="str">
            <v>NA</v>
          </cell>
          <cell r="AY33" t="str">
            <v>NA</v>
          </cell>
          <cell r="AZ33" t="str">
            <v>NA</v>
          </cell>
          <cell r="BA33" t="str">
            <v>NA</v>
          </cell>
          <cell r="BB33" t="str">
            <v>NA</v>
          </cell>
          <cell r="BC33" t="str">
            <v>NA</v>
          </cell>
          <cell r="BD33" t="str">
            <v>NA</v>
          </cell>
          <cell r="BE33" t="str">
            <v>NA</v>
          </cell>
        </row>
        <row r="34">
          <cell r="B34" t="str">
            <v>Carpet</v>
          </cell>
          <cell r="C34">
            <v>-3.1647801035904588</v>
          </cell>
          <cell r="D34">
            <v>-8.8509404204921583E-3</v>
          </cell>
          <cell r="E34">
            <v>0</v>
          </cell>
          <cell r="F34">
            <v>0</v>
          </cell>
          <cell r="G34">
            <v>-1.4514955840000039E-3</v>
          </cell>
          <cell r="H34">
            <v>-1.0414361722185719</v>
          </cell>
          <cell r="I34">
            <v>-3.1647801035904588</v>
          </cell>
          <cell r="J34">
            <v>-8.8509404204921583E-3</v>
          </cell>
          <cell r="K34">
            <v>0</v>
          </cell>
          <cell r="L34">
            <v>0</v>
          </cell>
          <cell r="M34">
            <v>-1.4514955840000039E-3</v>
          </cell>
          <cell r="N34">
            <v>-1.0414361722185719</v>
          </cell>
          <cell r="O34">
            <v>-4.9132903284278928</v>
          </cell>
          <cell r="P34">
            <v>-1.3364438123461702E-2</v>
          </cell>
          <cell r="Q34">
            <v>0</v>
          </cell>
          <cell r="R34">
            <v>0</v>
          </cell>
          <cell r="S34">
            <v>-5.3382719034837638E-3</v>
          </cell>
          <cell r="T34">
            <v>-1.8649653569325262</v>
          </cell>
          <cell r="U34" t="str">
            <v>NA</v>
          </cell>
          <cell r="V34" t="str">
            <v>NA</v>
          </cell>
          <cell r="W34" t="str">
            <v>NA</v>
          </cell>
          <cell r="X34" t="str">
            <v>NA</v>
          </cell>
          <cell r="Y34" t="str">
            <v>NA</v>
          </cell>
          <cell r="Z34" t="str">
            <v>NA</v>
          </cell>
          <cell r="AA34">
            <v>3.9455063512427402</v>
          </cell>
          <cell r="AB34">
            <v>0</v>
          </cell>
          <cell r="AC34">
            <v>0</v>
          </cell>
          <cell r="AD34">
            <v>0</v>
          </cell>
          <cell r="AE34">
            <v>0</v>
          </cell>
          <cell r="AF34">
            <v>1.0760471867025654</v>
          </cell>
          <cell r="AG34">
            <v>0.14218986714494056</v>
          </cell>
          <cell r="AH34">
            <v>0</v>
          </cell>
          <cell r="AI34">
            <v>0</v>
          </cell>
          <cell r="AJ34">
            <v>0</v>
          </cell>
          <cell r="AK34">
            <v>0</v>
          </cell>
          <cell r="AL34">
            <v>3.8779054675892877E-2</v>
          </cell>
          <cell r="AM34">
            <v>3.1647801035904588</v>
          </cell>
          <cell r="AN34">
            <v>8.8509404204921583E-3</v>
          </cell>
          <cell r="AO34">
            <v>0</v>
          </cell>
          <cell r="AP34">
            <v>0</v>
          </cell>
          <cell r="AQ34">
            <v>1.4514955840000039E-3</v>
          </cell>
          <cell r="AR34">
            <v>1.0414361722185719</v>
          </cell>
          <cell r="AS34">
            <v>1</v>
          </cell>
          <cell r="AT34">
            <v>3.1647801035904588</v>
          </cell>
          <cell r="AU34">
            <v>8.8509404204921583E-3</v>
          </cell>
          <cell r="AV34">
            <v>0</v>
          </cell>
          <cell r="AW34">
            <v>0</v>
          </cell>
          <cell r="AX34">
            <v>1.4514955840000039E-3</v>
          </cell>
          <cell r="AY34">
            <v>1.0414361722185719</v>
          </cell>
          <cell r="AZ34">
            <v>0</v>
          </cell>
          <cell r="BA34">
            <v>0</v>
          </cell>
          <cell r="BB34">
            <v>0</v>
          </cell>
          <cell r="BC34">
            <v>0</v>
          </cell>
          <cell r="BD34">
            <v>0</v>
          </cell>
          <cell r="BE34">
            <v>0</v>
          </cell>
        </row>
        <row r="35">
          <cell r="B35" t="str">
            <v>Personal Computers</v>
          </cell>
          <cell r="C35">
            <v>-48.210215916614324</v>
          </cell>
          <cell r="D35">
            <v>-9.106990952216093E-2</v>
          </cell>
          <cell r="E35">
            <v>0</v>
          </cell>
          <cell r="F35">
            <v>0</v>
          </cell>
          <cell r="G35">
            <v>0</v>
          </cell>
          <cell r="H35">
            <v>-13.769171905818638</v>
          </cell>
          <cell r="I35">
            <v>-48.210215916614324</v>
          </cell>
          <cell r="J35">
            <v>-9.106990952216093E-2</v>
          </cell>
          <cell r="K35">
            <v>0</v>
          </cell>
          <cell r="L35">
            <v>0</v>
          </cell>
          <cell r="M35">
            <v>0</v>
          </cell>
          <cell r="N35">
            <v>-13.769171905818638</v>
          </cell>
          <cell r="O35">
            <v>-2.1199679670462919</v>
          </cell>
          <cell r="P35">
            <v>-3.3088561432774223E-3</v>
          </cell>
          <cell r="Q35">
            <v>-2.7651024784469202E-5</v>
          </cell>
          <cell r="R35">
            <v>-2.7834144153902778E-6</v>
          </cell>
          <cell r="S35">
            <v>0</v>
          </cell>
          <cell r="T35">
            <v>-0.66572402717814982</v>
          </cell>
          <cell r="U35" t="str">
            <v>NA</v>
          </cell>
          <cell r="V35" t="str">
            <v>NA</v>
          </cell>
          <cell r="W35" t="str">
            <v>NA</v>
          </cell>
          <cell r="X35" t="str">
            <v>NA</v>
          </cell>
          <cell r="Y35" t="str">
            <v>NA</v>
          </cell>
          <cell r="Z35" t="str">
            <v>NA</v>
          </cell>
          <cell r="AA35">
            <v>0.54880773504809199</v>
          </cell>
          <cell r="AB35">
            <v>-7.3329315598057718E-4</v>
          </cell>
          <cell r="AC35">
            <v>0</v>
          </cell>
          <cell r="AD35">
            <v>0</v>
          </cell>
          <cell r="AE35">
            <v>0</v>
          </cell>
          <cell r="AF35">
            <v>0.14467511076779388</v>
          </cell>
          <cell r="AG35">
            <v>0.14218986714494056</v>
          </cell>
          <cell r="AH35">
            <v>0</v>
          </cell>
          <cell r="AI35">
            <v>0</v>
          </cell>
          <cell r="AJ35">
            <v>0</v>
          </cell>
          <cell r="AK35">
            <v>0</v>
          </cell>
          <cell r="AL35">
            <v>3.8779054675892877E-2</v>
          </cell>
          <cell r="AM35">
            <v>48.210215916614324</v>
          </cell>
          <cell r="AN35">
            <v>9.106990952216093E-2</v>
          </cell>
          <cell r="AO35">
            <v>0</v>
          </cell>
          <cell r="AP35">
            <v>0</v>
          </cell>
          <cell r="AQ35">
            <v>0</v>
          </cell>
          <cell r="AR35">
            <v>13.769171905818638</v>
          </cell>
          <cell r="AS35">
            <v>1</v>
          </cell>
          <cell r="AT35">
            <v>48.210215916614324</v>
          </cell>
          <cell r="AU35">
            <v>9.106990952216093E-2</v>
          </cell>
          <cell r="AV35">
            <v>0</v>
          </cell>
          <cell r="AW35">
            <v>0</v>
          </cell>
          <cell r="AX35">
            <v>0</v>
          </cell>
          <cell r="AY35">
            <v>13.769171905818638</v>
          </cell>
          <cell r="AZ35">
            <v>0</v>
          </cell>
          <cell r="BA35">
            <v>0</v>
          </cell>
          <cell r="BB35">
            <v>0</v>
          </cell>
          <cell r="BC35">
            <v>0</v>
          </cell>
          <cell r="BD35">
            <v>0</v>
          </cell>
          <cell r="BE35">
            <v>0</v>
          </cell>
        </row>
        <row r="36">
          <cell r="B36" t="str">
            <v>Clay Bricks</v>
          </cell>
          <cell r="C36">
            <v>-0.25933230122642636</v>
          </cell>
          <cell r="D36">
            <v>-5.5909861504020264E-4</v>
          </cell>
          <cell r="E36">
            <v>0</v>
          </cell>
          <cell r="F36">
            <v>0</v>
          </cell>
          <cell r="G36">
            <v>0</v>
          </cell>
          <cell r="H36">
            <v>-7.453902725520857E-2</v>
          </cell>
          <cell r="I36">
            <v>-0.25933230122642636</v>
          </cell>
          <cell r="J36">
            <v>-5.5909861504020264E-4</v>
          </cell>
          <cell r="K36">
            <v>0</v>
          </cell>
          <cell r="L36">
            <v>0</v>
          </cell>
          <cell r="M36">
            <v>0</v>
          </cell>
          <cell r="N36">
            <v>-7.453902725520857E-2</v>
          </cell>
          <cell r="O36" t="str">
            <v>NA</v>
          </cell>
          <cell r="P36" t="str">
            <v>NA</v>
          </cell>
          <cell r="Q36" t="str">
            <v>NA</v>
          </cell>
          <cell r="R36" t="str">
            <v>NA</v>
          </cell>
          <cell r="S36" t="str">
            <v>NA</v>
          </cell>
          <cell r="T36" t="str">
            <v>NA</v>
          </cell>
          <cell r="U36" t="str">
            <v>NA</v>
          </cell>
          <cell r="V36" t="str">
            <v>NA</v>
          </cell>
          <cell r="W36" t="str">
            <v>NA</v>
          </cell>
          <cell r="X36" t="str">
            <v>NA</v>
          </cell>
          <cell r="Y36" t="str">
            <v>NA</v>
          </cell>
          <cell r="Z36" t="str">
            <v>NA</v>
          </cell>
          <cell r="AA36" t="str">
            <v>NA</v>
          </cell>
          <cell r="AB36" t="str">
            <v>NA</v>
          </cell>
          <cell r="AC36" t="str">
            <v>NA</v>
          </cell>
          <cell r="AD36" t="str">
            <v>NA</v>
          </cell>
          <cell r="AE36" t="str">
            <v>NA</v>
          </cell>
          <cell r="AF36" t="str">
            <v>NA</v>
          </cell>
          <cell r="AG36">
            <v>0.14218986714494056</v>
          </cell>
          <cell r="AH36">
            <v>0</v>
          </cell>
          <cell r="AI36">
            <v>0</v>
          </cell>
          <cell r="AJ36">
            <v>0</v>
          </cell>
          <cell r="AK36">
            <v>0</v>
          </cell>
          <cell r="AL36">
            <v>3.8779054675892877E-2</v>
          </cell>
          <cell r="AM36">
            <v>0.25933230122642636</v>
          </cell>
          <cell r="AN36">
            <v>5.5909861504020264E-4</v>
          </cell>
          <cell r="AO36">
            <v>0</v>
          </cell>
          <cell r="AP36">
            <v>0</v>
          </cell>
          <cell r="AQ36">
            <v>0</v>
          </cell>
          <cell r="AR36">
            <v>7.453902725520857E-2</v>
          </cell>
          <cell r="AS36">
            <v>1</v>
          </cell>
          <cell r="AT36">
            <v>0.25933230122642636</v>
          </cell>
          <cell r="AU36">
            <v>5.5909861504020264E-4</v>
          </cell>
          <cell r="AV36">
            <v>0</v>
          </cell>
          <cell r="AW36">
            <v>0</v>
          </cell>
          <cell r="AX36">
            <v>0</v>
          </cell>
          <cell r="AY36">
            <v>7.453902725520857E-2</v>
          </cell>
          <cell r="AZ36">
            <v>0</v>
          </cell>
          <cell r="BA36">
            <v>0</v>
          </cell>
          <cell r="BB36">
            <v>0</v>
          </cell>
          <cell r="BC36">
            <v>0</v>
          </cell>
          <cell r="BD36">
            <v>0</v>
          </cell>
          <cell r="BE36">
            <v>0</v>
          </cell>
        </row>
        <row r="37">
          <cell r="B37" t="str">
            <v>Aggregate</v>
          </cell>
          <cell r="C37" t="str">
            <v>NA</v>
          </cell>
          <cell r="D37" t="str">
            <v>NA</v>
          </cell>
          <cell r="E37" t="str">
            <v>NA</v>
          </cell>
          <cell r="F37" t="str">
            <v>NA</v>
          </cell>
          <cell r="G37" t="str">
            <v>NA</v>
          </cell>
          <cell r="H37" t="str">
            <v>NA</v>
          </cell>
          <cell r="I37" t="str">
            <v>NA</v>
          </cell>
          <cell r="J37" t="str">
            <v>NA</v>
          </cell>
          <cell r="K37" t="str">
            <v>NA</v>
          </cell>
          <cell r="L37" t="str">
            <v>NA</v>
          </cell>
          <cell r="M37" t="str">
            <v>NA</v>
          </cell>
          <cell r="N37" t="str">
            <v>NA</v>
          </cell>
          <cell r="O37">
            <v>-7.9096836088157745E-3</v>
          </cell>
          <cell r="P37">
            <v>-1.8732900246628394E-6</v>
          </cell>
          <cell r="Q37">
            <v>0</v>
          </cell>
          <cell r="R37">
            <v>0</v>
          </cell>
          <cell r="S37">
            <v>0</v>
          </cell>
          <cell r="T37">
            <v>-2.169958870754276E-3</v>
          </cell>
          <cell r="U37" t="str">
            <v>NA</v>
          </cell>
          <cell r="V37" t="str">
            <v>NA</v>
          </cell>
          <cell r="W37" t="str">
            <v>NA</v>
          </cell>
          <cell r="X37" t="str">
            <v>NA</v>
          </cell>
          <cell r="Y37" t="str">
            <v>NA</v>
          </cell>
          <cell r="Z37" t="str">
            <v>NA</v>
          </cell>
          <cell r="AA37" t="str">
            <v>NA</v>
          </cell>
          <cell r="AB37" t="str">
            <v>NA</v>
          </cell>
          <cell r="AC37" t="str">
            <v>NA</v>
          </cell>
          <cell r="AD37" t="str">
            <v>NA</v>
          </cell>
          <cell r="AE37" t="str">
            <v>NA</v>
          </cell>
          <cell r="AF37" t="str">
            <v>NA</v>
          </cell>
          <cell r="AG37">
            <v>0.14218986714494056</v>
          </cell>
          <cell r="AH37">
            <v>0</v>
          </cell>
          <cell r="AI37">
            <v>0</v>
          </cell>
          <cell r="AJ37">
            <v>0</v>
          </cell>
          <cell r="AK37">
            <v>0</v>
          </cell>
          <cell r="AL37">
            <v>3.8779054675892877E-2</v>
          </cell>
          <cell r="AM37">
            <v>1.698412964411514E-2</v>
          </cell>
          <cell r="AN37">
            <v>5.3211917403585559E-6</v>
          </cell>
          <cell r="AO37">
            <v>0</v>
          </cell>
          <cell r="AP37">
            <v>0</v>
          </cell>
          <cell r="AQ37">
            <v>0</v>
          </cell>
          <cell r="AR37">
            <v>4.6683162102611189E-3</v>
          </cell>
          <cell r="AS37">
            <v>0</v>
          </cell>
          <cell r="AT37">
            <v>9.0744460352993658E-3</v>
          </cell>
          <cell r="AU37">
            <v>3.4479017156957165E-6</v>
          </cell>
          <cell r="AV37">
            <v>0</v>
          </cell>
          <cell r="AW37">
            <v>0</v>
          </cell>
          <cell r="AX37">
            <v>0</v>
          </cell>
          <cell r="AY37">
            <v>2.4983573395068433E-3</v>
          </cell>
          <cell r="AZ37">
            <v>9.0744460352993658E-3</v>
          </cell>
          <cell r="BA37">
            <v>3.4479017156957165E-6</v>
          </cell>
          <cell r="BB37">
            <v>0</v>
          </cell>
          <cell r="BC37">
            <v>0</v>
          </cell>
          <cell r="BD37">
            <v>0</v>
          </cell>
          <cell r="BE37">
            <v>2.4983573395068433E-3</v>
          </cell>
        </row>
        <row r="38">
          <cell r="B38" t="str">
            <v>Fly Ash</v>
          </cell>
          <cell r="C38" t="str">
            <v>NA</v>
          </cell>
          <cell r="D38" t="str">
            <v>NA</v>
          </cell>
          <cell r="E38" t="str">
            <v>NA</v>
          </cell>
          <cell r="F38" t="str">
            <v>NA</v>
          </cell>
          <cell r="G38" t="str">
            <v>NA</v>
          </cell>
          <cell r="H38" t="str">
            <v>NA</v>
          </cell>
          <cell r="I38" t="str">
            <v>NA</v>
          </cell>
          <cell r="J38" t="str">
            <v>NA</v>
          </cell>
          <cell r="K38" t="str">
            <v>NA</v>
          </cell>
          <cell r="L38" t="str">
            <v>NA</v>
          </cell>
          <cell r="M38" t="str">
            <v>NA</v>
          </cell>
          <cell r="N38" t="str">
            <v>NA</v>
          </cell>
          <cell r="O38">
            <v>-0.85394813197318298</v>
          </cell>
          <cell r="P38">
            <v>-5.2473827826795747E-4</v>
          </cell>
          <cell r="Q38">
            <v>0</v>
          </cell>
          <cell r="R38">
            <v>0</v>
          </cell>
          <cell r="S38">
            <v>0</v>
          </cell>
          <cell r="T38">
            <v>-0.23647270607178597</v>
          </cell>
          <cell r="U38" t="str">
            <v>NA</v>
          </cell>
          <cell r="V38" t="str">
            <v>NA</v>
          </cell>
          <cell r="W38" t="str">
            <v>NA</v>
          </cell>
          <cell r="X38" t="str">
            <v>NA</v>
          </cell>
          <cell r="Y38" t="str">
            <v>NA</v>
          </cell>
          <cell r="Z38" t="str">
            <v>NA</v>
          </cell>
          <cell r="AA38" t="str">
            <v>NA</v>
          </cell>
          <cell r="AB38" t="str">
            <v>NA</v>
          </cell>
          <cell r="AC38" t="str">
            <v>NA</v>
          </cell>
          <cell r="AD38" t="str">
            <v>NA</v>
          </cell>
          <cell r="AE38" t="str">
            <v>NA</v>
          </cell>
          <cell r="AF38" t="str">
            <v>NA</v>
          </cell>
          <cell r="AG38">
            <v>0.14218986714494056</v>
          </cell>
          <cell r="AH38">
            <v>0</v>
          </cell>
          <cell r="AI38">
            <v>0</v>
          </cell>
          <cell r="AJ38">
            <v>0</v>
          </cell>
          <cell r="AK38">
            <v>0</v>
          </cell>
          <cell r="AL38">
            <v>3.8779054675892877E-2</v>
          </cell>
          <cell r="AM38">
            <v>0.86160699527167184</v>
          </cell>
          <cell r="AN38">
            <v>5.2652123972840375E-4</v>
          </cell>
          <cell r="AO38">
            <v>0</v>
          </cell>
          <cell r="AP38">
            <v>0</v>
          </cell>
          <cell r="AQ38">
            <v>0</v>
          </cell>
          <cell r="AR38">
            <v>0.23857364352678595</v>
          </cell>
          <cell r="AS38">
            <v>0</v>
          </cell>
          <cell r="AT38">
            <v>7.6588632984888414E-3</v>
          </cell>
          <cell r="AU38">
            <v>1.7829614604462473E-6</v>
          </cell>
          <cell r="AV38">
            <v>0</v>
          </cell>
          <cell r="AW38">
            <v>0</v>
          </cell>
          <cell r="AX38">
            <v>0</v>
          </cell>
          <cell r="AY38">
            <v>2.1009374549999993E-3</v>
          </cell>
          <cell r="AZ38">
            <v>7.6588632984888414E-3</v>
          </cell>
          <cell r="BA38">
            <v>1.7829614604462473E-6</v>
          </cell>
          <cell r="BB38">
            <v>0</v>
          </cell>
          <cell r="BC38">
            <v>0</v>
          </cell>
          <cell r="BD38">
            <v>0</v>
          </cell>
          <cell r="BE38">
            <v>2.1009374549999993E-3</v>
          </cell>
        </row>
        <row r="39">
          <cell r="B39" t="str">
            <v>Tires</v>
          </cell>
          <cell r="C39" t="e">
            <v>#REF!</v>
          </cell>
          <cell r="D39" t="e">
            <v>#REF!</v>
          </cell>
          <cell r="E39">
            <v>0</v>
          </cell>
          <cell r="F39">
            <v>0</v>
          </cell>
          <cell r="G39">
            <v>0</v>
          </cell>
          <cell r="H39" t="e">
            <v>#REF!</v>
          </cell>
          <cell r="I39" t="e">
            <v>#REF!</v>
          </cell>
          <cell r="J39" t="e">
            <v>#REF!</v>
          </cell>
          <cell r="K39">
            <v>0</v>
          </cell>
          <cell r="L39">
            <v>0</v>
          </cell>
          <cell r="M39">
            <v>0</v>
          </cell>
          <cell r="N39" t="e">
            <v>#REF!</v>
          </cell>
          <cell r="O39" t="e">
            <v>#REF!</v>
          </cell>
          <cell r="P39" t="e">
            <v>#REF!</v>
          </cell>
          <cell r="Q39">
            <v>0</v>
          </cell>
          <cell r="R39">
            <v>0</v>
          </cell>
          <cell r="S39">
            <v>0</v>
          </cell>
          <cell r="T39" t="e">
            <v>#REF!</v>
          </cell>
          <cell r="U39" t="str">
            <v>NA</v>
          </cell>
          <cell r="V39" t="str">
            <v>NA</v>
          </cell>
          <cell r="W39" t="str">
            <v>NA</v>
          </cell>
          <cell r="X39" t="str">
            <v>NA</v>
          </cell>
          <cell r="Y39" t="str">
            <v>NA</v>
          </cell>
          <cell r="Z39" t="str">
            <v>NA</v>
          </cell>
          <cell r="AA39" t="e">
            <v>#REF!</v>
          </cell>
          <cell r="AB39" t="e">
            <v>#REF!</v>
          </cell>
          <cell r="AC39" t="e">
            <v>#REF!</v>
          </cell>
          <cell r="AD39" t="e">
            <v>#REF!</v>
          </cell>
          <cell r="AE39" t="e">
            <v>#REF!</v>
          </cell>
          <cell r="AF39" t="e">
            <v>#REF!</v>
          </cell>
          <cell r="AG39">
            <v>0.14218986714494056</v>
          </cell>
          <cell r="AH39">
            <v>0</v>
          </cell>
          <cell r="AI39">
            <v>0</v>
          </cell>
          <cell r="AJ39">
            <v>0</v>
          </cell>
          <cell r="AK39">
            <v>0</v>
          </cell>
          <cell r="AL39">
            <v>3.8779054675892877E-2</v>
          </cell>
          <cell r="AM39" t="e">
            <v>#REF!</v>
          </cell>
          <cell r="AN39" t="e">
            <v>#REF!</v>
          </cell>
          <cell r="AO39">
            <v>0</v>
          </cell>
          <cell r="AP39">
            <v>0</v>
          </cell>
          <cell r="AQ39">
            <v>0</v>
          </cell>
          <cell r="AR39" t="e">
            <v>#REF!</v>
          </cell>
          <cell r="AS39">
            <v>0.96314444444444447</v>
          </cell>
          <cell r="AT39" t="e">
            <v>#REF!</v>
          </cell>
          <cell r="AU39" t="e">
            <v>#REF!</v>
          </cell>
          <cell r="AV39">
            <v>0</v>
          </cell>
          <cell r="AW39">
            <v>0</v>
          </cell>
          <cell r="AX39">
            <v>0</v>
          </cell>
          <cell r="AY39" t="e">
            <v>#REF!</v>
          </cell>
          <cell r="AZ39">
            <v>0.15983031177110282</v>
          </cell>
          <cell r="BA39">
            <v>1.9849347921258706E-4</v>
          </cell>
          <cell r="BB39">
            <v>0</v>
          </cell>
          <cell r="BC39">
            <v>0</v>
          </cell>
          <cell r="BD39">
            <v>0</v>
          </cell>
          <cell r="BE39">
            <v>4.4943449659477497E-2</v>
          </cell>
        </row>
        <row r="43">
          <cell r="AH43" t="str">
            <v>*Material that is recycled post-consumer is then substituted for virgin inputs in the production of new products.  This credit</v>
          </cell>
        </row>
        <row r="44">
          <cell r="AH44" t="str">
            <v xml:space="preserve"> represents the difference in emissions that results from using recycled inputs rather than virgin inputs.   It accounts for </v>
          </cell>
        </row>
        <row r="45">
          <cell r="AH45" t="str">
            <v>loss rates in collection, processing, and remanufacturing.  Recycling credit is based on weighted average of closed and open</v>
          </cell>
        </row>
        <row r="46">
          <cell r="C46" t="str">
            <v>Avoided Emissions Per Ton of Steel Recovered</v>
          </cell>
          <cell r="AH46" t="str">
            <v>loop recycling for office paper and corrugated cardboard.  However, all other estimates are only for the products themselves.</v>
          </cell>
        </row>
        <row r="47">
          <cell r="C47" t="str">
            <v>MTCE/Ton</v>
          </cell>
          <cell r="D47" t="str">
            <v>CO2 (MT/Ton)</v>
          </cell>
          <cell r="E47" t="str">
            <v>CH4 (MT/Ton)</v>
          </cell>
          <cell r="F47" t="str">
            <v>CF4</v>
          </cell>
          <cell r="G47" t="str">
            <v>C2F6</v>
          </cell>
          <cell r="H47" t="str">
            <v>N2O</v>
          </cell>
        </row>
        <row r="48">
          <cell r="C48">
            <v>1.8122705074770458</v>
          </cell>
          <cell r="D48">
            <v>1.7395958452364508</v>
          </cell>
          <cell r="E48">
            <v>2.906986489623778E-3</v>
          </cell>
          <cell r="F48">
            <v>0</v>
          </cell>
          <cell r="G48">
            <v>0</v>
          </cell>
          <cell r="H48">
            <v>0</v>
          </cell>
          <cell r="AM48" t="str">
            <v>Carpet and PC Recycling Calculation (open loop recycling)</v>
          </cell>
        </row>
        <row r="49">
          <cell r="AN49" t="str">
            <v>Product Manufacture Using 100% Virgin Inputs</v>
          </cell>
          <cell r="AS49" t="str">
            <v>Product Manufacture Using 100% Recycled Inputs</v>
          </cell>
          <cell r="AX49" t="str">
            <v>Delta, after factoring in loss rate</v>
          </cell>
        </row>
        <row r="50">
          <cell r="AN50" t="str">
            <v>CO2 Emissions</v>
          </cell>
          <cell r="AO50" t="str">
            <v>CH4 Emissions</v>
          </cell>
          <cell r="AP50" t="str">
            <v>CF4 Emissions</v>
          </cell>
          <cell r="AQ50" t="str">
            <v>C2F6 Emissions</v>
          </cell>
          <cell r="AR50" t="str">
            <v>N2O Emissions</v>
          </cell>
          <cell r="AS50" t="str">
            <v>CO2 Emissions</v>
          </cell>
          <cell r="AT50" t="str">
            <v>CH4 Emissions</v>
          </cell>
          <cell r="AU50" t="str">
            <v>CF4 Emissions</v>
          </cell>
          <cell r="AV50" t="str">
            <v>C2F6 Emissions</v>
          </cell>
          <cell r="AW50" t="str">
            <v>N2O Emissions</v>
          </cell>
          <cell r="AX50" t="str">
            <v>CO2 Emissions</v>
          </cell>
          <cell r="AY50" t="str">
            <v>CH4 Emissions</v>
          </cell>
          <cell r="AZ50" t="str">
            <v>CF4 Emissions</v>
          </cell>
          <cell r="BA50" t="str">
            <v>C2F6 Emissions</v>
          </cell>
          <cell r="BB50" t="str">
            <v>N2O Emissions</v>
          </cell>
        </row>
        <row r="51">
          <cell r="AN51" t="str">
            <v>(MT/Ton of Product)</v>
          </cell>
          <cell r="AO51" t="str">
            <v>(MT/Ton of Product)</v>
          </cell>
          <cell r="AP51" t="str">
            <v>(MT/Ton of Product)</v>
          </cell>
          <cell r="AQ51" t="str">
            <v>(MT/Ton of Product)</v>
          </cell>
          <cell r="AR51" t="str">
            <v>(MT/Ton of Product)</v>
          </cell>
          <cell r="AS51" t="str">
            <v>(MT/Ton of Product)</v>
          </cell>
          <cell r="AT51" t="str">
            <v>(MT/Ton of Product)</v>
          </cell>
          <cell r="AU51" t="str">
            <v>(MT/Ton of Product)</v>
          </cell>
          <cell r="AV51" t="str">
            <v>(MT/Ton of Product)</v>
          </cell>
          <cell r="AW51" t="str">
            <v>(MT/Ton of Product)</v>
          </cell>
          <cell r="AX51" t="str">
            <v>(MT/Ton of Product)</v>
          </cell>
          <cell r="AY51" t="str">
            <v>(MT/Ton of Product)</v>
          </cell>
          <cell r="AZ51" t="str">
            <v>(MT/Ton of Product)</v>
          </cell>
          <cell r="BA51" t="str">
            <v>(MT/Ton of Product)</v>
          </cell>
          <cell r="BB51" t="str">
            <v>(MT/Ton of Product)</v>
          </cell>
        </row>
        <row r="52">
          <cell r="AM52" t="str">
            <v>Carpet Pad/Cushion</v>
          </cell>
          <cell r="AN52">
            <v>3.744805158534569</v>
          </cell>
          <cell r="AO52">
            <v>9.7256731880504318E-3</v>
          </cell>
          <cell r="AP52">
            <v>0</v>
          </cell>
          <cell r="AQ52">
            <v>0</v>
          </cell>
          <cell r="AR52">
            <v>3.8827506872000099E-3</v>
          </cell>
          <cell r="AS52">
            <v>0.12109747864649389</v>
          </cell>
          <cell r="AT52">
            <v>1.5122002955414096E-4</v>
          </cell>
          <cell r="AU52">
            <v>0</v>
          </cell>
          <cell r="AV52">
            <v>0</v>
          </cell>
          <cell r="AW52">
            <v>0</v>
          </cell>
          <cell r="AX52">
            <v>-3.6237076798880752</v>
          </cell>
          <cell r="AY52">
            <v>-9.5744531584962909E-3</v>
          </cell>
          <cell r="AZ52">
            <v>0</v>
          </cell>
          <cell r="BA52">
            <v>0</v>
          </cell>
          <cell r="BB52">
            <v>-3.8827506872000099E-3</v>
          </cell>
        </row>
        <row r="53">
          <cell r="AM53" t="str">
            <v>Molded Products (auto parts)</v>
          </cell>
          <cell r="AN53">
            <v>1.4694621781618566</v>
          </cell>
          <cell r="AO53">
            <v>3.6224752289295008E-3</v>
          </cell>
          <cell r="AP53">
            <v>0</v>
          </cell>
          <cell r="AQ53">
            <v>0</v>
          </cell>
          <cell r="AR53">
            <v>1.462835393250004E-3</v>
          </cell>
          <cell r="AS53">
            <v>0.27371303305979755</v>
          </cell>
          <cell r="AT53">
            <v>4.8454182816701251E-4</v>
          </cell>
          <cell r="AU53">
            <v>0</v>
          </cell>
          <cell r="AV53">
            <v>0</v>
          </cell>
          <cell r="AW53">
            <v>0</v>
          </cell>
          <cell r="AX53">
            <v>-1.1897703993765487</v>
          </cell>
          <cell r="AY53">
            <v>-3.1222437337586756E-3</v>
          </cell>
          <cell r="AZ53">
            <v>0</v>
          </cell>
          <cell r="BA53">
            <v>0</v>
          </cell>
          <cell r="BB53">
            <v>-1.4555212162837539E-3</v>
          </cell>
        </row>
        <row r="54">
          <cell r="AM54" t="str">
            <v>Backing for Commercial Carpet Tiles</v>
          </cell>
          <cell r="AN54">
            <v>0.20376943191507593</v>
          </cell>
          <cell r="AO54">
            <v>8.531688263127016E-4</v>
          </cell>
          <cell r="AP54">
            <v>0</v>
          </cell>
          <cell r="AQ54">
            <v>0</v>
          </cell>
          <cell r="AR54">
            <v>0</v>
          </cell>
          <cell r="AS54">
            <v>0.10395718275180704</v>
          </cell>
          <cell r="AT54">
            <v>1.8542759510596589E-4</v>
          </cell>
          <cell r="AU54">
            <v>0</v>
          </cell>
          <cell r="AV54">
            <v>0</v>
          </cell>
          <cell r="AW54">
            <v>0</v>
          </cell>
          <cell r="AX54">
            <v>-9.981224916326889E-2</v>
          </cell>
          <cell r="AY54">
            <v>-6.6774123120673574E-4</v>
          </cell>
          <cell r="AZ54">
            <v>0</v>
          </cell>
          <cell r="BA54">
            <v>0</v>
          </cell>
          <cell r="BB54">
            <v>0</v>
          </cell>
        </row>
        <row r="55">
          <cell r="AM55" t="str">
            <v>Asphalt</v>
          </cell>
          <cell r="AN55">
            <v>1.6658591681281611E-2</v>
          </cell>
          <cell r="AO55">
            <v>2.0794726749619727E-5</v>
          </cell>
          <cell r="AP55">
            <v>0</v>
          </cell>
          <cell r="AQ55">
            <v>0</v>
          </cell>
          <cell r="AR55">
            <v>0</v>
          </cell>
          <cell r="AS55">
            <v>0.13457533757168771</v>
          </cell>
          <cell r="AT55">
            <v>2.097777615790489E-4</v>
          </cell>
          <cell r="AU55">
            <v>0</v>
          </cell>
          <cell r="AV55">
            <v>0</v>
          </cell>
          <cell r="AW55">
            <v>0</v>
          </cell>
          <cell r="AX55">
            <v>6.3207308696465445E-2</v>
          </cell>
          <cell r="AY55">
            <v>1.01301209854965E-4</v>
          </cell>
          <cell r="AZ55">
            <v>0</v>
          </cell>
          <cell r="BA55">
            <v>0</v>
          </cell>
          <cell r="BB55">
            <v>0</v>
          </cell>
        </row>
        <row r="56">
          <cell r="AM56" t="str">
            <v>Steel Sheet</v>
          </cell>
          <cell r="AN56">
            <v>0.61406994757145572</v>
          </cell>
          <cell r="AO56">
            <v>9.4731645624275909E-4</v>
          </cell>
          <cell r="AP56">
            <v>0</v>
          </cell>
          <cell r="AQ56">
            <v>0</v>
          </cell>
          <cell r="AR56">
            <v>0</v>
          </cell>
          <cell r="AS56">
            <v>0.18826116681013691</v>
          </cell>
          <cell r="AT56">
            <v>3.4201782741440074E-4</v>
          </cell>
          <cell r="AU56">
            <v>0</v>
          </cell>
          <cell r="AV56">
            <v>0</v>
          </cell>
          <cell r="AW56">
            <v>0</v>
          </cell>
          <cell r="AX56">
            <v>-0.34997981980382364</v>
          </cell>
          <cell r="AY56">
            <v>-4.9750572232467802E-4</v>
          </cell>
          <cell r="AZ56">
            <v>0</v>
          </cell>
          <cell r="BA56">
            <v>0</v>
          </cell>
          <cell r="BB56">
            <v>0</v>
          </cell>
        </row>
        <row r="57">
          <cell r="AM57" t="str">
            <v>Lead Bullion</v>
          </cell>
          <cell r="AN57">
            <v>0.10464263025754598</v>
          </cell>
          <cell r="AO57">
            <v>2.4518755586875945E-4</v>
          </cell>
          <cell r="AP57">
            <v>0</v>
          </cell>
          <cell r="AQ57">
            <v>0</v>
          </cell>
          <cell r="AR57">
            <v>0</v>
          </cell>
          <cell r="AS57">
            <v>0.1289474179033285</v>
          </cell>
          <cell r="AT57">
            <v>1.9753100297739635E-4</v>
          </cell>
          <cell r="AU57">
            <v>0</v>
          </cell>
          <cell r="AV57">
            <v>0</v>
          </cell>
          <cell r="AW57">
            <v>0</v>
          </cell>
          <cell r="AX57">
            <v>1.9876655102098854E-2</v>
          </cell>
          <cell r="AY57">
            <v>-3.8973920652251735E-5</v>
          </cell>
          <cell r="AZ57">
            <v>0</v>
          </cell>
          <cell r="BA57">
            <v>0</v>
          </cell>
          <cell r="BB57">
            <v>0</v>
          </cell>
        </row>
        <row r="58">
          <cell r="AM58" t="str">
            <v>CRT Glass</v>
          </cell>
          <cell r="AN58">
            <v>1.1348656622080615E-2</v>
          </cell>
          <cell r="AO58">
            <v>1.5763914131981901E-5</v>
          </cell>
          <cell r="AP58">
            <v>0</v>
          </cell>
          <cell r="AQ58">
            <v>0</v>
          </cell>
          <cell r="AR58">
            <v>0</v>
          </cell>
          <cell r="AS58">
            <v>1.2865663933899278E-2</v>
          </cell>
          <cell r="AT58">
            <v>1.4010362062766846E-5</v>
          </cell>
          <cell r="AU58">
            <v>0</v>
          </cell>
          <cell r="AV58">
            <v>0</v>
          </cell>
          <cell r="AW58">
            <v>0</v>
          </cell>
          <cell r="AX58">
            <v>1.2468553247824631E-3</v>
          </cell>
          <cell r="AY58">
            <v>-1.4412756733274424E-6</v>
          </cell>
          <cell r="AZ58">
            <v>0</v>
          </cell>
          <cell r="BA58">
            <v>0</v>
          </cell>
          <cell r="BB58">
            <v>0</v>
          </cell>
        </row>
        <row r="59">
          <cell r="AM59" t="str">
            <v>Copper Wire</v>
          </cell>
          <cell r="AN59">
            <v>0.33868798074555539</v>
          </cell>
          <cell r="AO59">
            <v>5.51418252271605E-4</v>
          </cell>
          <cell r="AP59">
            <v>0</v>
          </cell>
          <cell r="AQ59">
            <v>0</v>
          </cell>
          <cell r="AR59">
            <v>0</v>
          </cell>
          <cell r="AS59">
            <v>0.27446400695416373</v>
          </cell>
          <cell r="AT59">
            <v>5.0708802234628654E-4</v>
          </cell>
          <cell r="AU59">
            <v>0</v>
          </cell>
          <cell r="AV59">
            <v>0</v>
          </cell>
          <cell r="AW59">
            <v>0</v>
          </cell>
          <cell r="AX59">
            <v>-5.2258959496009103E-2</v>
          </cell>
          <cell r="AY59">
            <v>-3.6071447363889254E-5</v>
          </cell>
          <cell r="AZ59">
            <v>0</v>
          </cell>
          <cell r="BA59">
            <v>0</v>
          </cell>
          <cell r="BB59">
            <v>0</v>
          </cell>
        </row>
        <row r="60">
          <cell r="AM60" t="str">
            <v>Alum Sheet</v>
          </cell>
          <cell r="AN60">
            <v>2.4675011881486548</v>
          </cell>
          <cell r="AO60">
            <v>3.7726401287543477E-3</v>
          </cell>
          <cell r="AP60">
            <v>3.3642080154437531E-5</v>
          </cell>
          <cell r="AQ60">
            <v>3.3864875387248383E-6</v>
          </cell>
          <cell r="AR60">
            <v>0</v>
          </cell>
          <cell r="AS60">
            <v>0.16941376887942236</v>
          </cell>
          <cell r="AT60">
            <v>3.2197272776048801E-4</v>
          </cell>
          <cell r="AU60">
            <v>0</v>
          </cell>
          <cell r="AV60">
            <v>0</v>
          </cell>
          <cell r="AW60">
            <v>0</v>
          </cell>
          <cell r="AX60">
            <v>-1.8888389747418348</v>
          </cell>
          <cell r="AY60">
            <v>-2.8361649871182408E-3</v>
          </cell>
          <cell r="AZ60">
            <v>-2.7651024784469202E-5</v>
          </cell>
          <cell r="BA60">
            <v>-2.7834144153902778E-6</v>
          </cell>
          <cell r="BB60">
            <v>0</v>
          </cell>
        </row>
      </sheetData>
      <sheetData sheetId="3" refreshError="1">
        <row r="6">
          <cell r="B6" t="str">
            <v>C+H+L+P Cseq/Wi (dry)</v>
          </cell>
          <cell r="C6" t="str">
            <v>Carbon from non-C/H/L/P Cseq/Wi (dry)</v>
          </cell>
          <cell r="D6" t="str">
            <v>Total Cseq/Wi (dry)</v>
          </cell>
          <cell r="E6" t="str">
            <v>Dry wt/Wet wt</v>
          </cell>
          <cell r="F6" t="str">
            <v>Cseq/Wi (wet)</v>
          </cell>
          <cell r="G6" t="str">
            <v>[MTCE/short ton] Cseq/Wi (wet)</v>
          </cell>
        </row>
        <row r="7">
          <cell r="B7">
            <v>0.24050977763278017</v>
          </cell>
          <cell r="C7">
            <v>2.3842967225447737E-2</v>
          </cell>
          <cell r="D7">
            <v>0.26</v>
          </cell>
          <cell r="E7">
            <v>0.95</v>
          </cell>
          <cell r="F7">
            <v>0.247</v>
          </cell>
          <cell r="G7">
            <v>0.22454545454545452</v>
          </cell>
        </row>
        <row r="8">
          <cell r="B8">
            <v>0.3259869882592053</v>
          </cell>
          <cell r="C8">
            <v>0</v>
          </cell>
          <cell r="D8">
            <v>0.26</v>
          </cell>
          <cell r="E8">
            <v>0.94</v>
          </cell>
          <cell r="F8">
            <v>0.24440000000000001</v>
          </cell>
          <cell r="G8">
            <v>0.22218181818181817</v>
          </cell>
        </row>
        <row r="9">
          <cell r="B9">
            <v>0.37757759358813514</v>
          </cell>
          <cell r="C9">
            <v>2.4421659923051734E-2</v>
          </cell>
          <cell r="D9">
            <v>0.42</v>
          </cell>
          <cell r="E9">
            <v>0.94</v>
          </cell>
          <cell r="F9">
            <v>0.39479999999999998</v>
          </cell>
          <cell r="G9">
            <v>0.35890909090909084</v>
          </cell>
        </row>
        <row r="10">
          <cell r="B10">
            <v>2.4484952720671943E-2</v>
          </cell>
          <cell r="C10">
            <v>1.768619308779007E-2</v>
          </cell>
          <cell r="D10">
            <v>0.05</v>
          </cell>
          <cell r="E10">
            <v>0.94</v>
          </cell>
          <cell r="F10">
            <v>4.7E-2</v>
          </cell>
          <cell r="G10">
            <v>4.2727272727272725E-2</v>
          </cell>
        </row>
        <row r="11">
          <cell r="B11">
            <v>0.30673292744234859</v>
          </cell>
          <cell r="C11">
            <v>0</v>
          </cell>
          <cell r="D11">
            <v>0.08</v>
          </cell>
          <cell r="E11">
            <v>0.3</v>
          </cell>
          <cell r="F11">
            <v>2.4E-2</v>
          </cell>
          <cell r="G11">
            <v>2.1818181818181816E-2</v>
          </cell>
        </row>
        <row r="12">
          <cell r="G12">
            <v>0.1738409090909091</v>
          </cell>
        </row>
        <row r="13">
          <cell r="B13">
            <v>0.17812561899548521</v>
          </cell>
          <cell r="C13">
            <v>3.89287602839712E-2</v>
          </cell>
          <cell r="D13">
            <v>0.31</v>
          </cell>
          <cell r="E13">
            <v>0.18000000000000005</v>
          </cell>
          <cell r="F13">
            <v>5.5800000000000016E-2</v>
          </cell>
          <cell r="G13">
            <v>5.0727272727272739E-2</v>
          </cell>
        </row>
        <row r="14">
          <cell r="B14">
            <v>0.33992158100616227</v>
          </cell>
          <cell r="C14">
            <v>8.0170977128075332E-2</v>
          </cell>
          <cell r="D14">
            <v>0.54</v>
          </cell>
          <cell r="E14">
            <v>0.61799999999999999</v>
          </cell>
          <cell r="F14">
            <v>0.33372000000000002</v>
          </cell>
          <cell r="G14">
            <v>0.3033818181818182</v>
          </cell>
        </row>
        <row r="15">
          <cell r="B15">
            <v>0.34615741777655612</v>
          </cell>
          <cell r="C15">
            <v>3.8611135636534455E-2</v>
          </cell>
          <cell r="D15">
            <v>0.38</v>
          </cell>
          <cell r="E15">
            <v>0.84099999999999997</v>
          </cell>
          <cell r="F15">
            <v>0.31957999999999998</v>
          </cell>
          <cell r="G15">
            <v>0.29052727272727269</v>
          </cell>
        </row>
        <row r="16">
          <cell r="B16">
            <v>0.34615741777655612</v>
          </cell>
          <cell r="C16">
            <v>3.8611135636534455E-2</v>
          </cell>
          <cell r="D16">
            <v>0.38</v>
          </cell>
          <cell r="E16">
            <v>0.84099999999999997</v>
          </cell>
          <cell r="F16">
            <v>0.31957999999999998</v>
          </cell>
          <cell r="G16">
            <v>0.29052727272727269</v>
          </cell>
        </row>
        <row r="17">
          <cell r="B17">
            <v>0.34615741777655612</v>
          </cell>
          <cell r="C17">
            <v>3.8611135636534455E-2</v>
          </cell>
          <cell r="D17">
            <v>0.38</v>
          </cell>
          <cell r="E17">
            <v>0.84099999999999997</v>
          </cell>
          <cell r="F17">
            <v>0.31957999999999998</v>
          </cell>
          <cell r="G17">
            <v>0.29052727272727269</v>
          </cell>
        </row>
        <row r="18">
          <cell r="B18">
            <v>0.18126489376145885</v>
          </cell>
          <cell r="C18">
            <v>1.7396824921956301E-2</v>
          </cell>
          <cell r="D18">
            <v>0.20505303999999999</v>
          </cell>
          <cell r="E18">
            <v>7.596E-2</v>
          </cell>
          <cell r="F18">
            <v>1.55758289184E-2</v>
          </cell>
          <cell r="G18">
            <v>1.4159844471272727E-2</v>
          </cell>
        </row>
        <row r="22">
          <cell r="N22" t="str">
            <v>Exhibit 7-3</v>
          </cell>
        </row>
        <row r="23">
          <cell r="N23" t="str">
            <v>Carbon Storage for Solid Waste Components</v>
          </cell>
        </row>
        <row r="25">
          <cell r="B25" t="str">
            <v>(b)</v>
          </cell>
          <cell r="C25" t="str">
            <v>(c)</v>
          </cell>
          <cell r="E25" t="str">
            <v>(d)</v>
          </cell>
          <cell r="F25" t="str">
            <v>(e)</v>
          </cell>
          <cell r="G25" t="str">
            <v>(f)</v>
          </cell>
          <cell r="L25" t="str">
            <v>(g)</v>
          </cell>
          <cell r="N25" t="str">
            <v>(a)</v>
          </cell>
          <cell r="O25" t="str">
            <v>(b)</v>
          </cell>
          <cell r="P25" t="str">
            <v>(c)</v>
          </cell>
          <cell r="Q25" t="str">
            <v>(d)</v>
          </cell>
          <cell r="R25" t="str">
            <v>(e)</v>
          </cell>
        </row>
        <row r="26">
          <cell r="B26" t="str">
            <v>Average Measured Methane Yield (ml per dry gm)</v>
          </cell>
          <cell r="C26" t="str">
            <v>Percentage of "Methane Potential" Accounted for</v>
          </cell>
          <cell r="E26" t="str">
            <v>"Corrected" Methane Yield (ml per dry gram)</v>
          </cell>
          <cell r="F26" t="str">
            <v>Maximum Possible Methane Yield (ml per dry gram)</v>
          </cell>
          <cell r="G26" t="str">
            <v>Selected Methane Yield (ml per dry gm)</v>
          </cell>
          <cell r="H26" t="str">
            <v>at STP</v>
          </cell>
          <cell r="I26" t="str">
            <v>MT waste)</v>
          </cell>
          <cell r="J26" t="str">
            <v>MT waste)</v>
          </cell>
          <cell r="K26" t="str">
            <v>wet ton)</v>
          </cell>
          <cell r="L26" t="str">
            <v>Selected Methane Yield (MTCE/Wet Ton)</v>
          </cell>
          <cell r="N26" t="str">
            <v>Material</v>
          </cell>
          <cell r="O26" t="str">
            <v>Ratio of Carbon Storage to Dry Weight (gm C/dry gm)</v>
          </cell>
          <cell r="P26" t="str">
            <v>Ratio of Dry Weight to Wet Weight</v>
          </cell>
          <cell r="Q26" t="str">
            <v>(d = b * c) Ratio of Carbon Storage to Wet Weight (gm C/wet gm)</v>
          </cell>
          <cell r="R26" t="str">
            <v>Amount of Carbon Stored (MTCO2E per Wet Ton)</v>
          </cell>
        </row>
        <row r="27">
          <cell r="B27">
            <v>152.30000000000001</v>
          </cell>
          <cell r="C27">
            <v>87.7</v>
          </cell>
          <cell r="E27" t="str">
            <v>NA</v>
          </cell>
          <cell r="F27">
            <v>279.7</v>
          </cell>
          <cell r="G27">
            <v>159.69743589743584</v>
          </cell>
          <cell r="H27">
            <v>159697.43589743585</v>
          </cell>
          <cell r="I27">
            <v>0.11406959706959705</v>
          </cell>
          <cell r="J27">
            <v>0.77774725274725254</v>
          </cell>
          <cell r="K27">
            <v>0.67028929520991554</v>
          </cell>
          <cell r="L27">
            <v>0.67028929520991554</v>
          </cell>
          <cell r="N27" t="str">
            <v>Corrugated Containers</v>
          </cell>
          <cell r="O27">
            <v>0.2599642857142857</v>
          </cell>
          <cell r="P27">
            <v>0.83</v>
          </cell>
          <cell r="Q27">
            <v>0.21577035714285711</v>
          </cell>
          <cell r="R27">
            <v>0.71772644292928323</v>
          </cell>
        </row>
        <row r="28">
          <cell r="B28">
            <v>84.4</v>
          </cell>
          <cell r="C28">
            <v>83.7</v>
          </cell>
          <cell r="E28" t="str">
            <v>NA</v>
          </cell>
          <cell r="F28" t="str">
            <v>NA</v>
          </cell>
          <cell r="G28">
            <v>84.4</v>
          </cell>
          <cell r="H28">
            <v>84400</v>
          </cell>
          <cell r="I28">
            <v>6.028571428571429E-2</v>
          </cell>
          <cell r="J28">
            <v>0.41103896103896109</v>
          </cell>
          <cell r="K28">
            <v>0.35051857332543174</v>
          </cell>
          <cell r="L28">
            <v>0.35051857332543174</v>
          </cell>
          <cell r="N28" t="str">
            <v>Magazines/Third-class Mail</v>
          </cell>
          <cell r="O28">
            <v>0.27741071428571434</v>
          </cell>
          <cell r="P28">
            <v>0.9177777777777778</v>
          </cell>
          <cell r="Q28">
            <v>0.25460138888888895</v>
          </cell>
          <cell r="R28">
            <v>0.84689181420362059</v>
          </cell>
        </row>
        <row r="29">
          <cell r="B29">
            <v>74.2</v>
          </cell>
          <cell r="C29">
            <v>98</v>
          </cell>
          <cell r="E29" t="str">
            <v>NA</v>
          </cell>
          <cell r="F29">
            <v>239.4</v>
          </cell>
          <cell r="G29">
            <v>74.2</v>
          </cell>
          <cell r="H29">
            <v>74200</v>
          </cell>
          <cell r="I29">
            <v>5.2999999999999999E-2</v>
          </cell>
          <cell r="J29">
            <v>0.36136363636363633</v>
          </cell>
          <cell r="K29">
            <v>0.30815732394250034</v>
          </cell>
          <cell r="L29">
            <v>0.30815732394250034</v>
          </cell>
          <cell r="N29" t="str">
            <v>Newspaper</v>
          </cell>
          <cell r="O29">
            <v>0.41239285714285717</v>
          </cell>
          <cell r="P29">
            <v>0.87</v>
          </cell>
          <cell r="Q29">
            <v>0.35878178571428576</v>
          </cell>
          <cell r="R29">
            <v>1.1934316569631502</v>
          </cell>
        </row>
        <row r="30">
          <cell r="B30">
            <v>217.3</v>
          </cell>
          <cell r="C30">
            <v>55.5</v>
          </cell>
          <cell r="E30">
            <v>346</v>
          </cell>
          <cell r="F30">
            <v>398.2</v>
          </cell>
          <cell r="G30">
            <v>269.7282051282051</v>
          </cell>
          <cell r="H30">
            <v>269728.20512820513</v>
          </cell>
          <cell r="I30">
            <v>0.19266300366300368</v>
          </cell>
          <cell r="J30">
            <v>1.3136113886113885</v>
          </cell>
          <cell r="K30">
            <v>1.1201984081417993</v>
          </cell>
          <cell r="L30">
            <v>1.1201984081417993</v>
          </cell>
          <cell r="N30" t="str">
            <v>Office Paper</v>
          </cell>
          <cell r="O30">
            <v>3.9571428571428556E-2</v>
          </cell>
          <cell r="P30">
            <v>0.91</v>
          </cell>
          <cell r="Q30">
            <v>3.6009999999999986E-2</v>
          </cell>
          <cell r="R30">
            <v>0.11978164912046663</v>
          </cell>
        </row>
        <row r="31">
          <cell r="B31">
            <v>300.7</v>
          </cell>
          <cell r="C31">
            <v>77.400000000000006</v>
          </cell>
          <cell r="E31">
            <v>386.2</v>
          </cell>
          <cell r="F31">
            <v>357.6</v>
          </cell>
          <cell r="G31">
            <v>327.03589743589748</v>
          </cell>
          <cell r="H31">
            <v>327035.8974358975</v>
          </cell>
          <cell r="I31">
            <v>0.23359706959706966</v>
          </cell>
          <cell r="J31">
            <v>1.5927072927072929</v>
          </cell>
          <cell r="K31">
            <v>0.43346837323068849</v>
          </cell>
          <cell r="L31">
            <v>0.43346837323068849</v>
          </cell>
          <cell r="N31" t="str">
            <v>Food Waste</v>
          </cell>
          <cell r="O31">
            <v>9.6779403573217584E-2</v>
          </cell>
          <cell r="P31">
            <v>0.26977900552486178</v>
          </cell>
          <cell r="Q31">
            <v>2.6109051251271893E-2</v>
          </cell>
          <cell r="R31">
            <v>8.6847687193783149E-2</v>
          </cell>
        </row>
        <row r="32">
          <cell r="H32">
            <v>0</v>
          </cell>
          <cell r="I32">
            <v>0</v>
          </cell>
          <cell r="J32">
            <v>0</v>
          </cell>
          <cell r="K32">
            <v>0</v>
          </cell>
          <cell r="L32">
            <v>0.1765201934960621</v>
          </cell>
          <cell r="N32" t="str">
            <v>Yard Trimmings</v>
          </cell>
          <cell r="R32">
            <v>0.53546654877228339</v>
          </cell>
        </row>
        <row r="33">
          <cell r="B33">
            <v>144.30000000000001</v>
          </cell>
          <cell r="C33">
            <v>89.3</v>
          </cell>
          <cell r="E33" t="str">
            <v>NA</v>
          </cell>
          <cell r="F33">
            <v>153.19999999999999</v>
          </cell>
          <cell r="G33">
            <v>144.30000000000001</v>
          </cell>
          <cell r="H33">
            <v>144300</v>
          </cell>
          <cell r="I33">
            <v>0.10307142857142858</v>
          </cell>
          <cell r="J33">
            <v>0.7027597402597402</v>
          </cell>
          <cell r="K33">
            <v>0.11475710173886716</v>
          </cell>
          <cell r="L33">
            <v>0.11475710173886716</v>
          </cell>
          <cell r="N33" t="str">
            <v>Grass</v>
          </cell>
          <cell r="O33">
            <v>0.24</v>
          </cell>
          <cell r="P33">
            <v>0.18000000000000005</v>
          </cell>
          <cell r="Q33">
            <v>4.3200000000000009E-2</v>
          </cell>
          <cell r="R33">
            <v>0.14369806281600003</v>
          </cell>
        </row>
        <row r="34">
          <cell r="B34">
            <v>30.5</v>
          </cell>
          <cell r="C34">
            <v>75.2</v>
          </cell>
          <cell r="E34">
            <v>56</v>
          </cell>
          <cell r="F34">
            <v>108</v>
          </cell>
          <cell r="G34">
            <v>56</v>
          </cell>
          <cell r="H34">
            <v>56000</v>
          </cell>
          <cell r="I34">
            <v>0.04</v>
          </cell>
          <cell r="J34">
            <v>0.27272727272727271</v>
          </cell>
          <cell r="K34">
            <v>0.15290343331711378</v>
          </cell>
          <cell r="L34">
            <v>0.15290343331711378</v>
          </cell>
          <cell r="N34" t="str">
            <v>Leaves</v>
          </cell>
          <cell r="O34">
            <v>0.38500000000000001</v>
          </cell>
          <cell r="P34">
            <v>0.61799999999999999</v>
          </cell>
          <cell r="Q34">
            <v>0.23793</v>
          </cell>
          <cell r="R34">
            <v>0.79143703902340001</v>
          </cell>
        </row>
        <row r="35">
          <cell r="B35">
            <v>62.6</v>
          </cell>
          <cell r="C35">
            <v>82.8</v>
          </cell>
          <cell r="E35">
            <v>76.3</v>
          </cell>
          <cell r="F35">
            <v>224.9</v>
          </cell>
          <cell r="G35">
            <v>87.107692307692275</v>
          </cell>
          <cell r="H35">
            <v>87107.692307692269</v>
          </cell>
          <cell r="I35">
            <v>6.2219780219780196E-2</v>
          </cell>
          <cell r="J35">
            <v>0.42422577422577407</v>
          </cell>
          <cell r="K35">
            <v>0.32366313718940032</v>
          </cell>
          <cell r="L35">
            <v>0.32366313718940032</v>
          </cell>
          <cell r="N35" t="str">
            <v>Branches</v>
          </cell>
          <cell r="O35">
            <v>0.38</v>
          </cell>
          <cell r="P35">
            <v>0.84099999999999997</v>
          </cell>
          <cell r="Q35">
            <v>0.31957999999999998</v>
          </cell>
          <cell r="R35">
            <v>1.0630330304337332</v>
          </cell>
        </row>
        <row r="36">
          <cell r="B36">
            <v>92</v>
          </cell>
          <cell r="C36">
            <v>97.6</v>
          </cell>
          <cell r="E36" t="str">
            <v>NA</v>
          </cell>
          <cell r="F36">
            <v>157.6</v>
          </cell>
          <cell r="G36">
            <v>92</v>
          </cell>
          <cell r="H36">
            <v>92000</v>
          </cell>
          <cell r="I36">
            <v>6.5714285714285725E-2</v>
          </cell>
          <cell r="J36">
            <v>0.44805194805194815</v>
          </cell>
          <cell r="K36">
            <v>3.0875465820580587E-2</v>
          </cell>
          <cell r="L36">
            <v>3.0875465820580587E-2</v>
          </cell>
          <cell r="N36" t="str">
            <v>Mixed MSW</v>
          </cell>
          <cell r="O36">
            <v>7.8E-2</v>
          </cell>
          <cell r="P36">
            <v>0.8</v>
          </cell>
          <cell r="Q36">
            <v>6.2400000000000004E-2</v>
          </cell>
          <cell r="R36">
            <v>0.20756386851200001</v>
          </cell>
        </row>
        <row r="37">
          <cell r="N37" t="str">
            <v>Dimensional Lumber</v>
          </cell>
          <cell r="O37">
            <v>0.4366666666666667</v>
          </cell>
          <cell r="P37">
            <v>0.75</v>
          </cell>
          <cell r="Q37">
            <v>0.32750000000000001</v>
          </cell>
          <cell r="R37">
            <v>1.0893776752833335</v>
          </cell>
        </row>
        <row r="38">
          <cell r="N38" t="str">
            <v>Wood Flooring</v>
          </cell>
          <cell r="O38">
            <v>0.41799999999999998</v>
          </cell>
          <cell r="P38">
            <v>0.75</v>
          </cell>
          <cell r="Q38">
            <v>0.3135</v>
          </cell>
          <cell r="R38">
            <v>1.0428088586299999</v>
          </cell>
        </row>
        <row r="39">
          <cell r="N39" t="str">
            <v>Gypsum</v>
          </cell>
          <cell r="O39">
            <v>2.6000000000000002E-2</v>
          </cell>
          <cell r="P39">
            <v>0.94</v>
          </cell>
          <cell r="Q39">
            <v>2.444E-2</v>
          </cell>
          <cell r="R39">
            <v>8.1295848500533341E-2</v>
          </cell>
        </row>
        <row r="40">
          <cell r="J40" t="str">
            <v xml:space="preserve"> </v>
          </cell>
          <cell r="N40" t="str">
            <v>Medium-density Fiberboard</v>
          </cell>
          <cell r="O40">
            <v>0.37</v>
          </cell>
          <cell r="P40">
            <v>0.75</v>
          </cell>
          <cell r="Q40">
            <v>0.27749999999999997</v>
          </cell>
          <cell r="R40">
            <v>0.92306047294999993</v>
          </cell>
        </row>
        <row r="41">
          <cell r="N41" t="str">
            <v>Textbooks</v>
          </cell>
          <cell r="O41">
            <v>3.9571428571428556E-2</v>
          </cell>
          <cell r="P41">
            <v>0.91</v>
          </cell>
          <cell r="Q41">
            <v>3.6009999999999986E-2</v>
          </cell>
          <cell r="R41">
            <v>0.11978164912046663</v>
          </cell>
        </row>
        <row r="43">
          <cell r="N43" t="str">
            <v>Note that more digits may be displayed than are significant.</v>
          </cell>
        </row>
        <row r="46">
          <cell r="C46">
            <v>21</v>
          </cell>
          <cell r="E46">
            <v>19</v>
          </cell>
          <cell r="H46">
            <v>20</v>
          </cell>
          <cell r="I46">
            <v>22</v>
          </cell>
        </row>
        <row r="47">
          <cell r="E47" t="str">
            <v>Methane from Landfills With LFG Recovery and:</v>
          </cell>
        </row>
        <row r="48">
          <cell r="C48" t="str">
            <v>CH4 from Landfills Without Methane Recovery</v>
          </cell>
          <cell r="F48" t="str">
            <v>Flaring</v>
          </cell>
          <cell r="J48" t="str">
            <v>Electricity Generation</v>
          </cell>
          <cell r="N48" t="str">
            <v>Percentage of CH4 from Each Type of Landfill in the current inventory year</v>
          </cell>
          <cell r="Q48" t="str">
            <v>Net CH4 Generation</v>
          </cell>
          <cell r="R48" t="str">
            <v>Avoided CO2 from Energy Recovery</v>
          </cell>
          <cell r="S48" t="str">
            <v>TOTAL</v>
          </cell>
        </row>
        <row r="50">
          <cell r="B50" t="str">
            <v>(b)</v>
          </cell>
          <cell r="C50" t="str">
            <v>(c)</v>
          </cell>
          <cell r="D50" t="str">
            <v>(d)</v>
          </cell>
          <cell r="E50" t="str">
            <v>(e)</v>
          </cell>
          <cell r="F50" t="str">
            <v>(f)</v>
          </cell>
          <cell r="G50" t="str">
            <v>(g)</v>
          </cell>
          <cell r="H50" t="str">
            <v>(h)</v>
          </cell>
          <cell r="I50" t="str">
            <v>(i)</v>
          </cell>
          <cell r="J50" t="str">
            <v>(j)</v>
          </cell>
          <cell r="K50" t="str">
            <v>(k)</v>
          </cell>
          <cell r="L50" t="str">
            <v>(l)</v>
          </cell>
          <cell r="M50" t="str">
            <v>(m)</v>
          </cell>
          <cell r="N50" t="str">
            <v>(n)</v>
          </cell>
          <cell r="O50" t="str">
            <v>(o)</v>
          </cell>
          <cell r="P50" t="str">
            <v>(p)</v>
          </cell>
          <cell r="Q50" t="str">
            <v>(q)</v>
          </cell>
          <cell r="R50" t="str">
            <v>( r)</v>
          </cell>
          <cell r="S50" t="str">
            <v>(s)</v>
          </cell>
        </row>
        <row r="52">
          <cell r="B52" t="str">
            <v>CH4 Generation (MTCO2E/Wet Ton)</v>
          </cell>
          <cell r="C52" t="str">
            <v>Percentage of CH4 Oxidized to CO2</v>
          </cell>
          <cell r="D52" t="str">
            <v>Net GHG Emissions From CH4 Generation (MTCO2E/Wet Ton)</v>
          </cell>
          <cell r="E52" t="str">
            <v>Percentage of CH4 Flared</v>
          </cell>
          <cell r="F52" t="str">
            <v>Percentage of CH4 Oxidized to CO2</v>
          </cell>
          <cell r="G52" t="str">
            <v>Net GHG Emissions From CH4 Generation (MTCO2E/Wet Ton)</v>
          </cell>
          <cell r="H52" t="str">
            <v>Percentage of CH4 Recovered for Energy</v>
          </cell>
          <cell r="I52" t="str">
            <v>Percentage of CH4 Emitted</v>
          </cell>
          <cell r="J52" t="str">
            <v>Utility CO2 Emissions Avoided per MTCO2E CH4 Combusted (MTCO2E)</v>
          </cell>
          <cell r="K52" t="str">
            <v>Percentage of CH4 Recovered for Electricity Generation Not Utilized Due to System "Down Time"</v>
          </cell>
          <cell r="L52" t="str">
            <v>Net GHG Emissions From CH4 Generation (MTCO2E/Wet Ton)</v>
          </cell>
          <cell r="M52" t="str">
            <v>Utility CO2 Emissions Avoided (MTCO2E/Wet Ton)</v>
          </cell>
          <cell r="N52" t="str">
            <v>Percentage of CH4 From Landfills Without LFG Recovery in Current Inventory Year</v>
          </cell>
          <cell r="O52" t="str">
            <v>Percentage of CH4 From Landfills With LFG Recovery And Flaring in Current Inventory Year</v>
          </cell>
          <cell r="P52" t="str">
            <v>CH4 From Landfills With LFG Recovery and Electricity Generation in Current Inventory Year</v>
          </cell>
          <cell r="Q52" t="str">
            <v>Net CH4 Emissions from Landfilling (MTCO2E/Wet Ton)</v>
          </cell>
          <cell r="R52" t="str">
            <v>Net Avoided CO2 Emissions from Landfilling (MTCO2E/Wet Ton)</v>
          </cell>
          <cell r="S52" t="str">
            <v>Net GHG Emissions From Landfilling (MTCO2E/Wet Ton)</v>
          </cell>
        </row>
        <row r="53">
          <cell r="A53" t="str">
            <v>Corrugated Containers</v>
          </cell>
          <cell r="B53">
            <v>2.6232704732575001</v>
          </cell>
          <cell r="C53">
            <v>9.9999999999999978E-2</v>
          </cell>
          <cell r="D53">
            <v>2.3609434259317501</v>
          </cell>
          <cell r="E53">
            <v>0.38204971836859725</v>
          </cell>
          <cell r="F53">
            <v>0.181806472393027</v>
          </cell>
          <cell r="G53">
            <v>1.1441231768690827</v>
          </cell>
          <cell r="H53">
            <v>0.56183941976614793</v>
          </cell>
          <cell r="I53">
            <v>0.28684615334740288</v>
          </cell>
          <cell r="J53">
            <v>-0.11090288103745255</v>
          </cell>
          <cell r="K53">
            <v>0.03</v>
          </cell>
          <cell r="L53">
            <v>0.75247504444373503</v>
          </cell>
          <cell r="M53">
            <v>-0.15855131215580501</v>
          </cell>
          <cell r="N53">
            <v>0.14986396685910378</v>
          </cell>
          <cell r="O53">
            <v>0.13385281877731325</v>
          </cell>
          <cell r="P53">
            <v>0.716283214363583</v>
          </cell>
          <cell r="Q53">
            <v>1.0459497031549745</v>
          </cell>
          <cell r="R53">
            <v>-0.11356764351252384</v>
          </cell>
          <cell r="S53">
            <v>0.93238205964245069</v>
          </cell>
        </row>
        <row r="54">
          <cell r="A54" t="str">
            <v>Magazines/Third-class Mail</v>
          </cell>
          <cell r="B54">
            <v>1.1946237049113888</v>
          </cell>
          <cell r="C54">
            <v>9.9999999999999978E-2</v>
          </cell>
          <cell r="D54">
            <v>1.07516133442025</v>
          </cell>
          <cell r="E54">
            <v>0.51266227551351906</v>
          </cell>
          <cell r="F54">
            <v>0.10500534354594147</v>
          </cell>
          <cell r="G54">
            <v>0.4567433254267797</v>
          </cell>
          <cell r="H54">
            <v>0.53654881762944973</v>
          </cell>
          <cell r="I54">
            <v>0.30421968391989579</v>
          </cell>
          <cell r="J54">
            <v>-0.11090288103745255</v>
          </cell>
          <cell r="K54">
            <v>0.03</v>
          </cell>
          <cell r="L54">
            <v>0.36342804591135758</v>
          </cell>
          <cell r="M54">
            <v>-6.8953280528274444E-2</v>
          </cell>
          <cell r="N54">
            <v>0.14986396685910378</v>
          </cell>
          <cell r="O54">
            <v>0.13385281877731325</v>
          </cell>
          <cell r="P54">
            <v>0.716283214363583</v>
          </cell>
          <cell r="Q54">
            <v>0.4825817330711073</v>
          </cell>
          <cell r="R54">
            <v>-4.9390077417706277E-2</v>
          </cell>
          <cell r="S54">
            <v>0.43319165565340101</v>
          </cell>
        </row>
        <row r="55">
          <cell r="A55" t="str">
            <v>Newspaper</v>
          </cell>
          <cell r="B55">
            <v>1.0471665853275001</v>
          </cell>
          <cell r="C55">
            <v>9.9999999999999978E-2</v>
          </cell>
          <cell r="D55">
            <v>0.94244992679475004</v>
          </cell>
          <cell r="E55">
            <v>0.43541182399429718</v>
          </cell>
          <cell r="F55">
            <v>0.15656686702320252</v>
          </cell>
          <cell r="G55">
            <v>0.42726628086806157</v>
          </cell>
          <cell r="H55">
            <v>0.59254687177708976</v>
          </cell>
          <cell r="I55">
            <v>0.26652925675749023</v>
          </cell>
          <cell r="J55">
            <v>-0.11090288103745255</v>
          </cell>
          <cell r="K55">
            <v>0.03</v>
          </cell>
          <cell r="L55">
            <v>0.27910053168861759</v>
          </cell>
          <cell r="M55">
            <v>-6.6750273265077958E-2</v>
          </cell>
          <cell r="N55">
            <v>0.14986396685910378</v>
          </cell>
          <cell r="O55">
            <v>0.13385281877731325</v>
          </cell>
          <cell r="P55">
            <v>0.716283214363583</v>
          </cell>
          <cell r="Q55">
            <v>0.39834510662673056</v>
          </cell>
          <cell r="R55">
            <v>-4.7812100293957577E-2</v>
          </cell>
          <cell r="S55">
            <v>0.35053300633277296</v>
          </cell>
        </row>
        <row r="56">
          <cell r="A56" t="str">
            <v>Office Paper</v>
          </cell>
          <cell r="B56">
            <v>3.8859258337900004</v>
          </cell>
          <cell r="C56">
            <v>9.9999999999999978E-2</v>
          </cell>
          <cell r="D56">
            <v>3.4973332504110006</v>
          </cell>
          <cell r="E56">
            <v>0.42146308529935167</v>
          </cell>
          <cell r="F56">
            <v>0.16332052835875413</v>
          </cell>
          <cell r="G56">
            <v>1.6135000822988961</v>
          </cell>
          <cell r="H56">
            <v>0.5862330883873319</v>
          </cell>
          <cell r="I56">
            <v>0.2707724184700766</v>
          </cell>
          <cell r="J56">
            <v>-0.11090288103745255</v>
          </cell>
          <cell r="K56">
            <v>0.03</v>
          </cell>
          <cell r="L56">
            <v>1.0522015360106673</v>
          </cell>
          <cell r="M56">
            <v>-0.24506393208183838</v>
          </cell>
          <cell r="N56">
            <v>0.14986396685910378</v>
          </cell>
          <cell r="O56">
            <v>0.13385281877731325</v>
          </cell>
          <cell r="P56">
            <v>0.716283214363583</v>
          </cell>
          <cell r="Q56">
            <v>1.4937700668199902</v>
          </cell>
          <cell r="R56">
            <v>-0.17553518099615797</v>
          </cell>
          <cell r="S56">
            <v>1.3182348858238322</v>
          </cell>
        </row>
        <row r="57">
          <cell r="A57" t="str">
            <v>Phonebooks</v>
          </cell>
          <cell r="B57">
            <v>1.0471665853275001</v>
          </cell>
          <cell r="C57">
            <v>9.9999999999999978E-2</v>
          </cell>
          <cell r="D57">
            <v>0.94244992679475004</v>
          </cell>
          <cell r="E57">
            <v>0.43541182399429718</v>
          </cell>
          <cell r="F57">
            <v>0.15656686702320252</v>
          </cell>
          <cell r="G57">
            <v>0.42726628086806157</v>
          </cell>
          <cell r="H57">
            <v>0.59254687177708976</v>
          </cell>
          <cell r="I57">
            <v>0.26652925675749023</v>
          </cell>
          <cell r="J57">
            <v>-0.11090288103745255</v>
          </cell>
          <cell r="K57">
            <v>0.03</v>
          </cell>
          <cell r="L57">
            <v>0.27910053168861759</v>
          </cell>
          <cell r="M57">
            <v>-6.6750273265077958E-2</v>
          </cell>
          <cell r="N57">
            <v>0.14986396685910378</v>
          </cell>
          <cell r="O57">
            <v>0.13385281877731325</v>
          </cell>
          <cell r="P57">
            <v>0.716283214363583</v>
          </cell>
          <cell r="Q57">
            <v>0.39834510662673056</v>
          </cell>
          <cell r="R57">
            <v>-4.7812100293957577E-2</v>
          </cell>
          <cell r="S57">
            <v>0.35053300633277296</v>
          </cell>
        </row>
        <row r="58">
          <cell r="A58" t="str">
            <v>Textbooks</v>
          </cell>
          <cell r="B58">
            <v>3.8859258337900004</v>
          </cell>
          <cell r="C58">
            <v>9.9999999999999978E-2</v>
          </cell>
          <cell r="D58">
            <v>3.4973332504110006</v>
          </cell>
          <cell r="E58">
            <v>0.42146308529935167</v>
          </cell>
          <cell r="F58">
            <v>0.16332052835875413</v>
          </cell>
          <cell r="G58">
            <v>1.6135000822988961</v>
          </cell>
          <cell r="H58">
            <v>0.5862330883873319</v>
          </cell>
          <cell r="I58">
            <v>0.2707724184700766</v>
          </cell>
          <cell r="J58">
            <v>-0.11090288103745255</v>
          </cell>
          <cell r="K58">
            <v>0.03</v>
          </cell>
          <cell r="L58">
            <v>1.0522015360106673</v>
          </cell>
          <cell r="M58">
            <v>-0.24506393208183838</v>
          </cell>
          <cell r="N58">
            <v>0.14986396685910378</v>
          </cell>
          <cell r="O58">
            <v>0.13385281877731325</v>
          </cell>
          <cell r="P58">
            <v>0.716283214363583</v>
          </cell>
          <cell r="Q58">
            <v>1.4937700668199902</v>
          </cell>
          <cell r="R58">
            <v>-0.17553518099615797</v>
          </cell>
          <cell r="S58">
            <v>1.3182348858238322</v>
          </cell>
        </row>
        <row r="59">
          <cell r="A59" t="str">
            <v>Dimensional Lumber</v>
          </cell>
          <cell r="B59">
            <v>0.16645220006249997</v>
          </cell>
          <cell r="C59">
            <v>9.9999999999999978E-2</v>
          </cell>
          <cell r="D59">
            <v>0.14980698005624998</v>
          </cell>
          <cell r="E59">
            <v>0.50743622778436004</v>
          </cell>
          <cell r="F59">
            <v>0.11527575367677251</v>
          </cell>
          <cell r="G59">
            <v>6.280042074301577E-2</v>
          </cell>
          <cell r="H59">
            <v>0.57678878295939606</v>
          </cell>
          <cell r="I59">
            <v>0.2762237096711449</v>
          </cell>
          <cell r="J59">
            <v>-0.11090288103745255</v>
          </cell>
          <cell r="K59">
            <v>0.03</v>
          </cell>
          <cell r="L59">
            <v>4.5978044184187321E-2</v>
          </cell>
          <cell r="M59">
            <v>-1.0328111274225907E-2</v>
          </cell>
          <cell r="N59">
            <v>0.14986396685910378</v>
          </cell>
          <cell r="O59">
            <v>0.13385281877731325</v>
          </cell>
          <cell r="P59">
            <v>0.716283214363583</v>
          </cell>
          <cell r="Q59">
            <v>6.3789982909666726E-2</v>
          </cell>
          <cell r="R59">
            <v>-7.3978527418072934E-3</v>
          </cell>
          <cell r="S59">
            <v>5.6392130167859433E-2</v>
          </cell>
        </row>
        <row r="60">
          <cell r="A60" t="str">
            <v>Medium-density Fiberboard</v>
          </cell>
          <cell r="B60">
            <v>5.5889059875000008E-2</v>
          </cell>
          <cell r="C60">
            <v>9.9999999999999978E-2</v>
          </cell>
          <cell r="D60">
            <v>5.0300153887500011E-2</v>
          </cell>
          <cell r="E60">
            <v>0.49537309831541415</v>
          </cell>
          <cell r="F60">
            <v>0.12421469344901497</v>
          </cell>
          <cell r="G60">
            <v>2.1260880683258796E-2</v>
          </cell>
          <cell r="H60">
            <v>0.59235143357917641</v>
          </cell>
          <cell r="I60">
            <v>0.26591818478357393</v>
          </cell>
          <cell r="J60">
            <v>-0.11090288103745255</v>
          </cell>
          <cell r="K60">
            <v>0.03</v>
          </cell>
          <cell r="L60">
            <v>1.4861917351220479E-2</v>
          </cell>
          <cell r="M60">
            <v>-3.5614004629369676E-3</v>
          </cell>
          <cell r="N60">
            <v>0.14986396685910378</v>
          </cell>
          <cell r="O60">
            <v>0.13385281877731325</v>
          </cell>
          <cell r="P60">
            <v>0.716283214363583</v>
          </cell>
          <cell r="Q60">
            <v>2.102935133628455E-2</v>
          </cell>
          <cell r="R60">
            <v>-2.5509713712284438E-3</v>
          </cell>
          <cell r="S60">
            <v>1.8478379965056108E-2</v>
          </cell>
        </row>
        <row r="61">
          <cell r="A61" t="str">
            <v>Food Waste</v>
          </cell>
          <cell r="B61">
            <v>1.622706214625282</v>
          </cell>
          <cell r="C61">
            <v>9.9999999999999978E-2</v>
          </cell>
          <cell r="D61">
            <v>1.4604355931627537</v>
          </cell>
          <cell r="E61">
            <v>0.50942919142485388</v>
          </cell>
          <cell r="F61">
            <v>0.10233239319824021</v>
          </cell>
          <cell r="G61">
            <v>0.62999688938837684</v>
          </cell>
          <cell r="H61">
            <v>0.51578569694278531</v>
          </cell>
          <cell r="I61">
            <v>0.31929634752465319</v>
          </cell>
          <cell r="J61">
            <v>-0.11090288103745255</v>
          </cell>
          <cell r="K61">
            <v>0.03</v>
          </cell>
          <cell r="L61">
            <v>0.51812416743540846</v>
          </cell>
          <cell r="M61">
            <v>-9.0037568212997549E-2</v>
          </cell>
          <cell r="N61">
            <v>0.14986396685910378</v>
          </cell>
          <cell r="O61">
            <v>0.13385281877731325</v>
          </cell>
          <cell r="P61">
            <v>0.716283214363583</v>
          </cell>
          <cell r="Q61">
            <v>0.67431717488926157</v>
          </cell>
          <cell r="R61">
            <v>-6.4492398773086254E-2</v>
          </cell>
          <cell r="S61">
            <v>0.60982477611617536</v>
          </cell>
        </row>
        <row r="62">
          <cell r="A62" t="str">
            <v>Food Waste (meat only)</v>
          </cell>
          <cell r="B62">
            <v>1.622706214625282</v>
          </cell>
          <cell r="C62">
            <v>9.9999999999999978E-2</v>
          </cell>
          <cell r="D62">
            <v>1.4604355931627537</v>
          </cell>
          <cell r="E62">
            <v>0.50942919142485388</v>
          </cell>
          <cell r="F62">
            <v>0.10233239319824021</v>
          </cell>
          <cell r="G62">
            <v>0.62999688938837684</v>
          </cell>
          <cell r="H62">
            <v>0.51578569694278531</v>
          </cell>
          <cell r="I62">
            <v>0.31929634752465319</v>
          </cell>
          <cell r="J62">
            <v>-0.11090288103745255</v>
          </cell>
          <cell r="K62">
            <v>0.03</v>
          </cell>
          <cell r="L62">
            <v>0.51812416743540846</v>
          </cell>
          <cell r="M62">
            <v>-9.0037568212997549E-2</v>
          </cell>
          <cell r="N62">
            <v>0.14986396685910378</v>
          </cell>
          <cell r="O62">
            <v>0.13385281877731325</v>
          </cell>
          <cell r="P62">
            <v>0.716283214363583</v>
          </cell>
          <cell r="Q62">
            <v>0.67431717488926157</v>
          </cell>
          <cell r="R62">
            <v>-6.4492398773086254E-2</v>
          </cell>
          <cell r="S62">
            <v>0.60982477611617536</v>
          </cell>
        </row>
        <row r="63">
          <cell r="A63" t="str">
            <v>Food Waste (non-meat)</v>
          </cell>
          <cell r="B63">
            <v>1.622706214625282</v>
          </cell>
          <cell r="C63">
            <v>9.9999999999999978E-2</v>
          </cell>
          <cell r="D63">
            <v>1.4604355931627537</v>
          </cell>
          <cell r="E63">
            <v>0.50942919142485388</v>
          </cell>
          <cell r="F63">
            <v>0.10233239319824021</v>
          </cell>
          <cell r="G63">
            <v>0.62999688938837684</v>
          </cell>
          <cell r="H63">
            <v>0.51578569694278531</v>
          </cell>
          <cell r="I63">
            <v>0.31929634752465319</v>
          </cell>
          <cell r="J63">
            <v>-0.11090288103745255</v>
          </cell>
          <cell r="K63">
            <v>0.03</v>
          </cell>
          <cell r="L63">
            <v>0.51812416743540846</v>
          </cell>
          <cell r="M63">
            <v>-9.0037568212997549E-2</v>
          </cell>
          <cell r="N63">
            <v>0.14986396685910378</v>
          </cell>
          <cell r="O63">
            <v>0.13385281877731325</v>
          </cell>
          <cell r="P63">
            <v>0.716283214363583</v>
          </cell>
          <cell r="Q63">
            <v>0.67431717488926157</v>
          </cell>
          <cell r="R63">
            <v>-6.4492398773086254E-2</v>
          </cell>
          <cell r="S63">
            <v>0.60982477611617536</v>
          </cell>
        </row>
        <row r="64">
          <cell r="A64" t="str">
            <v>Beef</v>
          </cell>
          <cell r="B64">
            <v>1.622706214625282</v>
          </cell>
          <cell r="C64">
            <v>9.9999999999999978E-2</v>
          </cell>
          <cell r="D64">
            <v>1.4604355931627537</v>
          </cell>
          <cell r="E64">
            <v>0.50942919142485388</v>
          </cell>
          <cell r="F64">
            <v>0.10233239319824021</v>
          </cell>
          <cell r="G64">
            <v>0.62999688938837684</v>
          </cell>
          <cell r="H64">
            <v>0.51578569694278531</v>
          </cell>
          <cell r="I64">
            <v>0.31929634752465319</v>
          </cell>
          <cell r="J64">
            <v>-0.11090288103745255</v>
          </cell>
          <cell r="K64">
            <v>0.03</v>
          </cell>
          <cell r="L64">
            <v>0.51812416743540846</v>
          </cell>
          <cell r="M64">
            <v>-9.0037568212997549E-2</v>
          </cell>
          <cell r="N64">
            <v>0.14986396685910378</v>
          </cell>
          <cell r="O64">
            <v>0.13385281877731325</v>
          </cell>
          <cell r="P64">
            <v>0.716283214363583</v>
          </cell>
          <cell r="Q64">
            <v>0.67431717488926157</v>
          </cell>
          <cell r="R64">
            <v>-6.4492398773086254E-2</v>
          </cell>
          <cell r="S64">
            <v>0.60982477611617536</v>
          </cell>
        </row>
        <row r="65">
          <cell r="A65" t="str">
            <v>Poultry</v>
          </cell>
          <cell r="B65">
            <v>1.622706214625282</v>
          </cell>
          <cell r="C65">
            <v>9.9999999999999978E-2</v>
          </cell>
          <cell r="D65">
            <v>1.4604355931627537</v>
          </cell>
          <cell r="E65">
            <v>0.50942919142485388</v>
          </cell>
          <cell r="F65">
            <v>0.10233239319824021</v>
          </cell>
          <cell r="G65">
            <v>0.62999688938837684</v>
          </cell>
          <cell r="H65">
            <v>0.51578569694278531</v>
          </cell>
          <cell r="I65">
            <v>0.31929634752465319</v>
          </cell>
          <cell r="J65">
            <v>-0.11090288103745255</v>
          </cell>
          <cell r="K65">
            <v>0.03</v>
          </cell>
          <cell r="L65">
            <v>0.51812416743540846</v>
          </cell>
          <cell r="M65">
            <v>-9.0037568212997549E-2</v>
          </cell>
          <cell r="N65">
            <v>0.14986396685910378</v>
          </cell>
          <cell r="O65">
            <v>0.13385281877731325</v>
          </cell>
          <cell r="P65">
            <v>0.716283214363583</v>
          </cell>
          <cell r="Q65">
            <v>0.67431717488926157</v>
          </cell>
          <cell r="R65">
            <v>-6.4492398773086254E-2</v>
          </cell>
          <cell r="S65">
            <v>0.60982477611617536</v>
          </cell>
        </row>
        <row r="66">
          <cell r="A66" t="str">
            <v>Grains</v>
          </cell>
          <cell r="B66">
            <v>1.622706214625282</v>
          </cell>
          <cell r="C66">
            <v>9.9999999999999978E-2</v>
          </cell>
          <cell r="D66">
            <v>1.4604355931627537</v>
          </cell>
          <cell r="E66">
            <v>0.50942919142485388</v>
          </cell>
          <cell r="F66">
            <v>0.10233239319824021</v>
          </cell>
          <cell r="G66">
            <v>0.62999688938837684</v>
          </cell>
          <cell r="H66">
            <v>0.51578569694278531</v>
          </cell>
          <cell r="I66">
            <v>0.31929634752465319</v>
          </cell>
          <cell r="J66">
            <v>-0.11090288103745255</v>
          </cell>
          <cell r="K66">
            <v>0.03</v>
          </cell>
          <cell r="L66">
            <v>0.51812416743540846</v>
          </cell>
          <cell r="M66">
            <v>-9.0037568212997549E-2</v>
          </cell>
          <cell r="N66">
            <v>0.14986396685910378</v>
          </cell>
          <cell r="O66">
            <v>0.13385281877731325</v>
          </cell>
          <cell r="P66">
            <v>0.716283214363583</v>
          </cell>
          <cell r="Q66">
            <v>0.67431717488926157</v>
          </cell>
          <cell r="R66">
            <v>-6.4492398773086254E-2</v>
          </cell>
          <cell r="S66">
            <v>0.60982477611617536</v>
          </cell>
        </row>
        <row r="67">
          <cell r="A67" t="str">
            <v>Bread</v>
          </cell>
          <cell r="B67">
            <v>1.622706214625282</v>
          </cell>
          <cell r="C67">
            <v>9.9999999999999978E-2</v>
          </cell>
          <cell r="D67">
            <v>1.4604355931627537</v>
          </cell>
          <cell r="E67">
            <v>0.50942919142485388</v>
          </cell>
          <cell r="F67">
            <v>0.10233239319824021</v>
          </cell>
          <cell r="G67">
            <v>0.62999688938837684</v>
          </cell>
          <cell r="H67">
            <v>0.51578569694278531</v>
          </cell>
          <cell r="I67">
            <v>0.31929634752465319</v>
          </cell>
          <cell r="J67">
            <v>-0.11090288103745255</v>
          </cell>
          <cell r="K67">
            <v>0.03</v>
          </cell>
          <cell r="L67">
            <v>0.51812416743540846</v>
          </cell>
          <cell r="M67">
            <v>-9.0037568212997549E-2</v>
          </cell>
          <cell r="N67">
            <v>0.14986396685910378</v>
          </cell>
          <cell r="O67">
            <v>0.13385281877731325</v>
          </cell>
          <cell r="P67">
            <v>0.716283214363583</v>
          </cell>
          <cell r="Q67">
            <v>0.67431717488926157</v>
          </cell>
          <cell r="R67">
            <v>-6.4492398773086254E-2</v>
          </cell>
          <cell r="S67">
            <v>0.60982477611617536</v>
          </cell>
        </row>
        <row r="68">
          <cell r="A68" t="str">
            <v>Fruits and Vegetables</v>
          </cell>
          <cell r="B68">
            <v>1.622706214625282</v>
          </cell>
          <cell r="C68">
            <v>9.9999999999999978E-2</v>
          </cell>
          <cell r="D68">
            <v>1.4604355931627537</v>
          </cell>
          <cell r="E68">
            <v>0.50942919142485388</v>
          </cell>
          <cell r="F68">
            <v>0.10233239319824021</v>
          </cell>
          <cell r="G68">
            <v>0.62999688938837684</v>
          </cell>
          <cell r="H68">
            <v>0.51578569694278531</v>
          </cell>
          <cell r="I68">
            <v>0.31929634752465319</v>
          </cell>
          <cell r="J68">
            <v>-0.11090288103745255</v>
          </cell>
          <cell r="K68">
            <v>0.03</v>
          </cell>
          <cell r="L68">
            <v>0.51812416743540846</v>
          </cell>
          <cell r="M68">
            <v>-9.0037568212997549E-2</v>
          </cell>
          <cell r="N68">
            <v>0.14986396685910378</v>
          </cell>
          <cell r="O68">
            <v>0.13385281877731325</v>
          </cell>
          <cell r="P68">
            <v>0.716283214363583</v>
          </cell>
          <cell r="Q68">
            <v>0.67431717488926157</v>
          </cell>
          <cell r="R68">
            <v>-6.4492398773086254E-2</v>
          </cell>
          <cell r="S68">
            <v>0.60982477611617536</v>
          </cell>
        </row>
        <row r="69">
          <cell r="A69" t="str">
            <v>Dairy Products</v>
          </cell>
          <cell r="B69">
            <v>1.622706214625282</v>
          </cell>
          <cell r="C69">
            <v>9.9999999999999978E-2</v>
          </cell>
          <cell r="D69">
            <v>1.4604355931627537</v>
          </cell>
          <cell r="E69">
            <v>0.50942919142485388</v>
          </cell>
          <cell r="F69">
            <v>0.10233239319824021</v>
          </cell>
          <cell r="G69">
            <v>0.62999688938837684</v>
          </cell>
          <cell r="H69">
            <v>0.51578569694278531</v>
          </cell>
          <cell r="I69">
            <v>0.31929634752465319</v>
          </cell>
          <cell r="J69">
            <v>-0.11090288103745255</v>
          </cell>
          <cell r="K69">
            <v>0.03</v>
          </cell>
          <cell r="L69">
            <v>0.51812416743540846</v>
          </cell>
          <cell r="M69">
            <v>-9.0037568212997549E-2</v>
          </cell>
          <cell r="N69">
            <v>0.14986396685910378</v>
          </cell>
          <cell r="O69">
            <v>0.13385281877731325</v>
          </cell>
          <cell r="P69">
            <v>0.716283214363583</v>
          </cell>
          <cell r="Q69">
            <v>0.67431717488926157</v>
          </cell>
          <cell r="R69">
            <v>-6.4492398773086254E-2</v>
          </cell>
          <cell r="S69">
            <v>0.60982477611617536</v>
          </cell>
        </row>
        <row r="70">
          <cell r="A70" t="str">
            <v>Yard Trimmings</v>
          </cell>
          <cell r="B70">
            <v>0.81032008938650013</v>
          </cell>
          <cell r="C70">
            <v>9.9999999999999978E-2</v>
          </cell>
          <cell r="D70">
            <v>0.7292880804478501</v>
          </cell>
          <cell r="E70">
            <v>0.44636140082076248</v>
          </cell>
          <cell r="F70">
            <v>0.1235212250850678</v>
          </cell>
          <cell r="G70">
            <v>0.34853274902267434</v>
          </cell>
          <cell r="H70">
            <v>0.4652558286703779</v>
          </cell>
          <cell r="I70">
            <v>0.35923060061372492</v>
          </cell>
          <cell r="J70">
            <v>-0.11090288103745255</v>
          </cell>
          <cell r="K70">
            <v>0.03</v>
          </cell>
          <cell r="L70">
            <v>0.2910917723996797</v>
          </cell>
          <cell r="M70">
            <v>-4.0556735584964664E-2</v>
          </cell>
          <cell r="N70">
            <v>0.14986396685910378</v>
          </cell>
          <cell r="O70">
            <v>0.13385281877731325</v>
          </cell>
          <cell r="P70">
            <v>0.716283214363583</v>
          </cell>
          <cell r="Q70">
            <v>0.36445024602110193</v>
          </cell>
          <cell r="R70">
            <v>-2.9050108928892399E-2</v>
          </cell>
          <cell r="S70">
            <v>0.3354001370922095</v>
          </cell>
        </row>
        <row r="71">
          <cell r="A71" t="str">
            <v>Grass</v>
          </cell>
          <cell r="B71">
            <v>0.5688048319800002</v>
          </cell>
          <cell r="C71">
            <v>9.9999999999999978E-2</v>
          </cell>
          <cell r="D71">
            <v>0.51192434878200022</v>
          </cell>
          <cell r="E71">
            <v>0.4639026637978354</v>
          </cell>
          <cell r="F71">
            <v>9.9658234731867482E-2</v>
          </cell>
          <cell r="G71">
            <v>0.24824866978131463</v>
          </cell>
          <cell r="H71">
            <v>0.41386837507689106</v>
          </cell>
          <cell r="I71">
            <v>0.39985075177472651</v>
          </cell>
          <cell r="J71">
            <v>-0.11090288103745255</v>
          </cell>
          <cell r="K71">
            <v>0.03</v>
          </cell>
          <cell r="L71">
            <v>0.22743703968030007</v>
          </cell>
          <cell r="M71">
            <v>-2.5324453474755936E-2</v>
          </cell>
          <cell r="N71">
            <v>0.14986396685910378</v>
          </cell>
          <cell r="O71">
            <v>0.13385281877731325</v>
          </cell>
          <cell r="P71">
            <v>0.716283214363583</v>
          </cell>
          <cell r="Q71">
            <v>0.27285713169572445</v>
          </cell>
          <cell r="R71">
            <v>-1.813948093689919E-2</v>
          </cell>
          <cell r="S71">
            <v>0.25471765075882524</v>
          </cell>
        </row>
        <row r="72">
          <cell r="A72" t="str">
            <v>Leaves</v>
          </cell>
          <cell r="B72">
            <v>0.65408019754000024</v>
          </cell>
          <cell r="C72">
            <v>9.9999999999999978E-2</v>
          </cell>
          <cell r="D72">
            <v>0.58867217778600023</v>
          </cell>
          <cell r="E72">
            <v>0.50291909936230716</v>
          </cell>
          <cell r="F72">
            <v>0.100488957791504</v>
          </cell>
          <cell r="G72">
            <v>0.25940293631960765</v>
          </cell>
          <cell r="H72">
            <v>0.49269734210479671</v>
          </cell>
          <cell r="I72">
            <v>0.33656486714962841</v>
          </cell>
          <cell r="J72">
            <v>-0.11090288103745255</v>
          </cell>
          <cell r="K72">
            <v>0.03</v>
          </cell>
          <cell r="L72">
            <v>0.2201404147902529</v>
          </cell>
          <cell r="M72">
            <v>-3.4667760137308913E-2</v>
          </cell>
          <cell r="N72">
            <v>0.14986396685910378</v>
          </cell>
          <cell r="O72">
            <v>0.13385281877731325</v>
          </cell>
          <cell r="P72">
            <v>0.716283214363583</v>
          </cell>
          <cell r="Q72">
            <v>0.28062544588538374</v>
          </cell>
          <cell r="R72">
            <v>-2.4831934665937319E-2</v>
          </cell>
          <cell r="S72">
            <v>0.25579351121944643</v>
          </cell>
        </row>
        <row r="73">
          <cell r="A73" t="str">
            <v>Branches</v>
          </cell>
          <cell r="B73">
            <v>1.4495904960459998</v>
          </cell>
          <cell r="C73">
            <v>9.9999999999999978E-2</v>
          </cell>
          <cell r="D73">
            <v>1.3046314464413997</v>
          </cell>
          <cell r="E73">
            <v>0.35472117632507194</v>
          </cell>
          <cell r="F73">
            <v>0.19427947308503224</v>
          </cell>
          <cell r="G73">
            <v>0.65376437233803086</v>
          </cell>
          <cell r="H73">
            <v>0.54058922242293272</v>
          </cell>
          <cell r="I73">
            <v>0.30065603175581812</v>
          </cell>
          <cell r="J73">
            <v>-0.11090288103745255</v>
          </cell>
          <cell r="K73">
            <v>0.03</v>
          </cell>
          <cell r="L73">
            <v>0.43582812621213823</v>
          </cell>
          <cell r="M73">
            <v>-8.4299942556759239E-2</v>
          </cell>
          <cell r="N73">
            <v>0.14986396685910378</v>
          </cell>
          <cell r="O73">
            <v>0.13385281877731325</v>
          </cell>
          <cell r="P73">
            <v>0.716283214363583</v>
          </cell>
          <cell r="Q73">
            <v>0.59520181905975267</v>
          </cell>
          <cell r="R73">
            <v>-6.038263382522091E-2</v>
          </cell>
          <cell r="S73">
            <v>0.53481918523453176</v>
          </cell>
        </row>
        <row r="74">
          <cell r="A74" t="str">
            <v>Mixed Paper (general)</v>
          </cell>
          <cell r="B74">
            <v>2.3832448707931113</v>
          </cell>
          <cell r="C74">
            <v>9.9999999999999978E-2</v>
          </cell>
          <cell r="D74">
            <v>2.1449203837138002</v>
          </cell>
          <cell r="E74">
            <v>0.41318830167650983</v>
          </cell>
          <cell r="F74">
            <v>0.1659076879896477</v>
          </cell>
          <cell r="G74">
            <v>1.0031173237243807</v>
          </cell>
          <cell r="H74">
            <v>0.57206469380207481</v>
          </cell>
          <cell r="I74">
            <v>0.28014523363615801</v>
          </cell>
          <cell r="J74">
            <v>-0.11090288103745255</v>
          </cell>
          <cell r="K74">
            <v>0.03</v>
          </cell>
          <cell r="L74">
            <v>0.66765469114051135</v>
          </cell>
          <cell r="M74">
            <v>-0.14666563769222699</v>
          </cell>
          <cell r="N74">
            <v>0.14986396685910378</v>
          </cell>
          <cell r="O74">
            <v>0.13385281877731325</v>
          </cell>
          <cell r="P74">
            <v>0.716283214363583</v>
          </cell>
          <cell r="Q74">
            <v>0.93394620690021479</v>
          </cell>
          <cell r="R74">
            <v>-0.10505413440287302</v>
          </cell>
          <cell r="S74">
            <v>0.82889207249734176</v>
          </cell>
        </row>
        <row r="75">
          <cell r="A75" t="str">
            <v>Mixed Paper (primarily residential)</v>
          </cell>
          <cell r="B75">
            <v>2.2946736526735392</v>
          </cell>
          <cell r="C75">
            <v>9.9999999999999978E-2</v>
          </cell>
          <cell r="D75">
            <v>2.0652062874061854</v>
          </cell>
          <cell r="E75">
            <v>0.41290212974730606</v>
          </cell>
          <cell r="F75">
            <v>0.16573321810846059</v>
          </cell>
          <cell r="G75">
            <v>0.96689436544332308</v>
          </cell>
          <cell r="H75">
            <v>0.56978818712196055</v>
          </cell>
          <cell r="I75">
            <v>0.28166029730614661</v>
          </cell>
          <cell r="J75">
            <v>-0.11090288103745255</v>
          </cell>
          <cell r="K75">
            <v>0.03</v>
          </cell>
          <cell r="L75">
            <v>0.64631846323261044</v>
          </cell>
          <cell r="M75">
            <v>-0.1406529783895798</v>
          </cell>
          <cell r="N75">
            <v>0.14986396685910378</v>
          </cell>
          <cell r="O75">
            <v>0.13385281877731325</v>
          </cell>
          <cell r="P75">
            <v>0.716283214363583</v>
          </cell>
          <cell r="Q75">
            <v>0.9018686092343291</v>
          </cell>
          <cell r="R75">
            <v>-0.10074736747069979</v>
          </cell>
          <cell r="S75">
            <v>0.80112124176362931</v>
          </cell>
        </row>
        <row r="76">
          <cell r="A76" t="str">
            <v>Mixed Paper (primarily from offices)</v>
          </cell>
          <cell r="B76">
            <v>2.2577848571899501</v>
          </cell>
          <cell r="C76">
            <v>9.9999999999999978E-2</v>
          </cell>
          <cell r="D76">
            <v>2.0320063714709553</v>
          </cell>
          <cell r="E76">
            <v>0.45525336055585275</v>
          </cell>
          <cell r="F76">
            <v>0.14183309014738937</v>
          </cell>
          <cell r="G76">
            <v>0.90969211035887643</v>
          </cell>
          <cell r="H76">
            <v>0.56845296199528428</v>
          </cell>
          <cell r="I76">
            <v>0.28272605681623469</v>
          </cell>
          <cell r="J76">
            <v>-0.11090288103745255</v>
          </cell>
          <cell r="K76">
            <v>0.03</v>
          </cell>
          <cell r="L76">
            <v>0.63833460981272017</v>
          </cell>
          <cell r="M76">
            <v>-0.1380675608037413</v>
          </cell>
          <cell r="N76">
            <v>0.14986396685910378</v>
          </cell>
          <cell r="O76">
            <v>0.13385281877731325</v>
          </cell>
          <cell r="P76">
            <v>0.716283214363583</v>
          </cell>
          <cell r="Q76">
            <v>0.88351775485880801</v>
          </cell>
          <cell r="R76">
            <v>-9.8895476251843265E-2</v>
          </cell>
          <cell r="S76">
            <v>0.78462227860696476</v>
          </cell>
        </row>
        <row r="77">
          <cell r="A77" t="str">
            <v>Mixed Recyclables</v>
          </cell>
          <cell r="B77">
            <v>1.9734014132616131</v>
          </cell>
          <cell r="C77">
            <v>9.9999999999999978E-2</v>
          </cell>
          <cell r="D77">
            <v>1.7760612719354518</v>
          </cell>
          <cell r="E77">
            <v>0.35572976832146597</v>
          </cell>
          <cell r="F77">
            <v>0.14358100151382974</v>
          </cell>
          <cell r="G77">
            <v>0.98806083441189663</v>
          </cell>
          <cell r="H77">
            <v>0.48994706682419337</v>
          </cell>
          <cell r="I77">
            <v>0.24507471560100255</v>
          </cell>
          <cell r="J77">
            <v>-0.11090288103745255</v>
          </cell>
          <cell r="K77">
            <v>0.03</v>
          </cell>
          <cell r="L77">
            <v>0.48363079012170634</v>
          </cell>
          <cell r="M77">
            <v>-0.10401097310753889</v>
          </cell>
          <cell r="N77">
            <v>0.14986396685910378</v>
          </cell>
          <cell r="O77">
            <v>0.13385281877731325</v>
          </cell>
          <cell r="P77">
            <v>0.716283214363583</v>
          </cell>
          <cell r="Q77">
            <v>0.74483893232014409</v>
          </cell>
          <cell r="R77">
            <v>-7.4501314146552144E-2</v>
          </cell>
          <cell r="S77">
            <v>0.67033761817359194</v>
          </cell>
        </row>
        <row r="78">
          <cell r="A78" t="str">
            <v>Mixed Organics</v>
          </cell>
          <cell r="B78">
            <v>1.2328155960009999</v>
          </cell>
          <cell r="C78">
            <v>9.9999999999999978E-2</v>
          </cell>
          <cell r="D78">
            <v>1.1095340364008999</v>
          </cell>
          <cell r="E78">
            <v>0.47916090011612633</v>
          </cell>
          <cell r="F78">
            <v>0.11250160524608618</v>
          </cell>
          <cell r="G78">
            <v>0.50340483182143902</v>
          </cell>
          <cell r="H78">
            <v>0.49153476381176742</v>
          </cell>
          <cell r="I78">
            <v>0.33846209907736513</v>
          </cell>
          <cell r="J78">
            <v>-0.11090288103745255</v>
          </cell>
          <cell r="K78">
            <v>0.03</v>
          </cell>
          <cell r="L78">
            <v>0.41726135439781137</v>
          </cell>
          <cell r="M78">
            <v>-6.518788958958649E-2</v>
          </cell>
          <cell r="N78">
            <v>0.14986396685910378</v>
          </cell>
          <cell r="O78">
            <v>0.13385281877731325</v>
          </cell>
          <cell r="P78">
            <v>0.716283214363583</v>
          </cell>
          <cell r="Q78">
            <v>0.53253863194341755</v>
          </cell>
          <cell r="R78">
            <v>-4.6692991092807362E-2</v>
          </cell>
          <cell r="S78">
            <v>0.48584564085061022</v>
          </cell>
        </row>
        <row r="79">
          <cell r="A79" t="str">
            <v>Mixed MSW</v>
          </cell>
          <cell r="B79">
            <v>1.6199727500000001</v>
          </cell>
          <cell r="C79">
            <v>9.9999999999999978E-2</v>
          </cell>
          <cell r="D79">
            <v>1.457975475</v>
          </cell>
          <cell r="E79">
            <v>0.45544841248794926</v>
          </cell>
          <cell r="F79">
            <v>0.14655757275937731</v>
          </cell>
          <cell r="G79">
            <v>0.64473945856242909</v>
          </cell>
          <cell r="H79">
            <v>0.59867869959228781</v>
          </cell>
          <cell r="I79">
            <v>0.26229361223536496</v>
          </cell>
          <cell r="J79">
            <v>-0.11090288103745255</v>
          </cell>
          <cell r="K79">
            <v>0.03</v>
          </cell>
          <cell r="L79">
            <v>0.42490850432035782</v>
          </cell>
          <cell r="M79">
            <v>-0.1043316506615606</v>
          </cell>
          <cell r="N79">
            <v>0.14986396685910378</v>
          </cell>
          <cell r="O79">
            <v>0.13385281877731325</v>
          </cell>
          <cell r="P79">
            <v>0.716283214363583</v>
          </cell>
          <cell r="Q79">
            <v>0.60915301145733425</v>
          </cell>
          <cell r="R79">
            <v>-7.473101009572107E-2</v>
          </cell>
          <cell r="S79">
            <v>0.53442200136161322</v>
          </cell>
        </row>
        <row r="80">
          <cell r="A80" t="str">
            <v>Wood Flooring</v>
          </cell>
          <cell r="B80">
            <v>0.18143694800000035</v>
          </cell>
          <cell r="C80">
            <v>9.9999999999999978E-2</v>
          </cell>
          <cell r="D80">
            <v>0.16329325320000032</v>
          </cell>
          <cell r="E80">
            <v>0</v>
          </cell>
          <cell r="F80">
            <v>9.9999999999999978E-2</v>
          </cell>
          <cell r="G80">
            <v>0.16329325320000032</v>
          </cell>
          <cell r="H80">
            <v>0</v>
          </cell>
          <cell r="I80">
            <v>0.9</v>
          </cell>
          <cell r="J80">
            <v>-0.11090288103745255</v>
          </cell>
          <cell r="K80">
            <v>0.03</v>
          </cell>
          <cell r="L80">
            <v>0.16329325320000032</v>
          </cell>
          <cell r="M80">
            <v>0</v>
          </cell>
          <cell r="N80">
            <v>1</v>
          </cell>
          <cell r="O80">
            <v>0</v>
          </cell>
          <cell r="P80">
            <v>0</v>
          </cell>
          <cell r="Q80">
            <v>0.16329325320000032</v>
          </cell>
          <cell r="R80">
            <v>0</v>
          </cell>
          <cell r="S80">
            <v>0.16329325320000032</v>
          </cell>
        </row>
        <row r="81">
          <cell r="A81" t="str">
            <v>Drywall</v>
          </cell>
          <cell r="B81">
            <v>0</v>
          </cell>
          <cell r="C81">
            <v>9.9999999999999978E-2</v>
          </cell>
          <cell r="D81">
            <v>0</v>
          </cell>
          <cell r="E81">
            <v>0</v>
          </cell>
          <cell r="F81">
            <v>9.9999999999999978E-2</v>
          </cell>
          <cell r="G81">
            <v>0</v>
          </cell>
          <cell r="H81">
            <v>0</v>
          </cell>
          <cell r="I81">
            <v>0.9</v>
          </cell>
          <cell r="J81">
            <v>-0.11090288103745255</v>
          </cell>
          <cell r="K81">
            <v>0.03</v>
          </cell>
          <cell r="L81">
            <v>0</v>
          </cell>
          <cell r="M81">
            <v>0</v>
          </cell>
          <cell r="N81">
            <v>1</v>
          </cell>
          <cell r="O81">
            <v>0</v>
          </cell>
          <cell r="P81">
            <v>0</v>
          </cell>
          <cell r="Q81">
            <v>0</v>
          </cell>
          <cell r="R81">
            <v>0</v>
          </cell>
          <cell r="S81">
            <v>0</v>
          </cell>
        </row>
        <row r="84">
          <cell r="C84">
            <v>5</v>
          </cell>
          <cell r="E84">
            <v>3</v>
          </cell>
          <cell r="H84">
            <v>4</v>
          </cell>
          <cell r="I84">
            <v>6</v>
          </cell>
        </row>
        <row r="85">
          <cell r="E85" t="str">
            <v>Methane from Landfills With LFG Recovery and:</v>
          </cell>
        </row>
        <row r="86">
          <cell r="C86" t="str">
            <v>CH4 from Landfills Without Methane Recovery</v>
          </cell>
          <cell r="F86" t="str">
            <v>Flaring</v>
          </cell>
          <cell r="J86" t="str">
            <v>Electricity Generation</v>
          </cell>
          <cell r="N86" t="str">
            <v>Percentage of CH4 from Each Type of Landfill in the current inventory year</v>
          </cell>
          <cell r="Q86" t="str">
            <v>Net CH4 Generation</v>
          </cell>
          <cell r="R86" t="str">
            <v>Avoided CO2 from Energy Recovery</v>
          </cell>
          <cell r="S86" t="str">
            <v>TOTAL</v>
          </cell>
        </row>
        <row r="88">
          <cell r="B88" t="str">
            <v>(b)</v>
          </cell>
          <cell r="C88" t="str">
            <v>(c)</v>
          </cell>
          <cell r="D88" t="str">
            <v>(d)</v>
          </cell>
          <cell r="E88" t="str">
            <v>(e)</v>
          </cell>
          <cell r="F88" t="str">
            <v>(f)</v>
          </cell>
          <cell r="G88" t="str">
            <v>(g)</v>
          </cell>
          <cell r="H88" t="str">
            <v>(h)</v>
          </cell>
          <cell r="I88" t="str">
            <v>(i)</v>
          </cell>
          <cell r="J88" t="str">
            <v>(j)</v>
          </cell>
          <cell r="K88" t="str">
            <v>(k)</v>
          </cell>
          <cell r="L88" t="str">
            <v>(l)</v>
          </cell>
          <cell r="M88" t="str">
            <v>(m)</v>
          </cell>
          <cell r="N88" t="str">
            <v>(n)</v>
          </cell>
          <cell r="O88" t="str">
            <v>(o)</v>
          </cell>
          <cell r="P88" t="str">
            <v>(p)</v>
          </cell>
          <cell r="Q88" t="str">
            <v>(q)</v>
          </cell>
          <cell r="R88" t="str">
            <v>( r)</v>
          </cell>
          <cell r="S88" t="str">
            <v>(s)</v>
          </cell>
        </row>
        <row r="90">
          <cell r="B90" t="str">
            <v>CH4 Generation (MTCO2E/Wet Ton)</v>
          </cell>
          <cell r="C90" t="str">
            <v>Percentage of CH4 Oxidized to CO2</v>
          </cell>
          <cell r="D90" t="str">
            <v>Net GHG Emissions From CH4 Generation (MTCO2E/Wet Ton)</v>
          </cell>
          <cell r="E90" t="str">
            <v>Percentage of CH4 Flared</v>
          </cell>
          <cell r="F90" t="str">
            <v>Percentage of CH4 Oxidized to CO2</v>
          </cell>
          <cell r="G90" t="str">
            <v>Net GHG Emissions From CH4 Generation (MTCO2E/Wet Ton)</v>
          </cell>
          <cell r="H90" t="str">
            <v>Percentage of CH4 Recovered for Energy</v>
          </cell>
          <cell r="I90" t="str">
            <v>Percentage of CH4 Emitted</v>
          </cell>
          <cell r="J90" t="str">
            <v>Utility CO2 Emissions Avoided per MTCO2E CH4 Combusted (MTCO2E)</v>
          </cell>
          <cell r="K90" t="str">
            <v>Percentage of CH4 Recovered for Electricity Generation Not Utilized Due to System "Down Time"</v>
          </cell>
          <cell r="L90" t="str">
            <v>Net GHG Emissions From CH4 Generation (MTCO2E/Wet Ton)</v>
          </cell>
          <cell r="M90" t="str">
            <v>Utility CO2 Emissions Avoided (MTCO2E/Wet Ton)</v>
          </cell>
          <cell r="N90" t="str">
            <v>Percentage of CH4 From Landfills Without LFG Recovery in Current Inventory Year</v>
          </cell>
          <cell r="O90" t="str">
            <v>Percentage of CH4 From Landfills With LFG Recovery And Flaring in Current Inventory Year</v>
          </cell>
          <cell r="P90" t="str">
            <v>CH4 From Landfills With LFG Recovery and Electricity Generation in Current Inventory Year</v>
          </cell>
          <cell r="Q90" t="str">
            <v>Net CH4 Emissions from Landfilling (MTCO2E/Wet Ton)</v>
          </cell>
          <cell r="R90" t="str">
            <v>Net Avoided CO2 Emissions from Landfilling (MTCO2E/Wet Ton)</v>
          </cell>
          <cell r="S90" t="str">
            <v>Net GHG Emissions From Landfilling (MTCO2E/Wet Ton)</v>
          </cell>
        </row>
        <row r="91">
          <cell r="A91" t="str">
            <v>Corrugated Containers</v>
          </cell>
          <cell r="B91">
            <v>2.6232704732575001</v>
          </cell>
          <cell r="C91">
            <v>9.9999999999999978E-2</v>
          </cell>
          <cell r="D91">
            <v>2.3609434259317501</v>
          </cell>
          <cell r="E91">
            <v>0.31656912550657146</v>
          </cell>
          <cell r="F91">
            <v>0.21228181543857189</v>
          </cell>
          <cell r="G91">
            <v>1.2359514151216597</v>
          </cell>
          <cell r="H91">
            <v>0.61476345188810322</v>
          </cell>
          <cell r="I91">
            <v>0.23879639793085478</v>
          </cell>
          <cell r="J91">
            <v>-0.11090288103745255</v>
          </cell>
          <cell r="K91">
            <v>0.03</v>
          </cell>
          <cell r="L91">
            <v>0.62642753981225974</v>
          </cell>
          <cell r="M91">
            <v>-0.17348649548808984</v>
          </cell>
          <cell r="N91">
            <v>0.14986396685910378</v>
          </cell>
          <cell r="O91">
            <v>0.13385281877731325</v>
          </cell>
          <cell r="P91">
            <v>0.716283214363583</v>
          </cell>
          <cell r="Q91">
            <v>0.96795545990849496</v>
          </cell>
          <cell r="R91">
            <v>-0.12426546463688223</v>
          </cell>
          <cell r="S91">
            <v>0.8436899952716127</v>
          </cell>
        </row>
        <row r="92">
          <cell r="A92" t="str">
            <v>Magazines/Third-class Mail</v>
          </cell>
          <cell r="B92">
            <v>1.1946237049113888</v>
          </cell>
          <cell r="C92">
            <v>9.9999999999999978E-2</v>
          </cell>
          <cell r="D92">
            <v>1.07516133442025</v>
          </cell>
          <cell r="E92">
            <v>0.48644829315758786</v>
          </cell>
          <cell r="F92">
            <v>0.13091378883212221</v>
          </cell>
          <cell r="G92">
            <v>0.45710832725303274</v>
          </cell>
          <cell r="H92">
            <v>0.5948049515921997</v>
          </cell>
          <cell r="I92">
            <v>0.23291455631874644</v>
          </cell>
          <cell r="J92">
            <v>-0.11090288103745255</v>
          </cell>
          <cell r="K92">
            <v>0.03</v>
          </cell>
          <cell r="L92">
            <v>0.27824525019729318</v>
          </cell>
          <cell r="M92">
            <v>-7.6439927438379879E-2</v>
          </cell>
          <cell r="N92">
            <v>0.14986396685910378</v>
          </cell>
          <cell r="O92">
            <v>0.13385281877731325</v>
          </cell>
          <cell r="P92">
            <v>0.716283214363583</v>
          </cell>
          <cell r="Q92">
            <v>0.42161558287186363</v>
          </cell>
          <cell r="R92">
            <v>-5.4752636931281781E-2</v>
          </cell>
          <cell r="S92">
            <v>0.36686294594058183</v>
          </cell>
        </row>
        <row r="93">
          <cell r="A93" t="str">
            <v>Newspaper</v>
          </cell>
          <cell r="B93">
            <v>1.0471665853275001</v>
          </cell>
          <cell r="C93">
            <v>9.9999999999999978E-2</v>
          </cell>
          <cell r="D93">
            <v>0.94244992679475004</v>
          </cell>
          <cell r="E93">
            <v>0.34862962269196401</v>
          </cell>
          <cell r="F93">
            <v>0.19770534219825436</v>
          </cell>
          <cell r="G93">
            <v>0.4750628656983904</v>
          </cell>
          <cell r="H93">
            <v>0.62221770682090261</v>
          </cell>
          <cell r="I93">
            <v>0.23099455350884632</v>
          </cell>
          <cell r="J93">
            <v>-0.11090288103745255</v>
          </cell>
          <cell r="K93">
            <v>0.03</v>
          </cell>
          <cell r="L93">
            <v>0.2418897778271091</v>
          </cell>
          <cell r="M93">
            <v>-7.0092686231056148E-2</v>
          </cell>
          <cell r="N93">
            <v>0.14986396685910378</v>
          </cell>
          <cell r="O93">
            <v>0.13385281877731325</v>
          </cell>
          <cell r="P93">
            <v>0.716283214363583</v>
          </cell>
          <cell r="Q93">
            <v>0.37808937584938562</v>
          </cell>
          <cell r="R93">
            <v>-5.0206214596958953E-2</v>
          </cell>
          <cell r="S93">
            <v>0.32788316125242667</v>
          </cell>
        </row>
        <row r="94">
          <cell r="A94" t="str">
            <v>Office Paper</v>
          </cell>
          <cell r="B94">
            <v>3.8859258337900004</v>
          </cell>
          <cell r="C94">
            <v>9.9999999999999978E-2</v>
          </cell>
          <cell r="D94">
            <v>3.4973332504110006</v>
          </cell>
          <cell r="E94">
            <v>0.33896986910479482</v>
          </cell>
          <cell r="F94">
            <v>0.20211667836416447</v>
          </cell>
          <cell r="G94">
            <v>1.7833036406641321</v>
          </cell>
          <cell r="H94">
            <v>0.62035247655934689</v>
          </cell>
          <cell r="I94">
            <v>0.23312193405279261</v>
          </cell>
          <cell r="J94">
            <v>-0.11090288103745255</v>
          </cell>
          <cell r="K94">
            <v>0.03</v>
          </cell>
          <cell r="L94">
            <v>0.90589454595883556</v>
          </cell>
          <cell r="M94">
            <v>-0.25932691312349537</v>
          </cell>
          <cell r="N94">
            <v>0.14986396685910378</v>
          </cell>
          <cell r="O94">
            <v>0.13385281877731325</v>
          </cell>
          <cell r="P94">
            <v>0.716283214363583</v>
          </cell>
          <cell r="Q94">
            <v>1.4117015106274082</v>
          </cell>
          <cell r="R94">
            <v>-0.18575151490308289</v>
          </cell>
          <cell r="S94">
            <v>1.2259499957243254</v>
          </cell>
        </row>
        <row r="95">
          <cell r="A95" t="str">
            <v>Phonebooks</v>
          </cell>
          <cell r="B95">
            <v>1.0471665853275001</v>
          </cell>
          <cell r="C95">
            <v>9.9999999999999978E-2</v>
          </cell>
          <cell r="D95">
            <v>0.94244992679475004</v>
          </cell>
          <cell r="E95">
            <v>0.34862962269196401</v>
          </cell>
          <cell r="F95">
            <v>0.19770534219825436</v>
          </cell>
          <cell r="G95">
            <v>0.4750628656983904</v>
          </cell>
          <cell r="H95">
            <v>0.62221770682090261</v>
          </cell>
          <cell r="I95">
            <v>0.23099455350884632</v>
          </cell>
          <cell r="J95">
            <v>-0.11090288103745255</v>
          </cell>
          <cell r="K95">
            <v>0.03</v>
          </cell>
          <cell r="L95">
            <v>0.2418897778271091</v>
          </cell>
          <cell r="M95">
            <v>-7.0092686231056148E-2</v>
          </cell>
          <cell r="N95">
            <v>0.14986396685910378</v>
          </cell>
          <cell r="O95">
            <v>0.13385281877731325</v>
          </cell>
          <cell r="P95">
            <v>0.716283214363583</v>
          </cell>
          <cell r="Q95">
            <v>0.37808937584938562</v>
          </cell>
          <cell r="R95">
            <v>-5.0206214596958953E-2</v>
          </cell>
          <cell r="S95">
            <v>0.32788316125242667</v>
          </cell>
        </row>
        <row r="96">
          <cell r="A96" t="str">
            <v>Textbooks</v>
          </cell>
          <cell r="B96">
            <v>3.8859258337900004</v>
          </cell>
          <cell r="C96">
            <v>9.9999999999999978E-2</v>
          </cell>
          <cell r="D96">
            <v>3.4973332504110006</v>
          </cell>
          <cell r="E96">
            <v>0.33896986910479482</v>
          </cell>
          <cell r="F96">
            <v>0.20211667836416447</v>
          </cell>
          <cell r="G96">
            <v>1.7833036406641321</v>
          </cell>
          <cell r="H96">
            <v>0.62035247655934689</v>
          </cell>
          <cell r="I96">
            <v>0.23312193405279261</v>
          </cell>
          <cell r="J96">
            <v>-0.11090288103745255</v>
          </cell>
          <cell r="K96">
            <v>0.03</v>
          </cell>
          <cell r="L96">
            <v>0.90589454595883556</v>
          </cell>
          <cell r="M96">
            <v>-0.25932691312349537</v>
          </cell>
          <cell r="N96">
            <v>0.14986396685910378</v>
          </cell>
          <cell r="O96">
            <v>0.13385281877731325</v>
          </cell>
          <cell r="P96">
            <v>0.716283214363583</v>
          </cell>
          <cell r="Q96">
            <v>1.4117015106274082</v>
          </cell>
          <cell r="R96">
            <v>-0.18575151490308289</v>
          </cell>
          <cell r="S96">
            <v>1.2259499957243254</v>
          </cell>
        </row>
        <row r="97">
          <cell r="A97" t="str">
            <v>Dimensional Lumber</v>
          </cell>
          <cell r="B97">
            <v>0.16645220006249997</v>
          </cell>
          <cell r="C97">
            <v>9.9999999999999978E-2</v>
          </cell>
          <cell r="D97">
            <v>0.14980698005624998</v>
          </cell>
          <cell r="E97">
            <v>0.4432515083859257</v>
          </cell>
          <cell r="F97">
            <v>0.15311966472250016</v>
          </cell>
          <cell r="G97">
            <v>6.7184906244748474E-2</v>
          </cell>
          <cell r="H97">
            <v>0.61865243815919935</v>
          </cell>
          <cell r="I97">
            <v>0.22308009429328421</v>
          </cell>
          <cell r="J97">
            <v>-0.11090288103745255</v>
          </cell>
          <cell r="K97">
            <v>0.03</v>
          </cell>
          <cell r="L97">
            <v>3.7132172485267102E-2</v>
          </cell>
          <cell r="M97">
            <v>-1.1077731415989016E-2</v>
          </cell>
          <cell r="N97">
            <v>0.14986396685910378</v>
          </cell>
          <cell r="O97">
            <v>0.13385281877731325</v>
          </cell>
          <cell r="P97">
            <v>0.716283214363583</v>
          </cell>
          <cell r="Q97">
            <v>5.8040709238611481E-2</v>
          </cell>
          <cell r="R97">
            <v>-7.9347930665010589E-3</v>
          </cell>
          <cell r="S97">
            <v>5.0105916172110423E-2</v>
          </cell>
        </row>
        <row r="98">
          <cell r="A98" t="str">
            <v>Medium-density Fiberboard</v>
          </cell>
          <cell r="B98">
            <v>5.5889059875000008E-2</v>
          </cell>
          <cell r="C98">
            <v>9.9999999999999978E-2</v>
          </cell>
          <cell r="D98">
            <v>5.0300153887500011E-2</v>
          </cell>
          <cell r="E98">
            <v>0.41486797997355024</v>
          </cell>
          <cell r="F98">
            <v>0.16684461411408513</v>
          </cell>
          <cell r="G98">
            <v>2.3377689873994582E-2</v>
          </cell>
          <cell r="H98">
            <v>0.62470967607808547</v>
          </cell>
          <cell r="I98">
            <v>0.22248191701622461</v>
          </cell>
          <cell r="J98">
            <v>-0.11090288103745255</v>
          </cell>
          <cell r="K98">
            <v>0.03</v>
          </cell>
          <cell r="L98">
            <v>1.2434305181224559E-2</v>
          </cell>
          <cell r="M98">
            <v>-3.7559482487321671E-3</v>
          </cell>
          <cell r="N98">
            <v>0.14986396685910378</v>
          </cell>
          <cell r="O98">
            <v>0.13385281877731325</v>
          </cell>
          <cell r="P98">
            <v>0.716283214363583</v>
          </cell>
          <cell r="Q98">
            <v>1.9573834364925432E-2</v>
          </cell>
          <cell r="R98">
            <v>-2.690322684585147E-3</v>
          </cell>
          <cell r="S98">
            <v>1.6883511680340284E-2</v>
          </cell>
        </row>
        <row r="99">
          <cell r="A99" t="str">
            <v>Food Waste</v>
          </cell>
          <cell r="B99">
            <v>1.622706214625282</v>
          </cell>
          <cell r="C99">
            <v>9.9999999999999978E-2</v>
          </cell>
          <cell r="D99">
            <v>1.4604355931627537</v>
          </cell>
          <cell r="E99">
            <v>0.5007705202701882</v>
          </cell>
          <cell r="F99">
            <v>0.12273553689448408</v>
          </cell>
          <cell r="G99">
            <v>0.61093906080766192</v>
          </cell>
          <cell r="H99">
            <v>0.57934451302605239</v>
          </cell>
          <cell r="I99">
            <v>0.24090145308491986</v>
          </cell>
          <cell r="J99">
            <v>-0.11090288103745255</v>
          </cell>
          <cell r="K99">
            <v>0.03</v>
          </cell>
          <cell r="L99">
            <v>0.39091228503316028</v>
          </cell>
          <cell r="M99">
            <v>-0.10113264369212493</v>
          </cell>
          <cell r="N99">
            <v>0.14986396685910378</v>
          </cell>
          <cell r="O99">
            <v>0.13385281877731325</v>
          </cell>
          <cell r="P99">
            <v>0.716283214363583</v>
          </cell>
          <cell r="Q99">
            <v>0.58064649478163366</v>
          </cell>
          <cell r="R99">
            <v>-7.243961510088219E-2</v>
          </cell>
          <cell r="S99">
            <v>0.50820687968075151</v>
          </cell>
        </row>
        <row r="100">
          <cell r="A100" t="str">
            <v>Food Waste (meat only)</v>
          </cell>
          <cell r="B100">
            <v>1.622706214625282</v>
          </cell>
          <cell r="C100">
            <v>9.9999999999999978E-2</v>
          </cell>
          <cell r="D100">
            <v>1.4604355931627537</v>
          </cell>
          <cell r="E100">
            <v>0.5007705202701882</v>
          </cell>
          <cell r="F100">
            <v>0.12273553689448408</v>
          </cell>
          <cell r="G100">
            <v>0.61093906080766192</v>
          </cell>
          <cell r="H100">
            <v>0.57934451302605239</v>
          </cell>
          <cell r="I100">
            <v>0.24090145308491986</v>
          </cell>
          <cell r="J100">
            <v>-0.11090288103745255</v>
          </cell>
          <cell r="K100">
            <v>0.03</v>
          </cell>
          <cell r="L100">
            <v>0.39091228503316028</v>
          </cell>
          <cell r="M100">
            <v>-0.10113264369212493</v>
          </cell>
          <cell r="N100">
            <v>0.14986396685910378</v>
          </cell>
          <cell r="O100">
            <v>0.13385281877731325</v>
          </cell>
          <cell r="P100">
            <v>0.716283214363583</v>
          </cell>
          <cell r="Q100">
            <v>0.58064649478163366</v>
          </cell>
          <cell r="R100">
            <v>-7.243961510088219E-2</v>
          </cell>
          <cell r="S100">
            <v>0.50820687968075151</v>
          </cell>
        </row>
        <row r="101">
          <cell r="A101" t="str">
            <v>Food Waste (non-meat)</v>
          </cell>
          <cell r="B101">
            <v>1.622706214625282</v>
          </cell>
          <cell r="C101">
            <v>9.9999999999999978E-2</v>
          </cell>
          <cell r="D101">
            <v>1.4604355931627537</v>
          </cell>
          <cell r="E101">
            <v>0.5007705202701882</v>
          </cell>
          <cell r="F101">
            <v>0.12273553689448408</v>
          </cell>
          <cell r="G101">
            <v>0.61093906080766192</v>
          </cell>
          <cell r="H101">
            <v>0.57934451302605239</v>
          </cell>
          <cell r="I101">
            <v>0.24090145308491986</v>
          </cell>
          <cell r="J101">
            <v>-0.11090288103745255</v>
          </cell>
          <cell r="K101">
            <v>0.03</v>
          </cell>
          <cell r="L101">
            <v>0.39091228503316028</v>
          </cell>
          <cell r="M101">
            <v>-0.10113264369212493</v>
          </cell>
          <cell r="N101">
            <v>0.14986396685910378</v>
          </cell>
          <cell r="O101">
            <v>0.13385281877731325</v>
          </cell>
          <cell r="P101">
            <v>0.716283214363583</v>
          </cell>
          <cell r="Q101">
            <v>0.58064649478163366</v>
          </cell>
          <cell r="R101">
            <v>-7.243961510088219E-2</v>
          </cell>
          <cell r="S101">
            <v>0.50820687968075151</v>
          </cell>
        </row>
        <row r="102">
          <cell r="A102" t="str">
            <v>Beef</v>
          </cell>
          <cell r="B102">
            <v>1.622706214625282</v>
          </cell>
          <cell r="C102">
            <v>9.9999999999999978E-2</v>
          </cell>
          <cell r="D102">
            <v>1.4604355931627537</v>
          </cell>
          <cell r="E102">
            <v>0.5007705202701882</v>
          </cell>
          <cell r="F102">
            <v>0.12273553689448408</v>
          </cell>
          <cell r="G102">
            <v>0.61093906080766192</v>
          </cell>
          <cell r="H102">
            <v>0.57934451302605239</v>
          </cell>
          <cell r="I102">
            <v>0.24090145308491986</v>
          </cell>
          <cell r="J102">
            <v>-0.11090288103745255</v>
          </cell>
          <cell r="K102">
            <v>0.03</v>
          </cell>
          <cell r="L102">
            <v>0.39091228503316028</v>
          </cell>
          <cell r="M102">
            <v>-0.10113264369212493</v>
          </cell>
          <cell r="N102">
            <v>0.14986396685910378</v>
          </cell>
          <cell r="O102">
            <v>0.13385281877731325</v>
          </cell>
          <cell r="P102">
            <v>0.716283214363583</v>
          </cell>
          <cell r="Q102">
            <v>0.58064649478163366</v>
          </cell>
          <cell r="R102">
            <v>-7.243961510088219E-2</v>
          </cell>
          <cell r="S102">
            <v>0.50820687968075151</v>
          </cell>
        </row>
        <row r="103">
          <cell r="A103" t="str">
            <v>Poultry</v>
          </cell>
          <cell r="B103">
            <v>1.622706214625282</v>
          </cell>
          <cell r="C103">
            <v>9.9999999999999978E-2</v>
          </cell>
          <cell r="D103">
            <v>1.4604355931627537</v>
          </cell>
          <cell r="E103">
            <v>0.5007705202701882</v>
          </cell>
          <cell r="F103">
            <v>0.12273553689448408</v>
          </cell>
          <cell r="G103">
            <v>0.61093906080766192</v>
          </cell>
          <cell r="H103">
            <v>0.57934451302605239</v>
          </cell>
          <cell r="I103">
            <v>0.24090145308491986</v>
          </cell>
          <cell r="J103">
            <v>-0.11090288103745255</v>
          </cell>
          <cell r="K103">
            <v>0.03</v>
          </cell>
          <cell r="L103">
            <v>0.39091228503316028</v>
          </cell>
          <cell r="M103">
            <v>-0.10113264369212493</v>
          </cell>
          <cell r="N103">
            <v>0.14986396685910378</v>
          </cell>
          <cell r="O103">
            <v>0.13385281877731325</v>
          </cell>
          <cell r="P103">
            <v>0.716283214363583</v>
          </cell>
          <cell r="Q103">
            <v>0.58064649478163366</v>
          </cell>
          <cell r="R103">
            <v>-7.243961510088219E-2</v>
          </cell>
          <cell r="S103">
            <v>0.50820687968075151</v>
          </cell>
        </row>
        <row r="104">
          <cell r="A104" t="str">
            <v>Grains</v>
          </cell>
          <cell r="B104">
            <v>1.622706214625282</v>
          </cell>
          <cell r="C104">
            <v>9.9999999999999978E-2</v>
          </cell>
          <cell r="D104">
            <v>1.4604355931627537</v>
          </cell>
          <cell r="E104">
            <v>0.5007705202701882</v>
          </cell>
          <cell r="F104">
            <v>0.12273553689448408</v>
          </cell>
          <cell r="G104">
            <v>0.61093906080766192</v>
          </cell>
          <cell r="H104">
            <v>0.57934451302605239</v>
          </cell>
          <cell r="I104">
            <v>0.24090145308491986</v>
          </cell>
          <cell r="J104">
            <v>-0.11090288103745255</v>
          </cell>
          <cell r="K104">
            <v>0.03</v>
          </cell>
          <cell r="L104">
            <v>0.39091228503316028</v>
          </cell>
          <cell r="M104">
            <v>-0.10113264369212493</v>
          </cell>
          <cell r="N104">
            <v>0.14986396685910378</v>
          </cell>
          <cell r="O104">
            <v>0.13385281877731325</v>
          </cell>
          <cell r="P104">
            <v>0.716283214363583</v>
          </cell>
          <cell r="Q104">
            <v>0.58064649478163366</v>
          </cell>
          <cell r="R104">
            <v>-7.243961510088219E-2</v>
          </cell>
          <cell r="S104">
            <v>0.50820687968075151</v>
          </cell>
        </row>
        <row r="105">
          <cell r="A105" t="str">
            <v>Bread</v>
          </cell>
          <cell r="B105">
            <v>1.622706214625282</v>
          </cell>
          <cell r="C105">
            <v>9.9999999999999978E-2</v>
          </cell>
          <cell r="D105">
            <v>1.4604355931627537</v>
          </cell>
          <cell r="E105">
            <v>0.5007705202701882</v>
          </cell>
          <cell r="F105">
            <v>0.12273553689448408</v>
          </cell>
          <cell r="G105">
            <v>0.61093906080766192</v>
          </cell>
          <cell r="H105">
            <v>0.57934451302605239</v>
          </cell>
          <cell r="I105">
            <v>0.24090145308491986</v>
          </cell>
          <cell r="J105">
            <v>-0.11090288103745255</v>
          </cell>
          <cell r="K105">
            <v>0.03</v>
          </cell>
          <cell r="L105">
            <v>0.39091228503316028</v>
          </cell>
          <cell r="M105">
            <v>-0.10113264369212493</v>
          </cell>
          <cell r="N105">
            <v>0.14986396685910378</v>
          </cell>
          <cell r="O105">
            <v>0.13385281877731325</v>
          </cell>
          <cell r="P105">
            <v>0.716283214363583</v>
          </cell>
          <cell r="Q105">
            <v>0.58064649478163366</v>
          </cell>
          <cell r="R105">
            <v>-7.243961510088219E-2</v>
          </cell>
          <cell r="S105">
            <v>0.50820687968075151</v>
          </cell>
        </row>
        <row r="106">
          <cell r="A106" t="str">
            <v>Fruits and Vegetables</v>
          </cell>
          <cell r="B106">
            <v>1.622706214625282</v>
          </cell>
          <cell r="C106">
            <v>9.9999999999999978E-2</v>
          </cell>
          <cell r="D106">
            <v>1.4604355931627537</v>
          </cell>
          <cell r="E106">
            <v>0.5007705202701882</v>
          </cell>
          <cell r="F106">
            <v>0.12273553689448408</v>
          </cell>
          <cell r="G106">
            <v>0.61093906080766192</v>
          </cell>
          <cell r="H106">
            <v>0.57934451302605239</v>
          </cell>
          <cell r="I106">
            <v>0.24090145308491986</v>
          </cell>
          <cell r="J106">
            <v>-0.11090288103745255</v>
          </cell>
          <cell r="K106">
            <v>0.03</v>
          </cell>
          <cell r="L106">
            <v>0.39091228503316028</v>
          </cell>
          <cell r="M106">
            <v>-0.10113264369212493</v>
          </cell>
          <cell r="N106">
            <v>0.14986396685910378</v>
          </cell>
          <cell r="O106">
            <v>0.13385281877731325</v>
          </cell>
          <cell r="P106">
            <v>0.716283214363583</v>
          </cell>
          <cell r="Q106">
            <v>0.58064649478163366</v>
          </cell>
          <cell r="R106">
            <v>-7.243961510088219E-2</v>
          </cell>
          <cell r="S106">
            <v>0.50820687968075151</v>
          </cell>
        </row>
        <row r="107">
          <cell r="A107" t="str">
            <v>Dairy Products</v>
          </cell>
          <cell r="B107">
            <v>1.622706214625282</v>
          </cell>
          <cell r="C107">
            <v>9.9999999999999978E-2</v>
          </cell>
          <cell r="D107">
            <v>1.4604355931627537</v>
          </cell>
          <cell r="E107">
            <v>0.5007705202701882</v>
          </cell>
          <cell r="F107">
            <v>0.12273553689448408</v>
          </cell>
          <cell r="G107">
            <v>0.61093906080766192</v>
          </cell>
          <cell r="H107">
            <v>0.57934451302605239</v>
          </cell>
          <cell r="I107">
            <v>0.24090145308491986</v>
          </cell>
          <cell r="J107">
            <v>-0.11090288103745255</v>
          </cell>
          <cell r="K107">
            <v>0.03</v>
          </cell>
          <cell r="L107">
            <v>0.39091228503316028</v>
          </cell>
          <cell r="M107">
            <v>-0.10113264369212493</v>
          </cell>
          <cell r="N107">
            <v>0.14986396685910378</v>
          </cell>
          <cell r="O107">
            <v>0.13385281877731325</v>
          </cell>
          <cell r="P107">
            <v>0.716283214363583</v>
          </cell>
          <cell r="Q107">
            <v>0.58064649478163366</v>
          </cell>
          <cell r="R107">
            <v>-7.243961510088219E-2</v>
          </cell>
          <cell r="S107">
            <v>0.50820687968075151</v>
          </cell>
        </row>
        <row r="108">
          <cell r="A108" t="str">
            <v>Yard Trimmings</v>
          </cell>
          <cell r="B108">
            <v>0.81032008938650013</v>
          </cell>
          <cell r="C108">
            <v>9.9999999999999978E-2</v>
          </cell>
          <cell r="D108">
            <v>0.7292880804478501</v>
          </cell>
          <cell r="E108">
            <v>0.46499320120982962</v>
          </cell>
          <cell r="F108">
            <v>0.13354109343421339</v>
          </cell>
          <cell r="G108">
            <v>0.32531572624965333</v>
          </cell>
          <cell r="H108">
            <v>0.5353423141105923</v>
          </cell>
          <cell r="I108">
            <v>0.27359199611643464</v>
          </cell>
          <cell r="J108">
            <v>-0.11090288103745255</v>
          </cell>
          <cell r="K108">
            <v>0.03</v>
          </cell>
          <cell r="L108">
            <v>0.22169709074850033</v>
          </cell>
          <cell r="M108">
            <v>-4.6666232517440655E-2</v>
          </cell>
          <cell r="N108">
            <v>0.14986396685910378</v>
          </cell>
          <cell r="O108">
            <v>0.13385281877731325</v>
          </cell>
          <cell r="P108">
            <v>0.716283214363583</v>
          </cell>
          <cell r="Q108">
            <v>0.31163633644647171</v>
          </cell>
          <cell r="R108">
            <v>-3.3426239029830752E-2</v>
          </cell>
          <cell r="S108">
            <v>0.27821009741664093</v>
          </cell>
        </row>
        <row r="109">
          <cell r="A109" t="str">
            <v>Grass</v>
          </cell>
          <cell r="B109">
            <v>0.5688048319800002</v>
          </cell>
          <cell r="C109">
            <v>9.9999999999999978E-2</v>
          </cell>
          <cell r="D109">
            <v>0.51192434878200022</v>
          </cell>
          <cell r="E109">
            <v>0.52196670002540735</v>
          </cell>
          <cell r="F109">
            <v>0.10038634905160668</v>
          </cell>
          <cell r="G109">
            <v>0.2148074104675084</v>
          </cell>
          <cell r="H109">
            <v>0.48511417098237852</v>
          </cell>
          <cell r="I109">
            <v>0.3001610621885108</v>
          </cell>
          <cell r="J109">
            <v>-0.11090288103745255</v>
          </cell>
          <cell r="K109">
            <v>0.03</v>
          </cell>
          <cell r="L109">
            <v>0.17073306254507428</v>
          </cell>
          <cell r="M109">
            <v>-2.968395749181273E-2</v>
          </cell>
          <cell r="N109">
            <v>0.14986396685910378</v>
          </cell>
          <cell r="O109">
            <v>0.13385281877731325</v>
          </cell>
          <cell r="P109">
            <v>0.716283214363583</v>
          </cell>
          <cell r="Q109">
            <v>0.22776481786348979</v>
          </cell>
          <cell r="R109">
            <v>-2.1262120487267583E-2</v>
          </cell>
          <cell r="S109">
            <v>0.20650269737622221</v>
          </cell>
        </row>
        <row r="110">
          <cell r="A110" t="str">
            <v>Leaves</v>
          </cell>
          <cell r="B110">
            <v>0.65408019754000024</v>
          </cell>
          <cell r="C110">
            <v>9.9999999999999978E-2</v>
          </cell>
          <cell r="D110">
            <v>0.58867217778600023</v>
          </cell>
          <cell r="E110">
            <v>0.5121910413793237</v>
          </cell>
          <cell r="F110">
            <v>0.11537375020074231</v>
          </cell>
          <cell r="G110">
            <v>0.24360249469416159</v>
          </cell>
          <cell r="H110">
            <v>0.56030718692389558</v>
          </cell>
          <cell r="I110">
            <v>0.25158442590497077</v>
          </cell>
          <cell r="J110">
            <v>-0.11090288103745255</v>
          </cell>
          <cell r="K110">
            <v>0.03</v>
          </cell>
          <cell r="L110">
            <v>0.16455639099391084</v>
          </cell>
          <cell r="M110">
            <v>-3.9425004966550665E-2</v>
          </cell>
          <cell r="N110">
            <v>0.14986396685910378</v>
          </cell>
          <cell r="O110">
            <v>0.13385281877731325</v>
          </cell>
          <cell r="P110">
            <v>0.716283214363583</v>
          </cell>
          <cell r="Q110">
            <v>0.23869660900378564</v>
          </cell>
          <cell r="R110">
            <v>-2.8239469283741134E-2</v>
          </cell>
          <cell r="S110">
            <v>0.21045713972004451</v>
          </cell>
        </row>
        <row r="111">
          <cell r="A111" t="str">
            <v>Branches</v>
          </cell>
          <cell r="B111">
            <v>1.4495904960459998</v>
          </cell>
          <cell r="C111">
            <v>9.9999999999999978E-2</v>
          </cell>
          <cell r="D111">
            <v>1.3046314464413997</v>
          </cell>
          <cell r="E111">
            <v>0.30384836340918026</v>
          </cell>
          <cell r="F111">
            <v>0.21801792543289791</v>
          </cell>
          <cell r="G111">
            <v>0.69309808353372682</v>
          </cell>
          <cell r="H111">
            <v>0.61083372755371668</v>
          </cell>
          <cell r="I111">
            <v>0.2424614341837463</v>
          </cell>
          <cell r="J111">
            <v>-0.11090288103745255</v>
          </cell>
          <cell r="K111">
            <v>0.03</v>
          </cell>
          <cell r="L111">
            <v>0.35146979065044132</v>
          </cell>
          <cell r="M111">
            <v>-9.5253930357167643E-2</v>
          </cell>
          <cell r="N111">
            <v>0.14986396685910378</v>
          </cell>
          <cell r="O111">
            <v>0.13385281877731325</v>
          </cell>
          <cell r="P111">
            <v>0.716283214363583</v>
          </cell>
          <cell r="Q111">
            <v>0.5400422874217754</v>
          </cell>
          <cell r="R111">
            <v>-6.822879141699692E-2</v>
          </cell>
          <cell r="S111">
            <v>0.47181349600477851</v>
          </cell>
        </row>
        <row r="112">
          <cell r="A112" t="str">
            <v>Mixed Paper (general)</v>
          </cell>
          <cell r="B112">
            <v>2.3832448707931113</v>
          </cell>
          <cell r="C112">
            <v>9.9999999999999978E-2</v>
          </cell>
          <cell r="D112">
            <v>2.1449203837138002</v>
          </cell>
          <cell r="E112">
            <v>0.34233412696279164</v>
          </cell>
          <cell r="F112">
            <v>0.20024099231749823</v>
          </cell>
          <cell r="G112">
            <v>1.0901555007483998</v>
          </cell>
          <cell r="H112">
            <v>0.61607359798255157</v>
          </cell>
          <cell r="I112">
            <v>0.23531851516499164</v>
          </cell>
          <cell r="J112">
            <v>-0.11090288103745255</v>
          </cell>
          <cell r="K112">
            <v>0.03</v>
          </cell>
          <cell r="L112">
            <v>0.56082164426961734</v>
          </cell>
          <cell r="M112">
            <v>-0.15794861681276492</v>
          </cell>
          <cell r="N112">
            <v>0.14986396685910378</v>
          </cell>
          <cell r="O112">
            <v>0.13385281877731325</v>
          </cell>
          <cell r="P112">
            <v>0.716283214363583</v>
          </cell>
          <cell r="Q112">
            <v>0.86907379402317919</v>
          </cell>
          <cell r="R112">
            <v>-0.11313594295492913</v>
          </cell>
          <cell r="S112">
            <v>0.75593785106825007</v>
          </cell>
        </row>
        <row r="113">
          <cell r="A113" t="str">
            <v>Mixed Paper (primarily residential)</v>
          </cell>
          <cell r="B113">
            <v>2.2946736526735392</v>
          </cell>
          <cell r="C113">
            <v>9.9999999999999978E-2</v>
          </cell>
          <cell r="D113">
            <v>2.0652062874061854</v>
          </cell>
          <cell r="E113">
            <v>0.3440670607280647</v>
          </cell>
          <cell r="F113">
            <v>0.19936930474223685</v>
          </cell>
          <cell r="G113">
            <v>1.04766454292417</v>
          </cell>
          <cell r="H113">
            <v>0.6152645439470309</v>
          </cell>
          <cell r="I113">
            <v>0.23561936460965333</v>
          </cell>
          <cell r="J113">
            <v>-0.11090288103745255</v>
          </cell>
          <cell r="K113">
            <v>0.03</v>
          </cell>
          <cell r="L113">
            <v>0.54066954802945166</v>
          </cell>
          <cell r="M113">
            <v>-0.15187887808058959</v>
          </cell>
          <cell r="N113">
            <v>0.14986396685910378</v>
          </cell>
          <cell r="O113">
            <v>0.13385281877731325</v>
          </cell>
          <cell r="P113">
            <v>0.716283214363583</v>
          </cell>
          <cell r="Q113">
            <v>0.83700538058754015</v>
          </cell>
          <cell r="R113">
            <v>-0.10878829098549944</v>
          </cell>
          <cell r="S113">
            <v>0.72821708960204068</v>
          </cell>
        </row>
        <row r="114">
          <cell r="A114" t="str">
            <v>Mixed Paper (primarily from offices)</v>
          </cell>
          <cell r="B114">
            <v>2.2577848571899501</v>
          </cell>
          <cell r="C114">
            <v>9.9999999999999978E-2</v>
          </cell>
          <cell r="D114">
            <v>2.0320063714709553</v>
          </cell>
          <cell r="E114">
            <v>0.39297061283719464</v>
          </cell>
          <cell r="F114">
            <v>0.17606551439150853</v>
          </cell>
          <cell r="G114">
            <v>0.97302370593897036</v>
          </cell>
          <cell r="H114">
            <v>0.61126761469253843</v>
          </cell>
          <cell r="I114">
            <v>0.23288425134821039</v>
          </cell>
          <cell r="J114">
            <v>-0.11090288103745255</v>
          </cell>
          <cell r="K114">
            <v>0.03</v>
          </cell>
          <cell r="L114">
            <v>0.52580253617200767</v>
          </cell>
          <cell r="M114">
            <v>-0.1484665120974778</v>
          </cell>
          <cell r="N114">
            <v>0.14986396685910378</v>
          </cell>
          <cell r="O114">
            <v>0.13385281877731325</v>
          </cell>
          <cell r="P114">
            <v>0.716283214363583</v>
          </cell>
          <cell r="Q114">
            <v>0.81139003201849946</v>
          </cell>
          <cell r="R114">
            <v>-0.10634407051053117</v>
          </cell>
          <cell r="S114">
            <v>0.70504596150796828</v>
          </cell>
        </row>
        <row r="115">
          <cell r="A115" t="str">
            <v>Mixed Recyclables</v>
          </cell>
          <cell r="B115">
            <v>1.9734014132616131</v>
          </cell>
          <cell r="C115">
            <v>9.9999999999999978E-2</v>
          </cell>
          <cell r="D115">
            <v>1.7760612719354518</v>
          </cell>
          <cell r="E115">
            <v>0.29835089927913194</v>
          </cell>
          <cell r="F115">
            <v>0.17184381926196415</v>
          </cell>
          <cell r="G115">
            <v>1.0455184911844677</v>
          </cell>
          <cell r="H115">
            <v>0.53134106572685602</v>
          </cell>
          <cell r="I115">
            <v>0.20380780163008511</v>
          </cell>
          <cell r="J115">
            <v>-0.11090288103745255</v>
          </cell>
          <cell r="K115">
            <v>0.03</v>
          </cell>
          <cell r="L115">
            <v>0.40219460377055244</v>
          </cell>
          <cell r="M115">
            <v>-0.11279851445274146</v>
          </cell>
          <cell r="N115">
            <v>0.14986396685910378</v>
          </cell>
          <cell r="O115">
            <v>0.13385281877731325</v>
          </cell>
          <cell r="P115">
            <v>0.716283214363583</v>
          </cell>
          <cell r="Q115">
            <v>0.69419842831437584</v>
          </cell>
          <cell r="R115">
            <v>-8.0795682507646724E-2</v>
          </cell>
          <cell r="S115">
            <v>0.61340274580672915</v>
          </cell>
        </row>
        <row r="116">
          <cell r="A116" t="str">
            <v>Mixed Organics</v>
          </cell>
          <cell r="B116">
            <v>1.2328155960009999</v>
          </cell>
          <cell r="C116">
            <v>9.9999999999999978E-2</v>
          </cell>
          <cell r="D116">
            <v>1.1095340364008999</v>
          </cell>
          <cell r="E116">
            <v>0.48359981704447585</v>
          </cell>
          <cell r="F116">
            <v>0.127921476182426</v>
          </cell>
          <cell r="G116">
            <v>0.47892260842417467</v>
          </cell>
          <cell r="H116">
            <v>0.55822642148930335</v>
          </cell>
          <cell r="I116">
            <v>0.25659071173883241</v>
          </cell>
          <cell r="J116">
            <v>-0.11090288103745255</v>
          </cell>
          <cell r="K116">
            <v>0.03</v>
          </cell>
          <cell r="L116">
            <v>0.31632903122062944</v>
          </cell>
          <cell r="M116">
            <v>-7.4032611748230337E-2</v>
          </cell>
          <cell r="N116">
            <v>0.14986396685910378</v>
          </cell>
          <cell r="O116">
            <v>0.13385281877731325</v>
          </cell>
          <cell r="P116">
            <v>0.716283214363583</v>
          </cell>
          <cell r="Q116">
            <v>0.45696548845322199</v>
          </cell>
          <cell r="R116">
            <v>-5.3028317110753585E-2</v>
          </cell>
          <cell r="S116">
            <v>0.40393717134246843</v>
          </cell>
        </row>
        <row r="117">
          <cell r="A117" t="str">
            <v>Mixed MSW</v>
          </cell>
          <cell r="B117">
            <v>1.6199727500000001</v>
          </cell>
          <cell r="C117">
            <v>9.9999999999999978E-2</v>
          </cell>
          <cell r="D117">
            <v>1.457975475</v>
          </cell>
          <cell r="E117">
            <v>0.36496788925818557</v>
          </cell>
          <cell r="F117">
            <v>0.19020079990406999</v>
          </cell>
          <cell r="G117">
            <v>0.72061460190392568</v>
          </cell>
          <cell r="H117">
            <v>0.62458057585072169</v>
          </cell>
          <cell r="I117">
            <v>0.22786183011711139</v>
          </cell>
          <cell r="J117">
            <v>-0.11090288103745255</v>
          </cell>
          <cell r="K117">
            <v>0.03</v>
          </cell>
          <cell r="L117">
            <v>0.36912995555484979</v>
          </cell>
          <cell r="M117">
            <v>-0.10884556690263325</v>
          </cell>
          <cell r="N117">
            <v>0.14986396685910378</v>
          </cell>
          <cell r="O117">
            <v>0.13385281877731325</v>
          </cell>
          <cell r="P117">
            <v>0.716283214363583</v>
          </cell>
          <cell r="Q117">
            <v>0.57935587506643227</v>
          </cell>
          <cell r="R117">
            <v>-7.7964252530244568E-2</v>
          </cell>
          <cell r="S117">
            <v>0.50139162253618774</v>
          </cell>
        </row>
        <row r="118">
          <cell r="A118" t="str">
            <v>Wood Flooring</v>
          </cell>
          <cell r="B118">
            <v>0.18143694800000035</v>
          </cell>
          <cell r="C118">
            <v>9.9999999999999978E-2</v>
          </cell>
          <cell r="D118">
            <v>0.16329325320000032</v>
          </cell>
          <cell r="E118">
            <v>0</v>
          </cell>
          <cell r="F118">
            <v>9.9999999999999978E-2</v>
          </cell>
          <cell r="G118">
            <v>0.16329325320000032</v>
          </cell>
          <cell r="H118">
            <v>0</v>
          </cell>
          <cell r="I118">
            <v>0.9</v>
          </cell>
          <cell r="J118">
            <v>-0.11090288103745255</v>
          </cell>
          <cell r="K118">
            <v>0.03</v>
          </cell>
          <cell r="L118">
            <v>0.16329325320000032</v>
          </cell>
          <cell r="M118">
            <v>0</v>
          </cell>
          <cell r="N118">
            <v>1</v>
          </cell>
          <cell r="O118">
            <v>0</v>
          </cell>
          <cell r="P118">
            <v>0</v>
          </cell>
          <cell r="Q118">
            <v>0.16329325320000032</v>
          </cell>
          <cell r="R118">
            <v>0</v>
          </cell>
          <cell r="S118">
            <v>0.16329325320000032</v>
          </cell>
        </row>
        <row r="119">
          <cell r="A119" t="str">
            <v>Drywall</v>
          </cell>
          <cell r="B119">
            <v>0</v>
          </cell>
          <cell r="C119">
            <v>9.9999999999999978E-2</v>
          </cell>
          <cell r="D119">
            <v>0</v>
          </cell>
          <cell r="E119">
            <v>0</v>
          </cell>
          <cell r="F119">
            <v>9.9999999999999978E-2</v>
          </cell>
          <cell r="G119">
            <v>0</v>
          </cell>
          <cell r="H119">
            <v>0</v>
          </cell>
          <cell r="I119">
            <v>0.9</v>
          </cell>
          <cell r="J119">
            <v>-0.11090288103745255</v>
          </cell>
          <cell r="K119">
            <v>0.03</v>
          </cell>
          <cell r="L119">
            <v>0</v>
          </cell>
          <cell r="M119">
            <v>0</v>
          </cell>
          <cell r="N119">
            <v>1</v>
          </cell>
          <cell r="O119">
            <v>0</v>
          </cell>
          <cell r="P119">
            <v>0</v>
          </cell>
          <cell r="Q119">
            <v>0</v>
          </cell>
          <cell r="R119">
            <v>0</v>
          </cell>
          <cell r="S119">
            <v>0</v>
          </cell>
        </row>
        <row r="122">
          <cell r="H122">
            <v>8</v>
          </cell>
          <cell r="I122">
            <v>10</v>
          </cell>
        </row>
        <row r="124">
          <cell r="J124" t="str">
            <v>Electricity Generation</v>
          </cell>
          <cell r="N124" t="str">
            <v>Percentage of CH4 from Each Type of Landfill in the current inventory year</v>
          </cell>
          <cell r="Q124" t="str">
            <v>Net CH4 Generation</v>
          </cell>
          <cell r="R124" t="str">
            <v>Avoided CO2 from Energy Recovery</v>
          </cell>
        </row>
        <row r="126">
          <cell r="H126" t="str">
            <v>(h)</v>
          </cell>
          <cell r="I126" t="str">
            <v>(i)</v>
          </cell>
          <cell r="J126" t="str">
            <v>(j)</v>
          </cell>
          <cell r="K126" t="str">
            <v>(k)</v>
          </cell>
          <cell r="L126" t="str">
            <v>(l)</v>
          </cell>
          <cell r="M126" t="str">
            <v>(m)</v>
          </cell>
          <cell r="N126" t="str">
            <v>(n)</v>
          </cell>
          <cell r="O126" t="str">
            <v>(o)</v>
          </cell>
          <cell r="P126" t="str">
            <v>(p)</v>
          </cell>
          <cell r="Q126" t="str">
            <v>(q)</v>
          </cell>
          <cell r="R126" t="str">
            <v>( r)</v>
          </cell>
        </row>
        <row r="129">
          <cell r="A129" t="str">
            <v>Corrugated Containers</v>
          </cell>
          <cell r="B129">
            <v>2.6232704732575001</v>
          </cell>
          <cell r="C129">
            <v>9.9999999999999978E-2</v>
          </cell>
          <cell r="D129">
            <v>2.3609434259317501</v>
          </cell>
          <cell r="E129">
            <v>0.36652146527552865</v>
          </cell>
          <cell r="F129">
            <v>0.18958993086581211</v>
          </cell>
          <cell r="G129">
            <v>1.164439867917916</v>
          </cell>
          <cell r="H129">
            <v>0.55331526965423472</v>
          </cell>
          <cell r="I129">
            <v>0.28810589086668492</v>
          </cell>
          <cell r="J129">
            <v>-0.11090288103745255</v>
          </cell>
          <cell r="K129">
            <v>0.03</v>
          </cell>
          <cell r="L129">
            <v>0.7557796766821222</v>
          </cell>
          <cell r="M129">
            <v>-0.15614579353658914</v>
          </cell>
          <cell r="N129">
            <v>0.14986396685910378</v>
          </cell>
          <cell r="O129">
            <v>0.13385281877731325</v>
          </cell>
          <cell r="P129">
            <v>0.716283214363583</v>
          </cell>
          <cell r="Q129">
            <v>1.05103620212209</v>
          </cell>
          <cell r="R129">
            <v>-0.11184461090374045</v>
          </cell>
          <cell r="S129">
            <v>0.93919159121834961</v>
          </cell>
        </row>
        <row r="130">
          <cell r="A130" t="str">
            <v>Magazines/Third-class Mail</v>
          </cell>
          <cell r="B130">
            <v>1.1946237049113888</v>
          </cell>
          <cell r="C130">
            <v>9.9999999999999978E-2</v>
          </cell>
          <cell r="D130">
            <v>1.07516133442025</v>
          </cell>
          <cell r="E130">
            <v>0.53073776508804871</v>
          </cell>
          <cell r="F130">
            <v>0.10215229567326288</v>
          </cell>
          <cell r="G130">
            <v>0.43855823572311675</v>
          </cell>
          <cell r="H130">
            <v>0.54929500083310701</v>
          </cell>
          <cell r="I130">
            <v>0.28581734509037582</v>
          </cell>
          <cell r="J130">
            <v>-0.11090288103745255</v>
          </cell>
          <cell r="K130">
            <v>0.03</v>
          </cell>
          <cell r="L130">
            <v>0.34144417571980168</v>
          </cell>
          <cell r="M130">
            <v>-7.0591325599344834E-2</v>
          </cell>
          <cell r="N130">
            <v>0.14986396685910378</v>
          </cell>
          <cell r="O130">
            <v>0.13385281877731325</v>
          </cell>
          <cell r="P130">
            <v>0.716283214363583</v>
          </cell>
          <cell r="Q130">
            <v>0.46440093034959429</v>
          </cell>
          <cell r="R130">
            <v>-5.0563381606484999E-2</v>
          </cell>
          <cell r="S130">
            <v>0.4138375487431093</v>
          </cell>
        </row>
        <row r="131">
          <cell r="A131" t="str">
            <v>Newspaper</v>
          </cell>
          <cell r="B131">
            <v>1.0471665853275001</v>
          </cell>
          <cell r="C131">
            <v>9.9999999999999978E-2</v>
          </cell>
          <cell r="D131">
            <v>0.94244992679475004</v>
          </cell>
          <cell r="E131">
            <v>0.42226518721716927</v>
          </cell>
          <cell r="F131">
            <v>0.16402182534250337</v>
          </cell>
          <cell r="G131">
            <v>0.4332264163635266</v>
          </cell>
          <cell r="H131">
            <v>0.5863075825228492</v>
          </cell>
          <cell r="I131">
            <v>0.26495312650781788</v>
          </cell>
          <cell r="J131">
            <v>-0.11090288103745255</v>
          </cell>
          <cell r="K131">
            <v>0.03</v>
          </cell>
          <cell r="L131">
            <v>0.27745006075703682</v>
          </cell>
          <cell r="M131">
            <v>-6.6047418718818376E-2</v>
          </cell>
          <cell r="N131">
            <v>0.14986396685910378</v>
          </cell>
          <cell r="O131">
            <v>0.13385281877731325</v>
          </cell>
          <cell r="P131">
            <v>0.716283214363583</v>
          </cell>
          <cell r="Q131">
            <v>0.39796068293900688</v>
          </cell>
          <cell r="R131">
            <v>-4.7308657380332707E-2</v>
          </cell>
          <cell r="S131">
            <v>0.3506520255586742</v>
          </cell>
        </row>
        <row r="132">
          <cell r="A132" t="str">
            <v>Office Paper</v>
          </cell>
          <cell r="B132">
            <v>3.8859258337900004</v>
          </cell>
          <cell r="C132">
            <v>9.9999999999999978E-2</v>
          </cell>
          <cell r="D132">
            <v>3.4973332504110006</v>
          </cell>
          <cell r="E132">
            <v>0.40669578245458932</v>
          </cell>
          <cell r="F132">
            <v>0.17125869441404024</v>
          </cell>
          <cell r="G132">
            <v>1.6400376013716074</v>
          </cell>
          <cell r="H132">
            <v>0.57842975430047994</v>
          </cell>
          <cell r="I132">
            <v>0.27059108609488908</v>
          </cell>
          <cell r="J132">
            <v>-0.11090288103745255</v>
          </cell>
          <cell r="K132">
            <v>0.03</v>
          </cell>
          <cell r="L132">
            <v>1.0514968918494236</v>
          </cell>
          <cell r="M132">
            <v>-0.24180189216537309</v>
          </cell>
          <cell r="N132">
            <v>0.14986396685910378</v>
          </cell>
          <cell r="O132">
            <v>0.13385281877731325</v>
          </cell>
          <cell r="P132">
            <v>0.716283214363583</v>
          </cell>
          <cell r="Q132">
            <v>1.4968174637664311</v>
          </cell>
          <cell r="R132">
            <v>-0.17319863655940992</v>
          </cell>
          <cell r="S132">
            <v>1.3236188272070213</v>
          </cell>
        </row>
        <row r="133">
          <cell r="A133" t="str">
            <v>Phonebooks</v>
          </cell>
          <cell r="B133">
            <v>1.0471665853275001</v>
          </cell>
          <cell r="C133">
            <v>9.9999999999999978E-2</v>
          </cell>
          <cell r="D133">
            <v>0.94244992679475004</v>
          </cell>
          <cell r="E133">
            <v>0.42226518721716927</v>
          </cell>
          <cell r="F133">
            <v>0.16402182534250337</v>
          </cell>
          <cell r="G133">
            <v>0.4332264163635266</v>
          </cell>
          <cell r="H133">
            <v>0.5863075825228492</v>
          </cell>
          <cell r="I133">
            <v>0.26495312650781788</v>
          </cell>
          <cell r="J133">
            <v>-0.11090288103745255</v>
          </cell>
          <cell r="K133">
            <v>0.03</v>
          </cell>
          <cell r="L133">
            <v>0.27745006075703682</v>
          </cell>
          <cell r="M133">
            <v>-6.6047418718818376E-2</v>
          </cell>
          <cell r="N133">
            <v>0.14986396685910378</v>
          </cell>
          <cell r="O133">
            <v>0.13385281877731325</v>
          </cell>
          <cell r="P133">
            <v>0.716283214363583</v>
          </cell>
          <cell r="Q133">
            <v>0.39796068293900688</v>
          </cell>
          <cell r="R133">
            <v>-4.7308657380332707E-2</v>
          </cell>
          <cell r="S133">
            <v>0.3506520255586742</v>
          </cell>
        </row>
        <row r="134">
          <cell r="A134" t="str">
            <v>Textbooks</v>
          </cell>
          <cell r="B134">
            <v>3.8859258337900004</v>
          </cell>
          <cell r="C134">
            <v>9.9999999999999978E-2</v>
          </cell>
          <cell r="D134">
            <v>3.4973332504110006</v>
          </cell>
          <cell r="E134">
            <v>0.40669578245458932</v>
          </cell>
          <cell r="F134">
            <v>0.17125869441404024</v>
          </cell>
          <cell r="G134">
            <v>1.6400376013716074</v>
          </cell>
          <cell r="H134">
            <v>0.57842975430047994</v>
          </cell>
          <cell r="I134">
            <v>0.27059108609488908</v>
          </cell>
          <cell r="J134">
            <v>-0.11090288103745255</v>
          </cell>
          <cell r="K134">
            <v>0.03</v>
          </cell>
          <cell r="L134">
            <v>1.0514968918494236</v>
          </cell>
          <cell r="M134">
            <v>-0.24180189216537309</v>
          </cell>
          <cell r="N134">
            <v>0.14986396685910378</v>
          </cell>
          <cell r="O134">
            <v>0.13385281877731325</v>
          </cell>
          <cell r="P134">
            <v>0.716283214363583</v>
          </cell>
          <cell r="Q134">
            <v>1.4968174637664311</v>
          </cell>
          <cell r="R134">
            <v>-0.17319863655940992</v>
          </cell>
          <cell r="S134">
            <v>1.3236188272070213</v>
          </cell>
        </row>
        <row r="135">
          <cell r="A135" t="str">
            <v>Dimensional Lumber</v>
          </cell>
          <cell r="B135">
            <v>0.16645220006249997</v>
          </cell>
          <cell r="C135">
            <v>9.9999999999999978E-2</v>
          </cell>
          <cell r="D135">
            <v>0.14980698005624998</v>
          </cell>
          <cell r="E135">
            <v>0.51792548903154401</v>
          </cell>
          <cell r="F135">
            <v>0.11463698525444987</v>
          </cell>
          <cell r="G135">
            <v>6.1160784540617727E-2</v>
          </cell>
          <cell r="H135">
            <v>0.58712600026433648</v>
          </cell>
          <cell r="I135">
            <v>0.26069669229353598</v>
          </cell>
          <cell r="J135">
            <v>-0.11090288103745255</v>
          </cell>
          <cell r="K135">
            <v>0.03</v>
          </cell>
          <cell r="L135">
            <v>4.3393537981275647E-2</v>
          </cell>
          <cell r="M135">
            <v>-1.0513211840924675E-2</v>
          </cell>
          <cell r="N135">
            <v>0.14986396685910378</v>
          </cell>
          <cell r="O135">
            <v>0.13385281877731325</v>
          </cell>
          <cell r="P135">
            <v>0.716283214363583</v>
          </cell>
          <cell r="Q135">
            <v>6.1719274571642224E-2</v>
          </cell>
          <cell r="R135">
            <v>-7.5304371707028079E-3</v>
          </cell>
          <cell r="S135">
            <v>5.4188837400939417E-2</v>
          </cell>
        </row>
        <row r="136">
          <cell r="A136" t="str">
            <v>Medium-density Fiberboard</v>
          </cell>
          <cell r="B136">
            <v>5.5889059875000008E-2</v>
          </cell>
          <cell r="C136">
            <v>9.9999999999999978E-2</v>
          </cell>
          <cell r="D136">
            <v>5.0300153887500011E-2</v>
          </cell>
          <cell r="E136">
            <v>0.49932444462930503</v>
          </cell>
          <cell r="F136">
            <v>0.12576191456069238</v>
          </cell>
          <cell r="G136">
            <v>2.095357091918448E-2</v>
          </cell>
          <cell r="H136">
            <v>0.59927973384927458</v>
          </cell>
          <cell r="I136">
            <v>0.2534959808443798</v>
          </cell>
          <cell r="J136">
            <v>-0.11090288103745255</v>
          </cell>
          <cell r="K136">
            <v>0.03</v>
          </cell>
          <cell r="L136">
            <v>1.4167652051483397E-2</v>
          </cell>
          <cell r="M136">
            <v>-3.6030555521130042E-3</v>
          </cell>
          <cell r="N136">
            <v>0.14986396685910378</v>
          </cell>
          <cell r="O136">
            <v>0.13385281877731325</v>
          </cell>
          <cell r="P136">
            <v>0.716283214363583</v>
          </cell>
          <cell r="Q136">
            <v>2.049092647760864E-2</v>
          </cell>
          <cell r="R136">
            <v>-2.580808212398057E-3</v>
          </cell>
          <cell r="S136">
            <v>1.7910118265210582E-2</v>
          </cell>
        </row>
        <row r="137">
          <cell r="A137" t="str">
            <v>Food Waste</v>
          </cell>
          <cell r="B137">
            <v>1.622706214625282</v>
          </cell>
          <cell r="C137">
            <v>9.9999999999999978E-2</v>
          </cell>
          <cell r="D137">
            <v>1.4604355931627537</v>
          </cell>
          <cell r="E137">
            <v>0.52944690776408398</v>
          </cell>
          <cell r="F137">
            <v>9.9046144938357797E-2</v>
          </cell>
          <cell r="G137">
            <v>0.60284663215621481</v>
          </cell>
          <cell r="H137">
            <v>0.52877668866704175</v>
          </cell>
          <cell r="I137">
            <v>0.30030344083176108</v>
          </cell>
          <cell r="J137">
            <v>-0.11090288103745255</v>
          </cell>
          <cell r="K137">
            <v>0.03</v>
          </cell>
          <cell r="L137">
            <v>0.48730425971105434</v>
          </cell>
          <cell r="M137">
            <v>-9.2305326529019585E-2</v>
          </cell>
          <cell r="N137">
            <v>0.14986396685910378</v>
          </cell>
          <cell r="O137">
            <v>0.13385281877731325</v>
          </cell>
          <cell r="P137">
            <v>0.716283214363583</v>
          </cell>
          <cell r="Q137">
            <v>0.64860725385701823</v>
          </cell>
          <cell r="R137">
            <v>-6.6116755989086257E-2</v>
          </cell>
          <cell r="S137">
            <v>0.58249049786793194</v>
          </cell>
        </row>
        <row r="138">
          <cell r="A138" t="str">
            <v>Food Waste (meat only)</v>
          </cell>
          <cell r="B138">
            <v>1.622706214625282</v>
          </cell>
          <cell r="C138">
            <v>9.9999999999999978E-2</v>
          </cell>
          <cell r="D138">
            <v>1.4604355931627537</v>
          </cell>
          <cell r="E138">
            <v>0.52944690776408398</v>
          </cell>
          <cell r="F138">
            <v>9.9046144938357797E-2</v>
          </cell>
          <cell r="G138">
            <v>0.60284663215621481</v>
          </cell>
          <cell r="H138">
            <v>0.52877668866704175</v>
          </cell>
          <cell r="I138">
            <v>0.30030344083176108</v>
          </cell>
          <cell r="J138">
            <v>-0.11090288103745255</v>
          </cell>
          <cell r="K138">
            <v>0.03</v>
          </cell>
          <cell r="L138">
            <v>0.48730425971105434</v>
          </cell>
          <cell r="M138">
            <v>-9.2305326529019585E-2</v>
          </cell>
          <cell r="N138">
            <v>0.14986396685910378</v>
          </cell>
          <cell r="O138">
            <v>0.13385281877731325</v>
          </cell>
          <cell r="P138">
            <v>0.716283214363583</v>
          </cell>
          <cell r="Q138">
            <v>0.64860725385701823</v>
          </cell>
          <cell r="R138">
            <v>-6.6116755989086257E-2</v>
          </cell>
          <cell r="S138">
            <v>0.58249049786793194</v>
          </cell>
        </row>
        <row r="139">
          <cell r="A139" t="str">
            <v>Food Waste (non-meat)</v>
          </cell>
          <cell r="B139">
            <v>1.622706214625282</v>
          </cell>
          <cell r="C139">
            <v>9.9999999999999978E-2</v>
          </cell>
          <cell r="D139">
            <v>1.4604355931627537</v>
          </cell>
          <cell r="E139">
            <v>0.52944690776408398</v>
          </cell>
          <cell r="F139">
            <v>9.9046144938357797E-2</v>
          </cell>
          <cell r="G139">
            <v>0.60284663215621481</v>
          </cell>
          <cell r="H139">
            <v>0.52877668866704175</v>
          </cell>
          <cell r="I139">
            <v>0.30030344083176108</v>
          </cell>
          <cell r="J139">
            <v>-0.11090288103745255</v>
          </cell>
          <cell r="K139">
            <v>0.03</v>
          </cell>
          <cell r="L139">
            <v>0.48730425971105434</v>
          </cell>
          <cell r="M139">
            <v>-9.2305326529019585E-2</v>
          </cell>
          <cell r="N139">
            <v>0.14986396685910378</v>
          </cell>
          <cell r="O139">
            <v>0.13385281877731325</v>
          </cell>
          <cell r="P139">
            <v>0.716283214363583</v>
          </cell>
          <cell r="Q139">
            <v>0.64860725385701823</v>
          </cell>
          <cell r="R139">
            <v>-6.6116755989086257E-2</v>
          </cell>
          <cell r="S139">
            <v>0.58249049786793194</v>
          </cell>
        </row>
        <row r="140">
          <cell r="A140" t="str">
            <v>Beef</v>
          </cell>
          <cell r="B140">
            <v>1.622706214625282</v>
          </cell>
          <cell r="C140">
            <v>9.9999999999999978E-2</v>
          </cell>
          <cell r="D140">
            <v>1.4604355931627537</v>
          </cell>
          <cell r="E140">
            <v>0.52944690776408398</v>
          </cell>
          <cell r="F140">
            <v>9.9046144938357797E-2</v>
          </cell>
          <cell r="G140">
            <v>0.60284663215621481</v>
          </cell>
          <cell r="H140">
            <v>0.52877668866704175</v>
          </cell>
          <cell r="I140">
            <v>0.30030344083176108</v>
          </cell>
          <cell r="J140">
            <v>-0.11090288103745255</v>
          </cell>
          <cell r="K140">
            <v>0.03</v>
          </cell>
          <cell r="L140">
            <v>0.48730425971105434</v>
          </cell>
          <cell r="M140">
            <v>-9.2305326529019585E-2</v>
          </cell>
          <cell r="N140">
            <v>0.14986396685910378</v>
          </cell>
          <cell r="O140">
            <v>0.13385281877731325</v>
          </cell>
          <cell r="P140">
            <v>0.716283214363583</v>
          </cell>
          <cell r="Q140">
            <v>0.64860725385701823</v>
          </cell>
          <cell r="R140">
            <v>-6.6116755989086257E-2</v>
          </cell>
          <cell r="S140">
            <v>0.58249049786793194</v>
          </cell>
        </row>
        <row r="141">
          <cell r="A141" t="str">
            <v>Poultry</v>
          </cell>
          <cell r="B141">
            <v>1.622706214625282</v>
          </cell>
          <cell r="C141">
            <v>9.9999999999999978E-2</v>
          </cell>
          <cell r="D141">
            <v>1.4604355931627537</v>
          </cell>
          <cell r="E141">
            <v>0.52944690776408398</v>
          </cell>
          <cell r="F141">
            <v>9.9046144938357797E-2</v>
          </cell>
          <cell r="G141">
            <v>0.60284663215621481</v>
          </cell>
          <cell r="H141">
            <v>0.52877668866704175</v>
          </cell>
          <cell r="I141">
            <v>0.30030344083176108</v>
          </cell>
          <cell r="J141">
            <v>-0.11090288103745255</v>
          </cell>
          <cell r="K141">
            <v>0.03</v>
          </cell>
          <cell r="L141">
            <v>0.48730425971105434</v>
          </cell>
          <cell r="M141">
            <v>-9.2305326529019585E-2</v>
          </cell>
          <cell r="N141">
            <v>0.14986396685910378</v>
          </cell>
          <cell r="O141">
            <v>0.13385281877731325</v>
          </cell>
          <cell r="P141">
            <v>0.716283214363583</v>
          </cell>
          <cell r="Q141">
            <v>0.64860725385701823</v>
          </cell>
          <cell r="R141">
            <v>-6.6116755989086257E-2</v>
          </cell>
          <cell r="S141">
            <v>0.58249049786793194</v>
          </cell>
        </row>
        <row r="142">
          <cell r="A142" t="str">
            <v>Grains</v>
          </cell>
          <cell r="B142">
            <v>1.622706214625282</v>
          </cell>
          <cell r="C142">
            <v>9.9999999999999978E-2</v>
          </cell>
          <cell r="D142">
            <v>1.4604355931627537</v>
          </cell>
          <cell r="E142">
            <v>0.52944690776408398</v>
          </cell>
          <cell r="F142">
            <v>9.9046144938357797E-2</v>
          </cell>
          <cell r="G142">
            <v>0.60284663215621481</v>
          </cell>
          <cell r="H142">
            <v>0.52877668866704175</v>
          </cell>
          <cell r="I142">
            <v>0.30030344083176108</v>
          </cell>
          <cell r="J142">
            <v>-0.11090288103745255</v>
          </cell>
          <cell r="K142">
            <v>0.03</v>
          </cell>
          <cell r="L142">
            <v>0.48730425971105434</v>
          </cell>
          <cell r="M142">
            <v>-9.2305326529019585E-2</v>
          </cell>
          <cell r="N142">
            <v>0.14986396685910378</v>
          </cell>
          <cell r="O142">
            <v>0.13385281877731325</v>
          </cell>
          <cell r="P142">
            <v>0.716283214363583</v>
          </cell>
          <cell r="Q142">
            <v>0.64860725385701823</v>
          </cell>
          <cell r="R142">
            <v>-6.6116755989086257E-2</v>
          </cell>
          <cell r="S142">
            <v>0.58249049786793194</v>
          </cell>
        </row>
        <row r="143">
          <cell r="A143" t="str">
            <v>Bread</v>
          </cell>
          <cell r="B143">
            <v>1.622706214625282</v>
          </cell>
          <cell r="C143">
            <v>9.9999999999999978E-2</v>
          </cell>
          <cell r="D143">
            <v>1.4604355931627537</v>
          </cell>
          <cell r="E143">
            <v>0.52944690776408398</v>
          </cell>
          <cell r="F143">
            <v>9.9046144938357797E-2</v>
          </cell>
          <cell r="G143">
            <v>0.60284663215621481</v>
          </cell>
          <cell r="H143">
            <v>0.52877668866704175</v>
          </cell>
          <cell r="I143">
            <v>0.30030344083176108</v>
          </cell>
          <cell r="J143">
            <v>-0.11090288103745255</v>
          </cell>
          <cell r="K143">
            <v>0.03</v>
          </cell>
          <cell r="L143">
            <v>0.48730425971105434</v>
          </cell>
          <cell r="M143">
            <v>-9.2305326529019585E-2</v>
          </cell>
          <cell r="N143">
            <v>0.14986396685910378</v>
          </cell>
          <cell r="O143">
            <v>0.13385281877731325</v>
          </cell>
          <cell r="P143">
            <v>0.716283214363583</v>
          </cell>
          <cell r="Q143">
            <v>0.64860725385701823</v>
          </cell>
          <cell r="R143">
            <v>-6.6116755989086257E-2</v>
          </cell>
          <cell r="S143">
            <v>0.58249049786793194</v>
          </cell>
        </row>
        <row r="144">
          <cell r="A144" t="str">
            <v>Fruits and Vegetables</v>
          </cell>
          <cell r="B144">
            <v>1.622706214625282</v>
          </cell>
          <cell r="C144">
            <v>9.9999999999999978E-2</v>
          </cell>
          <cell r="D144">
            <v>1.4604355931627537</v>
          </cell>
          <cell r="E144">
            <v>0.52944690776408398</v>
          </cell>
          <cell r="F144">
            <v>9.9046144938357797E-2</v>
          </cell>
          <cell r="G144">
            <v>0.60284663215621481</v>
          </cell>
          <cell r="H144">
            <v>0.52877668866704175</v>
          </cell>
          <cell r="I144">
            <v>0.30030344083176108</v>
          </cell>
          <cell r="J144">
            <v>-0.11090288103745255</v>
          </cell>
          <cell r="K144">
            <v>0.03</v>
          </cell>
          <cell r="L144">
            <v>0.48730425971105434</v>
          </cell>
          <cell r="M144">
            <v>-9.2305326529019585E-2</v>
          </cell>
          <cell r="N144">
            <v>0.14986396685910378</v>
          </cell>
          <cell r="O144">
            <v>0.13385281877731325</v>
          </cell>
          <cell r="P144">
            <v>0.716283214363583</v>
          </cell>
          <cell r="Q144">
            <v>0.64860725385701823</v>
          </cell>
          <cell r="R144">
            <v>-6.6116755989086257E-2</v>
          </cell>
          <cell r="S144">
            <v>0.58249049786793194</v>
          </cell>
        </row>
        <row r="145">
          <cell r="A145" t="str">
            <v>Dairy Products</v>
          </cell>
          <cell r="B145">
            <v>1.622706214625282</v>
          </cell>
          <cell r="C145">
            <v>9.9999999999999978E-2</v>
          </cell>
          <cell r="D145">
            <v>1.4604355931627537</v>
          </cell>
          <cell r="E145">
            <v>0.52944690776408398</v>
          </cell>
          <cell r="F145">
            <v>9.9046144938357797E-2</v>
          </cell>
          <cell r="G145">
            <v>0.60284663215621481</v>
          </cell>
          <cell r="H145">
            <v>0.52877668866704175</v>
          </cell>
          <cell r="I145">
            <v>0.30030344083176108</v>
          </cell>
          <cell r="J145">
            <v>-0.11090288103745255</v>
          </cell>
          <cell r="K145">
            <v>0.03</v>
          </cell>
          <cell r="L145">
            <v>0.48730425971105434</v>
          </cell>
          <cell r="M145">
            <v>-9.2305326529019585E-2</v>
          </cell>
          <cell r="N145">
            <v>0.14986396685910378</v>
          </cell>
          <cell r="O145">
            <v>0.13385281877731325</v>
          </cell>
          <cell r="P145">
            <v>0.716283214363583</v>
          </cell>
          <cell r="Q145">
            <v>0.64860725385701823</v>
          </cell>
          <cell r="R145">
            <v>-6.6116755989086257E-2</v>
          </cell>
          <cell r="S145">
            <v>0.58249049786793194</v>
          </cell>
        </row>
        <row r="146">
          <cell r="A146" t="str">
            <v>Yard Trimmings</v>
          </cell>
          <cell r="B146">
            <v>0.81032008938650013</v>
          </cell>
          <cell r="C146">
            <v>9.9999999999999978E-2</v>
          </cell>
          <cell r="D146">
            <v>0.7292880804478501</v>
          </cell>
          <cell r="E146">
            <v>0.4590695831288939</v>
          </cell>
          <cell r="F146">
            <v>0.12276114626243126</v>
          </cell>
          <cell r="G146">
            <v>0.33885096073830895</v>
          </cell>
          <cell r="H146">
            <v>0.47287391019053338</v>
          </cell>
          <cell r="I146">
            <v>0.3451956880656859</v>
          </cell>
          <cell r="J146">
            <v>-0.11090288103745255</v>
          </cell>
          <cell r="K146">
            <v>0.03</v>
          </cell>
          <cell r="L146">
            <v>0.27971900080922102</v>
          </cell>
          <cell r="M146">
            <v>-4.12208100550484E-2</v>
          </cell>
          <cell r="N146">
            <v>0.14986396685910378</v>
          </cell>
          <cell r="O146">
            <v>0.13385281877731325</v>
          </cell>
          <cell r="P146">
            <v>0.716283214363583</v>
          </cell>
          <cell r="Q146">
            <v>0.35500818597739786</v>
          </cell>
          <cell r="R146">
            <v>-2.9525774324900771E-2</v>
          </cell>
          <cell r="S146">
            <v>0.32548241165249708</v>
          </cell>
        </row>
        <row r="147">
          <cell r="A147" t="str">
            <v>Grass</v>
          </cell>
          <cell r="B147">
            <v>0.5688048319800002</v>
          </cell>
          <cell r="C147">
            <v>9.9999999999999978E-2</v>
          </cell>
          <cell r="D147">
            <v>0.51192434878200022</v>
          </cell>
          <cell r="E147">
            <v>0.48525670255611425</v>
          </cell>
          <cell r="F147">
            <v>9.6616040808213788E-2</v>
          </cell>
          <cell r="G147">
            <v>0.23783280395691178</v>
          </cell>
          <cell r="H147">
            <v>0.42553358233373445</v>
          </cell>
          <cell r="I147">
            <v>0.38136342505988174</v>
          </cell>
          <cell r="J147">
            <v>-0.11090288103745255</v>
          </cell>
          <cell r="K147">
            <v>0.03</v>
          </cell>
          <cell r="L147">
            <v>0.21692135891450343</v>
          </cell>
          <cell r="M147">
            <v>-2.6038243211394866E-2</v>
          </cell>
          <cell r="N147">
            <v>0.14986396685910378</v>
          </cell>
          <cell r="O147">
            <v>0.13385281877731325</v>
          </cell>
          <cell r="P147">
            <v>0.716283214363583</v>
          </cell>
          <cell r="Q147">
            <v>0.26393073307497572</v>
          </cell>
          <cell r="R147">
            <v>-1.8650756543838659E-2</v>
          </cell>
          <cell r="S147">
            <v>0.24527997653113706</v>
          </cell>
        </row>
        <row r="148">
          <cell r="A148" t="str">
            <v>Leaves</v>
          </cell>
          <cell r="B148">
            <v>0.65408019754000024</v>
          </cell>
          <cell r="C148">
            <v>9.9999999999999978E-2</v>
          </cell>
          <cell r="D148">
            <v>0.58867217778600023</v>
          </cell>
          <cell r="E148">
            <v>0.52426250884025727</v>
          </cell>
          <cell r="F148">
            <v>9.6993208439372619E-2</v>
          </cell>
          <cell r="G148">
            <v>0.24772913525888537</v>
          </cell>
          <cell r="H148">
            <v>0.50568423647963634</v>
          </cell>
          <cell r="I148">
            <v>0.31723615231835173</v>
          </cell>
          <cell r="J148">
            <v>-0.11090288103745255</v>
          </cell>
          <cell r="K148">
            <v>0.03</v>
          </cell>
          <cell r="L148">
            <v>0.20749788517521711</v>
          </cell>
          <cell r="M148">
            <v>-3.5581559544450317E-2</v>
          </cell>
          <cell r="N148">
            <v>0.14986396685910378</v>
          </cell>
          <cell r="O148">
            <v>0.13385281877731325</v>
          </cell>
          <cell r="P148">
            <v>0.716283214363583</v>
          </cell>
          <cell r="Q148">
            <v>0.27000724295721584</v>
          </cell>
          <cell r="R148">
            <v>-2.5486473842568098E-2</v>
          </cell>
          <cell r="S148">
            <v>0.24452076911464773</v>
          </cell>
        </row>
        <row r="149">
          <cell r="A149" t="str">
            <v>Branches</v>
          </cell>
          <cell r="B149">
            <v>1.4495904960459998</v>
          </cell>
          <cell r="C149">
            <v>9.9999999999999978E-2</v>
          </cell>
          <cell r="D149">
            <v>1.3046314464413997</v>
          </cell>
          <cell r="E149">
            <v>0.34150241856308972</v>
          </cell>
          <cell r="F149">
            <v>0.20081929499392481</v>
          </cell>
          <cell r="G149">
            <v>0.66344609427437051</v>
          </cell>
          <cell r="H149">
            <v>0.53474423961502826</v>
          </cell>
          <cell r="I149">
            <v>0.30081974982462845</v>
          </cell>
          <cell r="J149">
            <v>-0.11090288103745255</v>
          </cell>
          <cell r="K149">
            <v>0.03</v>
          </cell>
          <cell r="L149">
            <v>0.43606545036871669</v>
          </cell>
          <cell r="M149">
            <v>-8.3388470972580855E-2</v>
          </cell>
          <cell r="N149">
            <v>0.14986396685910378</v>
          </cell>
          <cell r="O149">
            <v>0.13385281877731325</v>
          </cell>
          <cell r="P149">
            <v>0.716283214363583</v>
          </cell>
          <cell r="Q149">
            <v>0.59666773614127</v>
          </cell>
          <cell r="R149">
            <v>-5.9729762029104551E-2</v>
          </cell>
          <cell r="S149">
            <v>0.53693797411216548</v>
          </cell>
        </row>
        <row r="150">
          <cell r="A150" t="str">
            <v>Mixed Paper (general)</v>
          </cell>
          <cell r="B150">
            <v>2.3832448707931113</v>
          </cell>
          <cell r="C150">
            <v>9.9999999999999978E-2</v>
          </cell>
          <cell r="D150">
            <v>2.1449203837138002</v>
          </cell>
          <cell r="E150">
            <v>0.4010721259623361</v>
          </cell>
          <cell r="F150">
            <v>0.17279232743445969</v>
          </cell>
          <cell r="G150">
            <v>1.0155853557047052</v>
          </cell>
          <cell r="H150">
            <v>0.56593470016626102</v>
          </cell>
          <cell r="I150">
            <v>0.27886318280409289</v>
          </cell>
          <cell r="J150">
            <v>-0.11090288103745255</v>
          </cell>
          <cell r="K150">
            <v>0.03</v>
          </cell>
          <cell r="L150">
            <v>0.66459925007089615</v>
          </cell>
          <cell r="M150">
            <v>-0.14509403322967826</v>
          </cell>
          <cell r="N150">
            <v>0.14986396685910378</v>
          </cell>
          <cell r="O150">
            <v>0.13385281877731325</v>
          </cell>
          <cell r="P150">
            <v>0.716283214363583</v>
          </cell>
          <cell r="Q150">
            <v>0.93342652697474449</v>
          </cell>
          <cell r="R150">
            <v>-0.10392842050673047</v>
          </cell>
          <cell r="S150">
            <v>0.82949810646801403</v>
          </cell>
        </row>
        <row r="151">
          <cell r="A151" t="str">
            <v>Mixed Paper (primarily residential)</v>
          </cell>
          <cell r="B151">
            <v>2.2946736526735392</v>
          </cell>
          <cell r="C151">
            <v>9.9999999999999978E-2</v>
          </cell>
          <cell r="D151">
            <v>2.0652062874061854</v>
          </cell>
          <cell r="E151">
            <v>0.40138855570842658</v>
          </cell>
          <cell r="F151">
            <v>0.17239912997294812</v>
          </cell>
          <cell r="G151">
            <v>0.9780181681119624</v>
          </cell>
          <cell r="H151">
            <v>0.56401750258237759</v>
          </cell>
          <cell r="I151">
            <v>0.28009982781846315</v>
          </cell>
          <cell r="J151">
            <v>-0.11090288103745255</v>
          </cell>
          <cell r="K151">
            <v>0.03</v>
          </cell>
          <cell r="L151">
            <v>0.64273769501342226</v>
          </cell>
          <cell r="M151">
            <v>-0.13922847716933021</v>
          </cell>
          <cell r="N151">
            <v>0.14986396685910378</v>
          </cell>
          <cell r="O151">
            <v>0.13385281877731325</v>
          </cell>
          <cell r="P151">
            <v>0.716283214363583</v>
          </cell>
          <cell r="Q151">
            <v>0.90079271740711808</v>
          </cell>
          <cell r="R151">
            <v>-9.9727021157794568E-2</v>
          </cell>
          <cell r="S151">
            <v>0.80106569624932356</v>
          </cell>
        </row>
        <row r="152">
          <cell r="A152" t="str">
            <v>Mixed Paper (primarily from offices)</v>
          </cell>
          <cell r="B152">
            <v>2.2577848571899501</v>
          </cell>
          <cell r="C152">
            <v>9.9999999999999978E-2</v>
          </cell>
          <cell r="D152">
            <v>2.0320063714709553</v>
          </cell>
          <cell r="E152">
            <v>0.45261175534382347</v>
          </cell>
          <cell r="F152">
            <v>0.14577721018492623</v>
          </cell>
          <cell r="G152">
            <v>0.90675131210958004</v>
          </cell>
          <cell r="H152">
            <v>0.56833986274661097</v>
          </cell>
          <cell r="I152">
            <v>0.27576430805856911</v>
          </cell>
          <cell r="J152">
            <v>-0.11090288103745255</v>
          </cell>
          <cell r="K152">
            <v>0.03</v>
          </cell>
          <cell r="L152">
            <v>0.6226164788881019</v>
          </cell>
          <cell r="M152">
            <v>-0.13804009091891875</v>
          </cell>
          <cell r="N152">
            <v>0.14986396685910378</v>
          </cell>
          <cell r="O152">
            <v>0.13385281877731325</v>
          </cell>
          <cell r="P152">
            <v>0.716283214363583</v>
          </cell>
          <cell r="Q152">
            <v>0.87186548738121117</v>
          </cell>
          <cell r="R152">
            <v>-9.8875800034444364E-2</v>
          </cell>
          <cell r="S152">
            <v>0.77298968734676676</v>
          </cell>
        </row>
        <row r="153">
          <cell r="A153" t="str">
            <v>Mixed Recyclables</v>
          </cell>
          <cell r="B153">
            <v>1.9734014132616131</v>
          </cell>
          <cell r="C153">
            <v>9.9999999999999978E-2</v>
          </cell>
          <cell r="D153">
            <v>1.7760612719354518</v>
          </cell>
          <cell r="E153">
            <v>0.34649311970794272</v>
          </cell>
          <cell r="F153">
            <v>0.14905574226367602</v>
          </cell>
          <cell r="G153">
            <v>0.9954845887066367</v>
          </cell>
          <cell r="H153">
            <v>0.48545473361879021</v>
          </cell>
          <cell r="I153">
            <v>0.24339097026532541</v>
          </cell>
          <cell r="J153">
            <v>-0.11090288103745255</v>
          </cell>
          <cell r="K153">
            <v>0.03</v>
          </cell>
          <cell r="L153">
            <v>0.48030808469670844</v>
          </cell>
          <cell r="M153">
            <v>-0.1030572946800998</v>
          </cell>
          <cell r="N153">
            <v>0.14986396685910378</v>
          </cell>
          <cell r="O153">
            <v>0.13385281877731325</v>
          </cell>
          <cell r="P153">
            <v>0.716283214363583</v>
          </cell>
          <cell r="Q153">
            <v>0.74345262463620432</v>
          </cell>
          <cell r="R153">
            <v>-7.3818210297076872E-2</v>
          </cell>
          <cell r="S153">
            <v>0.6696344143391274</v>
          </cell>
        </row>
        <row r="154">
          <cell r="A154" t="str">
            <v>Mixed Organics</v>
          </cell>
          <cell r="B154">
            <v>1.2328155960009999</v>
          </cell>
          <cell r="C154">
            <v>9.9999999999999978E-2</v>
          </cell>
          <cell r="D154">
            <v>1.1095340364008999</v>
          </cell>
          <cell r="E154">
            <v>0.49567053248309179</v>
          </cell>
          <cell r="F154">
            <v>0.1104277481559176</v>
          </cell>
          <cell r="G154">
            <v>0.4856081829198382</v>
          </cell>
          <cell r="H154">
            <v>0.5019471205517374</v>
          </cell>
          <cell r="I154">
            <v>0.32184869560863771</v>
          </cell>
          <cell r="J154">
            <v>-0.11090288103745255</v>
          </cell>
          <cell r="K154">
            <v>0.03</v>
          </cell>
          <cell r="L154">
            <v>0.39678009149890708</v>
          </cell>
          <cell r="M154">
            <v>-6.6568787974614019E-2</v>
          </cell>
          <cell r="N154">
            <v>0.14986396685910378</v>
          </cell>
          <cell r="O154">
            <v>0.13385281877731325</v>
          </cell>
          <cell r="P154">
            <v>0.716283214363583</v>
          </cell>
          <cell r="Q154">
            <v>0.51548611549969536</v>
          </cell>
          <cell r="R154">
            <v>-4.7682105426744358E-2</v>
          </cell>
          <cell r="S154">
            <v>0.46780401007295103</v>
          </cell>
        </row>
        <row r="155">
          <cell r="A155" t="str">
            <v>Mixed MSW</v>
          </cell>
          <cell r="B155">
            <v>1.6199727500000001</v>
          </cell>
          <cell r="C155">
            <v>9.9999999999999978E-2</v>
          </cell>
          <cell r="D155">
            <v>1.457975475</v>
          </cell>
          <cell r="E155">
            <v>0.44604177326322636</v>
          </cell>
          <cell r="F155">
            <v>0.15276546432284155</v>
          </cell>
          <cell r="G155">
            <v>0.64992134260779422</v>
          </cell>
          <cell r="H155">
            <v>0.59581123408216086</v>
          </cell>
          <cell r="I155">
            <v>0.25792131681502667</v>
          </cell>
          <cell r="J155">
            <v>-0.11090288103745255</v>
          </cell>
          <cell r="K155">
            <v>0.03</v>
          </cell>
          <cell r="L155">
            <v>0.41782550488446002</v>
          </cell>
          <cell r="M155">
            <v>-0.10383193786053665</v>
          </cell>
          <cell r="N155">
            <v>0.14986396685910378</v>
          </cell>
          <cell r="O155">
            <v>0.13385281877731325</v>
          </cell>
          <cell r="P155">
            <v>0.716283214363583</v>
          </cell>
          <cell r="Q155">
            <v>0.60477318764010324</v>
          </cell>
          <cell r="R155">
            <v>-7.437307420434501E-2</v>
          </cell>
          <cell r="S155">
            <v>0.53040011343575821</v>
          </cell>
        </row>
        <row r="156">
          <cell r="A156" t="str">
            <v>Wood Flooring</v>
          </cell>
          <cell r="B156">
            <v>0.18143694800000035</v>
          </cell>
          <cell r="C156">
            <v>9.9999999999999978E-2</v>
          </cell>
          <cell r="D156">
            <v>0.16329325320000032</v>
          </cell>
          <cell r="E156">
            <v>0</v>
          </cell>
          <cell r="F156">
            <v>9.9999999999999978E-2</v>
          </cell>
          <cell r="G156">
            <v>0.16329325320000032</v>
          </cell>
          <cell r="H156">
            <v>0</v>
          </cell>
          <cell r="I156">
            <v>0.9</v>
          </cell>
          <cell r="J156">
            <v>-0.11090288103745255</v>
          </cell>
          <cell r="K156">
            <v>0.03</v>
          </cell>
          <cell r="L156">
            <v>0.16329325320000032</v>
          </cell>
          <cell r="M156">
            <v>0</v>
          </cell>
          <cell r="N156">
            <v>1</v>
          </cell>
          <cell r="O156">
            <v>0</v>
          </cell>
          <cell r="P156">
            <v>0</v>
          </cell>
          <cell r="Q156">
            <v>0.16329325320000032</v>
          </cell>
          <cell r="R156">
            <v>0</v>
          </cell>
          <cell r="S156">
            <v>0.16329325320000032</v>
          </cell>
        </row>
        <row r="157">
          <cell r="A157" t="str">
            <v>Drywall</v>
          </cell>
          <cell r="B157">
            <v>0</v>
          </cell>
          <cell r="C157">
            <v>9.9999999999999978E-2</v>
          </cell>
          <cell r="D157">
            <v>0</v>
          </cell>
          <cell r="E157">
            <v>0</v>
          </cell>
          <cell r="F157">
            <v>9.9999999999999978E-2</v>
          </cell>
          <cell r="G157">
            <v>0</v>
          </cell>
          <cell r="H157">
            <v>0</v>
          </cell>
          <cell r="I157">
            <v>0.9</v>
          </cell>
          <cell r="J157">
            <v>-0.11090288103745255</v>
          </cell>
          <cell r="K157">
            <v>0.03</v>
          </cell>
          <cell r="L157">
            <v>0</v>
          </cell>
          <cell r="M157">
            <v>0</v>
          </cell>
          <cell r="N157">
            <v>1</v>
          </cell>
          <cell r="O157">
            <v>0</v>
          </cell>
          <cell r="P157">
            <v>0</v>
          </cell>
          <cell r="Q157">
            <v>0</v>
          </cell>
          <cell r="R157">
            <v>0</v>
          </cell>
          <cell r="S157">
            <v>0</v>
          </cell>
        </row>
        <row r="160">
          <cell r="H160">
            <v>12</v>
          </cell>
          <cell r="I160">
            <v>14</v>
          </cell>
        </row>
        <row r="162">
          <cell r="F162" t="str">
            <v>Flaring</v>
          </cell>
          <cell r="J162" t="str">
            <v>Electricity Generation</v>
          </cell>
          <cell r="N162" t="str">
            <v>Percentage of CH4 from Each Type of Landfill in the current inventory year</v>
          </cell>
          <cell r="Q162" t="str">
            <v>Net CH4 Generation</v>
          </cell>
          <cell r="R162" t="str">
            <v>Avoided CO2 from Energy Recovery</v>
          </cell>
        </row>
        <row r="164">
          <cell r="D164" t="str">
            <v>(d)</v>
          </cell>
          <cell r="E164" t="str">
            <v>(e)</v>
          </cell>
          <cell r="F164" t="str">
            <v>(f)</v>
          </cell>
          <cell r="G164" t="str">
            <v>(g)</v>
          </cell>
          <cell r="H164" t="str">
            <v>(h)</v>
          </cell>
          <cell r="I164" t="str">
            <v>(i)</v>
          </cell>
          <cell r="J164" t="str">
            <v>(j)</v>
          </cell>
          <cell r="K164" t="str">
            <v>(k)</v>
          </cell>
          <cell r="L164" t="str">
            <v>(l)</v>
          </cell>
          <cell r="M164" t="str">
            <v>(m)</v>
          </cell>
          <cell r="N164" t="str">
            <v>(n)</v>
          </cell>
          <cell r="O164" t="str">
            <v>(o)</v>
          </cell>
          <cell r="P164" t="str">
            <v>(p)</v>
          </cell>
          <cell r="Q164" t="str">
            <v>(q)</v>
          </cell>
          <cell r="R164" t="str">
            <v>( r)</v>
          </cell>
        </row>
        <row r="166">
          <cell r="D166" t="str">
            <v>Net GHG Emissions From CH4 Generation (MTCO2E/Wet Ton)</v>
          </cell>
          <cell r="E166" t="str">
            <v>Percentage of CH4 Flared</v>
          </cell>
          <cell r="F166" t="str">
            <v>Percentage of CH4 Oxidized to CO2</v>
          </cell>
          <cell r="G166" t="str">
            <v>Net GHG Emissions From CH4 Generation (MTCO2E/Wet Ton)</v>
          </cell>
          <cell r="H166" t="str">
            <v>Percentage of CH4 Recovered for Energy</v>
          </cell>
          <cell r="I166" t="str">
            <v>Percentage of CH4 Emitted</v>
          </cell>
          <cell r="J166" t="str">
            <v>Utility CO2 Emissions Avoided per MTCO2E CH4 Combusted (MTCO2E)</v>
          </cell>
          <cell r="K166" t="str">
            <v>Percentage of CH4 Recovered for Electricity Generation Not Utilized Due to System "Down Time"</v>
          </cell>
          <cell r="L166" t="str">
            <v>Net GHG Emissions From CH4 Generation (MTCO2E/Wet Ton)</v>
          </cell>
          <cell r="M166" t="str">
            <v>Utility CO2 Emissions Avoided (MTCO2E/Wet Ton)</v>
          </cell>
          <cell r="N166" t="str">
            <v>Percentage of CH4 From Landfills Without LFG Recovery in Current Inventory Year</v>
          </cell>
          <cell r="O166" t="str">
            <v>Percentage of CH4 From Landfills With LFG Recovery And Flaring in Current Inventory Year</v>
          </cell>
          <cell r="P166" t="str">
            <v>CH4 From Landfills With LFG Recovery and Electricity Generation in Current Inventory Year</v>
          </cell>
          <cell r="Q166" t="str">
            <v>Net CH4 Emissions from Landfilling (MTCO2E/Wet Ton)</v>
          </cell>
          <cell r="R166" t="str">
            <v>Net Avoided CO2 Emissions from Landfilling (MTCO2E/Wet Ton)</v>
          </cell>
        </row>
        <row r="167">
          <cell r="A167" t="str">
            <v>Corrugated Containers</v>
          </cell>
          <cell r="B167">
            <v>2.6232704732575001</v>
          </cell>
          <cell r="C167">
            <v>9.9999999999999978E-2</v>
          </cell>
          <cell r="D167">
            <v>2.3609434259317501</v>
          </cell>
          <cell r="E167">
            <v>0.40267296543751485</v>
          </cell>
          <cell r="F167">
            <v>0.1728574302720686</v>
          </cell>
          <cell r="G167">
            <v>1.1134985797303449</v>
          </cell>
          <cell r="H167">
            <v>0.54423478422190452</v>
          </cell>
          <cell r="I167">
            <v>0.30294525846893461</v>
          </cell>
          <cell r="J167">
            <v>-0.11090288103745255</v>
          </cell>
          <cell r="K167">
            <v>0.03</v>
          </cell>
          <cell r="L167">
            <v>0.79470735155491778</v>
          </cell>
          <cell r="M167">
            <v>-0.15358327686428644</v>
          </cell>
          <cell r="N167">
            <v>0.14986396685910378</v>
          </cell>
          <cell r="O167">
            <v>0.13385281877731325</v>
          </cell>
          <cell r="P167">
            <v>0.716283214363583</v>
          </cell>
          <cell r="Q167">
            <v>1.0721008071916227</v>
          </cell>
          <cell r="R167">
            <v>-0.1100091232248432</v>
          </cell>
          <cell r="S167">
            <v>0.96209168396677947</v>
          </cell>
        </row>
        <row r="168">
          <cell r="A168" t="str">
            <v>Magazines/Third-class Mail</v>
          </cell>
          <cell r="B168">
            <v>1.1946237049113888</v>
          </cell>
          <cell r="C168">
            <v>9.9999999999999978E-2</v>
          </cell>
          <cell r="D168">
            <v>1.07516133442025</v>
          </cell>
          <cell r="E168">
            <v>0.52449126539531088</v>
          </cell>
          <cell r="F168">
            <v>9.6044541532306377E-2</v>
          </cell>
          <cell r="G168">
            <v>0.45331692020934045</v>
          </cell>
          <cell r="H168">
            <v>0.52081469918004963</v>
          </cell>
          <cell r="I168">
            <v>0.3260569185844352</v>
          </cell>
          <cell r="J168">
            <v>-0.11090288103745255</v>
          </cell>
          <cell r="K168">
            <v>0.03</v>
          </cell>
          <cell r="L168">
            <v>0.38951532409132905</v>
          </cell>
          <cell r="M168">
            <v>-6.6931248147139188E-2</v>
          </cell>
          <cell r="N168">
            <v>0.14986396685910378</v>
          </cell>
          <cell r="O168">
            <v>0.13385281877731325</v>
          </cell>
          <cell r="P168">
            <v>0.716283214363583</v>
          </cell>
          <cell r="Q168">
            <v>0.5008089785432267</v>
          </cell>
          <cell r="R168">
            <v>-4.7941729564199467E-2</v>
          </cell>
          <cell r="S168">
            <v>0.45286724897902725</v>
          </cell>
        </row>
        <row r="169">
          <cell r="A169" t="str">
            <v>Newspaper</v>
          </cell>
          <cell r="B169">
            <v>1.0471665853275001</v>
          </cell>
          <cell r="C169">
            <v>9.9999999999999978E-2</v>
          </cell>
          <cell r="D169">
            <v>0.94244992679475004</v>
          </cell>
          <cell r="E169">
            <v>0.46749848818458906</v>
          </cell>
          <cell r="F169">
            <v>0.14235655588358695</v>
          </cell>
          <cell r="G169">
            <v>0.40854676128587608</v>
          </cell>
          <cell r="H169">
            <v>0.58708335592510208</v>
          </cell>
          <cell r="I169">
            <v>0.27566805956284474</v>
          </cell>
          <cell r="J169">
            <v>-0.11090288103745255</v>
          </cell>
          <cell r="K169">
            <v>0.03</v>
          </cell>
          <cell r="L169">
            <v>0.28867038061628203</v>
          </cell>
          <cell r="M169">
            <v>-6.6134809419973975E-2</v>
          </cell>
          <cell r="N169">
            <v>0.14986396685910378</v>
          </cell>
          <cell r="O169">
            <v>0.13385281877731325</v>
          </cell>
          <cell r="P169">
            <v>0.716283214363583</v>
          </cell>
          <cell r="Q169">
            <v>0.4026941683153793</v>
          </cell>
          <cell r="R169">
            <v>-4.7371253872661924E-2</v>
          </cell>
          <cell r="S169">
            <v>0.35532291444271735</v>
          </cell>
        </row>
        <row r="170">
          <cell r="A170" t="str">
            <v>Office Paper</v>
          </cell>
          <cell r="B170">
            <v>3.8859258337900004</v>
          </cell>
          <cell r="C170">
            <v>9.9999999999999978E-2</v>
          </cell>
          <cell r="D170">
            <v>3.4973332504110006</v>
          </cell>
          <cell r="E170">
            <v>0.45104552341030291</v>
          </cell>
          <cell r="F170">
            <v>0.15031033429631302</v>
          </cell>
          <cell r="G170">
            <v>1.549101571026918</v>
          </cell>
          <cell r="H170">
            <v>0.5783390975235071</v>
          </cell>
          <cell r="I170">
            <v>0.28120666286942603</v>
          </cell>
          <cell r="J170">
            <v>-0.11090288103745255</v>
          </cell>
          <cell r="K170">
            <v>0.03</v>
          </cell>
          <cell r="L170">
            <v>1.0927482358781779</v>
          </cell>
          <cell r="M170">
            <v>-0.24176399477152938</v>
          </cell>
          <cell r="N170">
            <v>0.14986396685910378</v>
          </cell>
          <cell r="O170">
            <v>0.13385281877731325</v>
          </cell>
          <cell r="P170">
            <v>0.716283214363583</v>
          </cell>
          <cell r="Q170">
            <v>1.5141930650741093</v>
          </cell>
          <cell r="R170">
            <v>-0.17317149129233153</v>
          </cell>
          <cell r="S170">
            <v>1.3410215737817779</v>
          </cell>
        </row>
        <row r="171">
          <cell r="A171" t="str">
            <v>Phonebooks</v>
          </cell>
          <cell r="B171">
            <v>1.0471665853275001</v>
          </cell>
          <cell r="C171">
            <v>9.9999999999999978E-2</v>
          </cell>
          <cell r="D171">
            <v>0.94244992679475004</v>
          </cell>
          <cell r="E171">
            <v>0.46749848818458906</v>
          </cell>
          <cell r="F171">
            <v>0.14235655588358695</v>
          </cell>
          <cell r="G171">
            <v>0.40854676128587608</v>
          </cell>
          <cell r="H171">
            <v>0.58708335592510208</v>
          </cell>
          <cell r="I171">
            <v>0.27566805956284474</v>
          </cell>
          <cell r="J171">
            <v>-0.11090288103745255</v>
          </cell>
          <cell r="K171">
            <v>0.03</v>
          </cell>
          <cell r="L171">
            <v>0.28867038061628203</v>
          </cell>
          <cell r="M171">
            <v>-6.6134809419973975E-2</v>
          </cell>
          <cell r="N171">
            <v>0.14986396685910378</v>
          </cell>
          <cell r="O171">
            <v>0.13385281877731325</v>
          </cell>
          <cell r="P171">
            <v>0.716283214363583</v>
          </cell>
          <cell r="Q171">
            <v>0.4026941683153793</v>
          </cell>
          <cell r="R171">
            <v>-4.7371253872661924E-2</v>
          </cell>
          <cell r="S171">
            <v>0.35532291444271735</v>
          </cell>
        </row>
        <row r="172">
          <cell r="A172" t="str">
            <v>Textbooks</v>
          </cell>
          <cell r="B172">
            <v>3.8859258337900004</v>
          </cell>
          <cell r="C172">
            <v>9.9999999999999978E-2</v>
          </cell>
          <cell r="D172">
            <v>3.4973332504110006</v>
          </cell>
          <cell r="E172">
            <v>0.45104552341030291</v>
          </cell>
          <cell r="F172">
            <v>0.15031033429631302</v>
          </cell>
          <cell r="G172">
            <v>1.549101571026918</v>
          </cell>
          <cell r="H172">
            <v>0.5783390975235071</v>
          </cell>
          <cell r="I172">
            <v>0.28120666286942603</v>
          </cell>
          <cell r="J172">
            <v>-0.11090288103745255</v>
          </cell>
          <cell r="K172">
            <v>0.03</v>
          </cell>
          <cell r="L172">
            <v>1.0927482358781779</v>
          </cell>
          <cell r="M172">
            <v>-0.24176399477152938</v>
          </cell>
          <cell r="N172">
            <v>0.14986396685910378</v>
          </cell>
          <cell r="O172">
            <v>0.13385281877731325</v>
          </cell>
          <cell r="P172">
            <v>0.716283214363583</v>
          </cell>
          <cell r="Q172">
            <v>1.5141930650741093</v>
          </cell>
          <cell r="R172">
            <v>-0.17317149129233153</v>
          </cell>
          <cell r="S172">
            <v>1.3410215737817779</v>
          </cell>
        </row>
        <row r="173">
          <cell r="A173" t="str">
            <v>Dimensional Lumber</v>
          </cell>
          <cell r="B173">
            <v>0.16645220006249997</v>
          </cell>
          <cell r="C173">
            <v>9.9999999999999978E-2</v>
          </cell>
          <cell r="D173">
            <v>0.14980698005624998</v>
          </cell>
          <cell r="E173">
            <v>0.53309418305398237</v>
          </cell>
          <cell r="F173">
            <v>0.10188824944481446</v>
          </cell>
          <cell r="G173">
            <v>6.0757977172037361E-2</v>
          </cell>
          <cell r="H173">
            <v>0.56722546305056409</v>
          </cell>
          <cell r="I173">
            <v>0.29145645159463085</v>
          </cell>
          <cell r="J173">
            <v>-0.11090288103745255</v>
          </cell>
          <cell r="K173">
            <v>0.03</v>
          </cell>
          <cell r="L173">
            <v>4.8513567590335836E-2</v>
          </cell>
          <cell r="M173">
            <v>-1.0156868290507218E-2</v>
          </cell>
          <cell r="N173">
            <v>0.14986396685910378</v>
          </cell>
          <cell r="O173">
            <v>0.13385281877731325</v>
          </cell>
          <cell r="P173">
            <v>0.716283214363583</v>
          </cell>
          <cell r="Q173">
            <v>6.5332748935947815E-2</v>
          </cell>
          <cell r="R173">
            <v>-7.2751942669920609E-3</v>
          </cell>
          <cell r="S173">
            <v>5.8057554668955756E-2</v>
          </cell>
        </row>
        <row r="174">
          <cell r="A174" t="str">
            <v>Medium-density Fiberboard</v>
          </cell>
          <cell r="B174">
            <v>5.5889059875000008E-2</v>
          </cell>
          <cell r="C174">
            <v>9.9999999999999978E-2</v>
          </cell>
          <cell r="D174">
            <v>5.0300153887500011E-2</v>
          </cell>
          <cell r="E174">
            <v>0.52707246597685908</v>
          </cell>
          <cell r="F174">
            <v>0.10894979313567782</v>
          </cell>
          <cell r="G174">
            <v>2.0342373753626665E-2</v>
          </cell>
          <cell r="H174">
            <v>0.58656894744219246</v>
          </cell>
          <cell r="I174">
            <v>0.27746662878283868</v>
          </cell>
          <cell r="J174">
            <v>-0.11090288103745255</v>
          </cell>
          <cell r="K174">
            <v>0.03</v>
          </cell>
          <cell r="L174">
            <v>1.5507349029358471E-2</v>
          </cell>
          <cell r="M174">
            <v>-3.5266343635612174E-3</v>
          </cell>
          <cell r="N174">
            <v>0.14986396685910378</v>
          </cell>
          <cell r="O174">
            <v>0.13385281877731325</v>
          </cell>
          <cell r="P174">
            <v>0.716283214363583</v>
          </cell>
          <cell r="Q174">
            <v>2.136871847175556E-2</v>
          </cell>
          <cell r="R174">
            <v>-2.5260689978166976E-3</v>
          </cell>
          <cell r="S174">
            <v>1.8842649473938863E-2</v>
          </cell>
        </row>
        <row r="175">
          <cell r="A175" t="str">
            <v>Food Waste</v>
          </cell>
          <cell r="B175">
            <v>1.622706214625282</v>
          </cell>
          <cell r="C175">
            <v>9.9999999999999978E-2</v>
          </cell>
          <cell r="D175">
            <v>1.4604355931627537</v>
          </cell>
          <cell r="E175">
            <v>0.51491877127154373</v>
          </cell>
          <cell r="F175">
            <v>9.5349922483998123E-2</v>
          </cell>
          <cell r="G175">
            <v>0.63241941267691126</v>
          </cell>
          <cell r="H175">
            <v>0.49804740151117877</v>
          </cell>
          <cell r="I175">
            <v>0.34370127277812629</v>
          </cell>
          <cell r="J175">
            <v>-0.11090288103745255</v>
          </cell>
          <cell r="K175">
            <v>0.03</v>
          </cell>
          <cell r="L175">
            <v>0.55772619131168477</v>
          </cell>
          <cell r="M175">
            <v>-8.6941101997722217E-2</v>
          </cell>
          <cell r="N175">
            <v>0.14986396685910378</v>
          </cell>
          <cell r="O175">
            <v>0.13385281877731325</v>
          </cell>
          <cell r="P175">
            <v>0.716283214363583</v>
          </cell>
          <cell r="Q175">
            <v>0.70300770141738811</v>
          </cell>
          <cell r="R175">
            <v>-6.2274451999240595E-2</v>
          </cell>
          <cell r="S175">
            <v>0.64073324941814747</v>
          </cell>
        </row>
        <row r="176">
          <cell r="A176" t="str">
            <v>Food Waste (meat only)</v>
          </cell>
          <cell r="B176">
            <v>1.622706214625282</v>
          </cell>
          <cell r="C176">
            <v>9.9999999999999978E-2</v>
          </cell>
          <cell r="D176">
            <v>1.4604355931627537</v>
          </cell>
          <cell r="E176">
            <v>0.51491877127154373</v>
          </cell>
          <cell r="F176">
            <v>9.5349922483998123E-2</v>
          </cell>
          <cell r="G176">
            <v>0.63241941267691126</v>
          </cell>
          <cell r="H176">
            <v>0.49804740151117877</v>
          </cell>
          <cell r="I176">
            <v>0.34370127277812629</v>
          </cell>
          <cell r="J176">
            <v>-0.11090288103745255</v>
          </cell>
          <cell r="K176">
            <v>0.03</v>
          </cell>
          <cell r="L176">
            <v>0.55772619131168477</v>
          </cell>
          <cell r="M176">
            <v>-8.6941101997722217E-2</v>
          </cell>
          <cell r="N176">
            <v>0.14986396685910378</v>
          </cell>
          <cell r="O176">
            <v>0.13385281877731325</v>
          </cell>
          <cell r="P176">
            <v>0.716283214363583</v>
          </cell>
          <cell r="Q176">
            <v>0.70300770141738811</v>
          </cell>
          <cell r="R176">
            <v>-6.2274451999240595E-2</v>
          </cell>
          <cell r="S176">
            <v>0.64073324941814747</v>
          </cell>
        </row>
        <row r="177">
          <cell r="A177" t="str">
            <v>Food Waste (non-meat)</v>
          </cell>
          <cell r="B177">
            <v>1.622706214625282</v>
          </cell>
          <cell r="C177">
            <v>9.9999999999999978E-2</v>
          </cell>
          <cell r="D177">
            <v>1.4604355931627537</v>
          </cell>
          <cell r="E177">
            <v>0.51491877127154373</v>
          </cell>
          <cell r="F177">
            <v>9.5349922483998123E-2</v>
          </cell>
          <cell r="G177">
            <v>0.63241941267691126</v>
          </cell>
          <cell r="H177">
            <v>0.49804740151117877</v>
          </cell>
          <cell r="I177">
            <v>0.34370127277812629</v>
          </cell>
          <cell r="J177">
            <v>-0.11090288103745255</v>
          </cell>
          <cell r="K177">
            <v>0.03</v>
          </cell>
          <cell r="L177">
            <v>0.55772619131168477</v>
          </cell>
          <cell r="M177">
            <v>-8.6941101997722217E-2</v>
          </cell>
          <cell r="N177">
            <v>0.14986396685910378</v>
          </cell>
          <cell r="O177">
            <v>0.13385281877731325</v>
          </cell>
          <cell r="P177">
            <v>0.716283214363583</v>
          </cell>
          <cell r="Q177">
            <v>0.70300770141738811</v>
          </cell>
          <cell r="R177">
            <v>-6.2274451999240595E-2</v>
          </cell>
          <cell r="S177">
            <v>0.64073324941814747</v>
          </cell>
        </row>
        <row r="178">
          <cell r="A178" t="str">
            <v>Beef</v>
          </cell>
          <cell r="B178">
            <v>1.622706214625282</v>
          </cell>
          <cell r="C178">
            <v>9.9999999999999978E-2</v>
          </cell>
          <cell r="D178">
            <v>1.4604355931627537</v>
          </cell>
          <cell r="E178">
            <v>0.51491877127154373</v>
          </cell>
          <cell r="F178">
            <v>9.5349922483998123E-2</v>
          </cell>
          <cell r="G178">
            <v>0.63241941267691126</v>
          </cell>
          <cell r="H178">
            <v>0.49804740151117877</v>
          </cell>
          <cell r="I178">
            <v>0.34370127277812629</v>
          </cell>
          <cell r="J178">
            <v>-0.11090288103745255</v>
          </cell>
          <cell r="K178">
            <v>0.03</v>
          </cell>
          <cell r="L178">
            <v>0.55772619131168477</v>
          </cell>
          <cell r="M178">
            <v>-8.6941101997722217E-2</v>
          </cell>
          <cell r="N178">
            <v>0.14986396685910378</v>
          </cell>
          <cell r="O178">
            <v>0.13385281877731325</v>
          </cell>
          <cell r="P178">
            <v>0.716283214363583</v>
          </cell>
          <cell r="Q178">
            <v>0.70300770141738811</v>
          </cell>
          <cell r="R178">
            <v>-6.2274451999240595E-2</v>
          </cell>
          <cell r="S178">
            <v>0.64073324941814747</v>
          </cell>
        </row>
        <row r="179">
          <cell r="A179" t="str">
            <v>Poultry</v>
          </cell>
          <cell r="B179">
            <v>1.622706214625282</v>
          </cell>
          <cell r="C179">
            <v>9.9999999999999978E-2</v>
          </cell>
          <cell r="D179">
            <v>1.4604355931627537</v>
          </cell>
          <cell r="E179">
            <v>0.51491877127154373</v>
          </cell>
          <cell r="F179">
            <v>9.5349922483998123E-2</v>
          </cell>
          <cell r="G179">
            <v>0.63241941267691126</v>
          </cell>
          <cell r="H179">
            <v>0.49804740151117877</v>
          </cell>
          <cell r="I179">
            <v>0.34370127277812629</v>
          </cell>
          <cell r="J179">
            <v>-0.11090288103745255</v>
          </cell>
          <cell r="K179">
            <v>0.03</v>
          </cell>
          <cell r="L179">
            <v>0.55772619131168477</v>
          </cell>
          <cell r="M179">
            <v>-8.6941101997722217E-2</v>
          </cell>
          <cell r="N179">
            <v>0.14986396685910378</v>
          </cell>
          <cell r="O179">
            <v>0.13385281877731325</v>
          </cell>
          <cell r="P179">
            <v>0.716283214363583</v>
          </cell>
          <cell r="Q179">
            <v>0.70300770141738811</v>
          </cell>
          <cell r="R179">
            <v>-6.2274451999240595E-2</v>
          </cell>
          <cell r="S179">
            <v>0.64073324941814747</v>
          </cell>
        </row>
        <row r="180">
          <cell r="A180" t="str">
            <v>Grains</v>
          </cell>
          <cell r="B180">
            <v>1.622706214625282</v>
          </cell>
          <cell r="C180">
            <v>9.9999999999999978E-2</v>
          </cell>
          <cell r="D180">
            <v>1.4604355931627537</v>
          </cell>
          <cell r="E180">
            <v>0.51491877127154373</v>
          </cell>
          <cell r="F180">
            <v>9.5349922483998123E-2</v>
          </cell>
          <cell r="G180">
            <v>0.63241941267691126</v>
          </cell>
          <cell r="H180">
            <v>0.49804740151117877</v>
          </cell>
          <cell r="I180">
            <v>0.34370127277812629</v>
          </cell>
          <cell r="J180">
            <v>-0.11090288103745255</v>
          </cell>
          <cell r="K180">
            <v>0.03</v>
          </cell>
          <cell r="L180">
            <v>0.55772619131168477</v>
          </cell>
          <cell r="M180">
            <v>-8.6941101997722217E-2</v>
          </cell>
          <cell r="N180">
            <v>0.14986396685910378</v>
          </cell>
          <cell r="O180">
            <v>0.13385281877731325</v>
          </cell>
          <cell r="P180">
            <v>0.716283214363583</v>
          </cell>
          <cell r="Q180">
            <v>0.70300770141738811</v>
          </cell>
          <cell r="R180">
            <v>-6.2274451999240595E-2</v>
          </cell>
          <cell r="S180">
            <v>0.64073324941814747</v>
          </cell>
        </row>
        <row r="181">
          <cell r="A181" t="str">
            <v>Bread</v>
          </cell>
          <cell r="B181">
            <v>1.622706214625282</v>
          </cell>
          <cell r="C181">
            <v>9.9999999999999978E-2</v>
          </cell>
          <cell r="D181">
            <v>1.4604355931627537</v>
          </cell>
          <cell r="E181">
            <v>0.51491877127154373</v>
          </cell>
          <cell r="F181">
            <v>9.5349922483998123E-2</v>
          </cell>
          <cell r="G181">
            <v>0.63241941267691126</v>
          </cell>
          <cell r="H181">
            <v>0.49804740151117877</v>
          </cell>
          <cell r="I181">
            <v>0.34370127277812629</v>
          </cell>
          <cell r="J181">
            <v>-0.11090288103745255</v>
          </cell>
          <cell r="K181">
            <v>0.03</v>
          </cell>
          <cell r="L181">
            <v>0.55772619131168477</v>
          </cell>
          <cell r="M181">
            <v>-8.6941101997722217E-2</v>
          </cell>
          <cell r="N181">
            <v>0.14986396685910378</v>
          </cell>
          <cell r="O181">
            <v>0.13385281877731325</v>
          </cell>
          <cell r="P181">
            <v>0.716283214363583</v>
          </cell>
          <cell r="Q181">
            <v>0.70300770141738811</v>
          </cell>
          <cell r="R181">
            <v>-6.2274451999240595E-2</v>
          </cell>
          <cell r="S181">
            <v>0.64073324941814747</v>
          </cell>
        </row>
        <row r="182">
          <cell r="A182" t="str">
            <v>Fruits and Vegetables</v>
          </cell>
          <cell r="B182">
            <v>1.622706214625282</v>
          </cell>
          <cell r="C182">
            <v>9.9999999999999978E-2</v>
          </cell>
          <cell r="D182">
            <v>1.4604355931627537</v>
          </cell>
          <cell r="E182">
            <v>0.51491877127154373</v>
          </cell>
          <cell r="F182">
            <v>9.5349922483998123E-2</v>
          </cell>
          <cell r="G182">
            <v>0.63241941267691126</v>
          </cell>
          <cell r="H182">
            <v>0.49804740151117877</v>
          </cell>
          <cell r="I182">
            <v>0.34370127277812629</v>
          </cell>
          <cell r="J182">
            <v>-0.11090288103745255</v>
          </cell>
          <cell r="K182">
            <v>0.03</v>
          </cell>
          <cell r="L182">
            <v>0.55772619131168477</v>
          </cell>
          <cell r="M182">
            <v>-8.6941101997722217E-2</v>
          </cell>
          <cell r="N182">
            <v>0.14986396685910378</v>
          </cell>
          <cell r="O182">
            <v>0.13385281877731325</v>
          </cell>
          <cell r="P182">
            <v>0.716283214363583</v>
          </cell>
          <cell r="Q182">
            <v>0.70300770141738811</v>
          </cell>
          <cell r="R182">
            <v>-6.2274451999240595E-2</v>
          </cell>
          <cell r="S182">
            <v>0.64073324941814747</v>
          </cell>
        </row>
        <row r="183">
          <cell r="A183" t="str">
            <v>Dairy Products</v>
          </cell>
          <cell r="B183">
            <v>1.622706214625282</v>
          </cell>
          <cell r="C183">
            <v>9.9999999999999978E-2</v>
          </cell>
          <cell r="D183">
            <v>1.4604355931627537</v>
          </cell>
          <cell r="E183">
            <v>0.51491877127154373</v>
          </cell>
          <cell r="F183">
            <v>9.5349922483998123E-2</v>
          </cell>
          <cell r="G183">
            <v>0.63241941267691126</v>
          </cell>
          <cell r="H183">
            <v>0.49804740151117877</v>
          </cell>
          <cell r="I183">
            <v>0.34370127277812629</v>
          </cell>
          <cell r="J183">
            <v>-0.11090288103745255</v>
          </cell>
          <cell r="K183">
            <v>0.03</v>
          </cell>
          <cell r="L183">
            <v>0.55772619131168477</v>
          </cell>
          <cell r="M183">
            <v>-8.6941101997722217E-2</v>
          </cell>
          <cell r="N183">
            <v>0.14986396685910378</v>
          </cell>
          <cell r="O183">
            <v>0.13385281877731325</v>
          </cell>
          <cell r="P183">
            <v>0.716283214363583</v>
          </cell>
          <cell r="Q183">
            <v>0.70300770141738811</v>
          </cell>
          <cell r="R183">
            <v>-6.2274451999240595E-2</v>
          </cell>
          <cell r="S183">
            <v>0.64073324941814747</v>
          </cell>
        </row>
        <row r="184">
          <cell r="A184" t="str">
            <v>Yard Trimmings</v>
          </cell>
          <cell r="B184">
            <v>0.81032008938650013</v>
          </cell>
          <cell r="C184">
            <v>9.9999999999999978E-2</v>
          </cell>
          <cell r="D184">
            <v>0.7292880804478501</v>
          </cell>
          <cell r="E184">
            <v>0.44006980686089409</v>
          </cell>
          <cell r="F184">
            <v>0.12074240001617262</v>
          </cell>
          <cell r="G184">
            <v>0.35588269178083498</v>
          </cell>
          <cell r="H184">
            <v>0.44303052142409333</v>
          </cell>
          <cell r="I184">
            <v>0.3876629542352476</v>
          </cell>
          <cell r="J184">
            <v>-0.11090288103745255</v>
          </cell>
          <cell r="K184">
            <v>0.03</v>
          </cell>
          <cell r="L184">
            <v>0.31413107972774057</v>
          </cell>
          <cell r="M184">
            <v>-3.8619337160837083E-2</v>
          </cell>
          <cell r="N184">
            <v>0.14986396685910378</v>
          </cell>
          <cell r="O184">
            <v>0.13385281877731325</v>
          </cell>
          <cell r="P184">
            <v>0.716283214363583</v>
          </cell>
          <cell r="Q184">
            <v>0.38193672568678749</v>
          </cell>
          <cell r="R184">
            <v>-2.7662382958155356E-2</v>
          </cell>
          <cell r="S184">
            <v>0.35427434272863212</v>
          </cell>
        </row>
        <row r="185">
          <cell r="A185" t="str">
            <v>Grass</v>
          </cell>
          <cell r="B185">
            <v>0.5688048319800002</v>
          </cell>
          <cell r="C185">
            <v>9.9999999999999978E-2</v>
          </cell>
          <cell r="D185">
            <v>0.51192434878200022</v>
          </cell>
          <cell r="E185">
            <v>0.44483485402651618</v>
          </cell>
          <cell r="F185">
            <v>9.9624087004163947E-2</v>
          </cell>
          <cell r="G185">
            <v>0.25911395550703542</v>
          </cell>
          <cell r="H185">
            <v>0.39190232757199878</v>
          </cell>
          <cell r="I185">
            <v>0.43281864165617023</v>
          </cell>
          <cell r="J185">
            <v>-0.11090288103745255</v>
          </cell>
          <cell r="K185">
            <v>0.03</v>
          </cell>
          <cell r="L185">
            <v>0.24618933474504984</v>
          </cell>
          <cell r="M185">
            <v>-2.3980359116353763E-2</v>
          </cell>
          <cell r="N185">
            <v>0.14986396685910378</v>
          </cell>
          <cell r="O185">
            <v>0.13385281877731325</v>
          </cell>
          <cell r="P185">
            <v>0.716283214363583</v>
          </cell>
          <cell r="Q185">
            <v>0.28774343500260641</v>
          </cell>
          <cell r="R185">
            <v>-1.7176728709454924E-2</v>
          </cell>
          <cell r="S185">
            <v>0.27056670629315149</v>
          </cell>
        </row>
        <row r="186">
          <cell r="A186" t="str">
            <v>Leaves</v>
          </cell>
          <cell r="B186">
            <v>0.65408019754000024</v>
          </cell>
          <cell r="C186">
            <v>9.9999999999999978E-2</v>
          </cell>
          <cell r="D186">
            <v>0.58867217778600023</v>
          </cell>
          <cell r="E186">
            <v>0.50191654915418682</v>
          </cell>
          <cell r="F186">
            <v>9.5469147696707474E-2</v>
          </cell>
          <cell r="G186">
            <v>0.26334204293619662</v>
          </cell>
          <cell r="H186">
            <v>0.47333282228169116</v>
          </cell>
          <cell r="I186">
            <v>0.36341046101538427</v>
          </cell>
          <cell r="J186">
            <v>-0.11090288103745255</v>
          </cell>
          <cell r="K186">
            <v>0.03</v>
          </cell>
          <cell r="L186">
            <v>0.2376995861290451</v>
          </cell>
          <cell r="M186">
            <v>-3.3305210614444233E-2</v>
          </cell>
          <cell r="N186">
            <v>0.14986396685910378</v>
          </cell>
          <cell r="O186">
            <v>0.13385281877731325</v>
          </cell>
          <cell r="P186">
            <v>0.716283214363583</v>
          </cell>
          <cell r="Q186">
            <v>0.29373004609758951</v>
          </cell>
          <cell r="R186">
            <v>-2.385596331397024E-2</v>
          </cell>
          <cell r="S186">
            <v>0.2698740827836193</v>
          </cell>
        </row>
        <row r="187">
          <cell r="A187" t="str">
            <v>Branches</v>
          </cell>
          <cell r="B187">
            <v>1.4495904960459998</v>
          </cell>
          <cell r="C187">
            <v>9.9999999999999978E-2</v>
          </cell>
          <cell r="D187">
            <v>1.3046314464413997</v>
          </cell>
          <cell r="E187">
            <v>0.36869297023635705</v>
          </cell>
          <cell r="F187">
            <v>0.18825227835965511</v>
          </cell>
          <cell r="G187">
            <v>0.64224795686324387</v>
          </cell>
          <cell r="H187">
            <v>0.5149846082706846</v>
          </cell>
          <cell r="I187">
            <v>0.32160407261326568</v>
          </cell>
          <cell r="J187">
            <v>-0.11090288103745255</v>
          </cell>
          <cell r="K187">
            <v>0.03</v>
          </cell>
          <cell r="L187">
            <v>0.46619420714987753</v>
          </cell>
          <cell r="M187">
            <v>-8.0307137275610285E-2</v>
          </cell>
          <cell r="N187">
            <v>0.14986396685910378</v>
          </cell>
          <cell r="O187">
            <v>0.13385281877731325</v>
          </cell>
          <cell r="P187">
            <v>0.716283214363583</v>
          </cell>
          <cell r="Q187">
            <v>0.61541102844795037</v>
          </cell>
          <cell r="R187">
            <v>-5.7522654424111648E-2</v>
          </cell>
          <cell r="S187">
            <v>0.55788837402383873</v>
          </cell>
        </row>
        <row r="188">
          <cell r="A188" t="str">
            <v>Mixed Paper (general)</v>
          </cell>
          <cell r="B188">
            <v>2.3832448707931113</v>
          </cell>
          <cell r="C188">
            <v>9.9999999999999978E-2</v>
          </cell>
          <cell r="D188">
            <v>2.1449203837138002</v>
          </cell>
          <cell r="E188">
            <v>0.43765106648799396</v>
          </cell>
          <cell r="F188">
            <v>0.15488277012450091</v>
          </cell>
          <cell r="G188">
            <v>0.97109164391501934</v>
          </cell>
          <cell r="H188">
            <v>0.55946569728764406</v>
          </cell>
          <cell r="I188">
            <v>0.29389994442081135</v>
          </cell>
          <cell r="J188">
            <v>-0.11090288103745255</v>
          </cell>
          <cell r="K188">
            <v>0.03</v>
          </cell>
          <cell r="L188">
            <v>0.70043553506727918</v>
          </cell>
          <cell r="M188">
            <v>-0.14343551376028155</v>
          </cell>
          <cell r="N188">
            <v>0.14986396685910378</v>
          </cell>
          <cell r="O188">
            <v>0.13385281877731325</v>
          </cell>
          <cell r="P188">
            <v>0.716283214363583</v>
          </cell>
          <cell r="Q188">
            <v>0.95313984764188842</v>
          </cell>
          <cell r="R188">
            <v>-0.10274045085010641</v>
          </cell>
          <cell r="S188">
            <v>0.850399396791782</v>
          </cell>
        </row>
        <row r="189">
          <cell r="A189" t="str">
            <v>Mixed Paper (primarily residential)</v>
          </cell>
          <cell r="B189">
            <v>2.2946736526735392</v>
          </cell>
          <cell r="C189">
            <v>9.9999999999999978E-2</v>
          </cell>
          <cell r="D189">
            <v>2.0652062874061854</v>
          </cell>
          <cell r="E189">
            <v>0.43653682378131192</v>
          </cell>
          <cell r="F189">
            <v>0.15500434685213582</v>
          </cell>
          <cell r="G189">
            <v>0.93727971394930443</v>
          </cell>
          <cell r="H189">
            <v>0.55652255107167892</v>
          </cell>
          <cell r="I189">
            <v>0.29593926534815285</v>
          </cell>
          <cell r="J189">
            <v>-0.11090288103745255</v>
          </cell>
          <cell r="K189">
            <v>0.03</v>
          </cell>
          <cell r="L189">
            <v>0.67908403498596959</v>
          </cell>
          <cell r="M189">
            <v>-0.13737833833407279</v>
          </cell>
          <cell r="N189">
            <v>0.14986396685910378</v>
          </cell>
          <cell r="O189">
            <v>0.13385281877731325</v>
          </cell>
          <cell r="P189">
            <v>0.716283214363583</v>
          </cell>
          <cell r="Q189">
            <v>0.9213740337107037</v>
          </cell>
          <cell r="R189">
            <v>-9.8401797765857488E-2</v>
          </cell>
          <cell r="S189">
            <v>0.82297223594484625</v>
          </cell>
        </row>
        <row r="190">
          <cell r="A190" t="str">
            <v>Mixed Paper (primarily from offices)</v>
          </cell>
          <cell r="B190">
            <v>2.2577848571899501</v>
          </cell>
          <cell r="C190">
            <v>9.9999999999999978E-2</v>
          </cell>
          <cell r="D190">
            <v>2.0320063714709553</v>
          </cell>
          <cell r="E190">
            <v>0.47852248522886648</v>
          </cell>
          <cell r="F190">
            <v>0.13023171023338592</v>
          </cell>
          <cell r="G190">
            <v>0.88334885292442544</v>
          </cell>
          <cell r="H190">
            <v>0.55776139271911718</v>
          </cell>
          <cell r="I190">
            <v>0.29727657801242269</v>
          </cell>
          <cell r="J190">
            <v>-0.11090288103745255</v>
          </cell>
          <cell r="K190">
            <v>0.03</v>
          </cell>
          <cell r="L190">
            <v>0.67118655623369483</v>
          </cell>
          <cell r="M190">
            <v>-0.13547076038257144</v>
          </cell>
          <cell r="N190">
            <v>0.14986396685910378</v>
          </cell>
          <cell r="O190">
            <v>0.13385281877731325</v>
          </cell>
          <cell r="P190">
            <v>0.716283214363583</v>
          </cell>
          <cell r="Q190">
            <v>0.90352293337594625</v>
          </cell>
          <cell r="R190">
            <v>-9.7035431699107014E-2</v>
          </cell>
          <cell r="S190">
            <v>0.80648750167683925</v>
          </cell>
        </row>
        <row r="191">
          <cell r="A191" t="str">
            <v>Mixed Recyclables</v>
          </cell>
          <cell r="B191">
            <v>1.9734014132616131</v>
          </cell>
          <cell r="C191">
            <v>9.9999999999999978E-2</v>
          </cell>
          <cell r="D191">
            <v>1.7760612719354518</v>
          </cell>
          <cell r="E191">
            <v>0.37518291823158478</v>
          </cell>
          <cell r="F191">
            <v>0.13468935240049107</v>
          </cell>
          <cell r="G191">
            <v>0.96721875381336697</v>
          </cell>
          <cell r="H191">
            <v>0.47745950839909551</v>
          </cell>
          <cell r="I191">
            <v>0.25812155660005315</v>
          </cell>
          <cell r="J191">
            <v>-0.11090288103745255</v>
          </cell>
          <cell r="K191">
            <v>0.03</v>
          </cell>
          <cell r="L191">
            <v>0.5093774445878323</v>
          </cell>
          <cell r="M191">
            <v>-0.10135998651841467</v>
          </cell>
          <cell r="N191">
            <v>0.14986396685910378</v>
          </cell>
          <cell r="O191">
            <v>0.13385281877731325</v>
          </cell>
          <cell r="P191">
            <v>0.716283214363583</v>
          </cell>
          <cell r="Q191">
            <v>0.76049105750295198</v>
          </cell>
          <cell r="R191">
            <v>-7.2602456951259497E-2</v>
          </cell>
          <cell r="S191">
            <v>0.68788860055169243</v>
          </cell>
        </row>
        <row r="192">
          <cell r="A192" t="str">
            <v>Mixed Organics</v>
          </cell>
          <cell r="B192">
            <v>1.2328155960009999</v>
          </cell>
          <cell r="C192">
            <v>9.9999999999999978E-2</v>
          </cell>
          <cell r="D192">
            <v>1.1095340364008999</v>
          </cell>
          <cell r="E192">
            <v>0.4789963101033678</v>
          </cell>
          <cell r="F192">
            <v>0.10753660128838162</v>
          </cell>
          <cell r="G192">
            <v>0.50972867526937859</v>
          </cell>
          <cell r="H192">
            <v>0.47164300494959688</v>
          </cell>
          <cell r="I192">
            <v>0.36479991866408684</v>
          </cell>
          <cell r="J192">
            <v>-0.11090288103745255</v>
          </cell>
          <cell r="K192">
            <v>0.03</v>
          </cell>
          <cell r="L192">
            <v>0.4497310291489825</v>
          </cell>
          <cell r="M192">
            <v>-6.2549822303370251E-2</v>
          </cell>
          <cell r="N192">
            <v>0.14986396685910378</v>
          </cell>
          <cell r="O192">
            <v>0.13385281877731325</v>
          </cell>
          <cell r="P192">
            <v>0.716283214363583</v>
          </cell>
          <cell r="Q192">
            <v>0.55664257921453963</v>
          </cell>
          <cell r="R192">
            <v>-4.4803387777328979E-2</v>
          </cell>
          <cell r="S192">
            <v>0.51183919143721068</v>
          </cell>
        </row>
        <row r="193">
          <cell r="A193" t="str">
            <v>Mixed MSW</v>
          </cell>
          <cell r="B193">
            <v>1.6199727500000001</v>
          </cell>
          <cell r="C193">
            <v>9.9999999999999978E-2</v>
          </cell>
          <cell r="D193">
            <v>1.457975475</v>
          </cell>
          <cell r="E193">
            <v>0.48997961033583431</v>
          </cell>
          <cell r="F193">
            <v>0.13105125576821594</v>
          </cell>
          <cell r="G193">
            <v>0.61391967000254</v>
          </cell>
          <cell r="H193">
            <v>0.59535015333470209</v>
          </cell>
          <cell r="I193">
            <v>0.27053692907815391</v>
          </cell>
          <cell r="J193">
            <v>-0.11090288103745255</v>
          </cell>
          <cell r="K193">
            <v>0.03</v>
          </cell>
          <cell r="L193">
            <v>0.43826245297529198</v>
          </cell>
          <cell r="M193">
            <v>-0.10375158538515478</v>
          </cell>
          <cell r="N193">
            <v>0.14986396685910378</v>
          </cell>
          <cell r="O193">
            <v>0.13385281877731325</v>
          </cell>
          <cell r="P193">
            <v>0.716283214363583</v>
          </cell>
          <cell r="Q193">
            <v>0.6145929051514748</v>
          </cell>
          <cell r="R193">
            <v>-7.4315519074996408E-2</v>
          </cell>
          <cell r="S193">
            <v>0.54027738607647835</v>
          </cell>
        </row>
        <row r="194">
          <cell r="A194" t="str">
            <v>Wood Flooring</v>
          </cell>
          <cell r="B194">
            <v>0.18143694800000035</v>
          </cell>
          <cell r="C194">
            <v>9.9999999999999978E-2</v>
          </cell>
          <cell r="D194">
            <v>0.16329325320000032</v>
          </cell>
          <cell r="E194">
            <v>0</v>
          </cell>
          <cell r="F194">
            <v>9.9999999999999978E-2</v>
          </cell>
          <cell r="G194">
            <v>0.16329325320000032</v>
          </cell>
          <cell r="H194">
            <v>0</v>
          </cell>
          <cell r="I194">
            <v>0.9</v>
          </cell>
          <cell r="J194">
            <v>-0.11090288103745255</v>
          </cell>
          <cell r="K194">
            <v>0.03</v>
          </cell>
          <cell r="L194">
            <v>0.16329325320000032</v>
          </cell>
          <cell r="M194">
            <v>0</v>
          </cell>
          <cell r="N194">
            <v>1</v>
          </cell>
          <cell r="O194">
            <v>0</v>
          </cell>
          <cell r="P194">
            <v>0</v>
          </cell>
          <cell r="Q194">
            <v>0.16329325320000032</v>
          </cell>
          <cell r="R194">
            <v>0</v>
          </cell>
          <cell r="S194">
            <v>0.16329325320000032</v>
          </cell>
        </row>
        <row r="195">
          <cell r="A195" t="str">
            <v>Drywall</v>
          </cell>
          <cell r="B195">
            <v>0</v>
          </cell>
          <cell r="C195">
            <v>9.9999999999999978E-2</v>
          </cell>
          <cell r="D195">
            <v>0</v>
          </cell>
          <cell r="E195">
            <v>0</v>
          </cell>
          <cell r="F195">
            <v>9.9999999999999978E-2</v>
          </cell>
          <cell r="G195">
            <v>0</v>
          </cell>
          <cell r="H195">
            <v>0</v>
          </cell>
          <cell r="I195">
            <v>0.9</v>
          </cell>
          <cell r="J195">
            <v>-0.11090288103745255</v>
          </cell>
          <cell r="K195">
            <v>0.03</v>
          </cell>
          <cell r="L195">
            <v>0</v>
          </cell>
          <cell r="M195">
            <v>0</v>
          </cell>
          <cell r="N195">
            <v>1</v>
          </cell>
          <cell r="O195">
            <v>0</v>
          </cell>
          <cell r="P195">
            <v>0</v>
          </cell>
          <cell r="Q195">
            <v>0</v>
          </cell>
          <cell r="R195">
            <v>0</v>
          </cell>
          <cell r="S195">
            <v>0</v>
          </cell>
        </row>
        <row r="198">
          <cell r="H198">
            <v>16</v>
          </cell>
          <cell r="I198">
            <v>18</v>
          </cell>
        </row>
        <row r="200">
          <cell r="J200" t="str">
            <v>Electricity Generation</v>
          </cell>
          <cell r="N200" t="str">
            <v>Percentage of CH4 from Each Type of Landfill in the current inventory year</v>
          </cell>
          <cell r="Q200" t="str">
            <v>Net CH4 Generation</v>
          </cell>
          <cell r="R200" t="str">
            <v>Avoided CO2 from Energy Recovery</v>
          </cell>
        </row>
        <row r="202">
          <cell r="H202" t="str">
            <v>(h)</v>
          </cell>
          <cell r="I202" t="str">
            <v>(i)</v>
          </cell>
          <cell r="J202" t="str">
            <v>(j)</v>
          </cell>
          <cell r="K202" t="str">
            <v>(k)</v>
          </cell>
          <cell r="L202" t="str">
            <v>(l)</v>
          </cell>
          <cell r="M202" t="str">
            <v>(m)</v>
          </cell>
          <cell r="N202" t="str">
            <v>(n)</v>
          </cell>
          <cell r="O202" t="str">
            <v>(o)</v>
          </cell>
          <cell r="P202" t="str">
            <v>(p)</v>
          </cell>
          <cell r="Q202" t="str">
            <v>(q)</v>
          </cell>
          <cell r="R202" t="str">
            <v>( r)</v>
          </cell>
        </row>
        <row r="204">
          <cell r="H204" t="str">
            <v>Percentage of CH4 Recovered for Energy</v>
          </cell>
          <cell r="I204" t="str">
            <v>Percentage of CH4 Emitted</v>
          </cell>
          <cell r="J204" t="str">
            <v>Utility CO2 Emissions Avoided per MTCO2E CH4 Combusted (MTCO2E)</v>
          </cell>
          <cell r="K204" t="str">
            <v>Percentage of CH4 Recovered for Electricity Generation Not Utilized Due to System "Down Time"</v>
          </cell>
          <cell r="L204" t="str">
            <v>Net GHG Emissions From CH4 Generation (MTCO2E/Wet Ton)</v>
          </cell>
          <cell r="M204" t="str">
            <v>Utility CO2 Emissions Avoided (MTCO2E/Wet Ton)</v>
          </cell>
          <cell r="N204" t="str">
            <v>Percentage of CH4 From Landfills Without LFG Recovery in Current Inventory Year</v>
          </cell>
          <cell r="O204" t="str">
            <v>Percentage of CH4 From Landfills With LFG Recovery And Flaring in Current Inventory Year</v>
          </cell>
          <cell r="P204" t="str">
            <v>CH4 From Landfills With LFG Recovery and Electricity Generation in Current Inventory Year</v>
          </cell>
          <cell r="Q204" t="str">
            <v>Net CH4 Emissions from Landfilling (MTCO2E/Wet Ton)</v>
          </cell>
          <cell r="R204" t="str">
            <v>Net Avoided CO2 Emissions from Landfilling (MTCO2E/Wet Ton)</v>
          </cell>
        </row>
        <row r="205">
          <cell r="A205" t="str">
            <v>Corrugated Containers</v>
          </cell>
          <cell r="B205">
            <v>2.6232704732575001</v>
          </cell>
          <cell r="C205">
            <v>9.9999999999999978E-2</v>
          </cell>
          <cell r="D205">
            <v>2.3609434259317501</v>
          </cell>
          <cell r="E205">
            <v>0.47312601007836541</v>
          </cell>
          <cell r="F205">
            <v>0.13514215443272723</v>
          </cell>
          <cell r="G205">
            <v>1.027618557473015</v>
          </cell>
          <cell r="H205">
            <v>0.55298120143250762</v>
          </cell>
          <cell r="I205">
            <v>0.31313770070027813</v>
          </cell>
          <cell r="J205">
            <v>-0.11090288103745255</v>
          </cell>
          <cell r="K205">
            <v>0.03</v>
          </cell>
          <cell r="L205">
            <v>0.821444884310784</v>
          </cell>
          <cell r="M205">
            <v>-0.15605151934891034</v>
          </cell>
          <cell r="N205">
            <v>0.14986396685910378</v>
          </cell>
          <cell r="O205">
            <v>0.13385281877731325</v>
          </cell>
          <cell r="P205">
            <v>0.716283214363583</v>
          </cell>
          <cell r="Q205">
            <v>1.0797571700423443</v>
          </cell>
          <cell r="R205">
            <v>-0.11177708388555836</v>
          </cell>
          <cell r="S205">
            <v>0.96798008615678588</v>
          </cell>
        </row>
        <row r="206">
          <cell r="A206" t="str">
            <v>Magazines/Third-class Mail</v>
          </cell>
          <cell r="B206">
            <v>1.1946237049113888</v>
          </cell>
          <cell r="C206">
            <v>9.9999999999999978E-2</v>
          </cell>
          <cell r="D206">
            <v>1.07516133442025</v>
          </cell>
          <cell r="E206">
            <v>0.46423492694082624</v>
          </cell>
          <cell r="F206">
            <v>9.8262657601661432E-2</v>
          </cell>
          <cell r="G206">
            <v>0.52265075646153503</v>
          </cell>
          <cell r="H206">
            <v>0.44786730707241384</v>
          </cell>
          <cell r="I206">
            <v>0.41026166386825041</v>
          </cell>
          <cell r="J206">
            <v>-0.11090288103745255</v>
          </cell>
          <cell r="K206">
            <v>0.03</v>
          </cell>
          <cell r="L206">
            <v>0.49010830887340018</v>
          </cell>
          <cell r="M206">
            <v>-5.7556589539136026E-2</v>
          </cell>
          <cell r="N206">
            <v>0.14986396685910378</v>
          </cell>
          <cell r="O206">
            <v>0.13385281877731325</v>
          </cell>
          <cell r="P206">
            <v>0.716283214363583</v>
          </cell>
          <cell r="Q206">
            <v>0.58214257444435646</v>
          </cell>
          <cell r="R206">
            <v>-4.1226818962897732E-2</v>
          </cell>
          <cell r="S206">
            <v>0.54091575548145876</v>
          </cell>
        </row>
        <row r="207">
          <cell r="A207" t="str">
            <v>Newspaper</v>
          </cell>
          <cell r="B207">
            <v>1.0471665853275001</v>
          </cell>
          <cell r="C207">
            <v>9.9999999999999978E-2</v>
          </cell>
          <cell r="D207">
            <v>0.94244992679475004</v>
          </cell>
          <cell r="E207">
            <v>0.51509381706276358</v>
          </cell>
          <cell r="F207">
            <v>0.11114946591413948</v>
          </cell>
          <cell r="G207">
            <v>0.39138554510829315</v>
          </cell>
          <cell r="H207">
            <v>0.57369179778588875</v>
          </cell>
          <cell r="I207">
            <v>0.30459320014632429</v>
          </cell>
          <cell r="J207">
            <v>-0.11090288103745255</v>
          </cell>
          <cell r="K207">
            <v>0.03</v>
          </cell>
          <cell r="L207">
            <v>0.31895982131120221</v>
          </cell>
          <cell r="M207">
            <v>-6.4626253375189152E-2</v>
          </cell>
          <cell r="N207">
            <v>0.14986396685910378</v>
          </cell>
          <cell r="O207">
            <v>0.13385281877731325</v>
          </cell>
          <cell r="P207">
            <v>0.716283214363583</v>
          </cell>
          <cell r="Q207">
            <v>0.42209290909859548</v>
          </cell>
          <cell r="R207">
            <v>-4.6290700499855841E-2</v>
          </cell>
          <cell r="S207">
            <v>0.37580220859873964</v>
          </cell>
        </row>
        <row r="208">
          <cell r="A208" t="str">
            <v>Office Paper</v>
          </cell>
          <cell r="B208">
            <v>3.8859258337900004</v>
          </cell>
          <cell r="C208">
            <v>9.9999999999999978E-2</v>
          </cell>
          <cell r="D208">
            <v>3.4973332504110006</v>
          </cell>
          <cell r="E208">
            <v>0.50754320227381944</v>
          </cell>
          <cell r="F208">
            <v>0.11625882604478985</v>
          </cell>
          <cell r="G208">
            <v>1.461877416776115</v>
          </cell>
          <cell r="H208">
            <v>0.57299025000462422</v>
          </cell>
          <cell r="I208">
            <v>0.30371269338761103</v>
          </cell>
          <cell r="J208">
            <v>-0.11090288103745255</v>
          </cell>
          <cell r="K208">
            <v>0.03</v>
          </cell>
          <cell r="L208">
            <v>1.1802050012848591</v>
          </cell>
          <cell r="M208">
            <v>-0.2395280077024789</v>
          </cell>
          <cell r="N208">
            <v>0.14986396685910378</v>
          </cell>
          <cell r="O208">
            <v>0.13385281877731325</v>
          </cell>
          <cell r="P208">
            <v>0.716283214363583</v>
          </cell>
          <cell r="Q208">
            <v>1.5651616792055116</v>
          </cell>
          <cell r="R208">
            <v>-0.17156989128723665</v>
          </cell>
          <cell r="S208">
            <v>1.3935917879182749</v>
          </cell>
        </row>
        <row r="209">
          <cell r="A209" t="str">
            <v>Phonebooks</v>
          </cell>
          <cell r="B209">
            <v>1.0471665853275001</v>
          </cell>
          <cell r="C209">
            <v>9.9999999999999978E-2</v>
          </cell>
          <cell r="D209">
            <v>0.94244992679475004</v>
          </cell>
          <cell r="E209">
            <v>0.51509381706276358</v>
          </cell>
          <cell r="F209">
            <v>0.11114946591413948</v>
          </cell>
          <cell r="G209">
            <v>0.39138554510829315</v>
          </cell>
          <cell r="H209">
            <v>0.57369179778588875</v>
          </cell>
          <cell r="I209">
            <v>0.30459320014632429</v>
          </cell>
          <cell r="J209">
            <v>-0.11090288103745255</v>
          </cell>
          <cell r="K209">
            <v>0.03</v>
          </cell>
          <cell r="L209">
            <v>0.31895982131120221</v>
          </cell>
          <cell r="M209">
            <v>-6.4626253375189152E-2</v>
          </cell>
          <cell r="N209">
            <v>0.14986396685910378</v>
          </cell>
          <cell r="O209">
            <v>0.13385281877731325</v>
          </cell>
          <cell r="P209">
            <v>0.716283214363583</v>
          </cell>
          <cell r="Q209">
            <v>0.42209290909859548</v>
          </cell>
          <cell r="R209">
            <v>-4.6290700499855841E-2</v>
          </cell>
          <cell r="S209">
            <v>0.37580220859873964</v>
          </cell>
        </row>
        <row r="210">
          <cell r="A210" t="str">
            <v>Textbooks</v>
          </cell>
          <cell r="B210">
            <v>3.8859258337900004</v>
          </cell>
          <cell r="C210">
            <v>9.9999999999999978E-2</v>
          </cell>
          <cell r="D210">
            <v>3.4973332504110006</v>
          </cell>
          <cell r="E210">
            <v>0.50754320227381944</v>
          </cell>
          <cell r="F210">
            <v>0.11625882604478985</v>
          </cell>
          <cell r="G210">
            <v>1.461877416776115</v>
          </cell>
          <cell r="H210">
            <v>0.57299025000462422</v>
          </cell>
          <cell r="I210">
            <v>0.30371269338761103</v>
          </cell>
          <cell r="J210">
            <v>-0.11090288103745255</v>
          </cell>
          <cell r="K210">
            <v>0.03</v>
          </cell>
          <cell r="L210">
            <v>1.1802050012848591</v>
          </cell>
          <cell r="M210">
            <v>-0.2395280077024789</v>
          </cell>
          <cell r="N210">
            <v>0.14986396685910378</v>
          </cell>
          <cell r="O210">
            <v>0.13385281877731325</v>
          </cell>
          <cell r="P210">
            <v>0.716283214363583</v>
          </cell>
          <cell r="Q210">
            <v>1.5651616792055116</v>
          </cell>
          <cell r="R210">
            <v>-0.17156989128723665</v>
          </cell>
          <cell r="S210">
            <v>1.3935917879182749</v>
          </cell>
        </row>
        <row r="211">
          <cell r="A211" t="str">
            <v>Dimensional Lumber</v>
          </cell>
          <cell r="B211">
            <v>0.16645220006249997</v>
          </cell>
          <cell r="C211">
            <v>9.9999999999999978E-2</v>
          </cell>
          <cell r="D211">
            <v>0.14980698005624998</v>
          </cell>
          <cell r="E211">
            <v>0.50003750541871994</v>
          </cell>
          <cell r="F211">
            <v>9.6456614719177172E-2</v>
          </cell>
          <cell r="G211">
            <v>6.716444144120183E-2</v>
          </cell>
          <cell r="H211">
            <v>0.50249215937381153</v>
          </cell>
          <cell r="I211">
            <v>0.36477745134262896</v>
          </cell>
          <cell r="J211">
            <v>-0.11090288103745255</v>
          </cell>
          <cell r="K211">
            <v>0.03</v>
          </cell>
          <cell r="L211">
            <v>6.0718009309172122E-2</v>
          </cell>
          <cell r="M211">
            <v>-8.9977390160240461E-3</v>
          </cell>
          <cell r="N211">
            <v>0.14986396685910378</v>
          </cell>
          <cell r="O211">
            <v>0.13385281877731325</v>
          </cell>
          <cell r="P211">
            <v>0.716283214363583</v>
          </cell>
          <cell r="Q211">
            <v>7.4932108980652695E-2</v>
          </cell>
          <cell r="R211">
            <v>-6.4449294244023261E-3</v>
          </cell>
          <cell r="S211">
            <v>6.8487179556250374E-2</v>
          </cell>
        </row>
        <row r="212">
          <cell r="A212" t="str">
            <v>Medium-density Fiberboard</v>
          </cell>
          <cell r="B212">
            <v>5.5889059875000008E-2</v>
          </cell>
          <cell r="C212">
            <v>9.9999999999999978E-2</v>
          </cell>
          <cell r="D212">
            <v>5.0300153887500011E-2</v>
          </cell>
          <cell r="E212">
            <v>0.51467954306345909</v>
          </cell>
          <cell r="F212">
            <v>9.7222123393942525E-2</v>
          </cell>
          <cell r="G212">
            <v>2.1690451000750004E-2</v>
          </cell>
          <cell r="H212">
            <v>0.53137817882377869</v>
          </cell>
          <cell r="I212">
            <v>0.34122678486556568</v>
          </cell>
          <cell r="J212">
            <v>-0.11090288103745255</v>
          </cell>
          <cell r="K212">
            <v>0.03</v>
          </cell>
          <cell r="L212">
            <v>1.9070844210305346E-2</v>
          </cell>
          <cell r="M212">
            <v>-3.19481035206215E-3</v>
          </cell>
          <cell r="N212">
            <v>0.14986396685910378</v>
          </cell>
          <cell r="O212">
            <v>0.13385281877731325</v>
          </cell>
          <cell r="P212">
            <v>0.716283214363583</v>
          </cell>
          <cell r="Q212">
            <v>2.4101634193790342E-2</v>
          </cell>
          <cell r="R212">
            <v>-2.2883890282571272E-3</v>
          </cell>
          <cell r="S212">
            <v>2.1813245165533214E-2</v>
          </cell>
        </row>
        <row r="213">
          <cell r="A213" t="str">
            <v>Food Waste</v>
          </cell>
          <cell r="B213">
            <v>1.622706214625282</v>
          </cell>
          <cell r="C213">
            <v>9.9999999999999978E-2</v>
          </cell>
          <cell r="D213">
            <v>1.4604355931627537</v>
          </cell>
          <cell r="E213">
            <v>0.44633316034391529</v>
          </cell>
          <cell r="F213">
            <v>9.9721317912347493E-2</v>
          </cell>
          <cell r="G213">
            <v>0.7366202192348783</v>
          </cell>
          <cell r="H213">
            <v>0.42402849291705336</v>
          </cell>
          <cell r="I213">
            <v>0.43067139395480358</v>
          </cell>
          <cell r="J213">
            <v>-0.11090288103745255</v>
          </cell>
          <cell r="K213">
            <v>0.03</v>
          </cell>
          <cell r="L213">
            <v>0.69885314743179283</v>
          </cell>
          <cell r="M213">
            <v>-7.4020071866220782E-2</v>
          </cell>
          <cell r="N213">
            <v>0.14986396685910378</v>
          </cell>
          <cell r="O213">
            <v>0.13385281877731325</v>
          </cell>
          <cell r="P213">
            <v>0.716283214363583</v>
          </cell>
          <cell r="Q213">
            <v>0.81804214285710097</v>
          </cell>
          <cell r="R213">
            <v>-5.3019335003760042E-2</v>
          </cell>
          <cell r="S213">
            <v>0.76502280785334098</v>
          </cell>
        </row>
        <row r="214">
          <cell r="A214" t="str">
            <v>Food Waste (meat only)</v>
          </cell>
          <cell r="B214">
            <v>1.622706214625282</v>
          </cell>
          <cell r="C214">
            <v>9.9999999999999978E-2</v>
          </cell>
          <cell r="D214">
            <v>1.4604355931627537</v>
          </cell>
          <cell r="E214">
            <v>0.44633316034391529</v>
          </cell>
          <cell r="F214">
            <v>9.9721317912347493E-2</v>
          </cell>
          <cell r="G214">
            <v>0.7366202192348783</v>
          </cell>
          <cell r="H214">
            <v>0.42402849291705336</v>
          </cell>
          <cell r="I214">
            <v>0.43067139395480358</v>
          </cell>
          <cell r="J214">
            <v>-0.11090288103745255</v>
          </cell>
          <cell r="K214">
            <v>0.03</v>
          </cell>
          <cell r="L214">
            <v>0.69885314743179283</v>
          </cell>
          <cell r="M214">
            <v>-7.4020071866220782E-2</v>
          </cell>
          <cell r="N214">
            <v>0.14986396685910378</v>
          </cell>
          <cell r="O214">
            <v>0.13385281877731325</v>
          </cell>
          <cell r="P214">
            <v>0.716283214363583</v>
          </cell>
          <cell r="Q214">
            <v>0.81804214285710097</v>
          </cell>
          <cell r="R214">
            <v>-5.3019335003760042E-2</v>
          </cell>
          <cell r="S214">
            <v>0.76502280785334098</v>
          </cell>
        </row>
        <row r="215">
          <cell r="A215" t="str">
            <v>Food Waste (non-meat)</v>
          </cell>
          <cell r="B215">
            <v>1.622706214625282</v>
          </cell>
          <cell r="C215">
            <v>9.9999999999999978E-2</v>
          </cell>
          <cell r="D215">
            <v>1.4604355931627537</v>
          </cell>
          <cell r="E215">
            <v>0.44633316034391529</v>
          </cell>
          <cell r="F215">
            <v>9.9721317912347493E-2</v>
          </cell>
          <cell r="G215">
            <v>0.7366202192348783</v>
          </cell>
          <cell r="H215">
            <v>0.42402849291705336</v>
          </cell>
          <cell r="I215">
            <v>0.43067139395480358</v>
          </cell>
          <cell r="J215">
            <v>-0.11090288103745255</v>
          </cell>
          <cell r="K215">
            <v>0.03</v>
          </cell>
          <cell r="L215">
            <v>0.69885314743179283</v>
          </cell>
          <cell r="M215">
            <v>-7.4020071866220782E-2</v>
          </cell>
          <cell r="N215">
            <v>0.14986396685910378</v>
          </cell>
          <cell r="O215">
            <v>0.13385281877731325</v>
          </cell>
          <cell r="P215">
            <v>0.716283214363583</v>
          </cell>
          <cell r="Q215">
            <v>0.81804214285710097</v>
          </cell>
          <cell r="R215">
            <v>-5.3019335003760042E-2</v>
          </cell>
          <cell r="S215">
            <v>0.76502280785334098</v>
          </cell>
        </row>
        <row r="216">
          <cell r="A216" t="str">
            <v>Beef</v>
          </cell>
          <cell r="B216">
            <v>1.622706214625282</v>
          </cell>
          <cell r="C216">
            <v>9.9999999999999978E-2</v>
          </cell>
          <cell r="D216">
            <v>1.4604355931627537</v>
          </cell>
          <cell r="E216">
            <v>0.44633316034391529</v>
          </cell>
          <cell r="F216">
            <v>9.9721317912347493E-2</v>
          </cell>
          <cell r="G216">
            <v>0.7366202192348783</v>
          </cell>
          <cell r="H216">
            <v>0.42402849291705336</v>
          </cell>
          <cell r="I216">
            <v>0.43067139395480358</v>
          </cell>
          <cell r="J216">
            <v>-0.11090288103745255</v>
          </cell>
          <cell r="K216">
            <v>0.03</v>
          </cell>
          <cell r="L216">
            <v>0.69885314743179283</v>
          </cell>
          <cell r="M216">
            <v>-7.4020071866220782E-2</v>
          </cell>
          <cell r="N216">
            <v>0.14986396685910378</v>
          </cell>
          <cell r="O216">
            <v>0.13385281877731325</v>
          </cell>
          <cell r="P216">
            <v>0.716283214363583</v>
          </cell>
          <cell r="Q216">
            <v>0.81804214285710097</v>
          </cell>
          <cell r="R216">
            <v>-5.3019335003760042E-2</v>
          </cell>
          <cell r="S216">
            <v>0.76502280785334098</v>
          </cell>
        </row>
        <row r="217">
          <cell r="A217" t="str">
            <v>Poultry</v>
          </cell>
          <cell r="B217">
            <v>1.622706214625282</v>
          </cell>
          <cell r="C217">
            <v>9.9999999999999978E-2</v>
          </cell>
          <cell r="D217">
            <v>1.4604355931627537</v>
          </cell>
          <cell r="E217">
            <v>0.44633316034391529</v>
          </cell>
          <cell r="F217">
            <v>9.9721317912347493E-2</v>
          </cell>
          <cell r="G217">
            <v>0.7366202192348783</v>
          </cell>
          <cell r="H217">
            <v>0.42402849291705336</v>
          </cell>
          <cell r="I217">
            <v>0.43067139395480358</v>
          </cell>
          <cell r="J217">
            <v>-0.11090288103745255</v>
          </cell>
          <cell r="K217">
            <v>0.03</v>
          </cell>
          <cell r="L217">
            <v>0.69885314743179283</v>
          </cell>
          <cell r="M217">
            <v>-7.4020071866220782E-2</v>
          </cell>
          <cell r="N217">
            <v>0.14986396685910378</v>
          </cell>
          <cell r="O217">
            <v>0.13385281877731325</v>
          </cell>
          <cell r="P217">
            <v>0.716283214363583</v>
          </cell>
          <cell r="Q217">
            <v>0.81804214285710097</v>
          </cell>
          <cell r="R217">
            <v>-5.3019335003760042E-2</v>
          </cell>
          <cell r="S217">
            <v>0.76502280785334098</v>
          </cell>
        </row>
        <row r="218">
          <cell r="A218" t="str">
            <v>Grains</v>
          </cell>
          <cell r="B218">
            <v>1.622706214625282</v>
          </cell>
          <cell r="C218">
            <v>9.9999999999999978E-2</v>
          </cell>
          <cell r="D218">
            <v>1.4604355931627537</v>
          </cell>
          <cell r="E218">
            <v>0.44633316034391529</v>
          </cell>
          <cell r="F218">
            <v>9.9721317912347493E-2</v>
          </cell>
          <cell r="G218">
            <v>0.7366202192348783</v>
          </cell>
          <cell r="H218">
            <v>0.42402849291705336</v>
          </cell>
          <cell r="I218">
            <v>0.43067139395480358</v>
          </cell>
          <cell r="J218">
            <v>-0.11090288103745255</v>
          </cell>
          <cell r="K218">
            <v>0.03</v>
          </cell>
          <cell r="L218">
            <v>0.69885314743179283</v>
          </cell>
          <cell r="M218">
            <v>-7.4020071866220782E-2</v>
          </cell>
          <cell r="N218">
            <v>0.14986396685910378</v>
          </cell>
          <cell r="O218">
            <v>0.13385281877731325</v>
          </cell>
          <cell r="P218">
            <v>0.716283214363583</v>
          </cell>
          <cell r="Q218">
            <v>0.81804214285710097</v>
          </cell>
          <cell r="R218">
            <v>-5.3019335003760042E-2</v>
          </cell>
          <cell r="S218">
            <v>0.76502280785334098</v>
          </cell>
        </row>
        <row r="219">
          <cell r="A219" t="str">
            <v>Bread</v>
          </cell>
          <cell r="B219">
            <v>1.622706214625282</v>
          </cell>
          <cell r="C219">
            <v>9.9999999999999978E-2</v>
          </cell>
          <cell r="D219">
            <v>1.4604355931627537</v>
          </cell>
          <cell r="E219">
            <v>0.44633316034391529</v>
          </cell>
          <cell r="F219">
            <v>9.9721317912347493E-2</v>
          </cell>
          <cell r="G219">
            <v>0.7366202192348783</v>
          </cell>
          <cell r="H219">
            <v>0.42402849291705336</v>
          </cell>
          <cell r="I219">
            <v>0.43067139395480358</v>
          </cell>
          <cell r="J219">
            <v>-0.11090288103745255</v>
          </cell>
          <cell r="K219">
            <v>0.03</v>
          </cell>
          <cell r="L219">
            <v>0.69885314743179283</v>
          </cell>
          <cell r="M219">
            <v>-7.4020071866220782E-2</v>
          </cell>
          <cell r="N219">
            <v>0.14986396685910378</v>
          </cell>
          <cell r="O219">
            <v>0.13385281877731325</v>
          </cell>
          <cell r="P219">
            <v>0.716283214363583</v>
          </cell>
          <cell r="Q219">
            <v>0.81804214285710097</v>
          </cell>
          <cell r="R219">
            <v>-5.3019335003760042E-2</v>
          </cell>
          <cell r="S219">
            <v>0.76502280785334098</v>
          </cell>
        </row>
        <row r="220">
          <cell r="A220" t="str">
            <v>Fruits and Vegetables</v>
          </cell>
          <cell r="B220">
            <v>1.622706214625282</v>
          </cell>
          <cell r="C220">
            <v>9.9999999999999978E-2</v>
          </cell>
          <cell r="D220">
            <v>1.4604355931627537</v>
          </cell>
          <cell r="E220">
            <v>0.44633316034391529</v>
          </cell>
          <cell r="F220">
            <v>9.9721317912347493E-2</v>
          </cell>
          <cell r="G220">
            <v>0.7366202192348783</v>
          </cell>
          <cell r="H220">
            <v>0.42402849291705336</v>
          </cell>
          <cell r="I220">
            <v>0.43067139395480358</v>
          </cell>
          <cell r="J220">
            <v>-0.11090288103745255</v>
          </cell>
          <cell r="K220">
            <v>0.03</v>
          </cell>
          <cell r="L220">
            <v>0.69885314743179283</v>
          </cell>
          <cell r="M220">
            <v>-7.4020071866220782E-2</v>
          </cell>
          <cell r="N220">
            <v>0.14986396685910378</v>
          </cell>
          <cell r="O220">
            <v>0.13385281877731325</v>
          </cell>
          <cell r="P220">
            <v>0.716283214363583</v>
          </cell>
          <cell r="Q220">
            <v>0.81804214285710097</v>
          </cell>
          <cell r="R220">
            <v>-5.3019335003760042E-2</v>
          </cell>
          <cell r="S220">
            <v>0.76502280785334098</v>
          </cell>
        </row>
        <row r="221">
          <cell r="A221" t="str">
            <v>Dairy Products</v>
          </cell>
          <cell r="B221">
            <v>1.622706214625282</v>
          </cell>
          <cell r="C221">
            <v>9.9999999999999978E-2</v>
          </cell>
          <cell r="D221">
            <v>1.4604355931627537</v>
          </cell>
          <cell r="E221">
            <v>0.44633316034391529</v>
          </cell>
          <cell r="F221">
            <v>9.9721317912347493E-2</v>
          </cell>
          <cell r="G221">
            <v>0.7366202192348783</v>
          </cell>
          <cell r="H221">
            <v>0.42402849291705336</v>
          </cell>
          <cell r="I221">
            <v>0.43067139395480358</v>
          </cell>
          <cell r="J221">
            <v>-0.11090288103745255</v>
          </cell>
          <cell r="K221">
            <v>0.03</v>
          </cell>
          <cell r="L221">
            <v>0.69885314743179283</v>
          </cell>
          <cell r="M221">
            <v>-7.4020071866220782E-2</v>
          </cell>
          <cell r="N221">
            <v>0.14986396685910378</v>
          </cell>
          <cell r="O221">
            <v>0.13385281877731325</v>
          </cell>
          <cell r="P221">
            <v>0.716283214363583</v>
          </cell>
          <cell r="Q221">
            <v>0.81804214285710097</v>
          </cell>
          <cell r="R221">
            <v>-5.3019335003760042E-2</v>
          </cell>
          <cell r="S221">
            <v>0.76502280785334098</v>
          </cell>
        </row>
        <row r="222">
          <cell r="A222" t="str">
            <v>Yard Trimmings</v>
          </cell>
          <cell r="B222">
            <v>0.81032008938650013</v>
          </cell>
          <cell r="C222">
            <v>9.9999999999999978E-2</v>
          </cell>
          <cell r="D222">
            <v>0.7292880804478501</v>
          </cell>
          <cell r="E222">
            <v>0.39822960434718774</v>
          </cell>
          <cell r="F222">
            <v>0.11709908721735537</v>
          </cell>
          <cell r="G222">
            <v>0.39273889797449135</v>
          </cell>
          <cell r="H222">
            <v>0.39441261497892932</v>
          </cell>
          <cell r="I222">
            <v>0.45421173348767974</v>
          </cell>
          <cell r="J222">
            <v>-0.11090288103745255</v>
          </cell>
          <cell r="K222">
            <v>0.03</v>
          </cell>
          <cell r="L222">
            <v>0.36805689248013385</v>
          </cell>
          <cell r="M222">
            <v>-3.4381274024635033E-2</v>
          </cell>
          <cell r="N222">
            <v>0.14986396685910378</v>
          </cell>
          <cell r="O222">
            <v>0.13385281877731325</v>
          </cell>
          <cell r="P222">
            <v>0.716283214363583</v>
          </cell>
          <cell r="Q222">
            <v>0.42549618727069927</v>
          </cell>
          <cell r="R222">
            <v>-2.4626729472280742E-2</v>
          </cell>
          <cell r="S222">
            <v>0.40086945779841854</v>
          </cell>
        </row>
        <row r="223">
          <cell r="A223" t="str">
            <v>Grass</v>
          </cell>
          <cell r="B223">
            <v>0.5688048319800002</v>
          </cell>
          <cell r="C223">
            <v>9.9999999999999978E-2</v>
          </cell>
          <cell r="D223">
            <v>0.51192434878200022</v>
          </cell>
          <cell r="E223">
            <v>0.36443011749138809</v>
          </cell>
          <cell r="F223">
            <v>0.10713429369260964</v>
          </cell>
          <cell r="G223">
            <v>0.30057671630873867</v>
          </cell>
          <cell r="H223">
            <v>0.32794478953874612</v>
          </cell>
          <cell r="I223">
            <v>0.5171604777403257</v>
          </cell>
          <cell r="J223">
            <v>-0.11090288103745255</v>
          </cell>
          <cell r="K223">
            <v>0.03</v>
          </cell>
          <cell r="L223">
            <v>0.29416337864778258</v>
          </cell>
          <cell r="M223">
            <v>-2.0066820914788775E-2</v>
          </cell>
          <cell r="N223">
            <v>0.14986396685910378</v>
          </cell>
          <cell r="O223">
            <v>0.13385281877731325</v>
          </cell>
          <cell r="P223">
            <v>0.716283214363583</v>
          </cell>
          <cell r="Q223">
            <v>0.32765634478287298</v>
          </cell>
          <cell r="R223">
            <v>-1.4373526986903279E-2</v>
          </cell>
          <cell r="S223">
            <v>0.31328281779596967</v>
          </cell>
        </row>
        <row r="224">
          <cell r="A224" t="str">
            <v>Leaves</v>
          </cell>
          <cell r="B224">
            <v>0.65408019754000024</v>
          </cell>
          <cell r="C224">
            <v>9.9999999999999978E-2</v>
          </cell>
          <cell r="D224">
            <v>0.58867217778600023</v>
          </cell>
          <cell r="E224">
            <v>0.42681324329237258</v>
          </cell>
          <cell r="F224">
            <v>0.10145350809030095</v>
          </cell>
          <cell r="G224">
            <v>0.30855137644180691</v>
          </cell>
          <cell r="H224">
            <v>0.39953370419627549</v>
          </cell>
          <cell r="I224">
            <v>0.45205034471307715</v>
          </cell>
          <cell r="J224">
            <v>-0.11090288103745255</v>
          </cell>
          <cell r="K224">
            <v>0.03</v>
          </cell>
          <cell r="L224">
            <v>0.29567717876795468</v>
          </cell>
          <cell r="M224">
            <v>-2.811246873116055E-2</v>
          </cell>
          <cell r="N224">
            <v>0.14986396685910378</v>
          </cell>
          <cell r="O224">
            <v>0.13385281877731325</v>
          </cell>
          <cell r="P224">
            <v>0.716283214363583</v>
          </cell>
          <cell r="Q224">
            <v>0.34130981923881965</v>
          </cell>
          <cell r="R224">
            <v>-2.0136489466451395E-2</v>
          </cell>
          <cell r="S224">
            <v>0.32117332977236823</v>
          </cell>
        </row>
        <row r="225">
          <cell r="A225" t="str">
            <v>Branches</v>
          </cell>
          <cell r="B225">
            <v>1.4495904960459998</v>
          </cell>
          <cell r="C225">
            <v>9.9999999999999978E-2</v>
          </cell>
          <cell r="D225">
            <v>1.3046314464413997</v>
          </cell>
          <cell r="E225">
            <v>0.43724493911360218</v>
          </cell>
          <cell r="F225">
            <v>0.15267425339390131</v>
          </cell>
          <cell r="G225">
            <v>0.59444924115199216</v>
          </cell>
          <cell r="H225">
            <v>0.5222271766419494</v>
          </cell>
          <cell r="I225">
            <v>0.33047563375699018</v>
          </cell>
          <cell r="J225">
            <v>-0.11090288103745255</v>
          </cell>
          <cell r="K225">
            <v>0.03</v>
          </cell>
          <cell r="L225">
            <v>0.47905433786891155</v>
          </cell>
          <cell r="M225">
            <v>-8.1436549539740388E-2</v>
          </cell>
          <cell r="N225">
            <v>0.14986396685910378</v>
          </cell>
          <cell r="O225">
            <v>0.13385281877731325</v>
          </cell>
          <cell r="P225">
            <v>0.716283214363583</v>
          </cell>
          <cell r="Q225">
            <v>0.61822453138462941</v>
          </cell>
          <cell r="R225">
            <v>-5.833163347100441E-2</v>
          </cell>
          <cell r="S225">
            <v>0.55989289791362495</v>
          </cell>
        </row>
        <row r="226">
          <cell r="A226" t="str">
            <v>Mixed Paper (general)</v>
          </cell>
          <cell r="B226">
            <v>2.3832448707931113</v>
          </cell>
          <cell r="C226">
            <v>9.9999999999999978E-2</v>
          </cell>
          <cell r="D226">
            <v>2.1449203837138002</v>
          </cell>
          <cell r="E226">
            <v>0.48937043554270859</v>
          </cell>
          <cell r="F226">
            <v>0.12265688376419343</v>
          </cell>
          <cell r="G226">
            <v>0.92463390126967915</v>
          </cell>
          <cell r="H226">
            <v>0.5535444427229349</v>
          </cell>
          <cell r="I226">
            <v>0.3169719361582336</v>
          </cell>
          <cell r="J226">
            <v>-0.11090288103745255</v>
          </cell>
          <cell r="K226">
            <v>0.03</v>
          </cell>
          <cell r="L226">
            <v>0.75542174103447179</v>
          </cell>
          <cell r="M226">
            <v>-0.14191742570821317</v>
          </cell>
          <cell r="N226">
            <v>0.14986396685910378</v>
          </cell>
          <cell r="O226">
            <v>0.13385281877731325</v>
          </cell>
          <cell r="P226">
            <v>0.716283214363583</v>
          </cell>
          <cell r="Q226">
            <v>0.98630704419061721</v>
          </cell>
          <cell r="R226">
            <v>-0.10165306986048392</v>
          </cell>
          <cell r="S226">
            <v>0.88465397433013326</v>
          </cell>
        </row>
        <row r="227">
          <cell r="A227" t="str">
            <v>Mixed Paper (primarily residential)</v>
          </cell>
          <cell r="B227">
            <v>2.2946736526735392</v>
          </cell>
          <cell r="C227">
            <v>9.9999999999999978E-2</v>
          </cell>
          <cell r="D227">
            <v>2.0652062874061854</v>
          </cell>
          <cell r="E227">
            <v>0.48670790427838667</v>
          </cell>
          <cell r="F227">
            <v>0.12329222041603424</v>
          </cell>
          <cell r="G227">
            <v>0.894922438409678</v>
          </cell>
          <cell r="H227">
            <v>0.55003451595787223</v>
          </cell>
          <cell r="I227">
            <v>0.31956536086589266</v>
          </cell>
          <cell r="J227">
            <v>-0.11090288103745255</v>
          </cell>
          <cell r="K227">
            <v>0.03</v>
          </cell>
          <cell r="L227">
            <v>0.73329821388607552</v>
          </cell>
          <cell r="M227">
            <v>-0.13577675816221543</v>
          </cell>
          <cell r="N227">
            <v>0.14986396685910378</v>
          </cell>
          <cell r="O227">
            <v>0.13385281877731325</v>
          </cell>
          <cell r="P227">
            <v>0.716283214363583</v>
          </cell>
          <cell r="Q227">
            <v>0.95453709931064767</v>
          </cell>
          <cell r="R227">
            <v>-9.7254612772298521E-2</v>
          </cell>
          <cell r="S227">
            <v>0.85728248653834915</v>
          </cell>
        </row>
        <row r="228">
          <cell r="A228" t="str">
            <v>Mixed Paper (primarily from offices)</v>
          </cell>
          <cell r="B228">
            <v>2.2577848571899501</v>
          </cell>
          <cell r="C228">
            <v>9.9999999999999978E-2</v>
          </cell>
          <cell r="D228">
            <v>2.0320063714709553</v>
          </cell>
          <cell r="E228">
            <v>0.49181699264984741</v>
          </cell>
          <cell r="F228">
            <v>0.10965140619722391</v>
          </cell>
          <cell r="G228">
            <v>0.89979861419474716</v>
          </cell>
          <cell r="H228">
            <v>0.52709286315448822</v>
          </cell>
          <cell r="I228">
            <v>0.34272647954560431</v>
          </cell>
          <cell r="J228">
            <v>-0.11090288103745255</v>
          </cell>
          <cell r="K228">
            <v>0.03</v>
          </cell>
          <cell r="L228">
            <v>0.77380265567608664</v>
          </cell>
          <cell r="M228">
            <v>-0.12802189591441362</v>
          </cell>
          <cell r="N228">
            <v>0.14986396685910378</v>
          </cell>
          <cell r="O228">
            <v>0.13385281877731325</v>
          </cell>
          <cell r="P228">
            <v>0.716283214363583</v>
          </cell>
          <cell r="Q228">
            <v>0.97922696984424218</v>
          </cell>
          <cell r="R228">
            <v>-9.1699935114496242E-2</v>
          </cell>
          <cell r="S228">
            <v>0.88752703472974592</v>
          </cell>
        </row>
        <row r="229">
          <cell r="A229" t="str">
            <v>Mixed Recyclables</v>
          </cell>
          <cell r="B229">
            <v>1.9734014132616131</v>
          </cell>
          <cell r="C229">
            <v>9.9999999999999978E-2</v>
          </cell>
          <cell r="D229">
            <v>1.7760612719354518</v>
          </cell>
          <cell r="E229">
            <v>0.41722897476862719</v>
          </cell>
          <cell r="F229">
            <v>0.10777804310632706</v>
          </cell>
          <cell r="G229">
            <v>0.93735182221491342</v>
          </cell>
          <cell r="H229">
            <v>0.47146577710963516</v>
          </cell>
          <cell r="I229">
            <v>0.27885205105684613</v>
          </cell>
          <cell r="J229">
            <v>-0.11090288103745255</v>
          </cell>
          <cell r="K229">
            <v>0.03</v>
          </cell>
          <cell r="L229">
            <v>0.55028703164647963</v>
          </cell>
          <cell r="M229">
            <v>-0.10008757595373308</v>
          </cell>
          <cell r="N229">
            <v>0.14986396685910378</v>
          </cell>
          <cell r="O229">
            <v>0.13385281877731325</v>
          </cell>
          <cell r="P229">
            <v>0.716283214363583</v>
          </cell>
          <cell r="Q229">
            <v>0.78579613503692447</v>
          </cell>
          <cell r="R229">
            <v>-7.1691050621999181E-2</v>
          </cell>
          <cell r="S229">
            <v>0.71410508441492526</v>
          </cell>
        </row>
        <row r="230">
          <cell r="A230" t="str">
            <v>Mixed Organics</v>
          </cell>
          <cell r="B230">
            <v>1.2328155960009999</v>
          </cell>
          <cell r="C230">
            <v>9.9999999999999978E-2</v>
          </cell>
          <cell r="D230">
            <v>1.1095340364008999</v>
          </cell>
          <cell r="E230">
            <v>0.42324669367133483</v>
          </cell>
          <cell r="F230">
            <v>0.1080614766301593</v>
          </cell>
          <cell r="G230">
            <v>0.57781059737056262</v>
          </cell>
          <cell r="H230">
            <v>0.40981486640170334</v>
          </cell>
          <cell r="I230">
            <v>0.44196917127762653</v>
          </cell>
          <cell r="J230">
            <v>-0.11090288103745255</v>
          </cell>
          <cell r="K230">
            <v>0.03</v>
          </cell>
          <cell r="L230">
            <v>0.54486648730269516</v>
          </cell>
          <cell r="M230">
            <v>-5.4350105485918059E-2</v>
          </cell>
          <cell r="N230">
            <v>0.14986396685910378</v>
          </cell>
          <cell r="O230">
            <v>0.13385281877731325</v>
          </cell>
          <cell r="P230">
            <v>0.716283214363583</v>
          </cell>
          <cell r="Q230">
            <v>0.63389946816185394</v>
          </cell>
          <cell r="R230">
            <v>-3.8930068258453195E-2</v>
          </cell>
          <cell r="S230">
            <v>0.5949693999034007</v>
          </cell>
        </row>
        <row r="231">
          <cell r="A231" t="str">
            <v>Mixed MSW</v>
          </cell>
          <cell r="B231">
            <v>1.6199727500000001</v>
          </cell>
          <cell r="C231">
            <v>9.9999999999999978E-2</v>
          </cell>
          <cell r="D231">
            <v>1.457975475</v>
          </cell>
          <cell r="E231">
            <v>0.52167142315211812</v>
          </cell>
          <cell r="F231">
            <v>0.10506127468525366</v>
          </cell>
          <cell r="G231">
            <v>0.60468285796947385</v>
          </cell>
          <cell r="H231">
            <v>0.56884224751836443</v>
          </cell>
          <cell r="I231">
            <v>0.309913078012787</v>
          </cell>
          <cell r="J231">
            <v>-0.11090288103745255</v>
          </cell>
          <cell r="K231">
            <v>0.03</v>
          </cell>
          <cell r="L231">
            <v>0.50205074124933913</v>
          </cell>
          <cell r="M231">
            <v>-9.9132056460402435E-2</v>
          </cell>
          <cell r="N231">
            <v>0.14986396685910378</v>
          </cell>
          <cell r="O231">
            <v>0.13385281877731325</v>
          </cell>
          <cell r="P231">
            <v>0.716283214363583</v>
          </cell>
          <cell r="Q231">
            <v>0.65904701198801807</v>
          </cell>
          <cell r="R231">
            <v>-7.1006628047929246E-2</v>
          </cell>
          <cell r="S231">
            <v>0.58804038394008884</v>
          </cell>
        </row>
        <row r="232">
          <cell r="A232" t="str">
            <v>Wood Flooring</v>
          </cell>
          <cell r="B232">
            <v>0.18143694800000035</v>
          </cell>
          <cell r="C232">
            <v>9.9999999999999978E-2</v>
          </cell>
          <cell r="D232">
            <v>0.16329325320000032</v>
          </cell>
          <cell r="E232">
            <v>0</v>
          </cell>
          <cell r="F232">
            <v>9.9999999999999978E-2</v>
          </cell>
          <cell r="G232">
            <v>0.16329325320000032</v>
          </cell>
          <cell r="H232">
            <v>0</v>
          </cell>
          <cell r="I232">
            <v>0.9</v>
          </cell>
          <cell r="J232">
            <v>-0.11090288103745255</v>
          </cell>
          <cell r="K232">
            <v>0.03</v>
          </cell>
          <cell r="L232">
            <v>0.16329325320000032</v>
          </cell>
          <cell r="M232">
            <v>0</v>
          </cell>
          <cell r="N232">
            <v>1</v>
          </cell>
          <cell r="O232">
            <v>0</v>
          </cell>
          <cell r="P232">
            <v>0</v>
          </cell>
          <cell r="Q232">
            <v>0.16329325320000032</v>
          </cell>
          <cell r="R232">
            <v>0</v>
          </cell>
          <cell r="S232">
            <v>0.16329325320000032</v>
          </cell>
        </row>
        <row r="233">
          <cell r="A233" t="str">
            <v>Drywall</v>
          </cell>
          <cell r="B233">
            <v>0</v>
          </cell>
          <cell r="C233">
            <v>9.9999999999999978E-2</v>
          </cell>
          <cell r="D233">
            <v>0</v>
          </cell>
          <cell r="E233">
            <v>0</v>
          </cell>
          <cell r="F233">
            <v>9.9999999999999978E-2</v>
          </cell>
          <cell r="G233">
            <v>0</v>
          </cell>
          <cell r="H233">
            <v>0</v>
          </cell>
          <cell r="I233">
            <v>0.9</v>
          </cell>
          <cell r="J233">
            <v>-0.11090288103745255</v>
          </cell>
          <cell r="K233">
            <v>0.03</v>
          </cell>
          <cell r="L233">
            <v>0</v>
          </cell>
          <cell r="M233">
            <v>0</v>
          </cell>
          <cell r="N233">
            <v>1</v>
          </cell>
          <cell r="O233">
            <v>0</v>
          </cell>
          <cell r="P233">
            <v>0</v>
          </cell>
          <cell r="Q233">
            <v>0</v>
          </cell>
          <cell r="R233">
            <v>0</v>
          </cell>
          <cell r="S233">
            <v>0</v>
          </cell>
        </row>
        <row r="236">
          <cell r="H236">
            <v>20</v>
          </cell>
          <cell r="I236">
            <v>22</v>
          </cell>
        </row>
        <row r="238">
          <cell r="J238" t="str">
            <v>Electricity Generation</v>
          </cell>
          <cell r="N238" t="str">
            <v>Percentage of CH4 from Each Type of Landfill in the current inventory year</v>
          </cell>
          <cell r="Q238" t="str">
            <v>Net CH4 Generation</v>
          </cell>
          <cell r="R238" t="str">
            <v>Avoided CO2 from Energy Recovery</v>
          </cell>
        </row>
        <row r="240">
          <cell r="H240" t="str">
            <v>(h)</v>
          </cell>
          <cell r="I240" t="str">
            <v>(i)</v>
          </cell>
          <cell r="J240" t="str">
            <v>(j)</v>
          </cell>
          <cell r="K240" t="str">
            <v>(k)</v>
          </cell>
          <cell r="L240" t="str">
            <v>(l)</v>
          </cell>
          <cell r="M240" t="str">
            <v>(m)</v>
          </cell>
          <cell r="N240" t="str">
            <v>(n)</v>
          </cell>
          <cell r="O240" t="str">
            <v>(o)</v>
          </cell>
          <cell r="P240" t="str">
            <v>(p)</v>
          </cell>
          <cell r="Q240" t="str">
            <v>(q)</v>
          </cell>
          <cell r="R240" t="str">
            <v>( r)</v>
          </cell>
        </row>
        <row r="242">
          <cell r="H242" t="str">
            <v>Percentage of CH4 Recovered for Energy</v>
          </cell>
          <cell r="I242" t="str">
            <v>Percentage of CH4 Emitted</v>
          </cell>
          <cell r="J242" t="str">
            <v>Utility CO2 Emissions Avoided per MTCO2E CH4 Combusted (MTCO2E)</v>
          </cell>
          <cell r="K242" t="str">
            <v>Percentage of CH4 Recovered for Electricity Generation Not Utilized Due to System "Down Time"</v>
          </cell>
          <cell r="L242" t="str">
            <v>Net GHG Emissions From CH4 Generation (MTCO2E/Wet Ton)</v>
          </cell>
          <cell r="M242" t="str">
            <v>Utility CO2 Emissions Avoided (MTCO2E/Wet Ton)</v>
          </cell>
          <cell r="N242" t="str">
            <v>Percentage of CH4 From Landfills Without LFG Recovery in Current Inventory Year</v>
          </cell>
          <cell r="O242" t="str">
            <v>Percentage of CH4 From Landfills With LFG Recovery And Flaring in Current Inventory Year</v>
          </cell>
          <cell r="P242" t="str">
            <v>CH4 From Landfills With LFG Recovery and Electricity Generation in Current Inventory Year</v>
          </cell>
          <cell r="Q242" t="str">
            <v>Net CH4 Emissions from Landfilling (MTCO2E/Wet Ton)</v>
          </cell>
          <cell r="R242" t="str">
            <v>Net Avoided CO2 Emissions from Landfilling (MTCO2E/Wet Ton)</v>
          </cell>
        </row>
        <row r="243">
          <cell r="A243" t="str">
            <v>Corrugated Containers</v>
          </cell>
          <cell r="B243">
            <v>2.6232704732575001</v>
          </cell>
          <cell r="C243">
            <v>9.9999999999999978E-2</v>
          </cell>
          <cell r="D243">
            <v>2.3609434259317501</v>
          </cell>
          <cell r="E243">
            <v>0.39100647898964125</v>
          </cell>
          <cell r="F243">
            <v>0.1804691978444484</v>
          </cell>
          <cell r="G243">
            <v>1.1241352040337875</v>
          </cell>
          <cell r="H243">
            <v>0.57188171802458931</v>
          </cell>
          <cell r="I243">
            <v>0.27894996777622316</v>
          </cell>
          <cell r="J243">
            <v>-0.11090288103745255</v>
          </cell>
          <cell r="K243">
            <v>0.03</v>
          </cell>
          <cell r="L243">
            <v>0.73176121398349736</v>
          </cell>
          <cell r="M243">
            <v>-0.16138525279777446</v>
          </cell>
          <cell r="N243">
            <v>0.14986396685910378</v>
          </cell>
          <cell r="O243">
            <v>0.13385281877731325</v>
          </cell>
          <cell r="P243">
            <v>0.716283214363583</v>
          </cell>
          <cell r="Q243">
            <v>1.0284372875854846</v>
          </cell>
          <cell r="R243">
            <v>-0.11559754762486932</v>
          </cell>
          <cell r="S243">
            <v>0.91283973996061529</v>
          </cell>
        </row>
        <row r="244">
          <cell r="A244" t="str">
            <v>Magazines/Third-class Mail</v>
          </cell>
          <cell r="B244">
            <v>1.1946237049113888</v>
          </cell>
          <cell r="C244">
            <v>9.9999999999999978E-2</v>
          </cell>
          <cell r="D244">
            <v>1.07516133442025</v>
          </cell>
          <cell r="E244">
            <v>0.54879205662628561</v>
          </cell>
          <cell r="F244">
            <v>9.9965809602526962E-2</v>
          </cell>
          <cell r="G244">
            <v>0.41960217916671755</v>
          </cell>
          <cell r="H244">
            <v>0.57205916322106598</v>
          </cell>
          <cell r="I244">
            <v>0.27238244013600349</v>
          </cell>
          <cell r="J244">
            <v>-0.11090288103745255</v>
          </cell>
          <cell r="K244">
            <v>0.03</v>
          </cell>
          <cell r="L244">
            <v>0.32539451978807704</v>
          </cell>
          <cell r="M244">
            <v>-7.3516807165147413E-2</v>
          </cell>
          <cell r="N244">
            <v>0.14986396685910378</v>
          </cell>
          <cell r="O244">
            <v>0.13385281877731325</v>
          </cell>
          <cell r="P244">
            <v>0.716283214363583</v>
          </cell>
          <cell r="Q244">
            <v>0.45036750960641281</v>
          </cell>
          <cell r="R244">
            <v>-5.2658854945999478E-2</v>
          </cell>
          <cell r="S244">
            <v>0.39770865466041333</v>
          </cell>
        </row>
        <row r="245">
          <cell r="A245" t="str">
            <v>Newspaper</v>
          </cell>
          <cell r="B245">
            <v>1.0471665853275001</v>
          </cell>
          <cell r="C245">
            <v>9.9999999999999978E-2</v>
          </cell>
          <cell r="D245">
            <v>0.94244992679475004</v>
          </cell>
          <cell r="E245">
            <v>0.44870469401849045</v>
          </cell>
          <cell r="F245">
            <v>0.15454286467174738</v>
          </cell>
          <cell r="G245">
            <v>0.41546589918669302</v>
          </cell>
          <cell r="H245">
            <v>0.60692088276544931</v>
          </cell>
          <cell r="I245">
            <v>0.25507801126495649</v>
          </cell>
          <cell r="J245">
            <v>-0.11090288103745255</v>
          </cell>
          <cell r="K245">
            <v>0.03</v>
          </cell>
          <cell r="L245">
            <v>0.26710917004845408</v>
          </cell>
          <cell r="M245">
            <v>-6.8369502404725127E-2</v>
          </cell>
          <cell r="N245">
            <v>0.14986396685910378</v>
          </cell>
          <cell r="O245">
            <v>0.13385281877731325</v>
          </cell>
          <cell r="P245">
            <v>0.716283214363583</v>
          </cell>
          <cell r="Q245">
            <v>0.38817638121581871</v>
          </cell>
          <cell r="R245">
            <v>-4.8971926946895235E-2</v>
          </cell>
          <cell r="S245">
            <v>0.33920445426892348</v>
          </cell>
        </row>
        <row r="246">
          <cell r="A246" t="str">
            <v>Office Paper</v>
          </cell>
          <cell r="B246">
            <v>3.8859258337900004</v>
          </cell>
          <cell r="C246">
            <v>9.9999999999999978E-2</v>
          </cell>
          <cell r="D246">
            <v>3.4973332504110006</v>
          </cell>
          <cell r="E246">
            <v>0.4334308176046402</v>
          </cell>
          <cell r="F246">
            <v>0.16149896503113684</v>
          </cell>
          <cell r="G246">
            <v>1.574072822154565</v>
          </cell>
          <cell r="H246">
            <v>0.59928075625936539</v>
          </cell>
          <cell r="I246">
            <v>0.26043227286151915</v>
          </cell>
          <cell r="J246">
            <v>-0.11090288103745255</v>
          </cell>
          <cell r="K246">
            <v>0.03</v>
          </cell>
          <cell r="L246">
            <v>1.0120204970652238</v>
          </cell>
          <cell r="M246">
            <v>-0.25051826902828134</v>
          </cell>
          <cell r="N246">
            <v>0.14986396685910378</v>
          </cell>
          <cell r="O246">
            <v>0.13385281877731325</v>
          </cell>
          <cell r="P246">
            <v>0.716283214363583</v>
          </cell>
          <cell r="Q246">
            <v>1.4597116131806944</v>
          </cell>
          <cell r="R246">
            <v>-0.1794420309963782</v>
          </cell>
          <cell r="S246">
            <v>1.2802695821843162</v>
          </cell>
        </row>
        <row r="247">
          <cell r="A247" t="str">
            <v>Phonebooks</v>
          </cell>
          <cell r="B247">
            <v>1.0471665853275001</v>
          </cell>
          <cell r="C247">
            <v>9.9999999999999978E-2</v>
          </cell>
          <cell r="D247">
            <v>0.94244992679475004</v>
          </cell>
          <cell r="E247">
            <v>0.44870469401849045</v>
          </cell>
          <cell r="F247">
            <v>0.15454286467174738</v>
          </cell>
          <cell r="G247">
            <v>0.41546589918669302</v>
          </cell>
          <cell r="H247">
            <v>0.60692088276544931</v>
          </cell>
          <cell r="I247">
            <v>0.25507801126495649</v>
          </cell>
          <cell r="J247">
            <v>-0.11090288103745255</v>
          </cell>
          <cell r="K247">
            <v>0.03</v>
          </cell>
          <cell r="L247">
            <v>0.26710917004845408</v>
          </cell>
          <cell r="M247">
            <v>-6.8369502404725127E-2</v>
          </cell>
          <cell r="N247">
            <v>0.14986396685910378</v>
          </cell>
          <cell r="O247">
            <v>0.13385281877731325</v>
          </cell>
          <cell r="P247">
            <v>0.716283214363583</v>
          </cell>
          <cell r="Q247">
            <v>0.38817638121581871</v>
          </cell>
          <cell r="R247">
            <v>-4.8971926946895235E-2</v>
          </cell>
          <cell r="S247">
            <v>0.33920445426892348</v>
          </cell>
        </row>
        <row r="248">
          <cell r="A248" t="str">
            <v>Textbooks</v>
          </cell>
          <cell r="B248">
            <v>3.8859258337900004</v>
          </cell>
          <cell r="C248">
            <v>9.9999999999999978E-2</v>
          </cell>
          <cell r="D248">
            <v>3.4973332504110006</v>
          </cell>
          <cell r="E248">
            <v>0.4334308176046402</v>
          </cell>
          <cell r="F248">
            <v>0.16149896503113684</v>
          </cell>
          <cell r="G248">
            <v>1.574072822154565</v>
          </cell>
          <cell r="H248">
            <v>0.59928075625936539</v>
          </cell>
          <cell r="I248">
            <v>0.26043227286151915</v>
          </cell>
          <cell r="J248">
            <v>-0.11090288103745255</v>
          </cell>
          <cell r="K248">
            <v>0.03</v>
          </cell>
          <cell r="L248">
            <v>1.0120204970652238</v>
          </cell>
          <cell r="M248">
            <v>-0.25051826902828134</v>
          </cell>
          <cell r="N248">
            <v>0.14986396685910378</v>
          </cell>
          <cell r="O248">
            <v>0.13385281877731325</v>
          </cell>
          <cell r="P248">
            <v>0.716283214363583</v>
          </cell>
          <cell r="Q248">
            <v>1.4597116131806944</v>
          </cell>
          <cell r="R248">
            <v>-0.1794420309963782</v>
          </cell>
          <cell r="S248">
            <v>1.2802695821843162</v>
          </cell>
        </row>
        <row r="249">
          <cell r="A249" t="str">
            <v>Dimensional Lumber</v>
          </cell>
          <cell r="B249">
            <v>0.16645220006249997</v>
          </cell>
          <cell r="C249">
            <v>9.9999999999999978E-2</v>
          </cell>
          <cell r="D249">
            <v>0.14980698005624998</v>
          </cell>
          <cell r="E249">
            <v>0.534887523500997</v>
          </cell>
          <cell r="F249">
            <v>0.1113177189822612</v>
          </cell>
          <cell r="G249">
            <v>5.888991575924038E-2</v>
          </cell>
          <cell r="H249">
            <v>0.60481448915521696</v>
          </cell>
          <cell r="I249">
            <v>0.25221702470909163</v>
          </cell>
          <cell r="J249">
            <v>-0.11090288103745255</v>
          </cell>
          <cell r="K249">
            <v>0.03</v>
          </cell>
          <cell r="L249">
            <v>4.1982078656046216E-2</v>
          </cell>
          <cell r="M249">
            <v>-1.082994595042067E-2</v>
          </cell>
          <cell r="N249">
            <v>0.14986396685910378</v>
          </cell>
          <cell r="O249">
            <v>0.13385281877731325</v>
          </cell>
          <cell r="P249">
            <v>0.716283214363583</v>
          </cell>
          <cell r="Q249">
            <v>6.0404307761762671E-2</v>
          </cell>
          <cell r="R249">
            <v>-7.7573084967511863E-3</v>
          </cell>
          <cell r="S249">
            <v>5.2646999265011485E-2</v>
          </cell>
        </row>
        <row r="250">
          <cell r="A250" t="str">
            <v>Medium-density Fiberboard</v>
          </cell>
          <cell r="B250">
            <v>5.5889059875000008E-2</v>
          </cell>
          <cell r="C250">
            <v>9.9999999999999978E-2</v>
          </cell>
          <cell r="D250">
            <v>5.0300153887500011E-2</v>
          </cell>
          <cell r="E250">
            <v>0.51821341031116464</v>
          </cell>
          <cell r="F250">
            <v>0.12085623668651392</v>
          </cell>
          <cell r="G250">
            <v>2.0172058109651631E-2</v>
          </cell>
          <cell r="H250">
            <v>0.6160986348975418</v>
          </cell>
          <cell r="I250">
            <v>0.24607043641769111</v>
          </cell>
          <cell r="J250">
            <v>-0.11090288103745255</v>
          </cell>
          <cell r="K250">
            <v>0.03</v>
          </cell>
          <cell r="L250">
            <v>1.3752645354415722E-2</v>
          </cell>
          <cell r="M250">
            <v>-3.7041759995093447E-3</v>
          </cell>
          <cell r="N250">
            <v>0.14986396685910378</v>
          </cell>
          <cell r="O250">
            <v>0.13385281877731325</v>
          </cell>
          <cell r="P250">
            <v>0.716283214363583</v>
          </cell>
          <cell r="Q250">
            <v>2.0089056454184042E-2</v>
          </cell>
          <cell r="R250">
            <v>-2.6532390914969914E-3</v>
          </cell>
          <cell r="S250">
            <v>1.743581736268705E-2</v>
          </cell>
        </row>
        <row r="251">
          <cell r="A251" t="str">
            <v>Food Waste</v>
          </cell>
          <cell r="B251">
            <v>1.622706214625282</v>
          </cell>
          <cell r="C251">
            <v>9.9999999999999978E-2</v>
          </cell>
          <cell r="D251">
            <v>1.4604355931627537</v>
          </cell>
          <cell r="E251">
            <v>0.54943265899223925</v>
          </cell>
          <cell r="F251">
            <v>9.6834080475168671E-2</v>
          </cell>
          <cell r="G251">
            <v>0.57400516018590109</v>
          </cell>
          <cell r="H251">
            <v>0.55439703049271571</v>
          </cell>
          <cell r="I251">
            <v>0.28397169199671335</v>
          </cell>
          <cell r="J251">
            <v>-0.11090288103745255</v>
          </cell>
          <cell r="K251">
            <v>0.03</v>
          </cell>
          <cell r="L251">
            <v>0.46080262938072319</v>
          </cell>
          <cell r="M251">
            <v>-9.6777713585199099E-2</v>
          </cell>
          <cell r="N251">
            <v>0.14986396685910378</v>
          </cell>
          <cell r="O251">
            <v>0.13385281877731325</v>
          </cell>
          <cell r="P251">
            <v>0.716283214363583</v>
          </cell>
          <cell r="Q251">
            <v>0.62576406857721989</v>
          </cell>
          <cell r="R251">
            <v>-6.9320251765564611E-2</v>
          </cell>
          <cell r="S251">
            <v>0.55644381681165522</v>
          </cell>
        </row>
        <row r="252">
          <cell r="A252" t="str">
            <v>Food Waste (meat only)</v>
          </cell>
          <cell r="B252">
            <v>1.622706214625282</v>
          </cell>
          <cell r="C252">
            <v>9.9999999999999978E-2</v>
          </cell>
          <cell r="D252">
            <v>1.4604355931627537</v>
          </cell>
          <cell r="E252">
            <v>0.54943265899223925</v>
          </cell>
          <cell r="F252">
            <v>9.6834080475168671E-2</v>
          </cell>
          <cell r="G252">
            <v>0.57400516018590109</v>
          </cell>
          <cell r="H252">
            <v>0.55439703049271571</v>
          </cell>
          <cell r="I252">
            <v>0.28397169199671335</v>
          </cell>
          <cell r="J252">
            <v>-0.11090288103745255</v>
          </cell>
          <cell r="K252">
            <v>0.03</v>
          </cell>
          <cell r="L252">
            <v>0.46080262938072319</v>
          </cell>
          <cell r="M252">
            <v>-9.6777713585199099E-2</v>
          </cell>
          <cell r="N252">
            <v>0.14986396685910378</v>
          </cell>
          <cell r="O252">
            <v>0.13385281877731325</v>
          </cell>
          <cell r="P252">
            <v>0.716283214363583</v>
          </cell>
          <cell r="Q252">
            <v>0.62576406857721989</v>
          </cell>
          <cell r="R252">
            <v>-6.9320251765564611E-2</v>
          </cell>
          <cell r="S252">
            <v>0.55644381681165522</v>
          </cell>
        </row>
        <row r="253">
          <cell r="A253" t="str">
            <v>Food Waste (non-meat)</v>
          </cell>
          <cell r="B253">
            <v>1.622706214625282</v>
          </cell>
          <cell r="C253">
            <v>9.9999999999999978E-2</v>
          </cell>
          <cell r="D253">
            <v>1.4604355931627537</v>
          </cell>
          <cell r="E253">
            <v>0.54943265899223925</v>
          </cell>
          <cell r="F253">
            <v>9.6834080475168671E-2</v>
          </cell>
          <cell r="G253">
            <v>0.57400516018590109</v>
          </cell>
          <cell r="H253">
            <v>0.55439703049271571</v>
          </cell>
          <cell r="I253">
            <v>0.28397169199671335</v>
          </cell>
          <cell r="J253">
            <v>-0.11090288103745255</v>
          </cell>
          <cell r="K253">
            <v>0.03</v>
          </cell>
          <cell r="L253">
            <v>0.46080262938072319</v>
          </cell>
          <cell r="M253">
            <v>-9.6777713585199099E-2</v>
          </cell>
          <cell r="N253">
            <v>0.14986396685910378</v>
          </cell>
          <cell r="O253">
            <v>0.13385281877731325</v>
          </cell>
          <cell r="P253">
            <v>0.716283214363583</v>
          </cell>
          <cell r="Q253">
            <v>0.62576406857721989</v>
          </cell>
          <cell r="R253">
            <v>-6.9320251765564611E-2</v>
          </cell>
          <cell r="S253">
            <v>0.55644381681165522</v>
          </cell>
        </row>
        <row r="254">
          <cell r="A254" t="str">
            <v>Beef</v>
          </cell>
          <cell r="B254">
            <v>1.622706214625282</v>
          </cell>
          <cell r="C254">
            <v>9.9999999999999978E-2</v>
          </cell>
          <cell r="D254">
            <v>1.4604355931627537</v>
          </cell>
          <cell r="E254">
            <v>0.54943265899223925</v>
          </cell>
          <cell r="F254">
            <v>9.6834080475168671E-2</v>
          </cell>
          <cell r="G254">
            <v>0.57400516018590109</v>
          </cell>
          <cell r="H254">
            <v>0.55439703049271571</v>
          </cell>
          <cell r="I254">
            <v>0.28397169199671335</v>
          </cell>
          <cell r="J254">
            <v>-0.11090288103745255</v>
          </cell>
          <cell r="K254">
            <v>0.03</v>
          </cell>
          <cell r="L254">
            <v>0.46080262938072319</v>
          </cell>
          <cell r="M254">
            <v>-9.6777713585199099E-2</v>
          </cell>
          <cell r="N254">
            <v>0.14986396685910378</v>
          </cell>
          <cell r="O254">
            <v>0.13385281877731325</v>
          </cell>
          <cell r="P254">
            <v>0.716283214363583</v>
          </cell>
          <cell r="Q254">
            <v>0.62576406857721989</v>
          </cell>
          <cell r="R254">
            <v>-6.9320251765564611E-2</v>
          </cell>
          <cell r="S254">
            <v>0.55644381681165522</v>
          </cell>
        </row>
        <row r="255">
          <cell r="A255" t="str">
            <v>Poultry</v>
          </cell>
          <cell r="B255">
            <v>1.622706214625282</v>
          </cell>
          <cell r="C255">
            <v>9.9999999999999978E-2</v>
          </cell>
          <cell r="D255">
            <v>1.4604355931627537</v>
          </cell>
          <cell r="E255">
            <v>0.54943265899223925</v>
          </cell>
          <cell r="F255">
            <v>9.6834080475168671E-2</v>
          </cell>
          <cell r="G255">
            <v>0.57400516018590109</v>
          </cell>
          <cell r="H255">
            <v>0.55439703049271571</v>
          </cell>
          <cell r="I255">
            <v>0.28397169199671335</v>
          </cell>
          <cell r="J255">
            <v>-0.11090288103745255</v>
          </cell>
          <cell r="K255">
            <v>0.03</v>
          </cell>
          <cell r="L255">
            <v>0.46080262938072319</v>
          </cell>
          <cell r="M255">
            <v>-9.6777713585199099E-2</v>
          </cell>
          <cell r="N255">
            <v>0.14986396685910378</v>
          </cell>
          <cell r="O255">
            <v>0.13385281877731325</v>
          </cell>
          <cell r="P255">
            <v>0.716283214363583</v>
          </cell>
          <cell r="Q255">
            <v>0.62576406857721989</v>
          </cell>
          <cell r="R255">
            <v>-6.9320251765564611E-2</v>
          </cell>
          <cell r="S255">
            <v>0.55644381681165522</v>
          </cell>
        </row>
        <row r="256">
          <cell r="A256" t="str">
            <v>Grains</v>
          </cell>
          <cell r="B256">
            <v>1.622706214625282</v>
          </cell>
          <cell r="C256">
            <v>9.9999999999999978E-2</v>
          </cell>
          <cell r="D256">
            <v>1.4604355931627537</v>
          </cell>
          <cell r="E256">
            <v>0.54943265899223925</v>
          </cell>
          <cell r="F256">
            <v>9.6834080475168671E-2</v>
          </cell>
          <cell r="G256">
            <v>0.57400516018590109</v>
          </cell>
          <cell r="H256">
            <v>0.55439703049271571</v>
          </cell>
          <cell r="I256">
            <v>0.28397169199671335</v>
          </cell>
          <cell r="J256">
            <v>-0.11090288103745255</v>
          </cell>
          <cell r="K256">
            <v>0.03</v>
          </cell>
          <cell r="L256">
            <v>0.46080262938072319</v>
          </cell>
          <cell r="M256">
            <v>-9.6777713585199099E-2</v>
          </cell>
          <cell r="N256">
            <v>0.14986396685910378</v>
          </cell>
          <cell r="O256">
            <v>0.13385281877731325</v>
          </cell>
          <cell r="P256">
            <v>0.716283214363583</v>
          </cell>
          <cell r="Q256">
            <v>0.62576406857721989</v>
          </cell>
          <cell r="R256">
            <v>-6.9320251765564611E-2</v>
          </cell>
          <cell r="S256">
            <v>0.55644381681165522</v>
          </cell>
        </row>
        <row r="257">
          <cell r="A257" t="str">
            <v>Bread</v>
          </cell>
          <cell r="B257">
            <v>1.622706214625282</v>
          </cell>
          <cell r="C257">
            <v>9.9999999999999978E-2</v>
          </cell>
          <cell r="D257">
            <v>1.4604355931627537</v>
          </cell>
          <cell r="E257">
            <v>0.54943265899223925</v>
          </cell>
          <cell r="F257">
            <v>9.6834080475168671E-2</v>
          </cell>
          <cell r="G257">
            <v>0.57400516018590109</v>
          </cell>
          <cell r="H257">
            <v>0.55439703049271571</v>
          </cell>
          <cell r="I257">
            <v>0.28397169199671335</v>
          </cell>
          <cell r="J257">
            <v>-0.11090288103745255</v>
          </cell>
          <cell r="K257">
            <v>0.03</v>
          </cell>
          <cell r="L257">
            <v>0.46080262938072319</v>
          </cell>
          <cell r="M257">
            <v>-9.6777713585199099E-2</v>
          </cell>
          <cell r="N257">
            <v>0.14986396685910378</v>
          </cell>
          <cell r="O257">
            <v>0.13385281877731325</v>
          </cell>
          <cell r="P257">
            <v>0.716283214363583</v>
          </cell>
          <cell r="Q257">
            <v>0.62576406857721989</v>
          </cell>
          <cell r="R257">
            <v>-6.9320251765564611E-2</v>
          </cell>
          <cell r="S257">
            <v>0.55644381681165522</v>
          </cell>
        </row>
        <row r="258">
          <cell r="A258" t="str">
            <v>Fruits and Vegetables</v>
          </cell>
          <cell r="B258">
            <v>1.622706214625282</v>
          </cell>
          <cell r="C258">
            <v>9.9999999999999978E-2</v>
          </cell>
          <cell r="D258">
            <v>1.4604355931627537</v>
          </cell>
          <cell r="E258">
            <v>0.54943265899223925</v>
          </cell>
          <cell r="F258">
            <v>9.6834080475168671E-2</v>
          </cell>
          <cell r="G258">
            <v>0.57400516018590109</v>
          </cell>
          <cell r="H258">
            <v>0.55439703049271571</v>
          </cell>
          <cell r="I258">
            <v>0.28397169199671335</v>
          </cell>
          <cell r="J258">
            <v>-0.11090288103745255</v>
          </cell>
          <cell r="K258">
            <v>0.03</v>
          </cell>
          <cell r="L258">
            <v>0.46080262938072319</v>
          </cell>
          <cell r="M258">
            <v>-9.6777713585199099E-2</v>
          </cell>
          <cell r="N258">
            <v>0.14986396685910378</v>
          </cell>
          <cell r="O258">
            <v>0.13385281877731325</v>
          </cell>
          <cell r="P258">
            <v>0.716283214363583</v>
          </cell>
          <cell r="Q258">
            <v>0.62576406857721989</v>
          </cell>
          <cell r="R258">
            <v>-6.9320251765564611E-2</v>
          </cell>
          <cell r="S258">
            <v>0.55644381681165522</v>
          </cell>
        </row>
        <row r="259">
          <cell r="A259" t="str">
            <v>Dairy Products</v>
          </cell>
          <cell r="B259">
            <v>1.622706214625282</v>
          </cell>
          <cell r="C259">
            <v>9.9999999999999978E-2</v>
          </cell>
          <cell r="D259">
            <v>1.4604355931627537</v>
          </cell>
          <cell r="E259">
            <v>0.54943265899223925</v>
          </cell>
          <cell r="F259">
            <v>9.6834080475168671E-2</v>
          </cell>
          <cell r="G259">
            <v>0.57400516018590109</v>
          </cell>
          <cell r="H259">
            <v>0.55439703049271571</v>
          </cell>
          <cell r="I259">
            <v>0.28397169199671335</v>
          </cell>
          <cell r="J259">
            <v>-0.11090288103745255</v>
          </cell>
          <cell r="K259">
            <v>0.03</v>
          </cell>
          <cell r="L259">
            <v>0.46080262938072319</v>
          </cell>
          <cell r="M259">
            <v>-9.6777713585199099E-2</v>
          </cell>
          <cell r="N259">
            <v>0.14986396685910378</v>
          </cell>
          <cell r="O259">
            <v>0.13385281877731325</v>
          </cell>
          <cell r="P259">
            <v>0.716283214363583</v>
          </cell>
          <cell r="Q259">
            <v>0.62576406857721989</v>
          </cell>
          <cell r="R259">
            <v>-6.9320251765564611E-2</v>
          </cell>
          <cell r="S259">
            <v>0.55644381681165522</v>
          </cell>
        </row>
        <row r="260">
          <cell r="A260" t="str">
            <v>Yard Trimmings</v>
          </cell>
          <cell r="B260">
            <v>0.81032008938650013</v>
          </cell>
          <cell r="C260">
            <v>9.9999999999999978E-2</v>
          </cell>
          <cell r="D260">
            <v>0.7292880804478501</v>
          </cell>
          <cell r="E260">
            <v>0.48685270376967155</v>
          </cell>
          <cell r="F260">
            <v>0.11830359128985576</v>
          </cell>
          <cell r="G260">
            <v>0.31994978628106074</v>
          </cell>
          <cell r="H260">
            <v>0.50241173218643209</v>
          </cell>
          <cell r="I260">
            <v>0.32318793461679329</v>
          </cell>
          <cell r="J260">
            <v>-0.11090288103745255</v>
          </cell>
          <cell r="K260">
            <v>0.03</v>
          </cell>
          <cell r="L260">
            <v>0.26188567606731827</v>
          </cell>
          <cell r="M260">
            <v>-4.379564644101476E-2</v>
          </cell>
          <cell r="N260">
            <v>0.14986396685910378</v>
          </cell>
          <cell r="O260">
            <v>0.13385281877731325</v>
          </cell>
          <cell r="P260">
            <v>0.716283214363583</v>
          </cell>
          <cell r="Q260">
            <v>0.33970449932917374</v>
          </cell>
          <cell r="R260">
            <v>-3.1370086407901066E-2</v>
          </cell>
          <cell r="S260">
            <v>0.30833441292127267</v>
          </cell>
        </row>
        <row r="261">
          <cell r="A261" t="str">
            <v>Grass</v>
          </cell>
          <cell r="B261">
            <v>0.5688048319800002</v>
          </cell>
          <cell r="C261">
            <v>9.9999999999999978E-2</v>
          </cell>
          <cell r="D261">
            <v>0.51192434878200022</v>
          </cell>
          <cell r="E261">
            <v>0.51921655163175273</v>
          </cell>
          <cell r="F261">
            <v>9.2726525701043339E-2</v>
          </cell>
          <cell r="G261">
            <v>0.22072865269639486</v>
          </cell>
          <cell r="H261">
            <v>0.4631401101276475</v>
          </cell>
          <cell r="I261">
            <v>0.35054489694231128</v>
          </cell>
          <cell r="J261">
            <v>-0.11090288103745255</v>
          </cell>
          <cell r="K261">
            <v>0.03</v>
          </cell>
          <cell r="L261">
            <v>0.19939163120671785</v>
          </cell>
          <cell r="M261">
            <v>-2.8339372799484626E-2</v>
          </cell>
          <cell r="N261">
            <v>0.14986396685910378</v>
          </cell>
          <cell r="O261">
            <v>0.13385281877731325</v>
          </cell>
          <cell r="P261">
            <v>0.716283214363583</v>
          </cell>
          <cell r="Q261">
            <v>0.24908504450651101</v>
          </cell>
          <cell r="R261">
            <v>-2.0299017041862738E-2</v>
          </cell>
          <cell r="S261">
            <v>0.22878602746464827</v>
          </cell>
        </row>
        <row r="262">
          <cell r="A262" t="str">
            <v>Leaves</v>
          </cell>
          <cell r="B262">
            <v>0.65408019754000024</v>
          </cell>
          <cell r="C262">
            <v>9.9999999999999978E-2</v>
          </cell>
          <cell r="D262">
            <v>0.58867217778600023</v>
          </cell>
          <cell r="E262">
            <v>0.54694178227382262</v>
          </cell>
          <cell r="F262">
            <v>9.4538886646307094E-2</v>
          </cell>
          <cell r="G262">
            <v>0.23450039489463029</v>
          </cell>
          <cell r="H262">
            <v>0.53437119828546686</v>
          </cell>
          <cell r="I262">
            <v>0.29761864834213581</v>
          </cell>
          <cell r="J262">
            <v>-0.11090288103745255</v>
          </cell>
          <cell r="K262">
            <v>0.03</v>
          </cell>
          <cell r="L262">
            <v>0.19466646429921206</v>
          </cell>
          <cell r="M262">
            <v>-3.7600065888941901E-2</v>
          </cell>
          <cell r="N262">
            <v>0.14986396685910378</v>
          </cell>
          <cell r="O262">
            <v>0.13385281877731325</v>
          </cell>
          <cell r="P262">
            <v>0.716283214363583</v>
          </cell>
          <cell r="Q262">
            <v>0.25904560738067017</v>
          </cell>
          <cell r="R262">
            <v>-2.6932296055213818E-2</v>
          </cell>
          <cell r="S262">
            <v>0.23211331132545635</v>
          </cell>
        </row>
        <row r="263">
          <cell r="A263" t="str">
            <v>Branches</v>
          </cell>
          <cell r="B263">
            <v>1.4495904960459998</v>
          </cell>
          <cell r="C263">
            <v>9.9999999999999978E-2</v>
          </cell>
          <cell r="D263">
            <v>1.3046314464413997</v>
          </cell>
          <cell r="E263">
            <v>0.36203592954135794</v>
          </cell>
          <cell r="F263">
            <v>0.19322242711102924</v>
          </cell>
          <cell r="G263">
            <v>0.64469325939257915</v>
          </cell>
          <cell r="H263">
            <v>0.54899551020496618</v>
          </cell>
          <cell r="I263">
            <v>0.29404329624041475</v>
          </cell>
          <cell r="J263">
            <v>-0.11090288103745255</v>
          </cell>
          <cell r="K263">
            <v>0.03</v>
          </cell>
          <cell r="L263">
            <v>0.42624236765614371</v>
          </cell>
          <cell r="M263">
            <v>-8.5610826214344626E-2</v>
          </cell>
          <cell r="N263">
            <v>0.14986396685910378</v>
          </cell>
          <cell r="O263">
            <v>0.13385281877731325</v>
          </cell>
          <cell r="P263">
            <v>0.716283214363583</v>
          </cell>
          <cell r="Q263">
            <v>0.58712150707195554</v>
          </cell>
          <cell r="R263">
            <v>-6.132159778513286E-2</v>
          </cell>
          <cell r="S263">
            <v>0.52579990928682263</v>
          </cell>
        </row>
        <row r="264">
          <cell r="A264" t="str">
            <v>Mixed Paper (general)</v>
          </cell>
          <cell r="B264">
            <v>2.3832448707931113</v>
          </cell>
          <cell r="C264">
            <v>9.9999999999999978E-2</v>
          </cell>
          <cell r="D264">
            <v>2.1449203837138002</v>
          </cell>
          <cell r="E264">
            <v>0.42596176453049639</v>
          </cell>
          <cell r="F264">
            <v>0.16401256026098412</v>
          </cell>
          <cell r="G264">
            <v>0.97719158733418632</v>
          </cell>
          <cell r="H264">
            <v>0.58578512082506906</v>
          </cell>
          <cell r="I264">
            <v>0.26899175701936079</v>
          </cell>
          <cell r="J264">
            <v>-0.11090288103745255</v>
          </cell>
          <cell r="K264">
            <v>0.03</v>
          </cell>
          <cell r="L264">
            <v>0.64107322520201848</v>
          </cell>
          <cell r="M264">
            <v>-0.15018327337318957</v>
          </cell>
          <cell r="N264">
            <v>0.14986396685910378</v>
          </cell>
          <cell r="O264">
            <v>0.13385281877731325</v>
          </cell>
          <cell r="P264">
            <v>0.716283214363583</v>
          </cell>
          <cell r="Q264">
            <v>0.91143611614058995</v>
          </cell>
          <cell r="R264">
            <v>-0.10757375779539292</v>
          </cell>
          <cell r="S264">
            <v>0.80386235834519704</v>
          </cell>
        </row>
        <row r="265">
          <cell r="A265" t="str">
            <v>Mixed Paper (primarily residential)</v>
          </cell>
          <cell r="B265">
            <v>2.2946736526735392</v>
          </cell>
          <cell r="C265">
            <v>9.9999999999999978E-2</v>
          </cell>
          <cell r="D265">
            <v>2.0652062874061854</v>
          </cell>
          <cell r="E265">
            <v>0.42599503361604085</v>
          </cell>
          <cell r="F265">
            <v>0.16379996979667139</v>
          </cell>
          <cell r="G265">
            <v>0.94128659786388824</v>
          </cell>
          <cell r="H265">
            <v>0.58379433578750339</v>
          </cell>
          <cell r="I265">
            <v>0.27021018772655131</v>
          </cell>
          <cell r="J265">
            <v>-0.11090288103745255</v>
          </cell>
          <cell r="K265">
            <v>0.03</v>
          </cell>
          <cell r="L265">
            <v>0.62004419846008818</v>
          </cell>
          <cell r="M265">
            <v>-0.14411041497759766</v>
          </cell>
          <cell r="N265">
            <v>0.14986396685910378</v>
          </cell>
          <cell r="O265">
            <v>0.13385281877731325</v>
          </cell>
          <cell r="P265">
            <v>0.716283214363583</v>
          </cell>
          <cell r="Q265">
            <v>0.87962112253492541</v>
          </cell>
          <cell r="R265">
            <v>-0.10322387126342349</v>
          </cell>
          <cell r="S265">
            <v>0.77639725127150194</v>
          </cell>
        </row>
        <row r="266">
          <cell r="A266" t="str">
            <v>Mixed Paper (primarily from offices)</v>
          </cell>
          <cell r="B266">
            <v>2.2577848571899501</v>
          </cell>
          <cell r="C266">
            <v>9.9999999999999978E-2</v>
          </cell>
          <cell r="D266">
            <v>2.0320063714709553</v>
          </cell>
          <cell r="E266">
            <v>0.4760471607685911</v>
          </cell>
          <cell r="F266">
            <v>0.13883475964203107</v>
          </cell>
          <cell r="G266">
            <v>0.86951376832697125</v>
          </cell>
          <cell r="H266">
            <v>0.58971545742011644</v>
          </cell>
          <cell r="I266">
            <v>0.26453582289079053</v>
          </cell>
          <cell r="J266">
            <v>-0.11090288103745255</v>
          </cell>
          <cell r="K266">
            <v>0.03</v>
          </cell>
          <cell r="L266">
            <v>0.59726497510710941</v>
          </cell>
          <cell r="M266">
            <v>-0.14323185948133646</v>
          </cell>
          <cell r="N266">
            <v>0.14986396685910378</v>
          </cell>
          <cell r="O266">
            <v>0.13385281877731325</v>
          </cell>
          <cell r="P266">
            <v>0.716283214363583</v>
          </cell>
          <cell r="Q266">
            <v>0.84872228056436549</v>
          </cell>
          <cell r="R266">
            <v>-0.10259457670856473</v>
          </cell>
          <cell r="S266">
            <v>0.74612770385580074</v>
          </cell>
        </row>
        <row r="267">
          <cell r="A267" t="str">
            <v>Mixed Recyclables</v>
          </cell>
          <cell r="B267">
            <v>1.9734014132616131</v>
          </cell>
          <cell r="C267">
            <v>9.9999999999999978E-2</v>
          </cell>
          <cell r="D267">
            <v>1.7760612719354518</v>
          </cell>
          <cell r="E267">
            <v>0.36720166711215885</v>
          </cell>
          <cell r="F267">
            <v>0.1418948288497236</v>
          </cell>
          <cell r="G267">
            <v>0.96874966864389922</v>
          </cell>
          <cell r="H267">
            <v>0.50220119948912589</v>
          </cell>
          <cell r="I267">
            <v>0.23501984891496713</v>
          </cell>
          <cell r="J267">
            <v>-0.11090288103745255</v>
          </cell>
          <cell r="K267">
            <v>0.03</v>
          </cell>
          <cell r="L267">
            <v>0.46378850199332694</v>
          </cell>
          <cell r="M267">
            <v>-0.10661240568949137</v>
          </cell>
          <cell r="N267">
            <v>0.14986396685910378</v>
          </cell>
          <cell r="O267">
            <v>0.13385281877731325</v>
          </cell>
          <cell r="P267">
            <v>0.716283214363583</v>
          </cell>
          <cell r="Q267">
            <v>0.7280413804272976</v>
          </cell>
          <cell r="R267">
            <v>-7.6364676638303222E-2</v>
          </cell>
          <cell r="S267">
            <v>0.65167670378899434</v>
          </cell>
        </row>
        <row r="268">
          <cell r="A268" t="str">
            <v>Mixed Organics</v>
          </cell>
          <cell r="B268">
            <v>1.2328155960009999</v>
          </cell>
          <cell r="C268">
            <v>9.9999999999999978E-2</v>
          </cell>
          <cell r="D268">
            <v>1.1095340364008999</v>
          </cell>
          <cell r="E268">
            <v>0.51939849580655562</v>
          </cell>
          <cell r="F268">
            <v>0.1071379995021445</v>
          </cell>
          <cell r="G268">
            <v>0.46041163312062705</v>
          </cell>
          <cell r="H268">
            <v>0.52944758898170119</v>
          </cell>
          <cell r="I268">
            <v>0.30279284688875285</v>
          </cell>
          <cell r="J268">
            <v>-0.11090288103745255</v>
          </cell>
          <cell r="K268">
            <v>0.03</v>
          </cell>
          <cell r="L268">
            <v>0.37328774400199732</v>
          </cell>
          <cell r="M268">
            <v>-7.0215930825248477E-2</v>
          </cell>
          <cell r="N268">
            <v>0.14986396685910378</v>
          </cell>
          <cell r="O268">
            <v>0.13385281877731325</v>
          </cell>
          <cell r="P268">
            <v>0.716283214363583</v>
          </cell>
          <cell r="Q268">
            <v>0.49528631210757518</v>
          </cell>
          <cell r="R268">
            <v>-5.0294492631039966E-2</v>
          </cell>
          <cell r="S268">
            <v>0.44499181947653521</v>
          </cell>
        </row>
        <row r="269">
          <cell r="A269" t="str">
            <v>Mixed MSW</v>
          </cell>
          <cell r="B269">
            <v>1.6199727500000001</v>
          </cell>
          <cell r="C269">
            <v>9.9999999999999978E-2</v>
          </cell>
          <cell r="D269">
            <v>1.457975475</v>
          </cell>
          <cell r="E269">
            <v>0.47101132307861809</v>
          </cell>
          <cell r="F269">
            <v>0.14419916021890716</v>
          </cell>
          <cell r="G269">
            <v>0.62334853154367886</v>
          </cell>
          <cell r="H269">
            <v>0.61532106109291329</v>
          </cell>
          <cell r="I269">
            <v>0.24889775586729296</v>
          </cell>
          <cell r="J269">
            <v>-0.11090288103745255</v>
          </cell>
          <cell r="K269">
            <v>0.03</v>
          </cell>
          <cell r="L269">
            <v>0.40320758204116725</v>
          </cell>
          <cell r="M269">
            <v>-0.10723191260080971</v>
          </cell>
          <cell r="N269">
            <v>0.14986396685910378</v>
          </cell>
          <cell r="O269">
            <v>0.13385281877731325</v>
          </cell>
          <cell r="P269">
            <v>0.716283214363583</v>
          </cell>
          <cell r="Q269">
            <v>0.59074576921482191</v>
          </cell>
          <cell r="R269">
            <v>-7.6808419040062775E-2</v>
          </cell>
          <cell r="S269">
            <v>0.51393735017475917</v>
          </cell>
        </row>
        <row r="270">
          <cell r="A270" t="str">
            <v>Wood Flooring</v>
          </cell>
          <cell r="B270">
            <v>0.18143694800000035</v>
          </cell>
          <cell r="C270">
            <v>9.9999999999999978E-2</v>
          </cell>
          <cell r="D270">
            <v>0.16329325320000032</v>
          </cell>
          <cell r="E270">
            <v>0</v>
          </cell>
          <cell r="F270">
            <v>9.9999999999999978E-2</v>
          </cell>
          <cell r="G270">
            <v>0.16329325320000032</v>
          </cell>
          <cell r="H270">
            <v>0</v>
          </cell>
          <cell r="I270">
            <v>0.9</v>
          </cell>
          <cell r="J270">
            <v>-0.11090288103745255</v>
          </cell>
          <cell r="K270">
            <v>0.03</v>
          </cell>
          <cell r="L270">
            <v>0.16329325320000032</v>
          </cell>
          <cell r="M270">
            <v>0</v>
          </cell>
          <cell r="N270">
            <v>1</v>
          </cell>
          <cell r="O270">
            <v>0</v>
          </cell>
          <cell r="P270">
            <v>0</v>
          </cell>
          <cell r="Q270">
            <v>0.16329325320000032</v>
          </cell>
          <cell r="R270">
            <v>0</v>
          </cell>
          <cell r="S270">
            <v>0.16329325320000032</v>
          </cell>
        </row>
        <row r="271">
          <cell r="A271" t="str">
            <v>Drywall</v>
          </cell>
          <cell r="B271">
            <v>0</v>
          </cell>
          <cell r="C271">
            <v>9.9999999999999978E-2</v>
          </cell>
          <cell r="D271">
            <v>0</v>
          </cell>
          <cell r="E271">
            <v>0</v>
          </cell>
          <cell r="F271">
            <v>9.9999999999999978E-2</v>
          </cell>
          <cell r="G271">
            <v>0</v>
          </cell>
          <cell r="H271">
            <v>0</v>
          </cell>
          <cell r="I271">
            <v>0.9</v>
          </cell>
          <cell r="J271">
            <v>-0.11090288103745255</v>
          </cell>
          <cell r="K271">
            <v>0.03</v>
          </cell>
          <cell r="L271">
            <v>0</v>
          </cell>
          <cell r="M271">
            <v>0</v>
          </cell>
          <cell r="N271">
            <v>1</v>
          </cell>
          <cell r="O271">
            <v>0</v>
          </cell>
          <cell r="P271">
            <v>0</v>
          </cell>
          <cell r="Q271">
            <v>0</v>
          </cell>
          <cell r="R271">
            <v>0</v>
          </cell>
          <cell r="S271">
            <v>0</v>
          </cell>
        </row>
        <row r="278">
          <cell r="H278" t="str">
            <v>(h)</v>
          </cell>
          <cell r="I278" t="str">
            <v>(i)</v>
          </cell>
          <cell r="J278" t="str">
            <v>(j)</v>
          </cell>
          <cell r="K278" t="str">
            <v>(k)</v>
          </cell>
          <cell r="L278" t="str">
            <v>(l)</v>
          </cell>
          <cell r="M278" t="str">
            <v>(m)</v>
          </cell>
          <cell r="N278" t="str">
            <v>(n)</v>
          </cell>
          <cell r="O278" t="str">
            <v>(o)</v>
          </cell>
          <cell r="P278" t="str">
            <v>(p)</v>
          </cell>
          <cell r="Q278" t="str">
            <v>(q)</v>
          </cell>
          <cell r="R278" t="str">
            <v>( r)</v>
          </cell>
        </row>
        <row r="280">
          <cell r="H280" t="str">
            <v>Percentage of CH4 Recovered for Energy</v>
          </cell>
          <cell r="I280" t="str">
            <v>Percentage of CH4 Emitted</v>
          </cell>
          <cell r="J280" t="str">
            <v>Utility CO2 Emissions Avoided per MTCO2E CH4 Combusted (MTCO2E)</v>
          </cell>
          <cell r="K280" t="str">
            <v>Percentage of CH4 Recovered for Electricity Generation Not Utilized Due to System "Down Time"</v>
          </cell>
          <cell r="L280" t="str">
            <v>Net GHG Emissions From CH4 Generation (MTCO2E/Wet Ton)</v>
          </cell>
          <cell r="M280" t="str">
            <v>Utility CO2 Emissions Avoided (MTCO2E/Wet Ton)</v>
          </cell>
          <cell r="N280" t="str">
            <v>Percentage of CH4 From Landfills Without LFG Recovery in Current Inventory Year</v>
          </cell>
          <cell r="O280" t="str">
            <v>Percentage of CH4 From Landfills With LFG Recovery And Flaring in Current Inventory Year</v>
          </cell>
          <cell r="P280" t="str">
            <v>CH4 From Landfills With LFG Recovery and Electricity Generation in Current Inventory Year</v>
          </cell>
          <cell r="Q280" t="str">
            <v>Net CH4 Emissions from Landfilling (MTCO2E/Wet Ton)</v>
          </cell>
          <cell r="R280" t="str">
            <v>Net Avoided CO2 Emissions from Landfilling (MTCO2E/Wet Ton)</v>
          </cell>
        </row>
        <row r="281">
          <cell r="A281" t="str">
            <v>Corrugated Containers</v>
          </cell>
          <cell r="B281">
            <v>2.6232704732575001</v>
          </cell>
          <cell r="C281">
            <v>9.9999999999999978E-2</v>
          </cell>
          <cell r="D281">
            <v>2.3609434259317501</v>
          </cell>
          <cell r="E281">
            <v>0.32239527476506624</v>
          </cell>
          <cell r="F281">
            <v>0.21159062632970341</v>
          </cell>
          <cell r="G281">
            <v>1.2224810257797911</v>
          </cell>
          <cell r="H281">
            <v>0.61340665363397207</v>
          </cell>
          <cell r="I281">
            <v>0.2376662921228356</v>
          </cell>
          <cell r="J281">
            <v>-0.11090288103745255</v>
          </cell>
          <cell r="K281">
            <v>0.03</v>
          </cell>
          <cell r="L281">
            <v>0.62346296661442624</v>
          </cell>
          <cell r="M281">
            <v>-0.1731036064704187</v>
          </cell>
          <cell r="N281">
            <v>0.14986396685910378</v>
          </cell>
          <cell r="O281">
            <v>0.13385281877731325</v>
          </cell>
          <cell r="P281">
            <v>0.716283214363583</v>
          </cell>
          <cell r="Q281">
            <v>0.96402893630569753</v>
          </cell>
          <cell r="R281">
            <v>-0.12399120766056022</v>
          </cell>
          <cell r="S281">
            <v>0.84003772864513726</v>
          </cell>
        </row>
        <row r="282">
          <cell r="A282" t="str">
            <v>Magazines/Third-class Mail</v>
          </cell>
          <cell r="B282">
            <v>1.1946237049113888</v>
          </cell>
          <cell r="C282">
            <v>9.9999999999999978E-2</v>
          </cell>
          <cell r="D282">
            <v>1.07516133442025</v>
          </cell>
          <cell r="E282">
            <v>0.50263909863129141</v>
          </cell>
          <cell r="F282">
            <v>0.12913528814451905</v>
          </cell>
          <cell r="G282">
            <v>0.4398910463131494</v>
          </cell>
          <cell r="H282">
            <v>0.60779167370936216</v>
          </cell>
          <cell r="I282">
            <v>0.21777406744042099</v>
          </cell>
          <cell r="J282">
            <v>-0.11090288103745255</v>
          </cell>
          <cell r="K282">
            <v>0.03</v>
          </cell>
          <cell r="L282">
            <v>0.26015806327929836</v>
          </cell>
          <cell r="M282">
            <v>-7.8108884789257635E-2</v>
          </cell>
          <cell r="N282">
            <v>0.14986396685910378</v>
          </cell>
          <cell r="O282">
            <v>0.13385281877731325</v>
          </cell>
          <cell r="P282">
            <v>0.716283214363583</v>
          </cell>
          <cell r="Q282">
            <v>0.40635545290196307</v>
          </cell>
          <cell r="R282">
            <v>-5.5948083067204231E-2</v>
          </cell>
          <cell r="S282">
            <v>0.35040736983475884</v>
          </cell>
        </row>
        <row r="283">
          <cell r="A283" t="str">
            <v>Newspaper</v>
          </cell>
          <cell r="B283">
            <v>1.0471665853275001</v>
          </cell>
          <cell r="C283">
            <v>9.9999999999999978E-2</v>
          </cell>
          <cell r="D283">
            <v>0.94244992679475004</v>
          </cell>
          <cell r="E283">
            <v>0.3553118042423169</v>
          </cell>
          <cell r="F283">
            <v>0.19702142048032834</v>
          </cell>
          <cell r="G283">
            <v>0.46878168843176093</v>
          </cell>
          <cell r="H283">
            <v>0.6228977181013855</v>
          </cell>
          <cell r="I283">
            <v>0.22807028291285428</v>
          </cell>
          <cell r="J283">
            <v>-0.11090288103745255</v>
          </cell>
          <cell r="K283">
            <v>0.03</v>
          </cell>
          <cell r="L283">
            <v>0.23882757937253049</v>
          </cell>
          <cell r="M283">
            <v>-7.0169289350501263E-2</v>
          </cell>
          <cell r="N283">
            <v>0.14986396685910378</v>
          </cell>
          <cell r="O283">
            <v>0.13385281877731325</v>
          </cell>
          <cell r="P283">
            <v>0.716283214363583</v>
          </cell>
          <cell r="Q283">
            <v>0.3750552212149425</v>
          </cell>
          <cell r="R283">
            <v>-5.026108412558538E-2</v>
          </cell>
          <cell r="S283">
            <v>0.32479413708935712</v>
          </cell>
        </row>
        <row r="284">
          <cell r="A284" t="str">
            <v>Office Paper</v>
          </cell>
          <cell r="B284">
            <v>3.8859258337900004</v>
          </cell>
          <cell r="C284">
            <v>9.9999999999999978E-2</v>
          </cell>
          <cell r="D284">
            <v>3.4973332504110006</v>
          </cell>
          <cell r="E284">
            <v>0.34536716868144751</v>
          </cell>
          <cell r="F284">
            <v>0.20143628208758657</v>
          </cell>
          <cell r="G284">
            <v>1.7610881784410923</v>
          </cell>
          <cell r="H284">
            <v>0.62040087666297772</v>
          </cell>
          <cell r="I284">
            <v>0.2307596391086004</v>
          </cell>
          <cell r="J284">
            <v>-0.11090288103745255</v>
          </cell>
          <cell r="K284">
            <v>0.03</v>
          </cell>
          <cell r="L284">
            <v>0.89671484300816762</v>
          </cell>
          <cell r="M284">
            <v>-0.25934714589428892</v>
          </cell>
          <cell r="N284">
            <v>0.14986396685910378</v>
          </cell>
          <cell r="O284">
            <v>0.13385281877731325</v>
          </cell>
          <cell r="P284">
            <v>0.716283214363583</v>
          </cell>
          <cell r="Q284">
            <v>1.4021526412520062</v>
          </cell>
          <cell r="R284">
            <v>-0.18576600729718237</v>
          </cell>
          <cell r="S284">
            <v>1.2163866339548239</v>
          </cell>
        </row>
        <row r="285">
          <cell r="A285" t="str">
            <v>Phonebooks</v>
          </cell>
          <cell r="B285">
            <v>1.0471665853275001</v>
          </cell>
          <cell r="C285">
            <v>9.9999999999999978E-2</v>
          </cell>
          <cell r="D285">
            <v>0.94244992679475004</v>
          </cell>
          <cell r="E285">
            <v>0.3553118042423169</v>
          </cell>
          <cell r="F285">
            <v>0.19702142048032834</v>
          </cell>
          <cell r="G285">
            <v>0.46878168843176093</v>
          </cell>
          <cell r="H285">
            <v>0.6228977181013855</v>
          </cell>
          <cell r="I285">
            <v>0.22807028291285428</v>
          </cell>
          <cell r="J285">
            <v>-0.11090288103745255</v>
          </cell>
          <cell r="K285">
            <v>0.03</v>
          </cell>
          <cell r="L285">
            <v>0.23882757937253049</v>
          </cell>
          <cell r="M285">
            <v>-7.0169289350501263E-2</v>
          </cell>
          <cell r="N285">
            <v>0.14986396685910378</v>
          </cell>
          <cell r="O285">
            <v>0.13385281877731325</v>
          </cell>
          <cell r="P285">
            <v>0.716283214363583</v>
          </cell>
          <cell r="Q285">
            <v>0.3750552212149425</v>
          </cell>
          <cell r="R285">
            <v>-5.026108412558538E-2</v>
          </cell>
          <cell r="S285">
            <v>0.32479413708935712</v>
          </cell>
        </row>
        <row r="286">
          <cell r="A286" t="str">
            <v>Textbooks</v>
          </cell>
          <cell r="B286">
            <v>3.8859258337900004</v>
          </cell>
          <cell r="C286">
            <v>9.9999999999999978E-2</v>
          </cell>
          <cell r="D286">
            <v>3.4973332504110006</v>
          </cell>
          <cell r="E286">
            <v>0.34536716868144751</v>
          </cell>
          <cell r="F286">
            <v>0.20143628208758657</v>
          </cell>
          <cell r="G286">
            <v>1.7610881784410923</v>
          </cell>
          <cell r="H286">
            <v>0.62040087666297772</v>
          </cell>
          <cell r="I286">
            <v>0.2307596391086004</v>
          </cell>
          <cell r="J286">
            <v>-0.11090288103745255</v>
          </cell>
          <cell r="K286">
            <v>0.03</v>
          </cell>
          <cell r="L286">
            <v>0.89671484300816762</v>
          </cell>
          <cell r="M286">
            <v>-0.25934714589428892</v>
          </cell>
          <cell r="N286">
            <v>0.14986396685910378</v>
          </cell>
          <cell r="O286">
            <v>0.13385281877731325</v>
          </cell>
          <cell r="P286">
            <v>0.716283214363583</v>
          </cell>
          <cell r="Q286">
            <v>1.4021526412520062</v>
          </cell>
          <cell r="R286">
            <v>-0.18576600729718237</v>
          </cell>
          <cell r="S286">
            <v>1.2163866339548239</v>
          </cell>
        </row>
        <row r="287">
          <cell r="A287" t="str">
            <v>Dimensional Lumber</v>
          </cell>
          <cell r="B287">
            <v>0.16645220006249997</v>
          </cell>
          <cell r="C287">
            <v>9.9999999999999978E-2</v>
          </cell>
          <cell r="D287">
            <v>0.14980698005624998</v>
          </cell>
          <cell r="E287">
            <v>0.45467250012229793</v>
          </cell>
          <cell r="F287">
            <v>0.15201243637110004</v>
          </cell>
          <cell r="G287">
            <v>6.5468157638395794E-2</v>
          </cell>
          <cell r="H287">
            <v>0.62671222636384316</v>
          </cell>
          <cell r="I287">
            <v>0.21315411013691674</v>
          </cell>
          <cell r="J287">
            <v>-0.11090288103745255</v>
          </cell>
          <cell r="K287">
            <v>0.03</v>
          </cell>
          <cell r="L287">
            <v>3.547997058465422E-2</v>
          </cell>
          <cell r="M287">
            <v>-1.1222051818679846E-2</v>
          </cell>
          <cell r="N287">
            <v>0.14986396685910378</v>
          </cell>
          <cell r="O287">
            <v>0.13385281877731325</v>
          </cell>
          <cell r="P287">
            <v>0.716283214363583</v>
          </cell>
          <cell r="Q287">
            <v>5.6627473110370537E-2</v>
          </cell>
          <cell r="R287">
            <v>-8.0381673484386934E-3</v>
          </cell>
          <cell r="S287">
            <v>4.8589305761931843E-2</v>
          </cell>
        </row>
        <row r="288">
          <cell r="A288" t="str">
            <v>Medium-density Fiberboard</v>
          </cell>
          <cell r="B288">
            <v>5.5889059875000008E-2</v>
          </cell>
          <cell r="C288">
            <v>9.9999999999999978E-2</v>
          </cell>
          <cell r="D288">
            <v>5.0300153887500011E-2</v>
          </cell>
          <cell r="E288">
            <v>0.4243682232379562</v>
          </cell>
          <cell r="F288">
            <v>0.1659609005789153</v>
          </cell>
          <cell r="G288">
            <v>2.2896120128042582E-2</v>
          </cell>
          <cell r="H288">
            <v>0.63025742627802916</v>
          </cell>
          <cell r="I288">
            <v>0.21503763651363073</v>
          </cell>
          <cell r="J288">
            <v>-0.11090288103745255</v>
          </cell>
          <cell r="K288">
            <v>0.03</v>
          </cell>
          <cell r="L288">
            <v>1.2018251342488795E-2</v>
          </cell>
          <cell r="M288">
            <v>-3.789303042880221E-3</v>
          </cell>
          <cell r="N288">
            <v>0.14986396685910378</v>
          </cell>
          <cell r="O288">
            <v>0.13385281877731325</v>
          </cell>
          <cell r="P288">
            <v>0.716283214363583</v>
          </cell>
          <cell r="Q288">
            <v>1.921136251603392E-2</v>
          </cell>
          <cell r="R288">
            <v>-2.7142141637519508E-3</v>
          </cell>
          <cell r="S288">
            <v>1.6497148352281971E-2</v>
          </cell>
        </row>
        <row r="289">
          <cell r="A289" t="str">
            <v>Food Waste</v>
          </cell>
          <cell r="B289">
            <v>1.622706214625282</v>
          </cell>
          <cell r="C289">
            <v>9.9999999999999978E-2</v>
          </cell>
          <cell r="D289">
            <v>1.4604355931627537</v>
          </cell>
          <cell r="E289">
            <v>0.51965272064696855</v>
          </cell>
          <cell r="F289">
            <v>0.12054682775616882</v>
          </cell>
          <cell r="G289">
            <v>0.58385042883121196</v>
          </cell>
          <cell r="H289">
            <v>0.59464760806320316</v>
          </cell>
          <cell r="I289">
            <v>0.22314183944559096</v>
          </cell>
          <cell r="J289">
            <v>-0.11090288103745255</v>
          </cell>
          <cell r="K289">
            <v>0.03</v>
          </cell>
          <cell r="L289">
            <v>0.36209364961127732</v>
          </cell>
          <cell r="M289">
            <v>-0.10380401180381239</v>
          </cell>
          <cell r="N289">
            <v>0.14986396685910378</v>
          </cell>
          <cell r="O289">
            <v>0.13385281877731325</v>
          </cell>
          <cell r="P289">
            <v>0.716283214363583</v>
          </cell>
          <cell r="Q289">
            <v>0.55637830022120593</v>
          </cell>
          <cell r="R289">
            <v>-7.4353071238670049E-2</v>
          </cell>
          <cell r="S289">
            <v>0.48202522898253586</v>
          </cell>
        </row>
        <row r="290">
          <cell r="A290" t="str">
            <v>Food Waste (meat only)</v>
          </cell>
          <cell r="B290">
            <v>1.622706214625282</v>
          </cell>
          <cell r="C290">
            <v>9.9999999999999978E-2</v>
          </cell>
          <cell r="D290">
            <v>1.4604355931627537</v>
          </cell>
          <cell r="E290">
            <v>0.51965272064696855</v>
          </cell>
          <cell r="F290">
            <v>0.12054682775616882</v>
          </cell>
          <cell r="G290">
            <v>0.58385042883121196</v>
          </cell>
          <cell r="H290">
            <v>0.59464760806320316</v>
          </cell>
          <cell r="I290">
            <v>0.22314183944559096</v>
          </cell>
          <cell r="J290">
            <v>-0.11090288103745255</v>
          </cell>
          <cell r="K290">
            <v>0.03</v>
          </cell>
          <cell r="L290">
            <v>0.36209364961127732</v>
          </cell>
          <cell r="M290">
            <v>-0.10380401180381239</v>
          </cell>
          <cell r="N290">
            <v>0.14986396685910378</v>
          </cell>
          <cell r="O290">
            <v>0.13385281877731325</v>
          </cell>
          <cell r="P290">
            <v>0.716283214363583</v>
          </cell>
          <cell r="Q290">
            <v>0.55637830022120593</v>
          </cell>
          <cell r="R290">
            <v>-7.4353071238670049E-2</v>
          </cell>
          <cell r="S290">
            <v>0.48202522898253586</v>
          </cell>
        </row>
        <row r="291">
          <cell r="A291" t="str">
            <v>Food Waste (non-meat)</v>
          </cell>
          <cell r="B291">
            <v>1.622706214625282</v>
          </cell>
          <cell r="C291">
            <v>9.9999999999999978E-2</v>
          </cell>
          <cell r="D291">
            <v>1.4604355931627537</v>
          </cell>
          <cell r="E291">
            <v>0.51965272064696855</v>
          </cell>
          <cell r="F291">
            <v>0.12054682775616882</v>
          </cell>
          <cell r="G291">
            <v>0.58385042883121196</v>
          </cell>
          <cell r="H291">
            <v>0.59464760806320316</v>
          </cell>
          <cell r="I291">
            <v>0.22314183944559096</v>
          </cell>
          <cell r="J291">
            <v>-0.11090288103745255</v>
          </cell>
          <cell r="K291">
            <v>0.03</v>
          </cell>
          <cell r="L291">
            <v>0.36209364961127732</v>
          </cell>
          <cell r="M291">
            <v>-0.10380401180381239</v>
          </cell>
          <cell r="N291">
            <v>0.14986396685910378</v>
          </cell>
          <cell r="O291">
            <v>0.13385281877731325</v>
          </cell>
          <cell r="P291">
            <v>0.716283214363583</v>
          </cell>
          <cell r="Q291">
            <v>0.55637830022120593</v>
          </cell>
          <cell r="R291">
            <v>-7.4353071238670049E-2</v>
          </cell>
          <cell r="S291">
            <v>0.48202522898253586</v>
          </cell>
        </row>
        <row r="292">
          <cell r="A292" t="str">
            <v>Beef</v>
          </cell>
          <cell r="B292">
            <v>1.622706214625282</v>
          </cell>
          <cell r="C292">
            <v>9.9999999999999978E-2</v>
          </cell>
          <cell r="D292">
            <v>1.4604355931627537</v>
          </cell>
          <cell r="E292">
            <v>0.51965272064696855</v>
          </cell>
          <cell r="F292">
            <v>0.12054682775616882</v>
          </cell>
          <cell r="G292">
            <v>0.58385042883121196</v>
          </cell>
          <cell r="H292">
            <v>0.59464760806320316</v>
          </cell>
          <cell r="I292">
            <v>0.22314183944559096</v>
          </cell>
          <cell r="J292">
            <v>-0.11090288103745255</v>
          </cell>
          <cell r="K292">
            <v>0.03</v>
          </cell>
          <cell r="L292">
            <v>0.36209364961127732</v>
          </cell>
          <cell r="M292">
            <v>-0.10380401180381239</v>
          </cell>
          <cell r="N292">
            <v>0.14986396685910378</v>
          </cell>
          <cell r="O292">
            <v>0.13385281877731325</v>
          </cell>
          <cell r="P292">
            <v>0.716283214363583</v>
          </cell>
          <cell r="Q292">
            <v>0.55637830022120593</v>
          </cell>
          <cell r="R292">
            <v>-7.4353071238670049E-2</v>
          </cell>
          <cell r="S292">
            <v>0.48202522898253586</v>
          </cell>
        </row>
        <row r="293">
          <cell r="A293" t="str">
            <v>Poultry</v>
          </cell>
          <cell r="B293">
            <v>1.622706214625282</v>
          </cell>
          <cell r="C293">
            <v>9.9999999999999978E-2</v>
          </cell>
          <cell r="D293">
            <v>1.4604355931627537</v>
          </cell>
          <cell r="E293">
            <v>0.51965272064696855</v>
          </cell>
          <cell r="F293">
            <v>0.12054682775616882</v>
          </cell>
          <cell r="G293">
            <v>0.58385042883121196</v>
          </cell>
          <cell r="H293">
            <v>0.59464760806320316</v>
          </cell>
          <cell r="I293">
            <v>0.22314183944559096</v>
          </cell>
          <cell r="J293">
            <v>-0.11090288103745255</v>
          </cell>
          <cell r="K293">
            <v>0.03</v>
          </cell>
          <cell r="L293">
            <v>0.36209364961127732</v>
          </cell>
          <cell r="M293">
            <v>-0.10380401180381239</v>
          </cell>
          <cell r="N293">
            <v>0.14986396685910378</v>
          </cell>
          <cell r="O293">
            <v>0.13385281877731325</v>
          </cell>
          <cell r="P293">
            <v>0.716283214363583</v>
          </cell>
          <cell r="Q293">
            <v>0.55637830022120593</v>
          </cell>
          <cell r="R293">
            <v>-7.4353071238670049E-2</v>
          </cell>
          <cell r="S293">
            <v>0.48202522898253586</v>
          </cell>
        </row>
        <row r="294">
          <cell r="A294" t="str">
            <v>Grains</v>
          </cell>
          <cell r="B294">
            <v>1.622706214625282</v>
          </cell>
          <cell r="C294">
            <v>9.9999999999999978E-2</v>
          </cell>
          <cell r="D294">
            <v>1.4604355931627537</v>
          </cell>
          <cell r="E294">
            <v>0.51965272064696855</v>
          </cell>
          <cell r="F294">
            <v>0.12054682775616882</v>
          </cell>
          <cell r="G294">
            <v>0.58385042883121196</v>
          </cell>
          <cell r="H294">
            <v>0.59464760806320316</v>
          </cell>
          <cell r="I294">
            <v>0.22314183944559096</v>
          </cell>
          <cell r="J294">
            <v>-0.11090288103745255</v>
          </cell>
          <cell r="K294">
            <v>0.03</v>
          </cell>
          <cell r="L294">
            <v>0.36209364961127732</v>
          </cell>
          <cell r="M294">
            <v>-0.10380401180381239</v>
          </cell>
          <cell r="N294">
            <v>0.14986396685910378</v>
          </cell>
          <cell r="O294">
            <v>0.13385281877731325</v>
          </cell>
          <cell r="P294">
            <v>0.716283214363583</v>
          </cell>
          <cell r="Q294">
            <v>0.55637830022120593</v>
          </cell>
          <cell r="R294">
            <v>-7.4353071238670049E-2</v>
          </cell>
          <cell r="S294">
            <v>0.48202522898253586</v>
          </cell>
        </row>
        <row r="295">
          <cell r="A295" t="str">
            <v>Bread</v>
          </cell>
          <cell r="B295">
            <v>1.622706214625282</v>
          </cell>
          <cell r="C295">
            <v>9.9999999999999978E-2</v>
          </cell>
          <cell r="D295">
            <v>1.4604355931627537</v>
          </cell>
          <cell r="E295">
            <v>0.51965272064696855</v>
          </cell>
          <cell r="F295">
            <v>0.12054682775616882</v>
          </cell>
          <cell r="G295">
            <v>0.58385042883121196</v>
          </cell>
          <cell r="H295">
            <v>0.59464760806320316</v>
          </cell>
          <cell r="I295">
            <v>0.22314183944559096</v>
          </cell>
          <cell r="J295">
            <v>-0.11090288103745255</v>
          </cell>
          <cell r="K295">
            <v>0.03</v>
          </cell>
          <cell r="L295">
            <v>0.36209364961127732</v>
          </cell>
          <cell r="M295">
            <v>-0.10380401180381239</v>
          </cell>
          <cell r="N295">
            <v>0.14986396685910378</v>
          </cell>
          <cell r="O295">
            <v>0.13385281877731325</v>
          </cell>
          <cell r="P295">
            <v>0.716283214363583</v>
          </cell>
          <cell r="Q295">
            <v>0.55637830022120593</v>
          </cell>
          <cell r="R295">
            <v>-7.4353071238670049E-2</v>
          </cell>
          <cell r="S295">
            <v>0.48202522898253586</v>
          </cell>
        </row>
        <row r="296">
          <cell r="A296" t="str">
            <v>Fruits and Vegetables</v>
          </cell>
          <cell r="B296">
            <v>1.622706214625282</v>
          </cell>
          <cell r="C296">
            <v>9.9999999999999978E-2</v>
          </cell>
          <cell r="D296">
            <v>1.4604355931627537</v>
          </cell>
          <cell r="E296">
            <v>0.51965272064696855</v>
          </cell>
          <cell r="F296">
            <v>0.12054682775616882</v>
          </cell>
          <cell r="G296">
            <v>0.58385042883121196</v>
          </cell>
          <cell r="H296">
            <v>0.59464760806320316</v>
          </cell>
          <cell r="I296">
            <v>0.22314183944559096</v>
          </cell>
          <cell r="J296">
            <v>-0.11090288103745255</v>
          </cell>
          <cell r="K296">
            <v>0.03</v>
          </cell>
          <cell r="L296">
            <v>0.36209364961127732</v>
          </cell>
          <cell r="M296">
            <v>-0.10380401180381239</v>
          </cell>
          <cell r="N296">
            <v>0.14986396685910378</v>
          </cell>
          <cell r="O296">
            <v>0.13385281877731325</v>
          </cell>
          <cell r="P296">
            <v>0.716283214363583</v>
          </cell>
          <cell r="Q296">
            <v>0.55637830022120593</v>
          </cell>
          <cell r="R296">
            <v>-7.4353071238670049E-2</v>
          </cell>
          <cell r="S296">
            <v>0.48202522898253586</v>
          </cell>
        </row>
        <row r="297">
          <cell r="A297" t="str">
            <v>Dairy Products</v>
          </cell>
          <cell r="B297">
            <v>1.622706214625282</v>
          </cell>
          <cell r="C297">
            <v>9.9999999999999978E-2</v>
          </cell>
          <cell r="D297">
            <v>1.4604355931627537</v>
          </cell>
          <cell r="E297">
            <v>0.51965272064696855</v>
          </cell>
          <cell r="F297">
            <v>0.12054682775616882</v>
          </cell>
          <cell r="G297">
            <v>0.58385042883121196</v>
          </cell>
          <cell r="H297">
            <v>0.59464760806320316</v>
          </cell>
          <cell r="I297">
            <v>0.22314183944559096</v>
          </cell>
          <cell r="J297">
            <v>-0.11090288103745255</v>
          </cell>
          <cell r="K297">
            <v>0.03</v>
          </cell>
          <cell r="L297">
            <v>0.36209364961127732</v>
          </cell>
          <cell r="M297">
            <v>-0.10380401180381239</v>
          </cell>
          <cell r="N297">
            <v>0.14986396685910378</v>
          </cell>
          <cell r="O297">
            <v>0.13385281877731325</v>
          </cell>
          <cell r="P297">
            <v>0.716283214363583</v>
          </cell>
          <cell r="Q297">
            <v>0.55637830022120593</v>
          </cell>
          <cell r="R297">
            <v>-7.4353071238670049E-2</v>
          </cell>
          <cell r="S297">
            <v>0.48202522898253586</v>
          </cell>
        </row>
        <row r="298">
          <cell r="A298" t="str">
            <v>Yard Trimmings</v>
          </cell>
          <cell r="B298">
            <v>0.81032008938650013</v>
          </cell>
          <cell r="C298">
            <v>9.9999999999999978E-2</v>
          </cell>
          <cell r="D298">
            <v>0.7292880804478501</v>
          </cell>
          <cell r="E298">
            <v>0.48967423486170625</v>
          </cell>
          <cell r="F298">
            <v>0.13033111115194412</v>
          </cell>
          <cell r="G298">
            <v>0.30791730198461104</v>
          </cell>
          <cell r="H298">
            <v>0.55281047612416367</v>
          </cell>
          <cell r="I298">
            <v>0.25205890730992009</v>
          </cell>
          <cell r="J298">
            <v>-0.11090288103745255</v>
          </cell>
          <cell r="K298">
            <v>0.03</v>
          </cell>
          <cell r="L298">
            <v>0.204248396302038</v>
          </cell>
          <cell r="M298">
            <v>-4.8188946655089132E-2</v>
          </cell>
          <cell r="N298">
            <v>0.14986396685910378</v>
          </cell>
          <cell r="O298">
            <v>0.13385281877731325</v>
          </cell>
          <cell r="P298">
            <v>0.716283214363583</v>
          </cell>
          <cell r="Q298">
            <v>0.29680930137175215</v>
          </cell>
          <cell r="R298">
            <v>-3.4516933606902472E-2</v>
          </cell>
          <cell r="S298">
            <v>0.26229236776484965</v>
          </cell>
        </row>
        <row r="299">
          <cell r="A299" t="str">
            <v>Grass</v>
          </cell>
          <cell r="B299">
            <v>0.5688048319800002</v>
          </cell>
          <cell r="C299">
            <v>9.9999999999999978E-2</v>
          </cell>
          <cell r="D299">
            <v>0.51192434878200022</v>
          </cell>
          <cell r="E299">
            <v>0.55748757108583136</v>
          </cell>
          <cell r="F299">
            <v>9.5666812205217541E-2</v>
          </cell>
          <cell r="G299">
            <v>0.19728746273513448</v>
          </cell>
          <cell r="H299">
            <v>0.51218469148186796</v>
          </cell>
          <cell r="I299">
            <v>0.26771025878749377</v>
          </cell>
          <cell r="J299">
            <v>-0.11090288103745255</v>
          </cell>
          <cell r="K299">
            <v>0.03</v>
          </cell>
          <cell r="L299">
            <v>0.15227488876894277</v>
          </cell>
          <cell r="M299">
            <v>-3.1340392673165691E-2</v>
          </cell>
          <cell r="N299">
            <v>0.14986396685910378</v>
          </cell>
          <cell r="O299">
            <v>0.13385281877731325</v>
          </cell>
          <cell r="P299">
            <v>0.716283214363583</v>
          </cell>
          <cell r="Q299">
            <v>0.21219844343103123</v>
          </cell>
          <cell r="R299">
            <v>-2.2448597203352006E-2</v>
          </cell>
          <cell r="S299">
            <v>0.18974984622767921</v>
          </cell>
        </row>
        <row r="300">
          <cell r="A300" t="str">
            <v>Leaves</v>
          </cell>
          <cell r="B300">
            <v>0.65408019754000024</v>
          </cell>
          <cell r="C300">
            <v>9.9999999999999978E-2</v>
          </cell>
          <cell r="D300">
            <v>0.58867217778600023</v>
          </cell>
          <cell r="E300">
            <v>0.53432199174013417</v>
          </cell>
          <cell r="F300">
            <v>0.11268091065664267</v>
          </cell>
          <cell r="G300">
            <v>0.23088841133136295</v>
          </cell>
          <cell r="H300">
            <v>0.57815915226631265</v>
          </cell>
          <cell r="I300">
            <v>0.23082428477059344</v>
          </cell>
          <cell r="J300">
            <v>-0.11090288103745255</v>
          </cell>
          <cell r="K300">
            <v>0.03</v>
          </cell>
          <cell r="L300">
            <v>0.15097759377977904</v>
          </cell>
          <cell r="M300">
            <v>-4.068112632053765E-2</v>
          </cell>
          <cell r="N300">
            <v>0.14986396685910378</v>
          </cell>
          <cell r="O300">
            <v>0.13385281877731325</v>
          </cell>
          <cell r="P300">
            <v>0.716283214363583</v>
          </cell>
          <cell r="Q300">
            <v>0.22726852859177568</v>
          </cell>
          <cell r="R300">
            <v>-2.9139207924805666E-2</v>
          </cell>
          <cell r="S300">
            <v>0.19812932066697</v>
          </cell>
        </row>
        <row r="301">
          <cell r="A301" t="str">
            <v>Branches</v>
          </cell>
          <cell r="B301">
            <v>1.4495904960459998</v>
          </cell>
          <cell r="C301">
            <v>9.9999999999999978E-2</v>
          </cell>
          <cell r="D301">
            <v>1.3046314464413997</v>
          </cell>
          <cell r="E301">
            <v>0.30939980553502799</v>
          </cell>
          <cell r="F301">
            <v>0.21730990954069868</v>
          </cell>
          <cell r="G301">
            <v>0.68607709889712998</v>
          </cell>
          <cell r="H301">
            <v>0.6087133692666058</v>
          </cell>
          <cell r="I301">
            <v>0.24199082689409926</v>
          </cell>
          <cell r="J301">
            <v>-0.11090288103745255</v>
          </cell>
          <cell r="K301">
            <v>0.03</v>
          </cell>
          <cell r="L301">
            <v>0.35078760279599902</v>
          </cell>
          <cell r="M301">
            <v>-9.4923279884703449E-2</v>
          </cell>
          <cell r="N301">
            <v>0.14986396685910378</v>
          </cell>
          <cell r="O301">
            <v>0.13385281877731325</v>
          </cell>
          <cell r="P301">
            <v>0.716283214363583</v>
          </cell>
          <cell r="Q301">
            <v>0.53861386912839482</v>
          </cell>
          <cell r="R301">
            <v>-6.7991952033749428E-2</v>
          </cell>
          <cell r="S301">
            <v>0.4706219170946454</v>
          </cell>
        </row>
        <row r="302">
          <cell r="A302" t="str">
            <v>Mixed Paper (general)</v>
          </cell>
          <cell r="B302">
            <v>2.3832448707931113</v>
          </cell>
          <cell r="C302">
            <v>9.9999999999999978E-2</v>
          </cell>
          <cell r="D302">
            <v>2.1449203837138002</v>
          </cell>
          <cell r="E302">
            <v>0.34930912653218066</v>
          </cell>
          <cell r="F302">
            <v>0.19946672102261528</v>
          </cell>
          <cell r="G302">
            <v>1.0753776468930016</v>
          </cell>
          <cell r="H302">
            <v>0.6166341553179836</v>
          </cell>
          <cell r="I302">
            <v>0.23239054133499989</v>
          </cell>
          <cell r="J302">
            <v>-0.11090288103745255</v>
          </cell>
          <cell r="K302">
            <v>0.03</v>
          </cell>
          <cell r="L302">
            <v>0.55384356565747306</v>
          </cell>
          <cell r="M302">
            <v>-0.15809233220012395</v>
          </cell>
          <cell r="N302">
            <v>0.14986396685910378</v>
          </cell>
          <cell r="O302">
            <v>0.13385281877731325</v>
          </cell>
          <cell r="P302">
            <v>0.716283214363583</v>
          </cell>
          <cell r="Q302">
            <v>0.8620974560507666</v>
          </cell>
          <cell r="R302">
            <v>-0.11323888387454016</v>
          </cell>
          <cell r="S302">
            <v>0.74885857217622642</v>
          </cell>
        </row>
        <row r="303">
          <cell r="A303" t="str">
            <v>Mixed Paper (primarily residential)</v>
          </cell>
          <cell r="B303">
            <v>2.2946736526735392</v>
          </cell>
          <cell r="C303">
            <v>9.9999999999999978E-2</v>
          </cell>
          <cell r="D303">
            <v>2.0652062874061854</v>
          </cell>
          <cell r="E303">
            <v>0.35120652407974984</v>
          </cell>
          <cell r="F303">
            <v>0.19857256697193237</v>
          </cell>
          <cell r="G303">
            <v>1.0331100576464374</v>
          </cell>
          <cell r="H303">
            <v>0.616007291693077</v>
          </cell>
          <cell r="I303">
            <v>0.23250305611430552</v>
          </cell>
          <cell r="J303">
            <v>-0.11090288103745255</v>
          </cell>
          <cell r="K303">
            <v>0.03</v>
          </cell>
          <cell r="L303">
            <v>0.53351863703157432</v>
          </cell>
          <cell r="M303">
            <v>-0.15206222635813321</v>
          </cell>
          <cell r="N303">
            <v>0.14986396685910378</v>
          </cell>
          <cell r="O303">
            <v>0.13385281877731325</v>
          </cell>
          <cell r="P303">
            <v>0.716283214363583</v>
          </cell>
          <cell r="Q303">
            <v>0.82993514419207526</v>
          </cell>
          <cell r="R303">
            <v>-0.10891962027908642</v>
          </cell>
          <cell r="S303">
            <v>0.72101552391298884</v>
          </cell>
        </row>
        <row r="304">
          <cell r="A304" t="str">
            <v>Mixed Paper (primarily from offices)</v>
          </cell>
          <cell r="B304">
            <v>2.2577848571899501</v>
          </cell>
          <cell r="C304">
            <v>9.9999999999999978E-2</v>
          </cell>
          <cell r="D304">
            <v>2.0320063714709553</v>
          </cell>
          <cell r="E304">
            <v>0.40292484223535485</v>
          </cell>
          <cell r="F304">
            <v>0.17498852054266387</v>
          </cell>
          <cell r="G304">
            <v>0.95298081794201728</v>
          </cell>
          <cell r="H304">
            <v>0.61603618915029146</v>
          </cell>
          <cell r="I304">
            <v>0.22586540115766088</v>
          </cell>
          <cell r="J304">
            <v>-0.11090288103745255</v>
          </cell>
          <cell r="K304">
            <v>0.03</v>
          </cell>
          <cell r="L304">
            <v>0.50995548249690015</v>
          </cell>
          <cell r="M304">
            <v>-0.14962471776779754</v>
          </cell>
          <cell r="N304">
            <v>0.14986396685910378</v>
          </cell>
          <cell r="O304">
            <v>0.13385281877731325</v>
          </cell>
          <cell r="P304">
            <v>0.716283214363583</v>
          </cell>
          <cell r="Q304">
            <v>0.79735625641907104</v>
          </cell>
          <cell r="R304">
            <v>-0.10717367379096193</v>
          </cell>
          <cell r="S304">
            <v>0.69018258262810916</v>
          </cell>
        </row>
        <row r="305">
          <cell r="A305" t="str">
            <v>Mixed Recyclables</v>
          </cell>
          <cell r="B305">
            <v>1.9734014132616131</v>
          </cell>
          <cell r="C305">
            <v>9.9999999999999978E-2</v>
          </cell>
          <cell r="D305">
            <v>1.7760612719354518</v>
          </cell>
          <cell r="E305">
            <v>0.304598014464667</v>
          </cell>
          <cell r="F305">
            <v>0.17114475038464103</v>
          </cell>
          <cell r="G305">
            <v>1.0345699687590015</v>
          </cell>
          <cell r="H305">
            <v>0.53207631287969548</v>
          </cell>
          <cell r="I305">
            <v>0.20102130798607618</v>
          </cell>
          <cell r="J305">
            <v>-0.11090288103745255</v>
          </cell>
          <cell r="K305">
            <v>0.03</v>
          </cell>
          <cell r="L305">
            <v>0.39669573327542074</v>
          </cell>
          <cell r="M305">
            <v>-0.11295460023632843</v>
          </cell>
          <cell r="N305">
            <v>0.14986396685910378</v>
          </cell>
          <cell r="O305">
            <v>0.13385281877731325</v>
          </cell>
          <cell r="P305">
            <v>0.716283214363583</v>
          </cell>
          <cell r="Q305">
            <v>0.68879418909265855</v>
          </cell>
          <cell r="R305">
            <v>-8.0907484134430857E-2</v>
          </cell>
          <cell r="S305">
            <v>0.60788670495822772</v>
          </cell>
        </row>
        <row r="306">
          <cell r="A306" t="str">
            <v>Mixed Organics</v>
          </cell>
          <cell r="B306">
            <v>1.2328155960009999</v>
          </cell>
          <cell r="C306">
            <v>9.9999999999999978E-2</v>
          </cell>
          <cell r="D306">
            <v>1.1095340364008999</v>
          </cell>
          <cell r="E306">
            <v>0.50526506678988226</v>
          </cell>
          <cell r="F306">
            <v>0.125242624726917</v>
          </cell>
          <cell r="G306">
            <v>0.45551588050050246</v>
          </cell>
          <cell r="H306">
            <v>0.57456860283846067</v>
          </cell>
          <cell r="I306">
            <v>0.23702008419664422</v>
          </cell>
          <cell r="J306">
            <v>-0.11090288103745255</v>
          </cell>
          <cell r="K306">
            <v>0.03</v>
          </cell>
          <cell r="L306">
            <v>0.2922020563630931</v>
          </cell>
          <cell r="M306">
            <v>-7.6199930098575605E-2</v>
          </cell>
          <cell r="N306">
            <v>0.14986396685910378</v>
          </cell>
          <cell r="O306">
            <v>0.13385281877731325</v>
          </cell>
          <cell r="P306">
            <v>0.716283214363583</v>
          </cell>
          <cell r="Q306">
            <v>0.43655068483845927</v>
          </cell>
          <cell r="R306">
            <v>-5.4580730865288071E-2</v>
          </cell>
          <cell r="S306">
            <v>0.38196995397317118</v>
          </cell>
        </row>
        <row r="307">
          <cell r="A307" t="str">
            <v>Mixed MSW</v>
          </cell>
          <cell r="B307">
            <v>1.6199727500000001</v>
          </cell>
          <cell r="C307">
            <v>9.9999999999999978E-2</v>
          </cell>
          <cell r="D307">
            <v>1.457975475</v>
          </cell>
          <cell r="E307">
            <v>0.37219261927006614</v>
          </cell>
          <cell r="F307">
            <v>0.18949828387740283</v>
          </cell>
          <cell r="G307">
            <v>0.71004879297821089</v>
          </cell>
          <cell r="H307">
            <v>0.62636775340666606</v>
          </cell>
          <cell r="I307">
            <v>0.22393969704742647</v>
          </cell>
          <cell r="J307">
            <v>-0.11090288103745255</v>
          </cell>
          <cell r="K307">
            <v>0.03</v>
          </cell>
          <cell r="L307">
            <v>0.36277620686008638</v>
          </cell>
          <cell r="M307">
            <v>-0.10915701807763573</v>
          </cell>
          <cell r="N307">
            <v>0.14986396685910378</v>
          </cell>
          <cell r="O307">
            <v>0.13385281877731325</v>
          </cell>
          <cell r="P307">
            <v>0.716283214363583</v>
          </cell>
          <cell r="Q307">
            <v>0.57339052822071934</v>
          </cell>
          <cell r="R307">
            <v>-7.8187339778992657E-2</v>
          </cell>
          <cell r="S307">
            <v>0.49520318844172667</v>
          </cell>
        </row>
        <row r="308">
          <cell r="A308" t="str">
            <v>Wood Flooring</v>
          </cell>
          <cell r="B308">
            <v>0.18143694800000035</v>
          </cell>
          <cell r="C308">
            <v>9.9999999999999978E-2</v>
          </cell>
          <cell r="D308">
            <v>0.16329325320000032</v>
          </cell>
          <cell r="E308">
            <v>0</v>
          </cell>
          <cell r="F308">
            <v>9.9999999999999978E-2</v>
          </cell>
          <cell r="G308">
            <v>0.16329325320000032</v>
          </cell>
          <cell r="H308">
            <v>0</v>
          </cell>
          <cell r="I308">
            <v>0.9</v>
          </cell>
          <cell r="J308">
            <v>-0.11090288103745255</v>
          </cell>
          <cell r="K308">
            <v>0.03</v>
          </cell>
          <cell r="L308">
            <v>0.16329325320000032</v>
          </cell>
          <cell r="M308">
            <v>0</v>
          </cell>
          <cell r="N308">
            <v>1</v>
          </cell>
          <cell r="O308">
            <v>0</v>
          </cell>
          <cell r="P308">
            <v>0</v>
          </cell>
          <cell r="Q308">
            <v>0.16329325320000032</v>
          </cell>
          <cell r="R308">
            <v>0</v>
          </cell>
          <cell r="S308">
            <v>0.16329325320000032</v>
          </cell>
        </row>
        <row r="309">
          <cell r="A309" t="str">
            <v>Drywall</v>
          </cell>
          <cell r="B309">
            <v>0</v>
          </cell>
          <cell r="C309">
            <v>9.9999999999999978E-2</v>
          </cell>
          <cell r="D309">
            <v>0</v>
          </cell>
          <cell r="E309">
            <v>0</v>
          </cell>
          <cell r="F309">
            <v>9.9999999999999978E-2</v>
          </cell>
          <cell r="G309">
            <v>0</v>
          </cell>
          <cell r="H309">
            <v>0</v>
          </cell>
          <cell r="I309">
            <v>0.9</v>
          </cell>
          <cell r="J309">
            <v>-0.11090288103745255</v>
          </cell>
          <cell r="K309">
            <v>0.03</v>
          </cell>
          <cell r="L309">
            <v>0</v>
          </cell>
          <cell r="M309">
            <v>0</v>
          </cell>
          <cell r="N309">
            <v>1</v>
          </cell>
          <cell r="O309">
            <v>0</v>
          </cell>
          <cell r="P309">
            <v>0</v>
          </cell>
          <cell r="Q309">
            <v>0</v>
          </cell>
          <cell r="R309">
            <v>0</v>
          </cell>
          <cell r="S309">
            <v>0</v>
          </cell>
        </row>
        <row r="312">
          <cell r="H312">
            <v>8</v>
          </cell>
          <cell r="I312">
            <v>10</v>
          </cell>
        </row>
        <row r="314">
          <cell r="J314" t="str">
            <v>Electricity Generation</v>
          </cell>
          <cell r="N314" t="str">
            <v>Percentage of CH4 from Each Type of Landfill in the current inventory year</v>
          </cell>
          <cell r="Q314" t="str">
            <v>Net CH4 Generation</v>
          </cell>
          <cell r="R314" t="str">
            <v>Avoided CO2 from Energy Recovery</v>
          </cell>
        </row>
        <row r="316">
          <cell r="H316" t="str">
            <v>(h)</v>
          </cell>
          <cell r="I316" t="str">
            <v>(i)</v>
          </cell>
          <cell r="J316" t="str">
            <v>(j)</v>
          </cell>
          <cell r="K316" t="str">
            <v>(k)</v>
          </cell>
          <cell r="L316" t="str">
            <v>(l)</v>
          </cell>
          <cell r="M316" t="str">
            <v>(m)</v>
          </cell>
          <cell r="N316" t="str">
            <v>(n)</v>
          </cell>
          <cell r="O316" t="str">
            <v>(o)</v>
          </cell>
          <cell r="P316" t="str">
            <v>(p)</v>
          </cell>
          <cell r="Q316" t="str">
            <v>(q)</v>
          </cell>
          <cell r="R316" t="str">
            <v>( r)</v>
          </cell>
        </row>
        <row r="318">
          <cell r="H318" t="str">
            <v>Percentage of CH4 Recovered for Energy</v>
          </cell>
          <cell r="I318" t="str">
            <v>Percentage of CH4 Emitted</v>
          </cell>
          <cell r="J318" t="str">
            <v>Utility CO2 Emissions Avoided per MTCO2E CH4 Combusted (MTCO2E)</v>
          </cell>
          <cell r="K318" t="str">
            <v>Percentage of CH4 Recovered for Electricity Generation Not Utilized Due to System "Down Time"</v>
          </cell>
          <cell r="L318" t="str">
            <v>Net GHG Emissions From CH4 Generation (MTCO2E/Wet Ton)</v>
          </cell>
          <cell r="M318" t="str">
            <v>Utility CO2 Emissions Avoided (MTCO2E/Wet Ton)</v>
          </cell>
          <cell r="N318" t="str">
            <v>Percentage of CH4 From Landfills Without LFG Recovery in Current Inventory Year</v>
          </cell>
          <cell r="O318" t="str">
            <v>Percentage of CH4 From Landfills With LFG Recovery And Flaring in Current Inventory Year</v>
          </cell>
          <cell r="P318" t="str">
            <v>CH4 From Landfills With LFG Recovery and Electricity Generation in Current Inventory Year</v>
          </cell>
          <cell r="Q318" t="str">
            <v>Net CH4 Emissions from Landfilling (MTCO2E/Wet Ton)</v>
          </cell>
          <cell r="R318" t="str">
            <v>Net Avoided CO2 Emissions from Landfilling (MTCO2E/Wet Ton)</v>
          </cell>
        </row>
        <row r="319">
          <cell r="A319" t="str">
            <v>Corrugated Containers</v>
          </cell>
          <cell r="B319">
            <v>2.6232704732575001</v>
          </cell>
          <cell r="C319">
            <v>9.9999999999999978E-2</v>
          </cell>
          <cell r="D319">
            <v>2.3609434259317501</v>
          </cell>
          <cell r="E319">
            <v>0.37646199292316324</v>
          </cell>
          <cell r="F319">
            <v>0.18806056884182096</v>
          </cell>
          <cell r="G319">
            <v>1.1423751054917337</v>
          </cell>
          <cell r="H319">
            <v>0.55772812167055175</v>
          </cell>
          <cell r="I319">
            <v>0.28452716199584094</v>
          </cell>
          <cell r="J319">
            <v>-0.11090288103745255</v>
          </cell>
          <cell r="K319">
            <v>0.03</v>
          </cell>
          <cell r="L319">
            <v>0.74639170290344303</v>
          </cell>
          <cell r="M319">
            <v>-0.15739110216557012</v>
          </cell>
          <cell r="N319">
            <v>0.14986396685910378</v>
          </cell>
          <cell r="O319">
            <v>0.13385281877731325</v>
          </cell>
          <cell r="P319">
            <v>0.716283214363583</v>
          </cell>
          <cell r="Q319">
            <v>1.0413583234411405</v>
          </cell>
          <cell r="R319">
            <v>-0.11273660457138165</v>
          </cell>
          <cell r="S319">
            <v>0.92862171886975886</v>
          </cell>
        </row>
        <row r="320">
          <cell r="A320" t="str">
            <v>Magazines/Third-class Mail</v>
          </cell>
          <cell r="B320">
            <v>1.1946237049113888</v>
          </cell>
          <cell r="C320">
            <v>9.9999999999999978E-2</v>
          </cell>
          <cell r="D320">
            <v>1.07516133442025</v>
          </cell>
          <cell r="E320">
            <v>0.56655104971720072</v>
          </cell>
          <cell r="F320">
            <v>9.6665026860508985E-2</v>
          </cell>
          <cell r="G320">
            <v>0.40233005835332991</v>
          </cell>
          <cell r="H320">
            <v>0.57924684961271344</v>
          </cell>
          <cell r="I320">
            <v>0.2576835525392881</v>
          </cell>
          <cell r="J320">
            <v>-0.11090288103745255</v>
          </cell>
          <cell r="K320">
            <v>0.03</v>
          </cell>
          <cell r="L320">
            <v>0.30783488022921285</v>
          </cell>
          <cell r="M320">
            <v>-7.4440515390434767E-2</v>
          </cell>
          <cell r="N320">
            <v>0.14986396685910378</v>
          </cell>
          <cell r="O320">
            <v>0.13385281877731325</v>
          </cell>
          <cell r="P320">
            <v>0.716283214363583</v>
          </cell>
          <cell r="Q320">
            <v>0.43547791248298939</v>
          </cell>
          <cell r="R320">
            <v>-5.3320491642742385E-2</v>
          </cell>
          <cell r="S320">
            <v>0.38215742084024701</v>
          </cell>
        </row>
        <row r="321">
          <cell r="A321" t="str">
            <v>Newspaper</v>
          </cell>
          <cell r="B321">
            <v>1.0471665853275001</v>
          </cell>
          <cell r="C321">
            <v>9.9999999999999978E-2</v>
          </cell>
          <cell r="D321">
            <v>0.94244992679475004</v>
          </cell>
          <cell r="E321">
            <v>0.43623998835276562</v>
          </cell>
          <cell r="F321">
            <v>0.16168161294273065</v>
          </cell>
          <cell r="G321">
            <v>0.42104306380534423</v>
          </cell>
          <cell r="H321">
            <v>0.59457075505055945</v>
          </cell>
          <cell r="I321">
            <v>0.25805046194021597</v>
          </cell>
          <cell r="J321">
            <v>-0.11090288103745255</v>
          </cell>
          <cell r="K321">
            <v>0.03</v>
          </cell>
          <cell r="L321">
            <v>0.27022182107211995</v>
          </cell>
          <cell r="M321">
            <v>-6.6978263265523946E-2</v>
          </cell>
          <cell r="N321">
            <v>0.14986396685910378</v>
          </cell>
          <cell r="O321">
            <v>0.13385281877731325</v>
          </cell>
          <cell r="P321">
            <v>0.716283214363583</v>
          </cell>
          <cell r="Q321">
            <v>0.39115244010123373</v>
          </cell>
          <cell r="R321">
            <v>-4.7975405704319789E-2</v>
          </cell>
          <cell r="S321">
            <v>0.34317703439691394</v>
          </cell>
        </row>
        <row r="322">
          <cell r="A322" t="str">
            <v>Office Paper</v>
          </cell>
          <cell r="B322">
            <v>3.8859258337900004</v>
          </cell>
          <cell r="C322">
            <v>9.9999999999999978E-2</v>
          </cell>
          <cell r="D322">
            <v>3.4973332504110006</v>
          </cell>
          <cell r="E322">
            <v>0.4194354407455157</v>
          </cell>
          <cell r="F322">
            <v>0.16915373415522858</v>
          </cell>
          <cell r="G322">
            <v>1.5987119535540575</v>
          </cell>
          <cell r="H322">
            <v>0.58546797343619461</v>
          </cell>
          <cell r="I322">
            <v>0.26475399237450353</v>
          </cell>
          <cell r="J322">
            <v>-0.11090288103745255</v>
          </cell>
          <cell r="K322">
            <v>0.03</v>
          </cell>
          <cell r="L322">
            <v>1.028814378567124</v>
          </cell>
          <cell r="M322">
            <v>-0.24474408988573149</v>
          </cell>
          <cell r="N322">
            <v>0.14986396685910378</v>
          </cell>
          <cell r="O322">
            <v>0.13385281877731325</v>
          </cell>
          <cell r="P322">
            <v>0.716283214363583</v>
          </cell>
          <cell r="Q322">
            <v>1.4750388057945634</v>
          </cell>
          <cell r="R322">
            <v>-0.17530608339984144</v>
          </cell>
          <cell r="S322">
            <v>1.2997327223947219</v>
          </cell>
        </row>
        <row r="323">
          <cell r="A323" t="str">
            <v>Phonebooks</v>
          </cell>
          <cell r="B323">
            <v>1.0471665853275001</v>
          </cell>
          <cell r="C323">
            <v>9.9999999999999978E-2</v>
          </cell>
          <cell r="D323">
            <v>0.94244992679475004</v>
          </cell>
          <cell r="E323">
            <v>0.43623998835276562</v>
          </cell>
          <cell r="F323">
            <v>0.16168161294273065</v>
          </cell>
          <cell r="G323">
            <v>0.42104306380534423</v>
          </cell>
          <cell r="H323">
            <v>0.59457075505055945</v>
          </cell>
          <cell r="I323">
            <v>0.25805046194021597</v>
          </cell>
          <cell r="J323">
            <v>-0.11090288103745255</v>
          </cell>
          <cell r="K323">
            <v>0.03</v>
          </cell>
          <cell r="L323">
            <v>0.27022182107211995</v>
          </cell>
          <cell r="M323">
            <v>-6.6978263265523946E-2</v>
          </cell>
          <cell r="N323">
            <v>0.14986396685910378</v>
          </cell>
          <cell r="O323">
            <v>0.13385281877731325</v>
          </cell>
          <cell r="P323">
            <v>0.716283214363583</v>
          </cell>
          <cell r="Q323">
            <v>0.39115244010123373</v>
          </cell>
          <cell r="R323">
            <v>-4.7975405704319789E-2</v>
          </cell>
          <cell r="S323">
            <v>0.34317703439691394</v>
          </cell>
        </row>
        <row r="324">
          <cell r="A324" t="str">
            <v>Textbooks</v>
          </cell>
          <cell r="B324">
            <v>3.8859258337900004</v>
          </cell>
          <cell r="C324">
            <v>9.9999999999999978E-2</v>
          </cell>
          <cell r="D324">
            <v>3.4973332504110006</v>
          </cell>
          <cell r="E324">
            <v>0.4194354407455157</v>
          </cell>
          <cell r="F324">
            <v>0.16915373415522858</v>
          </cell>
          <cell r="G324">
            <v>1.5987119535540575</v>
          </cell>
          <cell r="H324">
            <v>0.58546797343619461</v>
          </cell>
          <cell r="I324">
            <v>0.26475399237450353</v>
          </cell>
          <cell r="J324">
            <v>-0.11090288103745255</v>
          </cell>
          <cell r="K324">
            <v>0.03</v>
          </cell>
          <cell r="L324">
            <v>1.028814378567124</v>
          </cell>
          <cell r="M324">
            <v>-0.24474408988573149</v>
          </cell>
          <cell r="N324">
            <v>0.14986396685910378</v>
          </cell>
          <cell r="O324">
            <v>0.13385281877731325</v>
          </cell>
          <cell r="P324">
            <v>0.716283214363583</v>
          </cell>
          <cell r="Q324">
            <v>1.4750388057945634</v>
          </cell>
          <cell r="R324">
            <v>-0.17530608339984144</v>
          </cell>
          <cell r="S324">
            <v>1.2997327223947219</v>
          </cell>
        </row>
        <row r="325">
          <cell r="A325" t="str">
            <v>Dimensional Lumber</v>
          </cell>
          <cell r="B325">
            <v>0.16645220006249997</v>
          </cell>
          <cell r="C325">
            <v>9.9999999999999978E-2</v>
          </cell>
          <cell r="D325">
            <v>0.14980698005624998</v>
          </cell>
          <cell r="E325">
            <v>0.54522581470717091</v>
          </cell>
          <cell r="F325">
            <v>0.11024177923863601</v>
          </cell>
          <cell r="G325">
            <v>5.7348176980547026E-2</v>
          </cell>
          <cell r="H325">
            <v>0.60916054001601705</v>
          </cell>
          <cell r="I325">
            <v>0.24095355064234719</v>
          </cell>
          <cell r="J325">
            <v>-0.11090288103745255</v>
          </cell>
          <cell r="K325">
            <v>0.03</v>
          </cell>
          <cell r="L325">
            <v>4.0107248617289697E-2</v>
          </cell>
          <cell r="M325">
            <v>-1.0907767326667766E-2</v>
          </cell>
          <cell r="N325">
            <v>0.14986396685910378</v>
          </cell>
          <cell r="O325">
            <v>0.13385281877731325</v>
          </cell>
          <cell r="P325">
            <v>0.716283214363583</v>
          </cell>
          <cell r="Q325">
            <v>5.8855032393870355E-2</v>
          </cell>
          <cell r="R325">
            <v>-7.8130506422756547E-3</v>
          </cell>
          <cell r="S325">
            <v>5.1041981751594703E-2</v>
          </cell>
        </row>
        <row r="326">
          <cell r="A326" t="str">
            <v>Medium-density Fiberboard</v>
          </cell>
          <cell r="B326">
            <v>5.5889059875000008E-2</v>
          </cell>
          <cell r="C326">
            <v>9.9999999999999978E-2</v>
          </cell>
          <cell r="D326">
            <v>5.0300153887500011E-2</v>
          </cell>
          <cell r="E326">
            <v>0.5222539161709967</v>
          </cell>
          <cell r="F326">
            <v>0.12197036833363141</v>
          </cell>
          <cell r="G326">
            <v>1.988397026539181E-2</v>
          </cell>
          <cell r="H326">
            <v>0.61687470398244726</v>
          </cell>
          <cell r="I326">
            <v>0.23810096643919004</v>
          </cell>
          <cell r="J326">
            <v>-0.11090288103745255</v>
          </cell>
          <cell r="K326">
            <v>0.03</v>
          </cell>
          <cell r="L326">
            <v>1.330723916961526E-2</v>
          </cell>
          <cell r="M326">
            <v>-3.7088419674492766E-3</v>
          </cell>
          <cell r="N326">
            <v>0.14986396685910378</v>
          </cell>
          <cell r="O326">
            <v>0.13385281877731325</v>
          </cell>
          <cell r="P326">
            <v>0.716283214363583</v>
          </cell>
          <cell r="Q326">
            <v>1.9731458110428091E-2</v>
          </cell>
          <cell r="R326">
            <v>-2.6565812460111232E-3</v>
          </cell>
          <cell r="S326">
            <v>1.7074876864416968E-2</v>
          </cell>
        </row>
        <row r="327">
          <cell r="A327" t="str">
            <v>Food Waste</v>
          </cell>
          <cell r="B327">
            <v>1.622706214625282</v>
          </cell>
          <cell r="C327">
            <v>9.9999999999999978E-2</v>
          </cell>
          <cell r="D327">
            <v>1.4604355931627537</v>
          </cell>
          <cell r="E327">
            <v>0.5692651840332823</v>
          </cell>
          <cell r="F327">
            <v>9.3067704604862744E-2</v>
          </cell>
          <cell r="G327">
            <v>0.54793452008144916</v>
          </cell>
          <cell r="H327">
            <v>0.56212173246287489</v>
          </cell>
          <cell r="I327">
            <v>0.26829743580036497</v>
          </cell>
          <cell r="J327">
            <v>-0.11090288103745255</v>
          </cell>
          <cell r="K327">
            <v>0.03</v>
          </cell>
          <cell r="L327">
            <v>0.43536791644127987</v>
          </cell>
          <cell r="M327">
            <v>-9.8126167768178174E-2</v>
          </cell>
          <cell r="N327">
            <v>0.14986396685910378</v>
          </cell>
          <cell r="O327">
            <v>0.13385281877731325</v>
          </cell>
          <cell r="P327">
            <v>0.716283214363583</v>
          </cell>
          <cell r="Q327">
            <v>0.60405598197123056</v>
          </cell>
          <cell r="R327">
            <v>-7.0286126862170881E-2</v>
          </cell>
          <cell r="S327">
            <v>0.53376985510905972</v>
          </cell>
        </row>
        <row r="328">
          <cell r="A328" t="str">
            <v>Food Waste (meat only)</v>
          </cell>
          <cell r="B328">
            <v>1.622706214625282</v>
          </cell>
          <cell r="C328">
            <v>9.9999999999999978E-2</v>
          </cell>
          <cell r="D328">
            <v>1.4604355931627537</v>
          </cell>
          <cell r="E328">
            <v>0.5692651840332823</v>
          </cell>
          <cell r="F328">
            <v>9.3067704604862744E-2</v>
          </cell>
          <cell r="G328">
            <v>0.54793452008144916</v>
          </cell>
          <cell r="H328">
            <v>0.56212173246287489</v>
          </cell>
          <cell r="I328">
            <v>0.26829743580036497</v>
          </cell>
          <cell r="J328">
            <v>-0.11090288103745255</v>
          </cell>
          <cell r="K328">
            <v>0.03</v>
          </cell>
          <cell r="L328">
            <v>0.43536791644127987</v>
          </cell>
          <cell r="M328">
            <v>-9.8126167768178174E-2</v>
          </cell>
          <cell r="N328">
            <v>0.14986396685910378</v>
          </cell>
          <cell r="O328">
            <v>0.13385281877731325</v>
          </cell>
          <cell r="P328">
            <v>0.716283214363583</v>
          </cell>
          <cell r="Q328">
            <v>0.60405598197123056</v>
          </cell>
          <cell r="R328">
            <v>-7.0286126862170881E-2</v>
          </cell>
          <cell r="S328">
            <v>0.53376985510905972</v>
          </cell>
        </row>
        <row r="329">
          <cell r="A329" t="str">
            <v>Food Waste (non-meat)</v>
          </cell>
          <cell r="B329">
            <v>1.622706214625282</v>
          </cell>
          <cell r="C329">
            <v>9.9999999999999978E-2</v>
          </cell>
          <cell r="D329">
            <v>1.4604355931627537</v>
          </cell>
          <cell r="E329">
            <v>0.5692651840332823</v>
          </cell>
          <cell r="F329">
            <v>9.3067704604862744E-2</v>
          </cell>
          <cell r="G329">
            <v>0.54793452008144916</v>
          </cell>
          <cell r="H329">
            <v>0.56212173246287489</v>
          </cell>
          <cell r="I329">
            <v>0.26829743580036497</v>
          </cell>
          <cell r="J329">
            <v>-0.11090288103745255</v>
          </cell>
          <cell r="K329">
            <v>0.03</v>
          </cell>
          <cell r="L329">
            <v>0.43536791644127987</v>
          </cell>
          <cell r="M329">
            <v>-9.8126167768178174E-2</v>
          </cell>
          <cell r="N329">
            <v>0.14986396685910378</v>
          </cell>
          <cell r="O329">
            <v>0.13385281877731325</v>
          </cell>
          <cell r="P329">
            <v>0.716283214363583</v>
          </cell>
          <cell r="Q329">
            <v>0.60405598197123056</v>
          </cell>
          <cell r="R329">
            <v>-7.0286126862170881E-2</v>
          </cell>
          <cell r="S329">
            <v>0.53376985510905972</v>
          </cell>
        </row>
        <row r="330">
          <cell r="A330" t="str">
            <v>Beef</v>
          </cell>
          <cell r="B330">
            <v>1.622706214625282</v>
          </cell>
          <cell r="C330">
            <v>9.9999999999999978E-2</v>
          </cell>
          <cell r="D330">
            <v>1.4604355931627537</v>
          </cell>
          <cell r="E330">
            <v>0.5692651840332823</v>
          </cell>
          <cell r="F330">
            <v>9.3067704604862744E-2</v>
          </cell>
          <cell r="G330">
            <v>0.54793452008144916</v>
          </cell>
          <cell r="H330">
            <v>0.56212173246287489</v>
          </cell>
          <cell r="I330">
            <v>0.26829743580036497</v>
          </cell>
          <cell r="J330">
            <v>-0.11090288103745255</v>
          </cell>
          <cell r="K330">
            <v>0.03</v>
          </cell>
          <cell r="L330">
            <v>0.43536791644127987</v>
          </cell>
          <cell r="M330">
            <v>-9.8126167768178174E-2</v>
          </cell>
          <cell r="N330">
            <v>0.14986396685910378</v>
          </cell>
          <cell r="O330">
            <v>0.13385281877731325</v>
          </cell>
          <cell r="P330">
            <v>0.716283214363583</v>
          </cell>
          <cell r="Q330">
            <v>0.60405598197123056</v>
          </cell>
          <cell r="R330">
            <v>-7.0286126862170881E-2</v>
          </cell>
          <cell r="S330">
            <v>0.53376985510905972</v>
          </cell>
        </row>
        <row r="331">
          <cell r="A331" t="str">
            <v>Poultry</v>
          </cell>
          <cell r="B331">
            <v>1.622706214625282</v>
          </cell>
          <cell r="C331">
            <v>9.9999999999999978E-2</v>
          </cell>
          <cell r="D331">
            <v>1.4604355931627537</v>
          </cell>
          <cell r="E331">
            <v>0.5692651840332823</v>
          </cell>
          <cell r="F331">
            <v>9.3067704604862744E-2</v>
          </cell>
          <cell r="G331">
            <v>0.54793452008144916</v>
          </cell>
          <cell r="H331">
            <v>0.56212173246287489</v>
          </cell>
          <cell r="I331">
            <v>0.26829743580036497</v>
          </cell>
          <cell r="J331">
            <v>-0.11090288103745255</v>
          </cell>
          <cell r="K331">
            <v>0.03</v>
          </cell>
          <cell r="L331">
            <v>0.43536791644127987</v>
          </cell>
          <cell r="M331">
            <v>-9.8126167768178174E-2</v>
          </cell>
          <cell r="N331">
            <v>0.14986396685910378</v>
          </cell>
          <cell r="O331">
            <v>0.13385281877731325</v>
          </cell>
          <cell r="P331">
            <v>0.716283214363583</v>
          </cell>
          <cell r="Q331">
            <v>0.60405598197123056</v>
          </cell>
          <cell r="R331">
            <v>-7.0286126862170881E-2</v>
          </cell>
          <cell r="S331">
            <v>0.53376985510905972</v>
          </cell>
        </row>
        <row r="332">
          <cell r="A332" t="str">
            <v>Grains</v>
          </cell>
          <cell r="B332">
            <v>1.622706214625282</v>
          </cell>
          <cell r="C332">
            <v>9.9999999999999978E-2</v>
          </cell>
          <cell r="D332">
            <v>1.4604355931627537</v>
          </cell>
          <cell r="E332">
            <v>0.5692651840332823</v>
          </cell>
          <cell r="F332">
            <v>9.3067704604862744E-2</v>
          </cell>
          <cell r="G332">
            <v>0.54793452008144916</v>
          </cell>
          <cell r="H332">
            <v>0.56212173246287489</v>
          </cell>
          <cell r="I332">
            <v>0.26829743580036497</v>
          </cell>
          <cell r="J332">
            <v>-0.11090288103745255</v>
          </cell>
          <cell r="K332">
            <v>0.03</v>
          </cell>
          <cell r="L332">
            <v>0.43536791644127987</v>
          </cell>
          <cell r="M332">
            <v>-9.8126167768178174E-2</v>
          </cell>
          <cell r="N332">
            <v>0.14986396685910378</v>
          </cell>
          <cell r="O332">
            <v>0.13385281877731325</v>
          </cell>
          <cell r="P332">
            <v>0.716283214363583</v>
          </cell>
          <cell r="Q332">
            <v>0.60405598197123056</v>
          </cell>
          <cell r="R332">
            <v>-7.0286126862170881E-2</v>
          </cell>
          <cell r="S332">
            <v>0.53376985510905972</v>
          </cell>
        </row>
        <row r="333">
          <cell r="A333" t="str">
            <v>Bread</v>
          </cell>
          <cell r="B333">
            <v>1.622706214625282</v>
          </cell>
          <cell r="C333">
            <v>9.9999999999999978E-2</v>
          </cell>
          <cell r="D333">
            <v>1.4604355931627537</v>
          </cell>
          <cell r="E333">
            <v>0.5692651840332823</v>
          </cell>
          <cell r="F333">
            <v>9.3067704604862744E-2</v>
          </cell>
          <cell r="G333">
            <v>0.54793452008144916</v>
          </cell>
          <cell r="H333">
            <v>0.56212173246287489</v>
          </cell>
          <cell r="I333">
            <v>0.26829743580036497</v>
          </cell>
          <cell r="J333">
            <v>-0.11090288103745255</v>
          </cell>
          <cell r="K333">
            <v>0.03</v>
          </cell>
          <cell r="L333">
            <v>0.43536791644127987</v>
          </cell>
          <cell r="M333">
            <v>-9.8126167768178174E-2</v>
          </cell>
          <cell r="N333">
            <v>0.14986396685910378</v>
          </cell>
          <cell r="O333">
            <v>0.13385281877731325</v>
          </cell>
          <cell r="P333">
            <v>0.716283214363583</v>
          </cell>
          <cell r="Q333">
            <v>0.60405598197123056</v>
          </cell>
          <cell r="R333">
            <v>-7.0286126862170881E-2</v>
          </cell>
          <cell r="S333">
            <v>0.53376985510905972</v>
          </cell>
        </row>
        <row r="334">
          <cell r="A334" t="str">
            <v>Fruits and Vegetables</v>
          </cell>
          <cell r="B334">
            <v>1.622706214625282</v>
          </cell>
          <cell r="C334">
            <v>9.9999999999999978E-2</v>
          </cell>
          <cell r="D334">
            <v>1.4604355931627537</v>
          </cell>
          <cell r="E334">
            <v>0.5692651840332823</v>
          </cell>
          <cell r="F334">
            <v>9.3067704604862744E-2</v>
          </cell>
          <cell r="G334">
            <v>0.54793452008144916</v>
          </cell>
          <cell r="H334">
            <v>0.56212173246287489</v>
          </cell>
          <cell r="I334">
            <v>0.26829743580036497</v>
          </cell>
          <cell r="J334">
            <v>-0.11090288103745255</v>
          </cell>
          <cell r="K334">
            <v>0.03</v>
          </cell>
          <cell r="L334">
            <v>0.43536791644127987</v>
          </cell>
          <cell r="M334">
            <v>-9.8126167768178174E-2</v>
          </cell>
          <cell r="N334">
            <v>0.14986396685910378</v>
          </cell>
          <cell r="O334">
            <v>0.13385281877731325</v>
          </cell>
          <cell r="P334">
            <v>0.716283214363583</v>
          </cell>
          <cell r="Q334">
            <v>0.60405598197123056</v>
          </cell>
          <cell r="R334">
            <v>-7.0286126862170881E-2</v>
          </cell>
          <cell r="S334">
            <v>0.53376985510905972</v>
          </cell>
        </row>
        <row r="335">
          <cell r="A335" t="str">
            <v>Dairy Products</v>
          </cell>
          <cell r="B335">
            <v>1.622706214625282</v>
          </cell>
          <cell r="C335">
            <v>9.9999999999999978E-2</v>
          </cell>
          <cell r="D335">
            <v>1.4604355931627537</v>
          </cell>
          <cell r="E335">
            <v>0.5692651840332823</v>
          </cell>
          <cell r="F335">
            <v>9.3067704604862744E-2</v>
          </cell>
          <cell r="G335">
            <v>0.54793452008144916</v>
          </cell>
          <cell r="H335">
            <v>0.56212173246287489</v>
          </cell>
          <cell r="I335">
            <v>0.26829743580036497</v>
          </cell>
          <cell r="J335">
            <v>-0.11090288103745255</v>
          </cell>
          <cell r="K335">
            <v>0.03</v>
          </cell>
          <cell r="L335">
            <v>0.43536791644127987</v>
          </cell>
          <cell r="M335">
            <v>-9.8126167768178174E-2</v>
          </cell>
          <cell r="N335">
            <v>0.14986396685910378</v>
          </cell>
          <cell r="O335">
            <v>0.13385281877731325</v>
          </cell>
          <cell r="P335">
            <v>0.716283214363583</v>
          </cell>
          <cell r="Q335">
            <v>0.60405598197123056</v>
          </cell>
          <cell r="R335">
            <v>-7.0286126862170881E-2</v>
          </cell>
          <cell r="S335">
            <v>0.53376985510905972</v>
          </cell>
        </row>
        <row r="336">
          <cell r="A336" t="str">
            <v>Yard Trimmings</v>
          </cell>
          <cell r="B336">
            <v>0.81032008938650013</v>
          </cell>
          <cell r="C336">
            <v>9.9999999999999978E-2</v>
          </cell>
          <cell r="D336">
            <v>0.7292880804478501</v>
          </cell>
          <cell r="E336">
            <v>0.50114676848340023</v>
          </cell>
          <cell r="F336">
            <v>0.11689673682145442</v>
          </cell>
          <cell r="G336">
            <v>0.30950702092312443</v>
          </cell>
          <cell r="H336">
            <v>0.50620995319531559</v>
          </cell>
          <cell r="I336">
            <v>0.31092308026005633</v>
          </cell>
          <cell r="J336">
            <v>-0.11090288103745255</v>
          </cell>
          <cell r="K336">
            <v>0.03</v>
          </cell>
          <cell r="L336">
            <v>0.25194721818865479</v>
          </cell>
          <cell r="M336">
            <v>-4.4126740509391665E-2</v>
          </cell>
          <cell r="N336">
            <v>0.14986396685910378</v>
          </cell>
          <cell r="O336">
            <v>0.13385281877731325</v>
          </cell>
          <cell r="P336">
            <v>0.716283214363583</v>
          </cell>
          <cell r="Q336">
            <v>0.33118795519503774</v>
          </cell>
          <cell r="R336">
            <v>-3.160724353145479E-2</v>
          </cell>
          <cell r="S336">
            <v>0.29958071166358297</v>
          </cell>
        </row>
        <row r="337">
          <cell r="A337" t="str">
            <v>Grass</v>
          </cell>
          <cell r="B337">
            <v>0.5688048319800002</v>
          </cell>
          <cell r="C337">
            <v>9.9999999999999978E-2</v>
          </cell>
          <cell r="D337">
            <v>0.51192434878200022</v>
          </cell>
          <cell r="E337">
            <v>0.54312808909125554</v>
          </cell>
          <cell r="F337">
            <v>8.8727197518893117E-2</v>
          </cell>
          <cell r="G337">
            <v>0.20940249184403972</v>
          </cell>
          <cell r="H337">
            <v>0.47224844794128357</v>
          </cell>
          <cell r="I337">
            <v>0.33212324736068771</v>
          </cell>
          <cell r="J337">
            <v>-0.11090288103745255</v>
          </cell>
          <cell r="K337">
            <v>0.03</v>
          </cell>
          <cell r="L337">
            <v>0.18891330791164801</v>
          </cell>
          <cell r="M337">
            <v>-2.8896708636393969E-2</v>
          </cell>
          <cell r="N337">
            <v>0.14986396685910378</v>
          </cell>
          <cell r="O337">
            <v>0.13385281877731325</v>
          </cell>
          <cell r="P337">
            <v>0.716283214363583</v>
          </cell>
          <cell r="Q337">
            <v>0.24006355885956454</v>
          </cell>
          <cell r="R337">
            <v>-2.0698227346604182E-2</v>
          </cell>
          <cell r="S337">
            <v>0.21936533151296037</v>
          </cell>
        </row>
        <row r="338">
          <cell r="A338" t="str">
            <v>Leaves</v>
          </cell>
          <cell r="B338">
            <v>0.65408019754000024</v>
          </cell>
          <cell r="C338">
            <v>9.9999999999999978E-2</v>
          </cell>
          <cell r="D338">
            <v>0.58867217778600023</v>
          </cell>
          <cell r="E338">
            <v>0.56842383341214076</v>
          </cell>
          <cell r="F338">
            <v>9.0498603979098716E-2</v>
          </cell>
          <cell r="G338">
            <v>0.22309207952759991</v>
          </cell>
          <cell r="H338">
            <v>0.54250823044109042</v>
          </cell>
          <cell r="I338">
            <v>0.28107626152066373</v>
          </cell>
          <cell r="J338">
            <v>-0.11090288103745255</v>
          </cell>
          <cell r="K338">
            <v>0.03</v>
          </cell>
          <cell r="L338">
            <v>0.18384641665924051</v>
          </cell>
          <cell r="M338">
            <v>-3.8172613485394587E-2</v>
          </cell>
          <cell r="N338">
            <v>0.14986396685910378</v>
          </cell>
          <cell r="O338">
            <v>0.13385281877731325</v>
          </cell>
          <cell r="P338">
            <v>0.716283214363583</v>
          </cell>
          <cell r="Q338">
            <v>0.24976835370816675</v>
          </cell>
          <cell r="R338">
            <v>-2.7342402287977088E-2</v>
          </cell>
          <cell r="S338">
            <v>0.22242595142018967</v>
          </cell>
        </row>
        <row r="339">
          <cell r="A339" t="str">
            <v>Branches</v>
          </cell>
          <cell r="B339">
            <v>1.4495904960459998</v>
          </cell>
          <cell r="C339">
            <v>9.9999999999999978E-2</v>
          </cell>
          <cell r="D339">
            <v>1.3046314464413997</v>
          </cell>
          <cell r="E339">
            <v>0.34990706233894892</v>
          </cell>
          <cell r="F339">
            <v>0.19963394826893271</v>
          </cell>
          <cell r="G339">
            <v>0.65298106988130067</v>
          </cell>
          <cell r="H339">
            <v>0.53783468645760479</v>
          </cell>
          <cell r="I339">
            <v>0.29836956479818605</v>
          </cell>
          <cell r="J339">
            <v>-0.11090288103745255</v>
          </cell>
          <cell r="K339">
            <v>0.03</v>
          </cell>
          <cell r="L339">
            <v>0.43251368544083157</v>
          </cell>
          <cell r="M339">
            <v>-8.3870397878441555E-2</v>
          </cell>
          <cell r="N339">
            <v>0.14986396685910378</v>
          </cell>
          <cell r="O339">
            <v>0.13385281877731325</v>
          </cell>
          <cell r="P339">
            <v>0.716283214363583</v>
          </cell>
          <cell r="Q339">
            <v>0.59272289352847485</v>
          </cell>
          <cell r="R339">
            <v>-6.0074958182322752E-2</v>
          </cell>
          <cell r="S339">
            <v>0.53264793534615207</v>
          </cell>
        </row>
        <row r="340">
          <cell r="A340" t="str">
            <v>Mixed Paper (general)</v>
          </cell>
          <cell r="B340">
            <v>2.3832448707931113</v>
          </cell>
          <cell r="C340">
            <v>9.9999999999999978E-2</v>
          </cell>
          <cell r="D340">
            <v>2.1449203837138002</v>
          </cell>
          <cell r="E340">
            <v>0.41461052593426129</v>
          </cell>
          <cell r="F340">
            <v>0.17063660913021586</v>
          </cell>
          <cell r="G340">
            <v>0.98845763800433295</v>
          </cell>
          <cell r="H340">
            <v>0.5738398222702551</v>
          </cell>
          <cell r="I340">
            <v>0.27207063130169923</v>
          </cell>
          <cell r="J340">
            <v>-0.11090288103745255</v>
          </cell>
          <cell r="K340">
            <v>0.03</v>
          </cell>
          <cell r="L340">
            <v>0.64841093654321835</v>
          </cell>
          <cell r="M340">
            <v>-0.14712074417160248</v>
          </cell>
          <cell r="N340">
            <v>0.14986396685910378</v>
          </cell>
          <cell r="O340">
            <v>0.13385281877731325</v>
          </cell>
          <cell r="P340">
            <v>0.716283214363583</v>
          </cell>
          <cell r="Q340">
            <v>0.91819998824482396</v>
          </cell>
          <cell r="R340">
            <v>-0.1053801195347978</v>
          </cell>
          <cell r="S340">
            <v>0.81281986871002621</v>
          </cell>
        </row>
        <row r="341">
          <cell r="A341" t="str">
            <v>Mixed Paper (primarily residential)</v>
          </cell>
          <cell r="B341">
            <v>2.2946736526735392</v>
          </cell>
          <cell r="C341">
            <v>9.9999999999999978E-2</v>
          </cell>
          <cell r="D341">
            <v>2.0652062874061854</v>
          </cell>
          <cell r="E341">
            <v>0.41523612024650491</v>
          </cell>
          <cell r="F341">
            <v>0.17020689793077606</v>
          </cell>
          <cell r="G341">
            <v>0.95127298372045666</v>
          </cell>
          <cell r="H341">
            <v>0.5722373793893597</v>
          </cell>
          <cell r="I341">
            <v>0.27298491629040467</v>
          </cell>
          <cell r="J341">
            <v>-0.11090288103745255</v>
          </cell>
          <cell r="K341">
            <v>0.03</v>
          </cell>
          <cell r="L341">
            <v>0.62641129498888315</v>
          </cell>
          <cell r="M341">
            <v>-0.14125756478649765</v>
          </cell>
          <cell r="N341">
            <v>0.14986396685910378</v>
          </cell>
          <cell r="O341">
            <v>0.13385281877731325</v>
          </cell>
          <cell r="P341">
            <v>0.716283214363583</v>
          </cell>
          <cell r="Q341">
            <v>0.88551847279903351</v>
          </cell>
          <cell r="R341">
            <v>-0.1011804225584446</v>
          </cell>
          <cell r="S341">
            <v>0.78433805024058889</v>
          </cell>
        </row>
        <row r="342">
          <cell r="A342" t="str">
            <v>Mixed Paper (primarily from offices)</v>
          </cell>
          <cell r="B342">
            <v>2.2577848571899501</v>
          </cell>
          <cell r="C342">
            <v>9.9999999999999978E-2</v>
          </cell>
          <cell r="D342">
            <v>2.0320063714709553</v>
          </cell>
          <cell r="E342">
            <v>0.4737773425817271</v>
          </cell>
          <cell r="F342">
            <v>0.14243399580883459</v>
          </cell>
          <cell r="G342">
            <v>0.86651222854298782</v>
          </cell>
          <cell r="H342">
            <v>0.58375296041047586</v>
          </cell>
          <cell r="I342">
            <v>0.26178955112369245</v>
          </cell>
          <cell r="J342">
            <v>-0.11090288103745255</v>
          </cell>
          <cell r="K342">
            <v>0.03</v>
          </cell>
          <cell r="L342">
            <v>0.59106448429762715</v>
          </cell>
          <cell r="M342">
            <v>-0.14178367031977218</v>
          </cell>
          <cell r="N342">
            <v>0.14986396685910378</v>
          </cell>
          <cell r="O342">
            <v>0.13385281877731325</v>
          </cell>
          <cell r="P342">
            <v>0.716283214363583</v>
          </cell>
          <cell r="Q342">
            <v>0.84387920851595921</v>
          </cell>
          <cell r="R342">
            <v>-0.10155726312091296</v>
          </cell>
          <cell r="S342">
            <v>0.74232194539504626</v>
          </cell>
        </row>
        <row r="343">
          <cell r="A343" t="str">
            <v>Mixed Recyclables</v>
          </cell>
          <cell r="B343">
            <v>1.9734014132616131</v>
          </cell>
          <cell r="C343">
            <v>9.9999999999999978E-2</v>
          </cell>
          <cell r="D343">
            <v>1.7760612719354518</v>
          </cell>
          <cell r="E343">
            <v>0.35860797104217579</v>
          </cell>
          <cell r="F343">
            <v>0.1471502188442535</v>
          </cell>
          <cell r="G343">
            <v>0.97533748657109831</v>
          </cell>
          <cell r="H343">
            <v>0.49274433224872805</v>
          </cell>
          <cell r="I343">
            <v>0.23706008656467512</v>
          </cell>
          <cell r="J343">
            <v>-0.11090288103745255</v>
          </cell>
          <cell r="K343">
            <v>0.03</v>
          </cell>
          <cell r="L343">
            <v>0.46781470985465023</v>
          </cell>
          <cell r="M343">
            <v>-0.10460480521420261</v>
          </cell>
          <cell r="N343">
            <v>0.14986396685910378</v>
          </cell>
          <cell r="O343">
            <v>0.13385281877731325</v>
          </cell>
          <cell r="P343">
            <v>0.716283214363583</v>
          </cell>
          <cell r="Q343">
            <v>0.73180708353504953</v>
          </cell>
          <cell r="R343">
            <v>-7.4926666116705537E-2</v>
          </cell>
          <cell r="S343">
            <v>0.65688041741834402</v>
          </cell>
        </row>
        <row r="344">
          <cell r="A344" t="str">
            <v>Mixed Organics</v>
          </cell>
          <cell r="B344">
            <v>1.2328155960009999</v>
          </cell>
          <cell r="C344">
            <v>9.9999999999999978E-2</v>
          </cell>
          <cell r="D344">
            <v>1.1095340364008999</v>
          </cell>
          <cell r="E344">
            <v>0.53657293295545505</v>
          </cell>
          <cell r="F344">
            <v>0.10450403496982816</v>
          </cell>
          <cell r="G344">
            <v>0.44248591170567797</v>
          </cell>
          <cell r="H344">
            <v>0.53528784457415002</v>
          </cell>
          <cell r="I344">
            <v>0.28875487392163135</v>
          </cell>
          <cell r="J344">
            <v>-0.11090288103745255</v>
          </cell>
          <cell r="K344">
            <v>0.03</v>
          </cell>
          <cell r="L344">
            <v>0.35598151199188954</v>
          </cell>
          <cell r="M344">
            <v>-7.0990472047487055E-2</v>
          </cell>
          <cell r="N344">
            <v>0.14986396685910378</v>
          </cell>
          <cell r="O344">
            <v>0.13385281877731325</v>
          </cell>
          <cell r="P344">
            <v>0.716283214363583</v>
          </cell>
          <cell r="Q344">
            <v>0.48049074027484545</v>
          </cell>
          <cell r="R344">
            <v>-5.084928350736212E-2</v>
          </cell>
          <cell r="S344">
            <v>0.42964145676748333</v>
          </cell>
        </row>
        <row r="345">
          <cell r="A345" t="str">
            <v>Mixed MSW</v>
          </cell>
          <cell r="B345">
            <v>1.6199727500000001</v>
          </cell>
          <cell r="C345">
            <v>9.9999999999999978E-2</v>
          </cell>
          <cell r="D345">
            <v>1.457975475</v>
          </cell>
          <cell r="E345">
            <v>0.46213853187825571</v>
          </cell>
          <cell r="F345">
            <v>0.15004448473106011</v>
          </cell>
          <cell r="G345">
            <v>0.62825294508011098</v>
          </cell>
          <cell r="H345">
            <v>0.60624294032463566</v>
          </cell>
          <cell r="I345">
            <v>0.2491089271713689</v>
          </cell>
          <cell r="J345">
            <v>-0.11090288103745255</v>
          </cell>
          <cell r="K345">
            <v>0.03</v>
          </cell>
          <cell r="L345">
            <v>0.40354967379935219</v>
          </cell>
          <cell r="M345">
            <v>-0.10564986980338861</v>
          </cell>
          <cell r="N345">
            <v>0.14986396685910378</v>
          </cell>
          <cell r="O345">
            <v>0.13385281877731325</v>
          </cell>
          <cell r="P345">
            <v>0.716283214363583</v>
          </cell>
          <cell r="Q345">
            <v>0.59164727337528289</v>
          </cell>
          <cell r="R345">
            <v>-7.5675228339865244E-2</v>
          </cell>
          <cell r="S345">
            <v>0.5159720450354176</v>
          </cell>
        </row>
        <row r="346">
          <cell r="A346" t="str">
            <v>Wood Flooring</v>
          </cell>
          <cell r="B346">
            <v>0.18143694800000035</v>
          </cell>
          <cell r="C346">
            <v>9.9999999999999978E-2</v>
          </cell>
          <cell r="D346">
            <v>0.16329325320000032</v>
          </cell>
          <cell r="E346">
            <v>0</v>
          </cell>
          <cell r="F346">
            <v>9.9999999999999978E-2</v>
          </cell>
          <cell r="G346">
            <v>0.16329325320000032</v>
          </cell>
          <cell r="H346">
            <v>0</v>
          </cell>
          <cell r="I346">
            <v>0.9</v>
          </cell>
          <cell r="J346">
            <v>-0.11090288103745255</v>
          </cell>
          <cell r="K346">
            <v>0.03</v>
          </cell>
          <cell r="L346">
            <v>0.16329325320000032</v>
          </cell>
          <cell r="M346">
            <v>0</v>
          </cell>
          <cell r="N346">
            <v>1</v>
          </cell>
          <cell r="O346">
            <v>0</v>
          </cell>
          <cell r="P346">
            <v>0</v>
          </cell>
          <cell r="Q346">
            <v>0.16329325320000032</v>
          </cell>
          <cell r="R346">
            <v>0</v>
          </cell>
          <cell r="S346">
            <v>0.16329325320000032</v>
          </cell>
        </row>
        <row r="347">
          <cell r="A347" t="str">
            <v>Drywall</v>
          </cell>
          <cell r="B347">
            <v>0</v>
          </cell>
          <cell r="C347">
            <v>9.9999999999999978E-2</v>
          </cell>
          <cell r="D347">
            <v>0</v>
          </cell>
          <cell r="E347">
            <v>0</v>
          </cell>
          <cell r="F347">
            <v>9.9999999999999978E-2</v>
          </cell>
          <cell r="G347">
            <v>0</v>
          </cell>
          <cell r="H347">
            <v>0</v>
          </cell>
          <cell r="I347">
            <v>0.9</v>
          </cell>
          <cell r="J347">
            <v>-0.11090288103745255</v>
          </cell>
          <cell r="K347">
            <v>0.03</v>
          </cell>
          <cell r="L347">
            <v>0</v>
          </cell>
          <cell r="M347">
            <v>0</v>
          </cell>
          <cell r="N347">
            <v>1</v>
          </cell>
          <cell r="O347">
            <v>0</v>
          </cell>
          <cell r="P347">
            <v>0</v>
          </cell>
          <cell r="Q347">
            <v>0</v>
          </cell>
          <cell r="R347">
            <v>0</v>
          </cell>
          <cell r="S347">
            <v>0</v>
          </cell>
        </row>
        <row r="350">
          <cell r="H350">
            <v>12</v>
          </cell>
          <cell r="I350">
            <v>14</v>
          </cell>
        </row>
        <row r="352">
          <cell r="J352" t="str">
            <v>Electricity Generation</v>
          </cell>
          <cell r="N352" t="str">
            <v>Percentage of CH4 from Each Type of Landfill in the current inventory year</v>
          </cell>
          <cell r="Q352" t="str">
            <v>Net CH4 Generation</v>
          </cell>
          <cell r="R352" t="str">
            <v>Avoided CO2 from Energy Recovery</v>
          </cell>
        </row>
        <row r="354">
          <cell r="H354" t="str">
            <v>(h)</v>
          </cell>
          <cell r="I354" t="str">
            <v>(i)</v>
          </cell>
          <cell r="J354" t="str">
            <v>(j)</v>
          </cell>
          <cell r="K354" t="str">
            <v>(k)</v>
          </cell>
          <cell r="L354" t="str">
            <v>(l)</v>
          </cell>
          <cell r="M354" t="str">
            <v>(m)</v>
          </cell>
          <cell r="N354" t="str">
            <v>(n)</v>
          </cell>
          <cell r="O354" t="str">
            <v>(o)</v>
          </cell>
          <cell r="P354" t="str">
            <v>(p)</v>
          </cell>
          <cell r="Q354" t="str">
            <v>(q)</v>
          </cell>
          <cell r="R354" t="str">
            <v>( r)</v>
          </cell>
        </row>
        <row r="356">
          <cell r="H356" t="str">
            <v>Percentage of CH4 Recovered for Energy</v>
          </cell>
          <cell r="I356" t="str">
            <v>Percentage of CH4 Emitted</v>
          </cell>
          <cell r="J356" t="str">
            <v>Utility CO2 Emissions Avoided per MTCO2E CH4 Combusted (MTCO2E)</v>
          </cell>
          <cell r="K356" t="str">
            <v>Percentage of CH4 Recovered for Electricity Generation Not Utilized Due to System "Down Time"</v>
          </cell>
          <cell r="L356" t="str">
            <v>Net GHG Emissions From CH4 Generation (MTCO2E/Wet Ton)</v>
          </cell>
          <cell r="M356" t="str">
            <v>Utility CO2 Emissions Avoided (MTCO2E/Wet Ton)</v>
          </cell>
          <cell r="N356" t="str">
            <v>Percentage of CH4 From Landfills Without LFG Recovery in Current Inventory Year</v>
          </cell>
          <cell r="O356" t="str">
            <v>Percentage of CH4 From Landfills With LFG Recovery And Flaring in Current Inventory Year</v>
          </cell>
          <cell r="P356" t="str">
            <v>CH4 From Landfills With LFG Recovery and Electricity Generation in Current Inventory Year</v>
          </cell>
          <cell r="Q356" t="str">
            <v>Net CH4 Emissions from Landfilling (MTCO2E/Wet Ton)</v>
          </cell>
          <cell r="R356" t="str">
            <v>Net Avoided CO2 Emissions from Landfilling (MTCO2E/Wet Ton)</v>
          </cell>
        </row>
        <row r="357">
          <cell r="A357" t="str">
            <v>Corrugated Containers</v>
          </cell>
          <cell r="B357">
            <v>2.6232704732575001</v>
          </cell>
          <cell r="C357">
            <v>9.9999999999999978E-2</v>
          </cell>
          <cell r="D357">
            <v>2.3609434259317501</v>
          </cell>
          <cell r="E357">
            <v>0.41173876205446364</v>
          </cell>
          <cell r="F357">
            <v>0.17108430258738416</v>
          </cell>
          <cell r="G357">
            <v>1.0943679366490933</v>
          </cell>
          <cell r="H357">
            <v>0.56063024891988056</v>
          </cell>
          <cell r="I357">
            <v>0.29101067655133139</v>
          </cell>
          <cell r="J357">
            <v>-0.11090288103745255</v>
          </cell>
          <cell r="K357">
            <v>0.03</v>
          </cell>
          <cell r="L357">
            <v>0.76339971519979644</v>
          </cell>
          <cell r="M357">
            <v>-0.15821008365251477</v>
          </cell>
          <cell r="N357">
            <v>0.14986396685910378</v>
          </cell>
          <cell r="O357">
            <v>0.13385281877731325</v>
          </cell>
          <cell r="P357">
            <v>0.716283214363583</v>
          </cell>
          <cell r="Q357">
            <v>1.047114982287602</v>
          </cell>
          <cell r="R357">
            <v>-0.11332322726335463</v>
          </cell>
          <cell r="S357">
            <v>0.93379175502424738</v>
          </cell>
        </row>
        <row r="358">
          <cell r="A358" t="str">
            <v>Magazines/Third-class Mail</v>
          </cell>
          <cell r="B358">
            <v>1.1946237049113888</v>
          </cell>
          <cell r="C358">
            <v>9.9999999999999978E-2</v>
          </cell>
          <cell r="D358">
            <v>1.07516133442025</v>
          </cell>
          <cell r="E358">
            <v>0.56493260215045149</v>
          </cell>
          <cell r="F358">
            <v>9.033392379748266E-2</v>
          </cell>
          <cell r="G358">
            <v>0.41182677997905298</v>
          </cell>
          <cell r="H358">
            <v>0.56539256168303442</v>
          </cell>
          <cell r="I358">
            <v>0.28861710733342166</v>
          </cell>
          <cell r="J358">
            <v>-0.11090288103745255</v>
          </cell>
          <cell r="K358">
            <v>0.03</v>
          </cell>
          <cell r="L358">
            <v>0.34478883806346017</v>
          </cell>
          <cell r="M358">
            <v>-7.2660064906254623E-2</v>
          </cell>
          <cell r="N358">
            <v>0.14986396685910378</v>
          </cell>
          <cell r="O358">
            <v>0.13385281877731325</v>
          </cell>
          <cell r="P358">
            <v>0.716283214363583</v>
          </cell>
          <cell r="Q358">
            <v>0.46321857514270692</v>
          </cell>
          <cell r="R358">
            <v>-5.2045184846918634E-2</v>
          </cell>
          <cell r="S358">
            <v>0.41117339029578831</v>
          </cell>
        </row>
        <row r="359">
          <cell r="A359" t="str">
            <v>Newspaper</v>
          </cell>
          <cell r="B359">
            <v>1.0471665853275001</v>
          </cell>
          <cell r="C359">
            <v>9.9999999999999978E-2</v>
          </cell>
          <cell r="D359">
            <v>0.94244992679475004</v>
          </cell>
          <cell r="E359">
            <v>0.48112459924956835</v>
          </cell>
          <cell r="F359">
            <v>0.13998942200304421</v>
          </cell>
          <cell r="G359">
            <v>0.39675673659336952</v>
          </cell>
          <cell r="H359">
            <v>0.60836130644588038</v>
          </cell>
          <cell r="I359">
            <v>0.26003428319227562</v>
          </cell>
          <cell r="J359">
            <v>-0.11090288103745255</v>
          </cell>
          <cell r="K359">
            <v>0.03</v>
          </cell>
          <cell r="L359">
            <v>0.27229921239853938</v>
          </cell>
          <cell r="M359">
            <v>-6.8531765811834011E-2</v>
          </cell>
          <cell r="N359">
            <v>0.14986396685910378</v>
          </cell>
          <cell r="O359">
            <v>0.13385281877731325</v>
          </cell>
          <cell r="P359">
            <v>0.716283214363583</v>
          </cell>
          <cell r="Q359">
            <v>0.38938964728294151</v>
          </cell>
          <cell r="R359">
            <v>-4.9088153501712771E-2</v>
          </cell>
          <cell r="S359">
            <v>0.34030149378122876</v>
          </cell>
        </row>
        <row r="360">
          <cell r="A360" t="str">
            <v>Office Paper</v>
          </cell>
          <cell r="B360">
            <v>3.8859258337900004</v>
          </cell>
          <cell r="C360">
            <v>9.9999999999999978E-2</v>
          </cell>
          <cell r="D360">
            <v>3.4973332504110006</v>
          </cell>
          <cell r="E360">
            <v>0.46324753803488811</v>
          </cell>
          <cell r="F360">
            <v>0.14812431732648693</v>
          </cell>
          <cell r="G360">
            <v>1.5101801469891094</v>
          </cell>
          <cell r="H360">
            <v>0.59813918919621878</v>
          </cell>
          <cell r="I360">
            <v>0.2667280656714493</v>
          </cell>
          <cell r="J360">
            <v>-0.11090288103745255</v>
          </cell>
          <cell r="K360">
            <v>0.03</v>
          </cell>
          <cell r="L360">
            <v>1.0364854809895205</v>
          </cell>
          <cell r="M360">
            <v>-0.25004105796877013</v>
          </cell>
          <cell r="N360">
            <v>0.14986396685910378</v>
          </cell>
          <cell r="O360">
            <v>0.13385281877731325</v>
          </cell>
          <cell r="P360">
            <v>0.716283214363583</v>
          </cell>
          <cell r="Q360">
            <v>1.4686832558352236</v>
          </cell>
          <cell r="R360">
            <v>-0.17910021272474166</v>
          </cell>
          <cell r="S360">
            <v>1.289583043110482</v>
          </cell>
        </row>
        <row r="361">
          <cell r="A361" t="str">
            <v>Phonebooks</v>
          </cell>
          <cell r="B361">
            <v>1.0471665853275001</v>
          </cell>
          <cell r="C361">
            <v>9.9999999999999978E-2</v>
          </cell>
          <cell r="D361">
            <v>0.94244992679475004</v>
          </cell>
          <cell r="E361">
            <v>0.48112459924956835</v>
          </cell>
          <cell r="F361">
            <v>0.13998942200304421</v>
          </cell>
          <cell r="G361">
            <v>0.39675673659336952</v>
          </cell>
          <cell r="H361">
            <v>0.60836130644588038</v>
          </cell>
          <cell r="I361">
            <v>0.26003428319227562</v>
          </cell>
          <cell r="J361">
            <v>-0.11090288103745255</v>
          </cell>
          <cell r="K361">
            <v>0.03</v>
          </cell>
          <cell r="L361">
            <v>0.27229921239853938</v>
          </cell>
          <cell r="M361">
            <v>-6.8531765811834011E-2</v>
          </cell>
          <cell r="N361">
            <v>0.14986396685910378</v>
          </cell>
          <cell r="O361">
            <v>0.13385281877731325</v>
          </cell>
          <cell r="P361">
            <v>0.716283214363583</v>
          </cell>
          <cell r="Q361">
            <v>0.38938964728294151</v>
          </cell>
          <cell r="R361">
            <v>-4.9088153501712771E-2</v>
          </cell>
          <cell r="S361">
            <v>0.34030149378122876</v>
          </cell>
        </row>
        <row r="362">
          <cell r="A362" t="str">
            <v>Textbooks</v>
          </cell>
          <cell r="B362">
            <v>3.8859258337900004</v>
          </cell>
          <cell r="C362">
            <v>9.9999999999999978E-2</v>
          </cell>
          <cell r="D362">
            <v>3.4973332504110006</v>
          </cell>
          <cell r="E362">
            <v>0.46324753803488811</v>
          </cell>
          <cell r="F362">
            <v>0.14812431732648693</v>
          </cell>
          <cell r="G362">
            <v>1.5101801469891094</v>
          </cell>
          <cell r="H362">
            <v>0.59813918919621878</v>
          </cell>
          <cell r="I362">
            <v>0.2667280656714493</v>
          </cell>
          <cell r="J362">
            <v>-0.11090288103745255</v>
          </cell>
          <cell r="K362">
            <v>0.03</v>
          </cell>
          <cell r="L362">
            <v>1.0364854809895205</v>
          </cell>
          <cell r="M362">
            <v>-0.25004105796877013</v>
          </cell>
          <cell r="N362">
            <v>0.14986396685910378</v>
          </cell>
          <cell r="O362">
            <v>0.13385281877731325</v>
          </cell>
          <cell r="P362">
            <v>0.716283214363583</v>
          </cell>
          <cell r="Q362">
            <v>1.4686832558352236</v>
          </cell>
          <cell r="R362">
            <v>-0.17910021272474166</v>
          </cell>
          <cell r="S362">
            <v>1.289583043110482</v>
          </cell>
        </row>
        <row r="363">
          <cell r="A363" t="str">
            <v>Dimensional Lumber</v>
          </cell>
          <cell r="B363">
            <v>0.16645220006249997</v>
          </cell>
          <cell r="C363">
            <v>9.9999999999999978E-2</v>
          </cell>
          <cell r="D363">
            <v>0.14980698005624998</v>
          </cell>
          <cell r="E363">
            <v>0.56306783918487069</v>
          </cell>
          <cell r="F363">
            <v>9.7472766013329964E-2</v>
          </cell>
          <cell r="G363">
            <v>5.6503763096644261E-2</v>
          </cell>
          <cell r="H363">
            <v>0.60339051172462077</v>
          </cell>
          <cell r="I363">
            <v>0.26259272310375337</v>
          </cell>
          <cell r="J363">
            <v>-0.11090288103745255</v>
          </cell>
          <cell r="K363">
            <v>0.03</v>
          </cell>
          <cell r="L363">
            <v>4.3709136481022613E-2</v>
          </cell>
          <cell r="M363">
            <v>-1.0804447886329123E-2</v>
          </cell>
          <cell r="N363">
            <v>0.14986396685910378</v>
          </cell>
          <cell r="O363">
            <v>0.13385281877731325</v>
          </cell>
          <cell r="P363">
            <v>0.716283214363583</v>
          </cell>
          <cell r="Q363">
            <v>6.1321977032107067E-2</v>
          </cell>
          <cell r="R363">
            <v>-7.7390446614436443E-3</v>
          </cell>
          <cell r="S363">
            <v>5.3582932370663423E-2</v>
          </cell>
        </row>
        <row r="364">
          <cell r="A364" t="str">
            <v>Medium-density Fiberboard</v>
          </cell>
          <cell r="B364">
            <v>5.5889059875000008E-2</v>
          </cell>
          <cell r="C364">
            <v>9.9999999999999978E-2</v>
          </cell>
          <cell r="D364">
            <v>5.0300153887500011E-2</v>
          </cell>
          <cell r="E364">
            <v>0.55155164446812122</v>
          </cell>
          <cell r="F364">
            <v>0.10522545697047994</v>
          </cell>
          <cell r="G364">
            <v>1.9182405128169076E-2</v>
          </cell>
          <cell r="H364">
            <v>0.61805052048236886</v>
          </cell>
          <cell r="I364">
            <v>0.25305393779875351</v>
          </cell>
          <cell r="J364">
            <v>-0.11090288103745255</v>
          </cell>
          <cell r="K364">
            <v>0.03</v>
          </cell>
          <cell r="L364">
            <v>1.4142946681239063E-2</v>
          </cell>
          <cell r="M364">
            <v>-3.7159113407803195E-3</v>
          </cell>
          <cell r="N364">
            <v>0.14986396685910378</v>
          </cell>
          <cell r="O364">
            <v>0.13385281877731325</v>
          </cell>
          <cell r="P364">
            <v>0.716283214363583</v>
          </cell>
          <cell r="Q364">
            <v>2.0236154901948626E-2</v>
          </cell>
          <cell r="R364">
            <v>-2.6616449194642186E-3</v>
          </cell>
          <cell r="S364">
            <v>1.7574509982484408E-2</v>
          </cell>
        </row>
        <row r="365">
          <cell r="A365" t="str">
            <v>Food Waste</v>
          </cell>
          <cell r="B365">
            <v>1.622706214625282</v>
          </cell>
          <cell r="C365">
            <v>9.9999999999999978E-2</v>
          </cell>
          <cell r="D365">
            <v>1.4604355931627537</v>
          </cell>
          <cell r="E365">
            <v>0.55998049546972262</v>
          </cell>
          <cell r="F365">
            <v>8.9097826586504822E-2</v>
          </cell>
          <cell r="G365">
            <v>0.56944278764609146</v>
          </cell>
          <cell r="H365">
            <v>0.54617016258961526</v>
          </cell>
          <cell r="I365">
            <v>0.30241299516696951</v>
          </cell>
          <cell r="J365">
            <v>-0.11090288103745255</v>
          </cell>
          <cell r="K365">
            <v>0.03</v>
          </cell>
          <cell r="L365">
            <v>0.4907274466408868</v>
          </cell>
          <cell r="M365">
            <v>-9.5341599353270537E-2</v>
          </cell>
          <cell r="N365">
            <v>0.14986396685910378</v>
          </cell>
          <cell r="O365">
            <v>0.13385281877731325</v>
          </cell>
          <cell r="P365">
            <v>0.716283214363583</v>
          </cell>
          <cell r="Q365">
            <v>0.64658802644880686</v>
          </cell>
          <cell r="R365">
            <v>-6.8291587247325522E-2</v>
          </cell>
          <cell r="S365">
            <v>0.57829643920148133</v>
          </cell>
        </row>
        <row r="366">
          <cell r="A366" t="str">
            <v>Food Waste (meat only)</v>
          </cell>
          <cell r="B366">
            <v>1.622706214625282</v>
          </cell>
          <cell r="C366">
            <v>9.9999999999999978E-2</v>
          </cell>
          <cell r="D366">
            <v>1.4604355931627537</v>
          </cell>
          <cell r="E366">
            <v>0.55998049546972262</v>
          </cell>
          <cell r="F366">
            <v>8.9097826586504822E-2</v>
          </cell>
          <cell r="G366">
            <v>0.56944278764609146</v>
          </cell>
          <cell r="H366">
            <v>0.54617016258961526</v>
          </cell>
          <cell r="I366">
            <v>0.30241299516696951</v>
          </cell>
          <cell r="J366">
            <v>-0.11090288103745255</v>
          </cell>
          <cell r="K366">
            <v>0.03</v>
          </cell>
          <cell r="L366">
            <v>0.4907274466408868</v>
          </cell>
          <cell r="M366">
            <v>-9.5341599353270537E-2</v>
          </cell>
          <cell r="N366">
            <v>0.14986396685910378</v>
          </cell>
          <cell r="O366">
            <v>0.13385281877731325</v>
          </cell>
          <cell r="P366">
            <v>0.716283214363583</v>
          </cell>
          <cell r="Q366">
            <v>0.64658802644880686</v>
          </cell>
          <cell r="R366">
            <v>-6.8291587247325522E-2</v>
          </cell>
          <cell r="S366">
            <v>0.57829643920148133</v>
          </cell>
        </row>
        <row r="367">
          <cell r="A367" t="str">
            <v>Food Waste (non-meat)</v>
          </cell>
          <cell r="B367">
            <v>1.622706214625282</v>
          </cell>
          <cell r="C367">
            <v>9.9999999999999978E-2</v>
          </cell>
          <cell r="D367">
            <v>1.4604355931627537</v>
          </cell>
          <cell r="E367">
            <v>0.55998049546972262</v>
          </cell>
          <cell r="F367">
            <v>8.9097826586504822E-2</v>
          </cell>
          <cell r="G367">
            <v>0.56944278764609146</v>
          </cell>
          <cell r="H367">
            <v>0.54617016258961526</v>
          </cell>
          <cell r="I367">
            <v>0.30241299516696951</v>
          </cell>
          <cell r="J367">
            <v>-0.11090288103745255</v>
          </cell>
          <cell r="K367">
            <v>0.03</v>
          </cell>
          <cell r="L367">
            <v>0.4907274466408868</v>
          </cell>
          <cell r="M367">
            <v>-9.5341599353270537E-2</v>
          </cell>
          <cell r="N367">
            <v>0.14986396685910378</v>
          </cell>
          <cell r="O367">
            <v>0.13385281877731325</v>
          </cell>
          <cell r="P367">
            <v>0.716283214363583</v>
          </cell>
          <cell r="Q367">
            <v>0.64658802644880686</v>
          </cell>
          <cell r="R367">
            <v>-6.8291587247325522E-2</v>
          </cell>
          <cell r="S367">
            <v>0.57829643920148133</v>
          </cell>
        </row>
        <row r="368">
          <cell r="A368" t="str">
            <v>Beef</v>
          </cell>
          <cell r="B368">
            <v>1.622706214625282</v>
          </cell>
          <cell r="C368">
            <v>9.9999999999999978E-2</v>
          </cell>
          <cell r="D368">
            <v>1.4604355931627537</v>
          </cell>
          <cell r="E368">
            <v>0.55998049546972262</v>
          </cell>
          <cell r="F368">
            <v>8.9097826586504822E-2</v>
          </cell>
          <cell r="G368">
            <v>0.56944278764609146</v>
          </cell>
          <cell r="H368">
            <v>0.54617016258961526</v>
          </cell>
          <cell r="I368">
            <v>0.30241299516696951</v>
          </cell>
          <cell r="J368">
            <v>-0.11090288103745255</v>
          </cell>
          <cell r="K368">
            <v>0.03</v>
          </cell>
          <cell r="L368">
            <v>0.4907274466408868</v>
          </cell>
          <cell r="M368">
            <v>-9.5341599353270537E-2</v>
          </cell>
          <cell r="N368">
            <v>0.14986396685910378</v>
          </cell>
          <cell r="O368">
            <v>0.13385281877731325</v>
          </cell>
          <cell r="P368">
            <v>0.716283214363583</v>
          </cell>
          <cell r="Q368">
            <v>0.64658802644880686</v>
          </cell>
          <cell r="R368">
            <v>-6.8291587247325522E-2</v>
          </cell>
          <cell r="S368">
            <v>0.57829643920148133</v>
          </cell>
        </row>
        <row r="369">
          <cell r="A369" t="str">
            <v>Poultry</v>
          </cell>
          <cell r="B369">
            <v>1.622706214625282</v>
          </cell>
          <cell r="C369">
            <v>9.9999999999999978E-2</v>
          </cell>
          <cell r="D369">
            <v>1.4604355931627537</v>
          </cell>
          <cell r="E369">
            <v>0.55998049546972262</v>
          </cell>
          <cell r="F369">
            <v>8.9097826586504822E-2</v>
          </cell>
          <cell r="G369">
            <v>0.56944278764609146</v>
          </cell>
          <cell r="H369">
            <v>0.54617016258961526</v>
          </cell>
          <cell r="I369">
            <v>0.30241299516696951</v>
          </cell>
          <cell r="J369">
            <v>-0.11090288103745255</v>
          </cell>
          <cell r="K369">
            <v>0.03</v>
          </cell>
          <cell r="L369">
            <v>0.4907274466408868</v>
          </cell>
          <cell r="M369">
            <v>-9.5341599353270537E-2</v>
          </cell>
          <cell r="N369">
            <v>0.14986396685910378</v>
          </cell>
          <cell r="O369">
            <v>0.13385281877731325</v>
          </cell>
          <cell r="P369">
            <v>0.716283214363583</v>
          </cell>
          <cell r="Q369">
            <v>0.64658802644880686</v>
          </cell>
          <cell r="R369">
            <v>-6.8291587247325522E-2</v>
          </cell>
          <cell r="S369">
            <v>0.57829643920148133</v>
          </cell>
        </row>
        <row r="370">
          <cell r="A370" t="str">
            <v>Grains</v>
          </cell>
          <cell r="B370">
            <v>1.622706214625282</v>
          </cell>
          <cell r="C370">
            <v>9.9999999999999978E-2</v>
          </cell>
          <cell r="D370">
            <v>1.4604355931627537</v>
          </cell>
          <cell r="E370">
            <v>0.55998049546972262</v>
          </cell>
          <cell r="F370">
            <v>8.9097826586504822E-2</v>
          </cell>
          <cell r="G370">
            <v>0.56944278764609146</v>
          </cell>
          <cell r="H370">
            <v>0.54617016258961526</v>
          </cell>
          <cell r="I370">
            <v>0.30241299516696951</v>
          </cell>
          <cell r="J370">
            <v>-0.11090288103745255</v>
          </cell>
          <cell r="K370">
            <v>0.03</v>
          </cell>
          <cell r="L370">
            <v>0.4907274466408868</v>
          </cell>
          <cell r="M370">
            <v>-9.5341599353270537E-2</v>
          </cell>
          <cell r="N370">
            <v>0.14986396685910378</v>
          </cell>
          <cell r="O370">
            <v>0.13385281877731325</v>
          </cell>
          <cell r="P370">
            <v>0.716283214363583</v>
          </cell>
          <cell r="Q370">
            <v>0.64658802644880686</v>
          </cell>
          <cell r="R370">
            <v>-6.8291587247325522E-2</v>
          </cell>
          <cell r="S370">
            <v>0.57829643920148133</v>
          </cell>
        </row>
        <row r="371">
          <cell r="A371" t="str">
            <v>Bread</v>
          </cell>
          <cell r="B371">
            <v>1.622706214625282</v>
          </cell>
          <cell r="C371">
            <v>9.9999999999999978E-2</v>
          </cell>
          <cell r="D371">
            <v>1.4604355931627537</v>
          </cell>
          <cell r="E371">
            <v>0.55998049546972262</v>
          </cell>
          <cell r="F371">
            <v>8.9097826586504822E-2</v>
          </cell>
          <cell r="G371">
            <v>0.56944278764609146</v>
          </cell>
          <cell r="H371">
            <v>0.54617016258961526</v>
          </cell>
          <cell r="I371">
            <v>0.30241299516696951</v>
          </cell>
          <cell r="J371">
            <v>-0.11090288103745255</v>
          </cell>
          <cell r="K371">
            <v>0.03</v>
          </cell>
          <cell r="L371">
            <v>0.4907274466408868</v>
          </cell>
          <cell r="M371">
            <v>-9.5341599353270537E-2</v>
          </cell>
          <cell r="N371">
            <v>0.14986396685910378</v>
          </cell>
          <cell r="O371">
            <v>0.13385281877731325</v>
          </cell>
          <cell r="P371">
            <v>0.716283214363583</v>
          </cell>
          <cell r="Q371">
            <v>0.64658802644880686</v>
          </cell>
          <cell r="R371">
            <v>-6.8291587247325522E-2</v>
          </cell>
          <cell r="S371">
            <v>0.57829643920148133</v>
          </cell>
        </row>
        <row r="372">
          <cell r="A372" t="str">
            <v>Fruits and Vegetables</v>
          </cell>
          <cell r="B372">
            <v>1.622706214625282</v>
          </cell>
          <cell r="C372">
            <v>9.9999999999999978E-2</v>
          </cell>
          <cell r="D372">
            <v>1.4604355931627537</v>
          </cell>
          <cell r="E372">
            <v>0.55998049546972262</v>
          </cell>
          <cell r="F372">
            <v>8.9097826586504822E-2</v>
          </cell>
          <cell r="G372">
            <v>0.56944278764609146</v>
          </cell>
          <cell r="H372">
            <v>0.54617016258961526</v>
          </cell>
          <cell r="I372">
            <v>0.30241299516696951</v>
          </cell>
          <cell r="J372">
            <v>-0.11090288103745255</v>
          </cell>
          <cell r="K372">
            <v>0.03</v>
          </cell>
          <cell r="L372">
            <v>0.4907274466408868</v>
          </cell>
          <cell r="M372">
            <v>-9.5341599353270537E-2</v>
          </cell>
          <cell r="N372">
            <v>0.14986396685910378</v>
          </cell>
          <cell r="O372">
            <v>0.13385281877731325</v>
          </cell>
          <cell r="P372">
            <v>0.716283214363583</v>
          </cell>
          <cell r="Q372">
            <v>0.64658802644880686</v>
          </cell>
          <cell r="R372">
            <v>-6.8291587247325522E-2</v>
          </cell>
          <cell r="S372">
            <v>0.57829643920148133</v>
          </cell>
        </row>
        <row r="373">
          <cell r="A373" t="str">
            <v>Dairy Products</v>
          </cell>
          <cell r="B373">
            <v>1.622706214625282</v>
          </cell>
          <cell r="C373">
            <v>9.9999999999999978E-2</v>
          </cell>
          <cell r="D373">
            <v>1.4604355931627537</v>
          </cell>
          <cell r="E373">
            <v>0.55998049546972262</v>
          </cell>
          <cell r="F373">
            <v>8.9097826586504822E-2</v>
          </cell>
          <cell r="G373">
            <v>0.56944278764609146</v>
          </cell>
          <cell r="H373">
            <v>0.54617016258961526</v>
          </cell>
          <cell r="I373">
            <v>0.30241299516696951</v>
          </cell>
          <cell r="J373">
            <v>-0.11090288103745255</v>
          </cell>
          <cell r="K373">
            <v>0.03</v>
          </cell>
          <cell r="L373">
            <v>0.4907274466408868</v>
          </cell>
          <cell r="M373">
            <v>-9.5341599353270537E-2</v>
          </cell>
          <cell r="N373">
            <v>0.14986396685910378</v>
          </cell>
          <cell r="O373">
            <v>0.13385281877731325</v>
          </cell>
          <cell r="P373">
            <v>0.716283214363583</v>
          </cell>
          <cell r="Q373">
            <v>0.64658802644880686</v>
          </cell>
          <cell r="R373">
            <v>-6.8291587247325522E-2</v>
          </cell>
          <cell r="S373">
            <v>0.57829643920148133</v>
          </cell>
        </row>
        <row r="374">
          <cell r="A374" t="str">
            <v>Yard Trimmings</v>
          </cell>
          <cell r="B374">
            <v>0.81032008938650013</v>
          </cell>
          <cell r="C374">
            <v>9.9999999999999978E-2</v>
          </cell>
          <cell r="D374">
            <v>0.7292880804478501</v>
          </cell>
          <cell r="E374">
            <v>0.48509145155616773</v>
          </cell>
          <cell r="F374">
            <v>0.11488171813780065</v>
          </cell>
          <cell r="G374">
            <v>0.32414977689058183</v>
          </cell>
          <cell r="H374">
            <v>0.48927377551548301</v>
          </cell>
          <cell r="I374">
            <v>0.34590837171557048</v>
          </cell>
          <cell r="J374">
            <v>-0.11090288103745255</v>
          </cell>
          <cell r="K374">
            <v>0.03</v>
          </cell>
          <cell r="L374">
            <v>0.2802965026880998</v>
          </cell>
          <cell r="M374">
            <v>-4.2650399886332895E-2</v>
          </cell>
          <cell r="N374">
            <v>0.14986396685910378</v>
          </cell>
          <cell r="O374">
            <v>0.13385281877731325</v>
          </cell>
          <cell r="P374">
            <v>0.716283214363583</v>
          </cell>
          <cell r="Q374">
            <v>0.35345404598212038</v>
          </cell>
          <cell r="R374">
            <v>-3.054976552447472E-2</v>
          </cell>
          <cell r="S374">
            <v>0.32290428045764563</v>
          </cell>
        </row>
        <row r="375">
          <cell r="A375" t="str">
            <v>Grass</v>
          </cell>
          <cell r="B375">
            <v>0.5688048319800002</v>
          </cell>
          <cell r="C375">
            <v>9.9999999999999978E-2</v>
          </cell>
          <cell r="D375">
            <v>0.51192434878200022</v>
          </cell>
          <cell r="E375">
            <v>0.50629539856024219</v>
          </cell>
          <cell r="F375">
            <v>9.205518508241059E-2</v>
          </cell>
          <cell r="G375">
            <v>0.22846012878600602</v>
          </cell>
          <cell r="H375">
            <v>0.45132593418740646</v>
          </cell>
          <cell r="I375">
            <v>0.37723310970311696</v>
          </cell>
          <cell r="J375">
            <v>-0.11090288103745255</v>
          </cell>
          <cell r="K375">
            <v>0.03</v>
          </cell>
          <cell r="L375">
            <v>0.21457201558197442</v>
          </cell>
          <cell r="M375">
            <v>-2.7616467723962417E-2</v>
          </cell>
          <cell r="N375">
            <v>0.14986396685910378</v>
          </cell>
          <cell r="O375">
            <v>0.13385281877731325</v>
          </cell>
          <cell r="P375">
            <v>0.716283214363583</v>
          </cell>
          <cell r="Q375">
            <v>0.2609933788899983</v>
          </cell>
          <cell r="R375">
            <v>-1.9781212270687944E-2</v>
          </cell>
          <cell r="S375">
            <v>0.24121216661931036</v>
          </cell>
        </row>
        <row r="376">
          <cell r="A376" t="str">
            <v>Leaves</v>
          </cell>
          <cell r="B376">
            <v>0.65408019754000024</v>
          </cell>
          <cell r="C376">
            <v>9.9999999999999978E-2</v>
          </cell>
          <cell r="D376">
            <v>0.58867217778600023</v>
          </cell>
          <cell r="E376">
            <v>0.55166470953998359</v>
          </cell>
          <cell r="F376">
            <v>8.8706464999236886E-2</v>
          </cell>
          <cell r="G376">
            <v>0.23522609319846494</v>
          </cell>
          <cell r="H376">
            <v>0.52494173648851516</v>
          </cell>
          <cell r="I376">
            <v>0.31816404153895661</v>
          </cell>
          <cell r="J376">
            <v>-0.11090288103745255</v>
          </cell>
          <cell r="K376">
            <v>0.03</v>
          </cell>
          <cell r="L376">
            <v>0.20810479913992558</v>
          </cell>
          <cell r="M376">
            <v>-3.693657881104509E-2</v>
          </cell>
          <cell r="N376">
            <v>0.14986396685910378</v>
          </cell>
          <cell r="O376">
            <v>0.13385281877731325</v>
          </cell>
          <cell r="P376">
            <v>0.716283214363583</v>
          </cell>
          <cell r="Q376">
            <v>0.26876839781962081</v>
          </cell>
          <cell r="R376">
            <v>-2.6457051398369187E-2</v>
          </cell>
          <cell r="S376">
            <v>0.24231134642125163</v>
          </cell>
        </row>
        <row r="377">
          <cell r="A377" t="str">
            <v>Branches</v>
          </cell>
          <cell r="B377">
            <v>1.4495904960459998</v>
          </cell>
          <cell r="C377">
            <v>9.9999999999999978E-2</v>
          </cell>
          <cell r="D377">
            <v>1.3046314464413997</v>
          </cell>
          <cell r="E377">
            <v>0.37611029956420294</v>
          </cell>
          <cell r="F377">
            <v>0.18671003738714456</v>
          </cell>
          <cell r="G377">
            <v>0.63373148461991924</v>
          </cell>
          <cell r="H377">
            <v>0.52950149719860384</v>
          </cell>
          <cell r="I377">
            <v>0.3110032259170914</v>
          </cell>
          <cell r="J377">
            <v>-0.11090288103745255</v>
          </cell>
          <cell r="K377">
            <v>0.03</v>
          </cell>
          <cell r="L377">
            <v>0.45082732052906266</v>
          </cell>
          <cell r="M377">
            <v>-8.2570913266632559E-2</v>
          </cell>
          <cell r="N377">
            <v>0.14986396685910378</v>
          </cell>
          <cell r="O377">
            <v>0.13385281877731325</v>
          </cell>
          <cell r="P377">
            <v>0.716283214363583</v>
          </cell>
          <cell r="Q377">
            <v>0.60326403168862464</v>
          </cell>
          <cell r="R377">
            <v>-5.914415916756019E-2</v>
          </cell>
          <cell r="S377">
            <v>0.54411987252106442</v>
          </cell>
        </row>
        <row r="378">
          <cell r="A378" t="str">
            <v>Mixed Paper (general)</v>
          </cell>
          <cell r="B378">
            <v>2.3832448707931113</v>
          </cell>
          <cell r="C378">
            <v>9.9999999999999978E-2</v>
          </cell>
          <cell r="D378">
            <v>2.1449203837138002</v>
          </cell>
          <cell r="E378">
            <v>0.45094862538505265</v>
          </cell>
          <cell r="F378">
            <v>0.15256950389177101</v>
          </cell>
          <cell r="G378">
            <v>0.94491338476346742</v>
          </cell>
          <cell r="H378">
            <v>0.57996847580244049</v>
          </cell>
          <cell r="I378">
            <v>0.27852833443174879</v>
          </cell>
          <cell r="J378">
            <v>-0.11090288103745255</v>
          </cell>
          <cell r="K378">
            <v>0.03</v>
          </cell>
          <cell r="L378">
            <v>0.66380122440501366</v>
          </cell>
          <cell r="M378">
            <v>-0.14869200505910568</v>
          </cell>
          <cell r="N378">
            <v>0.14986396685910378</v>
          </cell>
          <cell r="O378">
            <v>0.13385281877731325</v>
          </cell>
          <cell r="P378">
            <v>0.716283214363583</v>
          </cell>
          <cell r="Q378">
            <v>0.92339527206660854</v>
          </cell>
          <cell r="R378">
            <v>-0.10650558733390236</v>
          </cell>
          <cell r="S378">
            <v>0.81688968473270618</v>
          </cell>
        </row>
        <row r="379">
          <cell r="A379" t="str">
            <v>Mixed Paper (primarily residential)</v>
          </cell>
          <cell r="B379">
            <v>2.2946736526735392</v>
          </cell>
          <cell r="C379">
            <v>9.9999999999999978E-2</v>
          </cell>
          <cell r="D379">
            <v>2.0652062874061854</v>
          </cell>
          <cell r="E379">
            <v>0.45022811725619594</v>
          </cell>
          <cell r="F379">
            <v>0.15264304423747022</v>
          </cell>
          <cell r="G379">
            <v>0.91128108243732919</v>
          </cell>
          <cell r="H379">
            <v>0.57733587506586337</v>
          </cell>
          <cell r="I379">
            <v>0.2802471836337741</v>
          </cell>
          <cell r="J379">
            <v>-0.11090288103745255</v>
          </cell>
          <cell r="K379">
            <v>0.03</v>
          </cell>
          <cell r="L379">
            <v>0.64307582852038447</v>
          </cell>
          <cell r="M379">
            <v>-0.1425161352841221</v>
          </cell>
          <cell r="N379">
            <v>0.14986396685910378</v>
          </cell>
          <cell r="O379">
            <v>0.13385281877731325</v>
          </cell>
          <cell r="P379">
            <v>0.716283214363583</v>
          </cell>
          <cell r="Q379">
            <v>0.89210196972783629</v>
          </cell>
          <cell r="R379">
            <v>-0.10208191547998623</v>
          </cell>
          <cell r="S379">
            <v>0.79002005424785005</v>
          </cell>
        </row>
        <row r="380">
          <cell r="A380" t="str">
            <v>Mixed Paper (primarily from offices)</v>
          </cell>
          <cell r="B380">
            <v>2.2577848571899501</v>
          </cell>
          <cell r="C380">
            <v>9.9999999999999978E-2</v>
          </cell>
          <cell r="D380">
            <v>2.0320063714709553</v>
          </cell>
          <cell r="E380">
            <v>0.50103290517255261</v>
          </cell>
          <cell r="F380">
            <v>0.12675944690116728</v>
          </cell>
          <cell r="G380">
            <v>0.8403647912182437</v>
          </cell>
          <cell r="H380">
            <v>0.58662160090008442</v>
          </cell>
          <cell r="I380">
            <v>0.27441655689312694</v>
          </cell>
          <cell r="J380">
            <v>-0.11090288103745255</v>
          </cell>
          <cell r="K380">
            <v>0.03</v>
          </cell>
          <cell r="L380">
            <v>0.61957354671550646</v>
          </cell>
          <cell r="M380">
            <v>-0.14248041432798864</v>
          </cell>
          <cell r="N380">
            <v>0.14986396685910378</v>
          </cell>
          <cell r="O380">
            <v>0.13385281877731325</v>
          </cell>
          <cell r="P380">
            <v>0.716283214363583</v>
          </cell>
          <cell r="Q380">
            <v>0.86079986319340973</v>
          </cell>
          <cell r="R380">
            <v>-0.10205632915870681</v>
          </cell>
          <cell r="S380">
            <v>0.75874353403470296</v>
          </cell>
        </row>
        <row r="381">
          <cell r="A381" t="str">
            <v>Mixed Recyclables</v>
          </cell>
          <cell r="B381">
            <v>1.9734014132616131</v>
          </cell>
          <cell r="C381">
            <v>9.9999999999999978E-2</v>
          </cell>
          <cell r="D381">
            <v>1.7760612719354518</v>
          </cell>
          <cell r="E381">
            <v>0.38722474228481579</v>
          </cell>
          <cell r="F381">
            <v>0.13262395577480976</v>
          </cell>
          <cell r="G381">
            <v>0.94753125782853831</v>
          </cell>
          <cell r="H381">
            <v>0.49559590083393318</v>
          </cell>
          <cell r="I381">
            <v>0.24439183228987282</v>
          </cell>
          <cell r="J381">
            <v>-0.11090288103745255</v>
          </cell>
          <cell r="K381">
            <v>0.03</v>
          </cell>
          <cell r="L381">
            <v>0.48228318723043018</v>
          </cell>
          <cell r="M381">
            <v>-0.10521016535106918</v>
          </cell>
          <cell r="N381">
            <v>0.14986396685910378</v>
          </cell>
          <cell r="O381">
            <v>0.13385281877731325</v>
          </cell>
          <cell r="P381">
            <v>0.716283214363583</v>
          </cell>
          <cell r="Q381">
            <v>0.73844866891996153</v>
          </cell>
          <cell r="R381">
            <v>-7.5360275421387901E-2</v>
          </cell>
          <cell r="S381">
            <v>0.66308839349857362</v>
          </cell>
        </row>
        <row r="382">
          <cell r="A382" t="str">
            <v>Mixed Organics</v>
          </cell>
          <cell r="B382">
            <v>1.2328155960009999</v>
          </cell>
          <cell r="C382">
            <v>9.9999999999999978E-2</v>
          </cell>
          <cell r="D382">
            <v>1.1095340364008999</v>
          </cell>
          <cell r="E382">
            <v>0.52403879883986604</v>
          </cell>
          <cell r="F382">
            <v>0.1014723577548225</v>
          </cell>
          <cell r="G382">
            <v>0.46167568667844416</v>
          </cell>
          <cell r="H382">
            <v>0.51886372927590041</v>
          </cell>
          <cell r="I382">
            <v>0.32328784610665734</v>
          </cell>
          <cell r="J382">
            <v>-0.11090288103745255</v>
          </cell>
          <cell r="K382">
            <v>0.03</v>
          </cell>
          <cell r="L382">
            <v>0.3985542986778583</v>
          </cell>
          <cell r="M382">
            <v>-6.8812287525264859E-2</v>
          </cell>
          <cell r="N382">
            <v>0.14986396685910378</v>
          </cell>
          <cell r="O382">
            <v>0.13385281877731325</v>
          </cell>
          <cell r="P382">
            <v>0.716283214363583</v>
          </cell>
          <cell r="Q382">
            <v>0.51355351823849338</v>
          </cell>
          <cell r="R382">
            <v>-4.9289086496307796E-2</v>
          </cell>
          <cell r="S382">
            <v>0.46426443174218557</v>
          </cell>
        </row>
        <row r="383">
          <cell r="A383" t="str">
            <v>Mixed MSW</v>
          </cell>
          <cell r="B383">
            <v>1.6199727500000001</v>
          </cell>
          <cell r="C383">
            <v>9.9999999999999978E-2</v>
          </cell>
          <cell r="D383">
            <v>1.457975475</v>
          </cell>
          <cell r="E383">
            <v>0.50609936827001556</v>
          </cell>
          <cell r="F383">
            <v>0.12837126980939076</v>
          </cell>
          <cell r="G383">
            <v>0.59214760563624946</v>
          </cell>
          <cell r="H383">
            <v>0.61912450277889963</v>
          </cell>
          <cell r="I383">
            <v>0.25288251642287196</v>
          </cell>
          <cell r="J383">
            <v>-0.11090288103745255</v>
          </cell>
          <cell r="K383">
            <v>0.03</v>
          </cell>
          <cell r="L383">
            <v>0.40966278555648006</v>
          </cell>
          <cell r="M383">
            <v>-0.10789473783505335</v>
          </cell>
          <cell r="N383">
            <v>0.14986396685910378</v>
          </cell>
          <cell r="O383">
            <v>0.13385281877731325</v>
          </cell>
          <cell r="P383">
            <v>0.716283214363583</v>
          </cell>
          <cell r="Q383">
            <v>0.59119319125696967</v>
          </cell>
          <cell r="R383">
            <v>-7.7283189629408111E-2</v>
          </cell>
          <cell r="S383">
            <v>0.51391000162756151</v>
          </cell>
        </row>
        <row r="384">
          <cell r="A384" t="str">
            <v>Wood Flooring</v>
          </cell>
          <cell r="B384">
            <v>0.18143694800000035</v>
          </cell>
          <cell r="C384">
            <v>9.9999999999999978E-2</v>
          </cell>
          <cell r="D384">
            <v>0.16329325320000032</v>
          </cell>
          <cell r="E384">
            <v>0</v>
          </cell>
          <cell r="F384">
            <v>9.9999999999999978E-2</v>
          </cell>
          <cell r="G384">
            <v>0.16329325320000032</v>
          </cell>
          <cell r="H384">
            <v>0</v>
          </cell>
          <cell r="I384">
            <v>0.9</v>
          </cell>
          <cell r="J384">
            <v>-0.11090288103745255</v>
          </cell>
          <cell r="K384">
            <v>0.03</v>
          </cell>
          <cell r="L384">
            <v>0.16329325320000032</v>
          </cell>
          <cell r="M384">
            <v>0</v>
          </cell>
          <cell r="N384">
            <v>1</v>
          </cell>
          <cell r="O384">
            <v>0</v>
          </cell>
          <cell r="P384">
            <v>0</v>
          </cell>
          <cell r="Q384">
            <v>0.16329325320000032</v>
          </cell>
          <cell r="R384">
            <v>0</v>
          </cell>
          <cell r="S384">
            <v>0.16329325320000032</v>
          </cell>
        </row>
        <row r="385">
          <cell r="A385" t="str">
            <v>Drywall</v>
          </cell>
          <cell r="B385">
            <v>0</v>
          </cell>
          <cell r="C385">
            <v>9.9999999999999978E-2</v>
          </cell>
          <cell r="D385">
            <v>0</v>
          </cell>
          <cell r="E385">
            <v>0</v>
          </cell>
          <cell r="F385">
            <v>9.9999999999999978E-2</v>
          </cell>
          <cell r="G385">
            <v>0</v>
          </cell>
          <cell r="H385">
            <v>0</v>
          </cell>
          <cell r="I385">
            <v>0.9</v>
          </cell>
          <cell r="J385">
            <v>-0.11090288103745255</v>
          </cell>
          <cell r="K385">
            <v>0.03</v>
          </cell>
          <cell r="L385">
            <v>0</v>
          </cell>
          <cell r="M385">
            <v>0</v>
          </cell>
          <cell r="N385">
            <v>1</v>
          </cell>
          <cell r="O385">
            <v>0</v>
          </cell>
          <cell r="P385">
            <v>0</v>
          </cell>
          <cell r="Q385">
            <v>0</v>
          </cell>
          <cell r="R385">
            <v>0</v>
          </cell>
          <cell r="S385">
            <v>0</v>
          </cell>
        </row>
        <row r="388">
          <cell r="H388">
            <v>16</v>
          </cell>
          <cell r="I388">
            <v>18</v>
          </cell>
        </row>
        <row r="390">
          <cell r="J390" t="str">
            <v>Electricity Generation</v>
          </cell>
          <cell r="N390" t="str">
            <v>Percentage of CH4 from Each Type of Landfill in the current inventory year</v>
          </cell>
          <cell r="Q390" t="str">
            <v>Net CH4 Generation</v>
          </cell>
          <cell r="R390" t="str">
            <v>Avoided CO2 from Energy Recovery</v>
          </cell>
        </row>
        <row r="392">
          <cell r="H392" t="str">
            <v>(h)</v>
          </cell>
          <cell r="I392" t="str">
            <v>(i)</v>
          </cell>
          <cell r="J392" t="str">
            <v>(j)</v>
          </cell>
          <cell r="K392" t="str">
            <v>(k)</v>
          </cell>
          <cell r="L392" t="str">
            <v>(l)</v>
          </cell>
          <cell r="M392" t="str">
            <v>(m)</v>
          </cell>
          <cell r="N392" t="str">
            <v>(n)</v>
          </cell>
          <cell r="O392" t="str">
            <v>(o)</v>
          </cell>
          <cell r="P392" t="str">
            <v>(p)</v>
          </cell>
          <cell r="Q392" t="str">
            <v>(q)</v>
          </cell>
          <cell r="R392" t="str">
            <v>( r)</v>
          </cell>
        </row>
        <row r="394">
          <cell r="H394" t="str">
            <v>Percentage of CH4 Recovered for Energy</v>
          </cell>
          <cell r="I394" t="str">
            <v>Percentage of CH4 Emitted</v>
          </cell>
          <cell r="J394" t="str">
            <v>Utility CO2 Emissions Avoided per MTCO2E CH4 Combusted (MTCO2E)</v>
          </cell>
          <cell r="K394" t="str">
            <v>Percentage of CH4 Recovered for Electricity Generation Not Utilized Due to System "Down Time"</v>
          </cell>
          <cell r="L394" t="str">
            <v>Net GHG Emissions From CH4 Generation (MTCO2E/Wet Ton)</v>
          </cell>
          <cell r="M394" t="str">
            <v>Utility CO2 Emissions Avoided (MTCO2E/Wet Ton)</v>
          </cell>
          <cell r="N394" t="str">
            <v>Percentage of CH4 From Landfills Without LFG Recovery in Current Inventory Year</v>
          </cell>
          <cell r="O394" t="str">
            <v>Percentage of CH4 From Landfills With LFG Recovery And Flaring in Current Inventory Year</v>
          </cell>
          <cell r="P394" t="str">
            <v>CH4 From Landfills With LFG Recovery and Electricity Generation in Current Inventory Year</v>
          </cell>
          <cell r="Q394" t="str">
            <v>Net CH4 Emissions from Landfilling (MTCO2E/Wet Ton)</v>
          </cell>
          <cell r="R394" t="str">
            <v>Net Avoided CO2 Emissions from Landfilling (MTCO2E/Wet Ton)</v>
          </cell>
        </row>
        <row r="395">
          <cell r="A395" t="str">
            <v>Corrugated Containers</v>
          </cell>
          <cell r="B395">
            <v>2.6232704732575001</v>
          </cell>
          <cell r="C395">
            <v>9.9999999999999978E-2</v>
          </cell>
          <cell r="D395">
            <v>2.3609434259317501</v>
          </cell>
          <cell r="E395">
            <v>0.48505276877449288</v>
          </cell>
          <cell r="F395">
            <v>0.13485919819806583</v>
          </cell>
          <cell r="G395">
            <v>0.99707371427940827</v>
          </cell>
          <cell r="H395">
            <v>0.5759792782893457</v>
          </cell>
          <cell r="I395">
            <v>0.29582971472260788</v>
          </cell>
          <cell r="J395">
            <v>-0.11090288103745255</v>
          </cell>
          <cell r="K395">
            <v>0.03</v>
          </cell>
          <cell r="L395">
            <v>0.77604135574400679</v>
          </cell>
          <cell r="M395">
            <v>-0.16254158596657386</v>
          </cell>
          <cell r="N395">
            <v>0.14986396685910378</v>
          </cell>
          <cell r="O395">
            <v>0.13385281877731325</v>
          </cell>
          <cell r="P395">
            <v>0.716283214363583</v>
          </cell>
          <cell r="Q395">
            <v>1.0431468712965091</v>
          </cell>
          <cell r="R395">
            <v>-0.11642580966389218</v>
          </cell>
          <cell r="S395">
            <v>0.92672106163261692</v>
          </cell>
        </row>
        <row r="396">
          <cell r="A396" t="str">
            <v>Magazines/Third-class Mail</v>
          </cell>
          <cell r="B396">
            <v>1.1946237049113888</v>
          </cell>
          <cell r="C396">
            <v>9.9999999999999978E-2</v>
          </cell>
          <cell r="D396">
            <v>1.07516133442025</v>
          </cell>
          <cell r="E396">
            <v>0.52343684047920791</v>
          </cell>
          <cell r="F396">
            <v>9.0753165301706781E-2</v>
          </cell>
          <cell r="G396">
            <v>0.46089776468584515</v>
          </cell>
          <cell r="H396">
            <v>0.50722146089392273</v>
          </cell>
          <cell r="I396">
            <v>0.3573544885002875</v>
          </cell>
          <cell r="J396">
            <v>-0.11090288103745255</v>
          </cell>
          <cell r="K396">
            <v>0.03</v>
          </cell>
          <cell r="L396">
            <v>0.42690414301892776</v>
          </cell>
          <cell r="M396">
            <v>-6.5184345829895976E-2</v>
          </cell>
          <cell r="N396">
            <v>0.14986396685910378</v>
          </cell>
          <cell r="O396">
            <v>0.13385281877731325</v>
          </cell>
          <cell r="P396">
            <v>0.716283214363583</v>
          </cell>
          <cell r="Q396">
            <v>0.52860467934783761</v>
          </cell>
          <cell r="R396">
            <v>-4.6690452757225304E-2</v>
          </cell>
          <cell r="S396">
            <v>0.48191422659061234</v>
          </cell>
        </row>
        <row r="397">
          <cell r="A397" t="str">
            <v>Newspaper</v>
          </cell>
          <cell r="B397">
            <v>1.0471665853275001</v>
          </cell>
          <cell r="C397">
            <v>9.9999999999999978E-2</v>
          </cell>
          <cell r="D397">
            <v>0.94244992679475004</v>
          </cell>
          <cell r="E397">
            <v>0.53826766244505164</v>
          </cell>
          <cell r="F397">
            <v>0.10876941991981406</v>
          </cell>
          <cell r="G397">
            <v>0.36961097320721525</v>
          </cell>
          <cell r="H397">
            <v>0.60473893986303784</v>
          </cell>
          <cell r="I397">
            <v>0.28013280789637945</v>
          </cell>
          <cell r="J397">
            <v>-0.11090288103745255</v>
          </cell>
          <cell r="K397">
            <v>0.03</v>
          </cell>
          <cell r="L397">
            <v>0.29334571588305625</v>
          </cell>
          <cell r="M397">
            <v>-6.8123707022246849E-2</v>
          </cell>
          <cell r="N397">
            <v>0.14986396685910378</v>
          </cell>
          <cell r="O397">
            <v>0.13385281877731325</v>
          </cell>
          <cell r="P397">
            <v>0.716283214363583</v>
          </cell>
          <cell r="Q397">
            <v>0.40083136750284687</v>
          </cell>
          <cell r="R397">
            <v>-4.8795867840257967E-2</v>
          </cell>
          <cell r="S397">
            <v>0.3520354996625889</v>
          </cell>
        </row>
        <row r="398">
          <cell r="A398" t="str">
            <v>Office Paper</v>
          </cell>
          <cell r="B398">
            <v>3.8859258337900004</v>
          </cell>
          <cell r="C398">
            <v>9.9999999999999978E-2</v>
          </cell>
          <cell r="D398">
            <v>3.4973332504110006</v>
          </cell>
          <cell r="E398">
            <v>0.52745803360557653</v>
          </cell>
          <cell r="F398">
            <v>0.11447185021572348</v>
          </cell>
          <cell r="G398">
            <v>1.3914339147669972</v>
          </cell>
          <cell r="H398">
            <v>0.60165129844063669</v>
          </cell>
          <cell r="I398">
            <v>0.28141206252601897</v>
          </cell>
          <cell r="J398">
            <v>-0.11090288103745255</v>
          </cell>
          <cell r="K398">
            <v>0.03</v>
          </cell>
          <cell r="L398">
            <v>1.093546403709984</v>
          </cell>
          <cell r="M398">
            <v>-0.25150923047282603</v>
          </cell>
          <cell r="N398">
            <v>0.14986396685910378</v>
          </cell>
          <cell r="O398">
            <v>0.13385281877731325</v>
          </cell>
          <cell r="P398">
            <v>0.716283214363583</v>
          </cell>
          <cell r="Q398">
            <v>1.4936605190738739</v>
          </cell>
          <cell r="R398">
            <v>-0.18015184004518706</v>
          </cell>
          <cell r="S398">
            <v>1.3135086790286867</v>
          </cell>
        </row>
        <row r="399">
          <cell r="A399" t="str">
            <v>Phonebooks</v>
          </cell>
          <cell r="B399">
            <v>1.0471665853275001</v>
          </cell>
          <cell r="C399">
            <v>9.9999999999999978E-2</v>
          </cell>
          <cell r="D399">
            <v>0.94244992679475004</v>
          </cell>
          <cell r="E399">
            <v>0.53826766244505164</v>
          </cell>
          <cell r="F399">
            <v>0.10876941991981406</v>
          </cell>
          <cell r="G399">
            <v>0.36961097320721525</v>
          </cell>
          <cell r="H399">
            <v>0.60473893986303784</v>
          </cell>
          <cell r="I399">
            <v>0.28013280789637945</v>
          </cell>
          <cell r="J399">
            <v>-0.11090288103745255</v>
          </cell>
          <cell r="K399">
            <v>0.03</v>
          </cell>
          <cell r="L399">
            <v>0.29334571588305625</v>
          </cell>
          <cell r="M399">
            <v>-6.8123707022246849E-2</v>
          </cell>
          <cell r="N399">
            <v>0.14986396685910378</v>
          </cell>
          <cell r="O399">
            <v>0.13385281877731325</v>
          </cell>
          <cell r="P399">
            <v>0.716283214363583</v>
          </cell>
          <cell r="Q399">
            <v>0.40083136750284687</v>
          </cell>
          <cell r="R399">
            <v>-4.8795867840257967E-2</v>
          </cell>
          <cell r="S399">
            <v>0.3520354996625889</v>
          </cell>
        </row>
        <row r="400">
          <cell r="A400" t="str">
            <v>Textbooks</v>
          </cell>
          <cell r="B400">
            <v>3.8859258337900004</v>
          </cell>
          <cell r="C400">
            <v>9.9999999999999978E-2</v>
          </cell>
          <cell r="D400">
            <v>3.4973332504110006</v>
          </cell>
          <cell r="E400">
            <v>0.52745803360557653</v>
          </cell>
          <cell r="F400">
            <v>0.11447185021572348</v>
          </cell>
          <cell r="G400">
            <v>1.3914339147669972</v>
          </cell>
          <cell r="H400">
            <v>0.60165129844063669</v>
          </cell>
          <cell r="I400">
            <v>0.28141206252601897</v>
          </cell>
          <cell r="J400">
            <v>-0.11090288103745255</v>
          </cell>
          <cell r="K400">
            <v>0.03</v>
          </cell>
          <cell r="L400">
            <v>1.093546403709984</v>
          </cell>
          <cell r="M400">
            <v>-0.25150923047282603</v>
          </cell>
          <cell r="N400">
            <v>0.14986396685910378</v>
          </cell>
          <cell r="O400">
            <v>0.13385281877731325</v>
          </cell>
          <cell r="P400">
            <v>0.716283214363583</v>
          </cell>
          <cell r="Q400">
            <v>1.4936605190738739</v>
          </cell>
          <cell r="R400">
            <v>-0.18015184004518706</v>
          </cell>
          <cell r="S400">
            <v>1.3135086790286867</v>
          </cell>
        </row>
        <row r="401">
          <cell r="A401" t="str">
            <v>Dimensional Lumber</v>
          </cell>
          <cell r="B401">
            <v>0.16645220006249997</v>
          </cell>
          <cell r="C401">
            <v>9.9999999999999978E-2</v>
          </cell>
          <cell r="D401">
            <v>0.14980698005624998</v>
          </cell>
          <cell r="E401">
            <v>0.54961881121183109</v>
          </cell>
          <cell r="F401">
            <v>8.9940506765967751E-2</v>
          </cell>
          <cell r="G401">
            <v>5.9996144514623359E-2</v>
          </cell>
          <cell r="H401">
            <v>0.55431147499000244</v>
          </cell>
          <cell r="I401">
            <v>0.32025017350427304</v>
          </cell>
          <cell r="J401">
            <v>-0.11090288103745255</v>
          </cell>
          <cell r="K401">
            <v>0.03</v>
          </cell>
          <cell r="L401">
            <v>5.3306345950183583E-2</v>
          </cell>
          <cell r="M401">
            <v>-9.9256274799644547E-3</v>
          </cell>
          <cell r="N401">
            <v>0.14986396685910378</v>
          </cell>
          <cell r="O401">
            <v>0.13385281877731325</v>
          </cell>
          <cell r="P401">
            <v>0.716283214363583</v>
          </cell>
          <cell r="Q401">
            <v>6.8663762176640303E-2</v>
          </cell>
          <cell r="R401">
            <v>-7.1095603559244496E-3</v>
          </cell>
          <cell r="S401">
            <v>6.1554201820715852E-2</v>
          </cell>
        </row>
        <row r="402">
          <cell r="A402" t="str">
            <v>Medium-density Fiberboard</v>
          </cell>
          <cell r="B402">
            <v>5.5889059875000008E-2</v>
          </cell>
          <cell r="C402">
            <v>9.9999999999999978E-2</v>
          </cell>
          <cell r="D402">
            <v>5.0300153887500011E-2</v>
          </cell>
          <cell r="E402">
            <v>0.55720658013757574</v>
          </cell>
          <cell r="F402">
            <v>9.1669573074441305E-2</v>
          </cell>
          <cell r="G402">
            <v>1.9623981696673908E-2</v>
          </cell>
          <cell r="H402">
            <v>0.57751596272755112</v>
          </cell>
          <cell r="I402">
            <v>0.30246561378751335</v>
          </cell>
          <cell r="J402">
            <v>-0.11090288103745255</v>
          </cell>
          <cell r="K402">
            <v>0.03</v>
          </cell>
          <cell r="L402">
            <v>1.6904518799098961E-2</v>
          </cell>
          <cell r="M402">
            <v>-3.4722050127974783E-3</v>
          </cell>
          <cell r="N402">
            <v>0.14986396685910378</v>
          </cell>
          <cell r="O402">
            <v>0.13385281877731325</v>
          </cell>
          <cell r="P402">
            <v>0.716283214363583</v>
          </cell>
          <cell r="Q402">
            <v>2.2273328923626545E-2</v>
          </cell>
          <cell r="R402">
            <v>-2.4870821674959236E-3</v>
          </cell>
          <cell r="S402">
            <v>1.978624675613062E-2</v>
          </cell>
        </row>
        <row r="403">
          <cell r="A403" t="str">
            <v>Food Waste</v>
          </cell>
          <cell r="B403">
            <v>1.622706214625282</v>
          </cell>
          <cell r="C403">
            <v>9.9999999999999978E-2</v>
          </cell>
          <cell r="D403">
            <v>1.4604355931627537</v>
          </cell>
          <cell r="E403">
            <v>0.50832493039170901</v>
          </cell>
          <cell r="F403">
            <v>9.2089415660760968E-2</v>
          </cell>
          <cell r="G403">
            <v>0.64841012393576436</v>
          </cell>
          <cell r="H403">
            <v>0.48538391373972373</v>
          </cell>
          <cell r="I403">
            <v>0.37513624147665214</v>
          </cell>
          <cell r="J403">
            <v>-0.11090288103745255</v>
          </cell>
          <cell r="K403">
            <v>0.03</v>
          </cell>
          <cell r="L403">
            <v>0.60873591037533392</v>
          </cell>
          <cell r="M403">
            <v>-8.4730514052389336E-2</v>
          </cell>
          <cell r="N403">
            <v>0.14986396685910378</v>
          </cell>
          <cell r="O403">
            <v>0.13385281877731325</v>
          </cell>
          <cell r="P403">
            <v>0.716283214363583</v>
          </cell>
          <cell r="Q403">
            <v>0.74168550872833372</v>
          </cell>
          <cell r="R403">
            <v>-6.0691044960124174E-2</v>
          </cell>
          <cell r="S403">
            <v>0.68099446376820949</v>
          </cell>
        </row>
        <row r="404">
          <cell r="A404" t="str">
            <v>Food Waste (meat only)</v>
          </cell>
          <cell r="B404">
            <v>1.622706214625282</v>
          </cell>
          <cell r="C404">
            <v>9.9999999999999978E-2</v>
          </cell>
          <cell r="D404">
            <v>1.4604355931627537</v>
          </cell>
          <cell r="E404">
            <v>0.50832493039170901</v>
          </cell>
          <cell r="F404">
            <v>9.2089415660760968E-2</v>
          </cell>
          <cell r="G404">
            <v>0.64841012393576436</v>
          </cell>
          <cell r="H404">
            <v>0.48538391373972373</v>
          </cell>
          <cell r="I404">
            <v>0.37513624147665214</v>
          </cell>
          <cell r="J404">
            <v>-0.11090288103745255</v>
          </cell>
          <cell r="K404">
            <v>0.03</v>
          </cell>
          <cell r="L404">
            <v>0.60873591037533392</v>
          </cell>
          <cell r="M404">
            <v>-8.4730514052389336E-2</v>
          </cell>
          <cell r="N404">
            <v>0.14986396685910378</v>
          </cell>
          <cell r="O404">
            <v>0.13385281877731325</v>
          </cell>
          <cell r="P404">
            <v>0.716283214363583</v>
          </cell>
          <cell r="Q404">
            <v>0.74168550872833372</v>
          </cell>
          <cell r="R404">
            <v>-6.0691044960124174E-2</v>
          </cell>
          <cell r="S404">
            <v>0.68099446376820949</v>
          </cell>
        </row>
        <row r="405">
          <cell r="A405" t="str">
            <v>Food Waste (non-meat)</v>
          </cell>
          <cell r="B405">
            <v>1.622706214625282</v>
          </cell>
          <cell r="C405">
            <v>9.9999999999999978E-2</v>
          </cell>
          <cell r="D405">
            <v>1.4604355931627537</v>
          </cell>
          <cell r="E405">
            <v>0.50832493039170901</v>
          </cell>
          <cell r="F405">
            <v>9.2089415660760968E-2</v>
          </cell>
          <cell r="G405">
            <v>0.64841012393576436</v>
          </cell>
          <cell r="H405">
            <v>0.48538391373972373</v>
          </cell>
          <cell r="I405">
            <v>0.37513624147665214</v>
          </cell>
          <cell r="J405">
            <v>-0.11090288103745255</v>
          </cell>
          <cell r="K405">
            <v>0.03</v>
          </cell>
          <cell r="L405">
            <v>0.60873591037533392</v>
          </cell>
          <cell r="M405">
            <v>-8.4730514052389336E-2</v>
          </cell>
          <cell r="N405">
            <v>0.14986396685910378</v>
          </cell>
          <cell r="O405">
            <v>0.13385281877731325</v>
          </cell>
          <cell r="P405">
            <v>0.716283214363583</v>
          </cell>
          <cell r="Q405">
            <v>0.74168550872833372</v>
          </cell>
          <cell r="R405">
            <v>-6.0691044960124174E-2</v>
          </cell>
          <cell r="S405">
            <v>0.68099446376820949</v>
          </cell>
        </row>
        <row r="406">
          <cell r="A406" t="str">
            <v>Beef</v>
          </cell>
          <cell r="B406">
            <v>1.622706214625282</v>
          </cell>
          <cell r="C406">
            <v>9.9999999999999978E-2</v>
          </cell>
          <cell r="D406">
            <v>1.4604355931627537</v>
          </cell>
          <cell r="E406">
            <v>0.50832493039170901</v>
          </cell>
          <cell r="F406">
            <v>9.2089415660760968E-2</v>
          </cell>
          <cell r="G406">
            <v>0.64841012393576436</v>
          </cell>
          <cell r="H406">
            <v>0.48538391373972373</v>
          </cell>
          <cell r="I406">
            <v>0.37513624147665214</v>
          </cell>
          <cell r="J406">
            <v>-0.11090288103745255</v>
          </cell>
          <cell r="K406">
            <v>0.03</v>
          </cell>
          <cell r="L406">
            <v>0.60873591037533392</v>
          </cell>
          <cell r="M406">
            <v>-8.4730514052389336E-2</v>
          </cell>
          <cell r="N406">
            <v>0.14986396685910378</v>
          </cell>
          <cell r="O406">
            <v>0.13385281877731325</v>
          </cell>
          <cell r="P406">
            <v>0.716283214363583</v>
          </cell>
          <cell r="Q406">
            <v>0.74168550872833372</v>
          </cell>
          <cell r="R406">
            <v>-6.0691044960124174E-2</v>
          </cell>
          <cell r="S406">
            <v>0.68099446376820949</v>
          </cell>
        </row>
        <row r="407">
          <cell r="A407" t="str">
            <v>Poultry</v>
          </cell>
          <cell r="B407">
            <v>1.622706214625282</v>
          </cell>
          <cell r="C407">
            <v>9.9999999999999978E-2</v>
          </cell>
          <cell r="D407">
            <v>1.4604355931627537</v>
          </cell>
          <cell r="E407">
            <v>0.50832493039170901</v>
          </cell>
          <cell r="F407">
            <v>9.2089415660760968E-2</v>
          </cell>
          <cell r="G407">
            <v>0.64841012393576436</v>
          </cell>
          <cell r="H407">
            <v>0.48538391373972373</v>
          </cell>
          <cell r="I407">
            <v>0.37513624147665214</v>
          </cell>
          <cell r="J407">
            <v>-0.11090288103745255</v>
          </cell>
          <cell r="K407">
            <v>0.03</v>
          </cell>
          <cell r="L407">
            <v>0.60873591037533392</v>
          </cell>
          <cell r="M407">
            <v>-8.4730514052389336E-2</v>
          </cell>
          <cell r="N407">
            <v>0.14986396685910378</v>
          </cell>
          <cell r="O407">
            <v>0.13385281877731325</v>
          </cell>
          <cell r="P407">
            <v>0.716283214363583</v>
          </cell>
          <cell r="Q407">
            <v>0.74168550872833372</v>
          </cell>
          <cell r="R407">
            <v>-6.0691044960124174E-2</v>
          </cell>
          <cell r="S407">
            <v>0.68099446376820949</v>
          </cell>
        </row>
        <row r="408">
          <cell r="A408" t="str">
            <v>Grains</v>
          </cell>
          <cell r="B408">
            <v>1.622706214625282</v>
          </cell>
          <cell r="C408">
            <v>9.9999999999999978E-2</v>
          </cell>
          <cell r="D408">
            <v>1.4604355931627537</v>
          </cell>
          <cell r="E408">
            <v>0.50832493039170901</v>
          </cell>
          <cell r="F408">
            <v>9.2089415660760968E-2</v>
          </cell>
          <cell r="G408">
            <v>0.64841012393576436</v>
          </cell>
          <cell r="H408">
            <v>0.48538391373972373</v>
          </cell>
          <cell r="I408">
            <v>0.37513624147665214</v>
          </cell>
          <cell r="J408">
            <v>-0.11090288103745255</v>
          </cell>
          <cell r="K408">
            <v>0.03</v>
          </cell>
          <cell r="L408">
            <v>0.60873591037533392</v>
          </cell>
          <cell r="M408">
            <v>-8.4730514052389336E-2</v>
          </cell>
          <cell r="N408">
            <v>0.14986396685910378</v>
          </cell>
          <cell r="O408">
            <v>0.13385281877731325</v>
          </cell>
          <cell r="P408">
            <v>0.716283214363583</v>
          </cell>
          <cell r="Q408">
            <v>0.74168550872833372</v>
          </cell>
          <cell r="R408">
            <v>-6.0691044960124174E-2</v>
          </cell>
          <cell r="S408">
            <v>0.68099446376820949</v>
          </cell>
        </row>
        <row r="409">
          <cell r="A409" t="str">
            <v>Bread</v>
          </cell>
          <cell r="B409">
            <v>1.622706214625282</v>
          </cell>
          <cell r="C409">
            <v>9.9999999999999978E-2</v>
          </cell>
          <cell r="D409">
            <v>1.4604355931627537</v>
          </cell>
          <cell r="E409">
            <v>0.50832493039170901</v>
          </cell>
          <cell r="F409">
            <v>9.2089415660760968E-2</v>
          </cell>
          <cell r="G409">
            <v>0.64841012393576436</v>
          </cell>
          <cell r="H409">
            <v>0.48538391373972373</v>
          </cell>
          <cell r="I409">
            <v>0.37513624147665214</v>
          </cell>
          <cell r="J409">
            <v>-0.11090288103745255</v>
          </cell>
          <cell r="K409">
            <v>0.03</v>
          </cell>
          <cell r="L409">
            <v>0.60873591037533392</v>
          </cell>
          <cell r="M409">
            <v>-8.4730514052389336E-2</v>
          </cell>
          <cell r="N409">
            <v>0.14986396685910378</v>
          </cell>
          <cell r="O409">
            <v>0.13385281877731325</v>
          </cell>
          <cell r="P409">
            <v>0.716283214363583</v>
          </cell>
          <cell r="Q409">
            <v>0.74168550872833372</v>
          </cell>
          <cell r="R409">
            <v>-6.0691044960124174E-2</v>
          </cell>
          <cell r="S409">
            <v>0.68099446376820949</v>
          </cell>
        </row>
        <row r="410">
          <cell r="A410" t="str">
            <v>Fruits and Vegetables</v>
          </cell>
          <cell r="B410">
            <v>1.622706214625282</v>
          </cell>
          <cell r="C410">
            <v>9.9999999999999978E-2</v>
          </cell>
          <cell r="D410">
            <v>1.4604355931627537</v>
          </cell>
          <cell r="E410">
            <v>0.50832493039170901</v>
          </cell>
          <cell r="F410">
            <v>9.2089415660760968E-2</v>
          </cell>
          <cell r="G410">
            <v>0.64841012393576436</v>
          </cell>
          <cell r="H410">
            <v>0.48538391373972373</v>
          </cell>
          <cell r="I410">
            <v>0.37513624147665214</v>
          </cell>
          <cell r="J410">
            <v>-0.11090288103745255</v>
          </cell>
          <cell r="K410">
            <v>0.03</v>
          </cell>
          <cell r="L410">
            <v>0.60873591037533392</v>
          </cell>
          <cell r="M410">
            <v>-8.4730514052389336E-2</v>
          </cell>
          <cell r="N410">
            <v>0.14986396685910378</v>
          </cell>
          <cell r="O410">
            <v>0.13385281877731325</v>
          </cell>
          <cell r="P410">
            <v>0.716283214363583</v>
          </cell>
          <cell r="Q410">
            <v>0.74168550872833372</v>
          </cell>
          <cell r="R410">
            <v>-6.0691044960124174E-2</v>
          </cell>
          <cell r="S410">
            <v>0.68099446376820949</v>
          </cell>
        </row>
        <row r="411">
          <cell r="A411" t="str">
            <v>Dairy Products</v>
          </cell>
          <cell r="B411">
            <v>1.622706214625282</v>
          </cell>
          <cell r="C411">
            <v>9.9999999999999978E-2</v>
          </cell>
          <cell r="D411">
            <v>1.4604355931627537</v>
          </cell>
          <cell r="E411">
            <v>0.50832493039170901</v>
          </cell>
          <cell r="F411">
            <v>9.2089415660760968E-2</v>
          </cell>
          <cell r="G411">
            <v>0.64841012393576436</v>
          </cell>
          <cell r="H411">
            <v>0.48538391373972373</v>
          </cell>
          <cell r="I411">
            <v>0.37513624147665214</v>
          </cell>
          <cell r="J411">
            <v>-0.11090288103745255</v>
          </cell>
          <cell r="K411">
            <v>0.03</v>
          </cell>
          <cell r="L411">
            <v>0.60873591037533392</v>
          </cell>
          <cell r="M411">
            <v>-8.4730514052389336E-2</v>
          </cell>
          <cell r="N411">
            <v>0.14986396685910378</v>
          </cell>
          <cell r="O411">
            <v>0.13385281877731325</v>
          </cell>
          <cell r="P411">
            <v>0.716283214363583</v>
          </cell>
          <cell r="Q411">
            <v>0.74168550872833372</v>
          </cell>
          <cell r="R411">
            <v>-6.0691044960124174E-2</v>
          </cell>
          <cell r="S411">
            <v>0.68099446376820949</v>
          </cell>
        </row>
        <row r="412">
          <cell r="A412" t="str">
            <v>Yard Trimmings</v>
          </cell>
          <cell r="B412">
            <v>0.81032008938650013</v>
          </cell>
          <cell r="C412">
            <v>9.9999999999999978E-2</v>
          </cell>
          <cell r="D412">
            <v>0.7292880804478501</v>
          </cell>
          <cell r="E412">
            <v>0.44713854116042684</v>
          </cell>
          <cell r="F412">
            <v>0.11237825963430531</v>
          </cell>
          <cell r="G412">
            <v>0.35693238535326421</v>
          </cell>
          <cell r="H412">
            <v>0.44463438751289619</v>
          </cell>
          <cell r="I412">
            <v>0.40751042184553554</v>
          </cell>
          <cell r="J412">
            <v>-0.11090288103745255</v>
          </cell>
          <cell r="K412">
            <v>0.03</v>
          </cell>
          <cell r="L412">
            <v>0.33021388145580471</v>
          </cell>
          <cell r="M412">
            <v>-3.8759147494999181E-2</v>
          </cell>
          <cell r="N412">
            <v>0.14986396685910378</v>
          </cell>
          <cell r="O412">
            <v>0.13385281877731325</v>
          </cell>
          <cell r="P412">
            <v>0.716283214363583</v>
          </cell>
          <cell r="Q412">
            <v>0.39359707104805958</v>
          </cell>
          <cell r="R412">
            <v>-2.7762526753710229E-2</v>
          </cell>
          <cell r="S412">
            <v>0.36583454429434936</v>
          </cell>
        </row>
        <row r="413">
          <cell r="A413" t="str">
            <v>Grass</v>
          </cell>
          <cell r="B413">
            <v>0.5688048319800002</v>
          </cell>
          <cell r="C413">
            <v>9.9999999999999978E-2</v>
          </cell>
          <cell r="D413">
            <v>0.51192434878200022</v>
          </cell>
          <cell r="E413">
            <v>0.42667610858954069</v>
          </cell>
          <cell r="F413">
            <v>0.10116322108168975</v>
          </cell>
          <cell r="G413">
            <v>0.26856727075392001</v>
          </cell>
          <cell r="H413">
            <v>0.38728411425218956</v>
          </cell>
          <cell r="I413">
            <v>0.45976418609592751</v>
          </cell>
          <cell r="J413">
            <v>-0.11090288103745255</v>
          </cell>
          <cell r="K413">
            <v>0.03</v>
          </cell>
          <cell r="L413">
            <v>0.26151609062271558</v>
          </cell>
          <cell r="M413">
            <v>-2.3697772343850843E-2</v>
          </cell>
          <cell r="N413">
            <v>0.14986396685910378</v>
          </cell>
          <cell r="O413">
            <v>0.13385281877731325</v>
          </cell>
          <cell r="P413">
            <v>0.716283214363583</v>
          </cell>
          <cell r="Q413">
            <v>0.29998708586101286</v>
          </cell>
          <cell r="R413">
            <v>-1.6974316547709901E-2</v>
          </cell>
          <cell r="S413">
            <v>0.28301276931330294</v>
          </cell>
        </row>
        <row r="414">
          <cell r="A414" t="str">
            <v>Leaves</v>
          </cell>
          <cell r="B414">
            <v>0.65408019754000024</v>
          </cell>
          <cell r="C414">
            <v>9.9999999999999978E-2</v>
          </cell>
          <cell r="D414">
            <v>0.58867217778600023</v>
          </cell>
          <cell r="E414">
            <v>0.4906870044875391</v>
          </cell>
          <cell r="F414">
            <v>9.3902508503326654E-2</v>
          </cell>
          <cell r="G414">
            <v>0.27171177340312225</v>
          </cell>
          <cell r="H414">
            <v>0.462034355379495</v>
          </cell>
          <cell r="I414">
            <v>0.39457330736034135</v>
          </cell>
          <cell r="J414">
            <v>-0.11090288103745255</v>
          </cell>
          <cell r="K414">
            <v>0.03</v>
          </cell>
          <cell r="L414">
            <v>0.25808258682226332</v>
          </cell>
          <cell r="M414">
            <v>-3.2510214362158084E-2</v>
          </cell>
          <cell r="N414">
            <v>0.14986396685910378</v>
          </cell>
          <cell r="O414">
            <v>0.13385281877731325</v>
          </cell>
          <cell r="P414">
            <v>0.716283214363583</v>
          </cell>
          <cell r="Q414">
            <v>0.30945035936790732</v>
          </cell>
          <cell r="R414">
            <v>-2.3286520842975715E-2</v>
          </cell>
          <cell r="S414">
            <v>0.2861638385249316</v>
          </cell>
        </row>
        <row r="415">
          <cell r="A415" t="str">
            <v>Branches</v>
          </cell>
          <cell r="B415">
            <v>1.4495904960459998</v>
          </cell>
          <cell r="C415">
            <v>9.9999999999999978E-2</v>
          </cell>
          <cell r="D415">
            <v>1.3046314464413997</v>
          </cell>
          <cell r="E415">
            <v>0.44451494297508687</v>
          </cell>
          <cell r="F415">
            <v>0.15328408787051506</v>
          </cell>
          <cell r="G415">
            <v>0.58302670238670573</v>
          </cell>
          <cell r="H415">
            <v>0.54193496616771064</v>
          </cell>
          <cell r="I415">
            <v>0.31594000782994597</v>
          </cell>
          <cell r="J415">
            <v>-0.11090288103745255</v>
          </cell>
          <cell r="K415">
            <v>0.03</v>
          </cell>
          <cell r="L415">
            <v>0.45798363267098841</v>
          </cell>
          <cell r="M415">
            <v>-8.4509798979483366E-2</v>
          </cell>
          <cell r="N415">
            <v>0.14986396685910378</v>
          </cell>
          <cell r="O415">
            <v>0.13385281877731325</v>
          </cell>
          <cell r="P415">
            <v>0.716283214363583</v>
          </cell>
          <cell r="Q415">
            <v>0.60160299992522681</v>
          </cell>
          <cell r="R415">
            <v>-6.053295045824459E-2</v>
          </cell>
          <cell r="S415">
            <v>0.54107004946698223</v>
          </cell>
        </row>
        <row r="416">
          <cell r="A416" t="str">
            <v>Mixed Paper (general)</v>
          </cell>
          <cell r="B416">
            <v>2.3832448707931113</v>
          </cell>
          <cell r="C416">
            <v>9.9999999999999978E-2</v>
          </cell>
          <cell r="D416">
            <v>2.1449203837138002</v>
          </cell>
          <cell r="E416">
            <v>0.50937612195802096</v>
          </cell>
          <cell r="F416">
            <v>0.1209916991831082</v>
          </cell>
          <cell r="G416">
            <v>0.88092399434548585</v>
          </cell>
          <cell r="H416">
            <v>0.58251537570565615</v>
          </cell>
          <cell r="I416">
            <v>0.29410090854720961</v>
          </cell>
          <cell r="J416">
            <v>-0.11090288103745255</v>
          </cell>
          <cell r="K416">
            <v>0.03</v>
          </cell>
          <cell r="L416">
            <v>0.70091448179073124</v>
          </cell>
          <cell r="M416">
            <v>-0.14934497788279236</v>
          </cell>
          <cell r="N416">
            <v>0.14986396685910378</v>
          </cell>
          <cell r="O416">
            <v>0.13385281877731325</v>
          </cell>
          <cell r="P416">
            <v>0.716283214363583</v>
          </cell>
          <cell r="Q416">
            <v>0.94141371508306437</v>
          </cell>
          <cell r="R416">
            <v>-0.10697330080694471</v>
          </cell>
          <cell r="S416">
            <v>0.8344404142761197</v>
          </cell>
        </row>
        <row r="417">
          <cell r="A417" t="str">
            <v>Mixed Paper (primarily residential)</v>
          </cell>
          <cell r="B417">
            <v>2.2946736526735392</v>
          </cell>
          <cell r="C417">
            <v>9.9999999999999978E-2</v>
          </cell>
          <cell r="D417">
            <v>2.0652062874061854</v>
          </cell>
          <cell r="E417">
            <v>0.50706733856554465</v>
          </cell>
          <cell r="F417">
            <v>0.12159371718690409</v>
          </cell>
          <cell r="G417">
            <v>0.8521016915764642</v>
          </cell>
          <cell r="H417">
            <v>0.57931230153293334</v>
          </cell>
          <cell r="I417">
            <v>0.2963534322228209</v>
          </cell>
          <cell r="J417">
            <v>-0.11090288103745255</v>
          </cell>
          <cell r="K417">
            <v>0.03</v>
          </cell>
          <cell r="L417">
            <v>0.68003441280108057</v>
          </cell>
          <cell r="M417">
            <v>-0.14300401880899041</v>
          </cell>
          <cell r="N417">
            <v>0.14986396685910378</v>
          </cell>
          <cell r="O417">
            <v>0.13385281877731325</v>
          </cell>
          <cell r="P417">
            <v>0.716283214363583</v>
          </cell>
          <cell r="Q417">
            <v>0.91065345499448958</v>
          </cell>
          <cell r="R417">
            <v>-0.10243137825941394</v>
          </cell>
          <cell r="S417">
            <v>0.80822207673507562</v>
          </cell>
        </row>
        <row r="418">
          <cell r="A418" t="str">
            <v>Mixed Paper (primarily from offices)</v>
          </cell>
          <cell r="B418">
            <v>2.2577848571899501</v>
          </cell>
          <cell r="C418">
            <v>9.9999999999999978E-2</v>
          </cell>
          <cell r="D418">
            <v>2.0320063714709553</v>
          </cell>
          <cell r="E418">
            <v>0.52616016289481937</v>
          </cell>
          <cell r="F418">
            <v>0.1057549806836536</v>
          </cell>
          <cell r="G418">
            <v>0.83105641498946059</v>
          </cell>
          <cell r="H418">
            <v>0.56702136061495934</v>
          </cell>
          <cell r="I418">
            <v>0.3092035750143608</v>
          </cell>
          <cell r="J418">
            <v>-0.11090288103745255</v>
          </cell>
          <cell r="K418">
            <v>0.03</v>
          </cell>
          <cell r="L418">
            <v>0.69811514945642061</v>
          </cell>
          <cell r="M418">
            <v>-0.13771984916559463</v>
          </cell>
          <cell r="N418">
            <v>0.14986396685910378</v>
          </cell>
          <cell r="O418">
            <v>0.13385281877731325</v>
          </cell>
          <cell r="P418">
            <v>0.716283214363583</v>
          </cell>
          <cell r="Q418">
            <v>0.91581194246947706</v>
          </cell>
          <cell r="R418">
            <v>-9.8646416241999935E-2</v>
          </cell>
          <cell r="S418">
            <v>0.81716552622747707</v>
          </cell>
        </row>
        <row r="419">
          <cell r="A419" t="str">
            <v>Mixed Recyclables</v>
          </cell>
          <cell r="B419">
            <v>1.9734014132616131</v>
          </cell>
          <cell r="C419">
            <v>9.9999999999999978E-2</v>
          </cell>
          <cell r="D419">
            <v>1.7760612719354518</v>
          </cell>
          <cell r="E419">
            <v>0.43494991508977415</v>
          </cell>
          <cell r="F419">
            <v>0.10631019703359322</v>
          </cell>
          <cell r="G419">
            <v>0.90527794305522058</v>
          </cell>
          <cell r="H419">
            <v>0.49692909650557887</v>
          </cell>
          <cell r="I419">
            <v>0.25860179229423103</v>
          </cell>
          <cell r="J419">
            <v>-0.11090288103745255</v>
          </cell>
          <cell r="K419">
            <v>0.03</v>
          </cell>
          <cell r="L419">
            <v>0.51032514238542159</v>
          </cell>
          <cell r="M419">
            <v>-0.10549318976031702</v>
          </cell>
          <cell r="N419">
            <v>0.14986396685910378</v>
          </cell>
          <cell r="O419">
            <v>0.13385281877731325</v>
          </cell>
          <cell r="P419">
            <v>0.716283214363583</v>
          </cell>
          <cell r="Q419">
            <v>0.75287892541032453</v>
          </cell>
          <cell r="R419">
            <v>-7.5563001054987297E-2</v>
          </cell>
          <cell r="S419">
            <v>0.67731592435533727</v>
          </cell>
        </row>
        <row r="420">
          <cell r="A420" t="str">
            <v>Mixed Organics</v>
          </cell>
          <cell r="B420">
            <v>1.2328155960009999</v>
          </cell>
          <cell r="C420">
            <v>9.9999999999999978E-2</v>
          </cell>
          <cell r="D420">
            <v>1.1095340364008999</v>
          </cell>
          <cell r="E420">
            <v>0.47895958501267655</v>
          </cell>
          <cell r="F420">
            <v>0.10182669413248727</v>
          </cell>
          <cell r="G420">
            <v>0.51681321312745165</v>
          </cell>
          <cell r="H420">
            <v>0.46582688599684552</v>
          </cell>
          <cell r="I420">
            <v>0.39067366736236375</v>
          </cell>
          <cell r="J420">
            <v>-0.11090288103745255</v>
          </cell>
          <cell r="K420">
            <v>0.03</v>
          </cell>
          <cell r="L420">
            <v>0.48162859007122882</v>
          </cell>
          <cell r="M420">
            <v>-6.1778482109257238E-2</v>
          </cell>
          <cell r="N420">
            <v>0.14986396685910378</v>
          </cell>
          <cell r="O420">
            <v>0.13385281877731325</v>
          </cell>
          <cell r="P420">
            <v>0.716283214363583</v>
          </cell>
          <cell r="Q420">
            <v>0.58043855204432204</v>
          </cell>
          <cell r="R420">
            <v>-4.4250889743721877E-2</v>
          </cell>
          <cell r="S420">
            <v>0.53618766230060011</v>
          </cell>
        </row>
        <row r="421">
          <cell r="A421" t="str">
            <v>Mixed MSW</v>
          </cell>
          <cell r="B421">
            <v>1.6199727500000001</v>
          </cell>
          <cell r="C421">
            <v>9.9999999999999978E-2</v>
          </cell>
          <cell r="D421">
            <v>1.457975475</v>
          </cell>
          <cell r="E421">
            <v>0.55007923152812588</v>
          </cell>
          <cell r="F421">
            <v>0.10176055464490616</v>
          </cell>
          <cell r="G421">
            <v>0.56401005903386126</v>
          </cell>
          <cell r="H421">
            <v>0.60383130015632613</v>
          </cell>
          <cell r="I421">
            <v>0.28182622255481721</v>
          </cell>
          <cell r="J421">
            <v>-0.11090288103745255</v>
          </cell>
          <cell r="K421">
            <v>0.03</v>
          </cell>
          <cell r="L421">
            <v>0.45655080077423926</v>
          </cell>
          <cell r="M421">
            <v>-0.10522959361896314</v>
          </cell>
          <cell r="N421">
            <v>0.14986396685910378</v>
          </cell>
          <cell r="O421">
            <v>0.13385281877731325</v>
          </cell>
          <cell r="P421">
            <v>0.716283214363583</v>
          </cell>
          <cell r="Q421">
            <v>0.62101199958606723</v>
          </cell>
          <cell r="R421">
            <v>-7.5374191563564508E-2</v>
          </cell>
          <cell r="S421">
            <v>0.54563780802250272</v>
          </cell>
        </row>
        <row r="422">
          <cell r="A422" t="str">
            <v>Wood Flooring</v>
          </cell>
          <cell r="B422">
            <v>0.18143694800000035</v>
          </cell>
          <cell r="C422">
            <v>9.9999999999999978E-2</v>
          </cell>
          <cell r="D422">
            <v>0.16329325320000032</v>
          </cell>
          <cell r="E422">
            <v>0</v>
          </cell>
          <cell r="F422">
            <v>9.9999999999999978E-2</v>
          </cell>
          <cell r="G422">
            <v>0.16329325320000032</v>
          </cell>
          <cell r="H422">
            <v>0</v>
          </cell>
          <cell r="I422">
            <v>0.9</v>
          </cell>
          <cell r="J422">
            <v>-0.11090288103745255</v>
          </cell>
          <cell r="K422">
            <v>0.03</v>
          </cell>
          <cell r="L422">
            <v>0.16329325320000032</v>
          </cell>
          <cell r="M422">
            <v>0</v>
          </cell>
          <cell r="N422">
            <v>1</v>
          </cell>
          <cell r="O422">
            <v>0</v>
          </cell>
          <cell r="P422">
            <v>0</v>
          </cell>
          <cell r="Q422">
            <v>0.16329325320000032</v>
          </cell>
          <cell r="R422">
            <v>0</v>
          </cell>
          <cell r="S422">
            <v>0.16329325320000032</v>
          </cell>
        </row>
        <row r="423">
          <cell r="A423" t="str">
            <v>Drywall</v>
          </cell>
          <cell r="B423">
            <v>0</v>
          </cell>
          <cell r="C423">
            <v>9.9999999999999978E-2</v>
          </cell>
          <cell r="D423">
            <v>0</v>
          </cell>
          <cell r="E423">
            <v>0</v>
          </cell>
          <cell r="F423">
            <v>9.9999999999999978E-2</v>
          </cell>
          <cell r="G423">
            <v>0</v>
          </cell>
          <cell r="H423">
            <v>0</v>
          </cell>
          <cell r="I423">
            <v>0.9</v>
          </cell>
          <cell r="J423">
            <v>-0.11090288103745255</v>
          </cell>
          <cell r="K423">
            <v>0.03</v>
          </cell>
          <cell r="L423">
            <v>0</v>
          </cell>
          <cell r="M423">
            <v>0</v>
          </cell>
          <cell r="N423">
            <v>1</v>
          </cell>
          <cell r="O423">
            <v>0</v>
          </cell>
          <cell r="P423">
            <v>0</v>
          </cell>
          <cell r="Q423">
            <v>0</v>
          </cell>
          <cell r="R423">
            <v>0</v>
          </cell>
          <cell r="S423">
            <v>0</v>
          </cell>
        </row>
        <row r="426">
          <cell r="H426">
            <v>20</v>
          </cell>
          <cell r="I426">
            <v>22</v>
          </cell>
        </row>
        <row r="428">
          <cell r="J428" t="str">
            <v>Electricity Generation</v>
          </cell>
          <cell r="N428" t="str">
            <v>Percentage of CH4 from Each Type of Landfill in the current inventory year</v>
          </cell>
          <cell r="Q428" t="str">
            <v>Net CH4 Generation</v>
          </cell>
          <cell r="R428" t="str">
            <v>Avoided CO2 from Energy Recovery</v>
          </cell>
        </row>
        <row r="430">
          <cell r="H430" t="str">
            <v>(h)</v>
          </cell>
          <cell r="I430" t="str">
            <v>(i)</v>
          </cell>
          <cell r="J430" t="str">
            <v>(j)</v>
          </cell>
          <cell r="K430" t="str">
            <v>(k)</v>
          </cell>
          <cell r="L430" t="str">
            <v>(l)</v>
          </cell>
          <cell r="M430" t="str">
            <v>(m)</v>
          </cell>
          <cell r="N430" t="str">
            <v>(n)</v>
          </cell>
          <cell r="O430" t="str">
            <v>(o)</v>
          </cell>
          <cell r="P430" t="str">
            <v>(p)</v>
          </cell>
          <cell r="Q430" t="str">
            <v>(q)</v>
          </cell>
          <cell r="R430" t="str">
            <v>( r)</v>
          </cell>
        </row>
        <row r="432">
          <cell r="H432" t="str">
            <v>Percentage of CH4 Recovered for Energy</v>
          </cell>
          <cell r="I432" t="str">
            <v>Percentage of CH4 Emitted</v>
          </cell>
          <cell r="J432" t="str">
            <v>Utility CO2 Emissions Avoided per MTCO2E CH4 Combusted (MTCO2E)</v>
          </cell>
          <cell r="K432" t="str">
            <v>Percentage of CH4 Recovered for Electricity Generation Not Utilized Due to System "Down Time"</v>
          </cell>
          <cell r="L432" t="str">
            <v>Net GHG Emissions From CH4 Generation (MTCO2E/Wet Ton)</v>
          </cell>
          <cell r="M432" t="str">
            <v>Utility CO2 Emissions Avoided (MTCO2E/Wet Ton)</v>
          </cell>
          <cell r="N432" t="str">
            <v>Percentage of CH4 From Landfills Without LFG Recovery in Current Inventory Year</v>
          </cell>
          <cell r="O432" t="str">
            <v>Percentage of CH4 From Landfills With LFG Recovery And Flaring in Current Inventory Year</v>
          </cell>
          <cell r="P432" t="str">
            <v>CH4 From Landfills With LFG Recovery and Electricity Generation in Current Inventory Year</v>
          </cell>
          <cell r="Q432" t="str">
            <v>Net CH4 Emissions from Landfilling (MTCO2E/Wet Ton)</v>
          </cell>
          <cell r="R432" t="str">
            <v>Net Avoided CO2 Emissions from Landfilling (MTCO2E/Wet Ton)</v>
          </cell>
        </row>
        <row r="433">
          <cell r="A433" t="str">
            <v>Corrugated Containers</v>
          </cell>
          <cell r="B433">
            <v>2.6232704732575001</v>
          </cell>
          <cell r="C433">
            <v>9.9999999999999978E-2</v>
          </cell>
          <cell r="D433">
            <v>2.3609434259317501</v>
          </cell>
          <cell r="E433">
            <v>0.35372291286476742</v>
          </cell>
          <cell r="F433">
            <v>0.1818383736635788</v>
          </cell>
          <cell r="G433">
            <v>1.2183483636878896</v>
          </cell>
          <cell r="H433">
            <v>0.54295403135113929</v>
          </cell>
          <cell r="I433">
            <v>0.30949972929292563</v>
          </cell>
          <cell r="J433">
            <v>-0.11090288103745255</v>
          </cell>
          <cell r="K433">
            <v>0.03</v>
          </cell>
          <cell r="L433">
            <v>0.81190150133532113</v>
          </cell>
          <cell r="M433">
            <v>-0.15322184788464729</v>
          </cell>
          <cell r="N433">
            <v>0.14986396685910378</v>
          </cell>
          <cell r="O433">
            <v>0.13385281877731325</v>
          </cell>
          <cell r="P433">
            <v>0.716283214363583</v>
          </cell>
          <cell r="Q433">
            <v>1.0984511271954887</v>
          </cell>
          <cell r="R433">
            <v>-0.10975023771354313</v>
          </cell>
          <cell r="S433">
            <v>0.98870088948194557</v>
          </cell>
        </row>
        <row r="434">
          <cell r="A434" t="str">
            <v>Magazines/Third-class Mail</v>
          </cell>
          <cell r="B434">
            <v>1.1946237049113888</v>
          </cell>
          <cell r="C434">
            <v>9.9999999999999978E-2</v>
          </cell>
          <cell r="D434">
            <v>1.07516133442025</v>
          </cell>
          <cell r="E434">
            <v>0.3927486898286135</v>
          </cell>
          <cell r="F434">
            <v>0.10597118427490212</v>
          </cell>
          <cell r="G434">
            <v>0.59884112119690558</v>
          </cell>
          <cell r="H434">
            <v>0.43387327137000015</v>
          </cell>
          <cell r="I434">
            <v>0.42434867876198934</v>
          </cell>
          <cell r="J434">
            <v>-0.11090288103745255</v>
          </cell>
          <cell r="K434">
            <v>0.03</v>
          </cell>
          <cell r="L434">
            <v>0.50693699079690047</v>
          </cell>
          <cell r="M434">
            <v>-5.5758179706132498E-2</v>
          </cell>
          <cell r="N434">
            <v>0.14986396685910378</v>
          </cell>
          <cell r="O434">
            <v>0.13385281877731325</v>
          </cell>
          <cell r="P434">
            <v>0.716283214363583</v>
          </cell>
          <cell r="Q434">
            <v>0.60439497190952451</v>
          </cell>
          <cell r="R434">
            <v>-3.993864818697089E-2</v>
          </cell>
          <cell r="S434">
            <v>0.56445632372255361</v>
          </cell>
        </row>
        <row r="435">
          <cell r="A435" t="str">
            <v>Newspaper</v>
          </cell>
          <cell r="B435">
            <v>1.0471665853275001</v>
          </cell>
          <cell r="C435">
            <v>9.9999999999999978E-2</v>
          </cell>
          <cell r="D435">
            <v>0.94244992679475004</v>
          </cell>
          <cell r="E435">
            <v>0.39328477379809046</v>
          </cell>
          <cell r="F435">
            <v>0.15680314834251927</v>
          </cell>
          <cell r="G435">
            <v>0.47113289426961802</v>
          </cell>
          <cell r="H435">
            <v>0.55989363969069439</v>
          </cell>
          <cell r="I435">
            <v>0.30416352191099022</v>
          </cell>
          <cell r="J435">
            <v>-0.11090288103745255</v>
          </cell>
          <cell r="K435">
            <v>0.03</v>
          </cell>
          <cell r="L435">
            <v>0.31850987662071789</v>
          </cell>
          <cell r="M435">
            <v>-6.3071893935830833E-2</v>
          </cell>
          <cell r="N435">
            <v>0.14986396685910378</v>
          </cell>
          <cell r="O435">
            <v>0.13385281877731325</v>
          </cell>
          <cell r="P435">
            <v>0.716283214363583</v>
          </cell>
          <cell r="Q435">
            <v>0.4324450287446715</v>
          </cell>
          <cell r="R435">
            <v>-4.5177338924355888E-2</v>
          </cell>
          <cell r="S435">
            <v>0.38726768982031562</v>
          </cell>
        </row>
        <row r="436">
          <cell r="A436" t="str">
            <v>Office Paper</v>
          </cell>
          <cell r="B436">
            <v>3.8859258337900004</v>
          </cell>
          <cell r="C436">
            <v>9.9999999999999978E-2</v>
          </cell>
          <cell r="D436">
            <v>3.4973332504110006</v>
          </cell>
          <cell r="E436">
            <v>0.38359039626570168</v>
          </cell>
          <cell r="F436">
            <v>0.16349471419119366</v>
          </cell>
          <cell r="G436">
            <v>1.7599936697836949</v>
          </cell>
          <cell r="H436">
            <v>0.55779640778986828</v>
          </cell>
          <cell r="I436">
            <v>0.30378464209475153</v>
          </cell>
          <cell r="J436">
            <v>-0.11090288103745255</v>
          </cell>
          <cell r="K436">
            <v>0.03</v>
          </cell>
          <cell r="L436">
            <v>1.1804845886246442</v>
          </cell>
          <cell r="M436">
            <v>-0.233176502148908</v>
          </cell>
          <cell r="N436">
            <v>0.14986396685910378</v>
          </cell>
          <cell r="O436">
            <v>0.13385281877731325</v>
          </cell>
          <cell r="P436">
            <v>0.716283214363583</v>
          </cell>
          <cell r="Q436">
            <v>1.6052656437123436</v>
          </cell>
          <cell r="R436">
            <v>-0.16702041447327676</v>
          </cell>
          <cell r="S436">
            <v>1.4382452292390668</v>
          </cell>
        </row>
        <row r="437">
          <cell r="A437" t="str">
            <v>Phonebooks</v>
          </cell>
          <cell r="B437">
            <v>1.0471665853275001</v>
          </cell>
          <cell r="C437">
            <v>9.9999999999999978E-2</v>
          </cell>
          <cell r="D437">
            <v>0.94244992679475004</v>
          </cell>
          <cell r="E437">
            <v>0.39328477379809046</v>
          </cell>
          <cell r="F437">
            <v>0.15680314834251927</v>
          </cell>
          <cell r="G437">
            <v>0.47113289426961802</v>
          </cell>
          <cell r="H437">
            <v>0.55989363969069439</v>
          </cell>
          <cell r="I437">
            <v>0.30416352191099022</v>
          </cell>
          <cell r="J437">
            <v>-0.11090288103745255</v>
          </cell>
          <cell r="K437">
            <v>0.03</v>
          </cell>
          <cell r="L437">
            <v>0.31850987662071789</v>
          </cell>
          <cell r="M437">
            <v>-6.3071893935830833E-2</v>
          </cell>
          <cell r="N437">
            <v>0.14986396685910378</v>
          </cell>
          <cell r="O437">
            <v>0.13385281877731325</v>
          </cell>
          <cell r="P437">
            <v>0.716283214363583</v>
          </cell>
          <cell r="Q437">
            <v>0.4324450287446715</v>
          </cell>
          <cell r="R437">
            <v>-4.5177338924355888E-2</v>
          </cell>
          <cell r="S437">
            <v>0.38726768982031562</v>
          </cell>
        </row>
        <row r="438">
          <cell r="A438" t="str">
            <v>Textbooks</v>
          </cell>
          <cell r="B438">
            <v>3.8859258337900004</v>
          </cell>
          <cell r="C438">
            <v>9.9999999999999978E-2</v>
          </cell>
          <cell r="D438">
            <v>3.4973332504110006</v>
          </cell>
          <cell r="E438">
            <v>0.38359039626570168</v>
          </cell>
          <cell r="F438">
            <v>0.16349471419119366</v>
          </cell>
          <cell r="G438">
            <v>1.7599936697836949</v>
          </cell>
          <cell r="H438">
            <v>0.55779640778986828</v>
          </cell>
          <cell r="I438">
            <v>0.30378464209475153</v>
          </cell>
          <cell r="J438">
            <v>-0.11090288103745255</v>
          </cell>
          <cell r="K438">
            <v>0.03</v>
          </cell>
          <cell r="L438">
            <v>1.1804845886246442</v>
          </cell>
          <cell r="M438">
            <v>-0.233176502148908</v>
          </cell>
          <cell r="N438">
            <v>0.14986396685910378</v>
          </cell>
          <cell r="O438">
            <v>0.13385281877731325</v>
          </cell>
          <cell r="P438">
            <v>0.716283214363583</v>
          </cell>
          <cell r="Q438">
            <v>1.6052656437123436</v>
          </cell>
          <cell r="R438">
            <v>-0.16702041447327676</v>
          </cell>
          <cell r="S438">
            <v>1.4382452292390668</v>
          </cell>
        </row>
        <row r="439">
          <cell r="A439" t="str">
            <v>Dimensional Lumber</v>
          </cell>
          <cell r="B439">
            <v>0.16645220006249997</v>
          </cell>
          <cell r="C439">
            <v>9.9999999999999978E-2</v>
          </cell>
          <cell r="D439">
            <v>0.14980698005624998</v>
          </cell>
          <cell r="E439">
            <v>0.41806747703816394</v>
          </cell>
          <cell r="F439">
            <v>0.1160816954022576</v>
          </cell>
          <cell r="G439">
            <v>7.7541895148228124E-2</v>
          </cell>
          <cell r="H439">
            <v>0.50007668955429785</v>
          </cell>
          <cell r="I439">
            <v>0.36440176473449959</v>
          </cell>
          <cell r="J439">
            <v>-0.11090288103745255</v>
          </cell>
          <cell r="K439">
            <v>0.03</v>
          </cell>
          <cell r="L439">
            <v>6.0655475446714971E-2</v>
          </cell>
          <cell r="M439">
            <v>-8.9544870634679103E-3</v>
          </cell>
          <cell r="N439">
            <v>0.14986396685910378</v>
          </cell>
          <cell r="O439">
            <v>0.13385281877731325</v>
          </cell>
          <cell r="P439">
            <v>0.716283214363583</v>
          </cell>
          <cell r="Q439">
            <v>7.627636845506186E-2</v>
          </cell>
          <cell r="R439">
            <v>-6.413948776797916E-3</v>
          </cell>
          <cell r="S439">
            <v>6.986241967826394E-2</v>
          </cell>
        </row>
        <row r="440">
          <cell r="A440" t="str">
            <v>Medium-density Fiberboard</v>
          </cell>
          <cell r="B440">
            <v>5.5889059875000008E-2</v>
          </cell>
          <cell r="C440">
            <v>9.9999999999999978E-2</v>
          </cell>
          <cell r="D440">
            <v>5.0300153887500011E-2</v>
          </cell>
          <cell r="E440">
            <v>0.42171235139797369</v>
          </cell>
          <cell r="F440">
            <v>0.12486476375749479</v>
          </cell>
          <cell r="G440">
            <v>2.5341378759771258E-2</v>
          </cell>
          <cell r="H440">
            <v>0.52971648280536365</v>
          </cell>
          <cell r="I440">
            <v>0.33747020122602273</v>
          </cell>
          <cell r="J440">
            <v>-0.11090288103745255</v>
          </cell>
          <cell r="K440">
            <v>0.03</v>
          </cell>
          <cell r="L440">
            <v>1.8860892282349485E-2</v>
          </cell>
          <cell r="M440">
            <v>-3.1848197204307122E-3</v>
          </cell>
          <cell r="N440">
            <v>0.14986396685910378</v>
          </cell>
          <cell r="O440">
            <v>0.13385281877731325</v>
          </cell>
          <cell r="P440">
            <v>0.716283214363583</v>
          </cell>
          <cell r="Q440">
            <v>2.4439936123669626E-2</v>
          </cell>
          <cell r="R440">
            <v>-2.2812329065186382E-3</v>
          </cell>
          <cell r="S440">
            <v>2.2158703217150987E-2</v>
          </cell>
        </row>
        <row r="441">
          <cell r="A441" t="str">
            <v>Food Waste</v>
          </cell>
          <cell r="B441">
            <v>1.622706214625282</v>
          </cell>
          <cell r="C441">
            <v>9.9999999999999978E-2</v>
          </cell>
          <cell r="D441">
            <v>1.4604355931627537</v>
          </cell>
          <cell r="E441">
            <v>0.37529217093358658</v>
          </cell>
          <cell r="F441">
            <v>0.10328876696713415</v>
          </cell>
          <cell r="G441">
            <v>0.84610995249258625</v>
          </cell>
          <cell r="H441">
            <v>0.40157425445472994</v>
          </cell>
          <cell r="I441">
            <v>0.45420000607914163</v>
          </cell>
          <cell r="J441">
            <v>-0.11090288103745255</v>
          </cell>
          <cell r="K441">
            <v>0.03</v>
          </cell>
          <cell r="L441">
            <v>0.73703317254746392</v>
          </cell>
          <cell r="M441">
            <v>-7.010037219403964E-2</v>
          </cell>
          <cell r="N441">
            <v>0.14986396685910378</v>
          </cell>
          <cell r="O441">
            <v>0.13385281877731325</v>
          </cell>
          <cell r="P441">
            <v>0.716283214363583</v>
          </cell>
          <cell r="Q441">
            <v>0.86004536339515647</v>
          </cell>
          <cell r="R441">
            <v>-5.0211719923230251E-2</v>
          </cell>
          <cell r="S441">
            <v>0.80983364347192621</v>
          </cell>
        </row>
        <row r="442">
          <cell r="A442" t="str">
            <v>Food Waste (meat only)</v>
          </cell>
          <cell r="B442">
            <v>1.622706214625282</v>
          </cell>
          <cell r="C442">
            <v>9.9999999999999978E-2</v>
          </cell>
          <cell r="D442">
            <v>1.4604355931627537</v>
          </cell>
          <cell r="E442">
            <v>0.37529217093358658</v>
          </cell>
          <cell r="F442">
            <v>0.10328876696713415</v>
          </cell>
          <cell r="G442">
            <v>0.84610995249258625</v>
          </cell>
          <cell r="H442">
            <v>0.40157425445472994</v>
          </cell>
          <cell r="I442">
            <v>0.45420000607914163</v>
          </cell>
          <cell r="J442">
            <v>-0.11090288103745255</v>
          </cell>
          <cell r="K442">
            <v>0.03</v>
          </cell>
          <cell r="L442">
            <v>0.73703317254746392</v>
          </cell>
          <cell r="M442">
            <v>-7.010037219403964E-2</v>
          </cell>
          <cell r="N442">
            <v>0.14986396685910378</v>
          </cell>
          <cell r="O442">
            <v>0.13385281877731325</v>
          </cell>
          <cell r="P442">
            <v>0.716283214363583</v>
          </cell>
          <cell r="Q442">
            <v>0.86004536339515647</v>
          </cell>
          <cell r="R442">
            <v>-5.0211719923230251E-2</v>
          </cell>
          <cell r="S442">
            <v>0.80983364347192621</v>
          </cell>
        </row>
        <row r="443">
          <cell r="A443" t="str">
            <v>Food Waste (non-meat)</v>
          </cell>
          <cell r="B443">
            <v>1.622706214625282</v>
          </cell>
          <cell r="C443">
            <v>9.9999999999999978E-2</v>
          </cell>
          <cell r="D443">
            <v>1.4604355931627537</v>
          </cell>
          <cell r="E443">
            <v>0.37529217093358658</v>
          </cell>
          <cell r="F443">
            <v>0.10328876696713415</v>
          </cell>
          <cell r="G443">
            <v>0.84610995249258625</v>
          </cell>
          <cell r="H443">
            <v>0.40157425445472994</v>
          </cell>
          <cell r="I443">
            <v>0.45420000607914163</v>
          </cell>
          <cell r="J443">
            <v>-0.11090288103745255</v>
          </cell>
          <cell r="K443">
            <v>0.03</v>
          </cell>
          <cell r="L443">
            <v>0.73703317254746392</v>
          </cell>
          <cell r="M443">
            <v>-7.010037219403964E-2</v>
          </cell>
          <cell r="N443">
            <v>0.14986396685910378</v>
          </cell>
          <cell r="O443">
            <v>0.13385281877731325</v>
          </cell>
          <cell r="P443">
            <v>0.716283214363583</v>
          </cell>
          <cell r="Q443">
            <v>0.86004536339515647</v>
          </cell>
          <cell r="R443">
            <v>-5.0211719923230251E-2</v>
          </cell>
          <cell r="S443">
            <v>0.80983364347192621</v>
          </cell>
        </row>
        <row r="444">
          <cell r="A444" t="str">
            <v>Beef</v>
          </cell>
          <cell r="B444">
            <v>1.622706214625282</v>
          </cell>
          <cell r="C444">
            <v>9.9999999999999978E-2</v>
          </cell>
          <cell r="D444">
            <v>1.4604355931627537</v>
          </cell>
          <cell r="E444">
            <v>0.37529217093358658</v>
          </cell>
          <cell r="F444">
            <v>0.10328876696713415</v>
          </cell>
          <cell r="G444">
            <v>0.84610995249258625</v>
          </cell>
          <cell r="H444">
            <v>0.40157425445472994</v>
          </cell>
          <cell r="I444">
            <v>0.45420000607914163</v>
          </cell>
          <cell r="J444">
            <v>-0.11090288103745255</v>
          </cell>
          <cell r="K444">
            <v>0.03</v>
          </cell>
          <cell r="L444">
            <v>0.73703317254746392</v>
          </cell>
          <cell r="M444">
            <v>-7.010037219403964E-2</v>
          </cell>
          <cell r="N444">
            <v>0.14986396685910378</v>
          </cell>
          <cell r="O444">
            <v>0.13385281877731325</v>
          </cell>
          <cell r="P444">
            <v>0.716283214363583</v>
          </cell>
          <cell r="Q444">
            <v>0.86004536339515647</v>
          </cell>
          <cell r="R444">
            <v>-5.0211719923230251E-2</v>
          </cell>
          <cell r="S444">
            <v>0.80983364347192621</v>
          </cell>
        </row>
        <row r="445">
          <cell r="A445" t="str">
            <v>Poultry</v>
          </cell>
          <cell r="B445">
            <v>1.622706214625282</v>
          </cell>
          <cell r="C445">
            <v>9.9999999999999978E-2</v>
          </cell>
          <cell r="D445">
            <v>1.4604355931627537</v>
          </cell>
          <cell r="E445">
            <v>0.37529217093358658</v>
          </cell>
          <cell r="F445">
            <v>0.10328876696713415</v>
          </cell>
          <cell r="G445">
            <v>0.84610995249258625</v>
          </cell>
          <cell r="H445">
            <v>0.40157425445472994</v>
          </cell>
          <cell r="I445">
            <v>0.45420000607914163</v>
          </cell>
          <cell r="J445">
            <v>-0.11090288103745255</v>
          </cell>
          <cell r="K445">
            <v>0.03</v>
          </cell>
          <cell r="L445">
            <v>0.73703317254746392</v>
          </cell>
          <cell r="M445">
            <v>-7.010037219403964E-2</v>
          </cell>
          <cell r="N445">
            <v>0.14986396685910378</v>
          </cell>
          <cell r="O445">
            <v>0.13385281877731325</v>
          </cell>
          <cell r="P445">
            <v>0.716283214363583</v>
          </cell>
          <cell r="Q445">
            <v>0.86004536339515647</v>
          </cell>
          <cell r="R445">
            <v>-5.0211719923230251E-2</v>
          </cell>
          <cell r="S445">
            <v>0.80983364347192621</v>
          </cell>
        </row>
        <row r="446">
          <cell r="A446" t="str">
            <v>Grains</v>
          </cell>
          <cell r="B446">
            <v>1.622706214625282</v>
          </cell>
          <cell r="C446">
            <v>9.9999999999999978E-2</v>
          </cell>
          <cell r="D446">
            <v>1.4604355931627537</v>
          </cell>
          <cell r="E446">
            <v>0.37529217093358658</v>
          </cell>
          <cell r="F446">
            <v>0.10328876696713415</v>
          </cell>
          <cell r="G446">
            <v>0.84610995249258625</v>
          </cell>
          <cell r="H446">
            <v>0.40157425445472994</v>
          </cell>
          <cell r="I446">
            <v>0.45420000607914163</v>
          </cell>
          <cell r="J446">
            <v>-0.11090288103745255</v>
          </cell>
          <cell r="K446">
            <v>0.03</v>
          </cell>
          <cell r="L446">
            <v>0.73703317254746392</v>
          </cell>
          <cell r="M446">
            <v>-7.010037219403964E-2</v>
          </cell>
          <cell r="N446">
            <v>0.14986396685910378</v>
          </cell>
          <cell r="O446">
            <v>0.13385281877731325</v>
          </cell>
          <cell r="P446">
            <v>0.716283214363583</v>
          </cell>
          <cell r="Q446">
            <v>0.86004536339515647</v>
          </cell>
          <cell r="R446">
            <v>-5.0211719923230251E-2</v>
          </cell>
          <cell r="S446">
            <v>0.80983364347192621</v>
          </cell>
        </row>
        <row r="447">
          <cell r="A447" t="str">
            <v>Bread</v>
          </cell>
          <cell r="B447">
            <v>1.622706214625282</v>
          </cell>
          <cell r="C447">
            <v>9.9999999999999978E-2</v>
          </cell>
          <cell r="D447">
            <v>1.4604355931627537</v>
          </cell>
          <cell r="E447">
            <v>0.37529217093358658</v>
          </cell>
          <cell r="F447">
            <v>0.10328876696713415</v>
          </cell>
          <cell r="G447">
            <v>0.84610995249258625</v>
          </cell>
          <cell r="H447">
            <v>0.40157425445472994</v>
          </cell>
          <cell r="I447">
            <v>0.45420000607914163</v>
          </cell>
          <cell r="J447">
            <v>-0.11090288103745255</v>
          </cell>
          <cell r="K447">
            <v>0.03</v>
          </cell>
          <cell r="L447">
            <v>0.73703317254746392</v>
          </cell>
          <cell r="M447">
            <v>-7.010037219403964E-2</v>
          </cell>
          <cell r="N447">
            <v>0.14986396685910378</v>
          </cell>
          <cell r="O447">
            <v>0.13385281877731325</v>
          </cell>
          <cell r="P447">
            <v>0.716283214363583</v>
          </cell>
          <cell r="Q447">
            <v>0.86004536339515647</v>
          </cell>
          <cell r="R447">
            <v>-5.0211719923230251E-2</v>
          </cell>
          <cell r="S447">
            <v>0.80983364347192621</v>
          </cell>
        </row>
        <row r="448">
          <cell r="A448" t="str">
            <v>Fruits and Vegetables</v>
          </cell>
          <cell r="B448">
            <v>1.622706214625282</v>
          </cell>
          <cell r="C448">
            <v>9.9999999999999978E-2</v>
          </cell>
          <cell r="D448">
            <v>1.4604355931627537</v>
          </cell>
          <cell r="E448">
            <v>0.37529217093358658</v>
          </cell>
          <cell r="F448">
            <v>0.10328876696713415</v>
          </cell>
          <cell r="G448">
            <v>0.84610995249258625</v>
          </cell>
          <cell r="H448">
            <v>0.40157425445472994</v>
          </cell>
          <cell r="I448">
            <v>0.45420000607914163</v>
          </cell>
          <cell r="J448">
            <v>-0.11090288103745255</v>
          </cell>
          <cell r="K448">
            <v>0.03</v>
          </cell>
          <cell r="L448">
            <v>0.73703317254746392</v>
          </cell>
          <cell r="M448">
            <v>-7.010037219403964E-2</v>
          </cell>
          <cell r="N448">
            <v>0.14986396685910378</v>
          </cell>
          <cell r="O448">
            <v>0.13385281877731325</v>
          </cell>
          <cell r="P448">
            <v>0.716283214363583</v>
          </cell>
          <cell r="Q448">
            <v>0.86004536339515647</v>
          </cell>
          <cell r="R448">
            <v>-5.0211719923230251E-2</v>
          </cell>
          <cell r="S448">
            <v>0.80983364347192621</v>
          </cell>
        </row>
        <row r="449">
          <cell r="A449" t="str">
            <v>Dairy Products</v>
          </cell>
          <cell r="B449">
            <v>1.622706214625282</v>
          </cell>
          <cell r="C449">
            <v>9.9999999999999978E-2</v>
          </cell>
          <cell r="D449">
            <v>1.4604355931627537</v>
          </cell>
          <cell r="E449">
            <v>0.37529217093358658</v>
          </cell>
          <cell r="F449">
            <v>0.10328876696713415</v>
          </cell>
          <cell r="G449">
            <v>0.84610995249258625</v>
          </cell>
          <cell r="H449">
            <v>0.40157425445472994</v>
          </cell>
          <cell r="I449">
            <v>0.45420000607914163</v>
          </cell>
          <cell r="J449">
            <v>-0.11090288103745255</v>
          </cell>
          <cell r="K449">
            <v>0.03</v>
          </cell>
          <cell r="L449">
            <v>0.73703317254746392</v>
          </cell>
          <cell r="M449">
            <v>-7.010037219403964E-2</v>
          </cell>
          <cell r="N449">
            <v>0.14986396685910378</v>
          </cell>
          <cell r="O449">
            <v>0.13385281877731325</v>
          </cell>
          <cell r="P449">
            <v>0.716283214363583</v>
          </cell>
          <cell r="Q449">
            <v>0.86004536339515647</v>
          </cell>
          <cell r="R449">
            <v>-5.0211719923230251E-2</v>
          </cell>
          <cell r="S449">
            <v>0.80983364347192621</v>
          </cell>
        </row>
        <row r="450">
          <cell r="A450" t="str">
            <v>Yard Trimmings</v>
          </cell>
          <cell r="B450">
            <v>0.81032008938650013</v>
          </cell>
          <cell r="C450">
            <v>9.9999999999999978E-2</v>
          </cell>
          <cell r="D450">
            <v>0.7292880804478501</v>
          </cell>
          <cell r="E450">
            <v>0.30347033338094587</v>
          </cell>
          <cell r="F450">
            <v>0.12361250070131569</v>
          </cell>
          <cell r="G450">
            <v>0.46424628909752214</v>
          </cell>
          <cell r="H450">
            <v>0.34856037217214514</v>
          </cell>
          <cell r="I450">
            <v>0.50267263685088015</v>
          </cell>
          <cell r="J450">
            <v>-0.11090288103745255</v>
          </cell>
          <cell r="K450">
            <v>0.03</v>
          </cell>
          <cell r="L450">
            <v>0.40732573602515293</v>
          </cell>
          <cell r="M450">
            <v>-3.0384296076380601E-2</v>
          </cell>
          <cell r="N450">
            <v>0.14986396685910378</v>
          </cell>
          <cell r="O450">
            <v>0.13385281877731325</v>
          </cell>
          <cell r="P450">
            <v>0.716283214363583</v>
          </cell>
          <cell r="Q450">
            <v>0.46319526661469568</v>
          </cell>
          <cell r="R450">
            <v>-2.1763761259764699E-2</v>
          </cell>
          <cell r="S450">
            <v>0.44143150535493098</v>
          </cell>
        </row>
        <row r="451">
          <cell r="A451" t="str">
            <v>Grass</v>
          </cell>
          <cell r="B451">
            <v>0.5688048319800002</v>
          </cell>
          <cell r="C451">
            <v>9.9999999999999978E-2</v>
          </cell>
          <cell r="D451">
            <v>0.51192434878200022</v>
          </cell>
          <cell r="E451">
            <v>0.26444695520076733</v>
          </cell>
          <cell r="F451">
            <v>9.9430719574687687E-2</v>
          </cell>
          <cell r="G451">
            <v>0.36182945231807434</v>
          </cell>
          <cell r="H451">
            <v>0.25049299668988251</v>
          </cell>
          <cell r="I451">
            <v>0.60277253916974738</v>
          </cell>
          <cell r="J451">
            <v>-0.11090288103745255</v>
          </cell>
          <cell r="K451">
            <v>0.03</v>
          </cell>
          <cell r="L451">
            <v>0.34285993286460625</v>
          </cell>
          <cell r="M451">
            <v>-1.5327574229962769E-2</v>
          </cell>
          <cell r="N451">
            <v>0.14986396685910378</v>
          </cell>
          <cell r="O451">
            <v>0.13385281877731325</v>
          </cell>
          <cell r="P451">
            <v>0.716283214363583</v>
          </cell>
          <cell r="Q451">
            <v>0.37073572053840209</v>
          </cell>
          <cell r="R451">
            <v>-1.0978884137834153E-2</v>
          </cell>
          <cell r="S451">
            <v>0.35975683640056794</v>
          </cell>
        </row>
        <row r="452">
          <cell r="A452" t="str">
            <v>Leaves</v>
          </cell>
          <cell r="B452">
            <v>0.65408019754000024</v>
          </cell>
          <cell r="C452">
            <v>9.9999999999999978E-2</v>
          </cell>
          <cell r="D452">
            <v>0.58867217778600023</v>
          </cell>
          <cell r="E452">
            <v>0.35343478868393469</v>
          </cell>
          <cell r="F452">
            <v>0.10135784081048425</v>
          </cell>
          <cell r="G452">
            <v>0.3566093446005546</v>
          </cell>
          <cell r="H452">
            <v>0.36638973557213061</v>
          </cell>
          <cell r="I452">
            <v>0.48738417484307689</v>
          </cell>
          <cell r="J452">
            <v>-0.11090288103745255</v>
          </cell>
          <cell r="K452">
            <v>0.03</v>
          </cell>
          <cell r="L452">
            <v>0.31878833735922973</v>
          </cell>
          <cell r="M452">
            <v>-2.5780353137941157E-2</v>
          </cell>
          <cell r="N452">
            <v>0.14986396685910378</v>
          </cell>
          <cell r="O452">
            <v>0.13385281877731325</v>
          </cell>
          <cell r="P452">
            <v>0.716283214363583</v>
          </cell>
          <cell r="Q452">
            <v>0.36429664870500345</v>
          </cell>
          <cell r="R452">
            <v>-1.8466034213072774E-2</v>
          </cell>
          <cell r="S452">
            <v>0.34583061449193064</v>
          </cell>
        </row>
        <row r="453">
          <cell r="A453" t="str">
            <v>Branches</v>
          </cell>
          <cell r="B453">
            <v>1.4495904960459998</v>
          </cell>
          <cell r="C453">
            <v>9.9999999999999978E-2</v>
          </cell>
          <cell r="D453">
            <v>1.3046314464413997</v>
          </cell>
          <cell r="E453">
            <v>0.33155263443831406</v>
          </cell>
          <cell r="F453">
            <v>0.19423072284540308</v>
          </cell>
          <cell r="G453">
            <v>0.68741993834836512</v>
          </cell>
          <cell r="H453">
            <v>0.52686575973668492</v>
          </cell>
          <cell r="I453">
            <v>0.31776129422094906</v>
          </cell>
          <cell r="J453">
            <v>-0.11090288103745255</v>
          </cell>
          <cell r="K453">
            <v>0.03</v>
          </cell>
          <cell r="L453">
            <v>0.46062375211396445</v>
          </cell>
          <cell r="M453">
            <v>-8.215989412785174E-2</v>
          </cell>
          <cell r="N453">
            <v>0.14986396685910378</v>
          </cell>
          <cell r="O453">
            <v>0.13385281877731325</v>
          </cell>
          <cell r="P453">
            <v>0.716283214363583</v>
          </cell>
          <cell r="Q453">
            <v>0.61746740206089878</v>
          </cell>
          <cell r="R453">
            <v>-5.8849753057669311E-2</v>
          </cell>
          <cell r="S453">
            <v>0.55861764900322952</v>
          </cell>
        </row>
        <row r="454">
          <cell r="A454" t="str">
            <v>Mixed Paper (general)</v>
          </cell>
          <cell r="B454">
            <v>2.3832448707931113</v>
          </cell>
          <cell r="C454">
            <v>9.9999999999999978E-2</v>
          </cell>
          <cell r="D454">
            <v>2.1449203837138002</v>
          </cell>
          <cell r="E454">
            <v>0.37231331832605946</v>
          </cell>
          <cell r="F454">
            <v>0.16609181254095334</v>
          </cell>
          <cell r="G454">
            <v>1.1000936042456093</v>
          </cell>
          <cell r="H454">
            <v>0.54126155184188718</v>
          </cell>
          <cell r="I454">
            <v>0.31626393803915137</v>
          </cell>
          <cell r="J454">
            <v>-0.11090288103745255</v>
          </cell>
          <cell r="K454">
            <v>0.03</v>
          </cell>
          <cell r="L454">
            <v>0.7537344081486379</v>
          </cell>
          <cell r="M454">
            <v>-0.13876834476808406</v>
          </cell>
          <cell r="N454">
            <v>0.14986396685910378</v>
          </cell>
          <cell r="O454">
            <v>0.13385281877731325</v>
          </cell>
          <cell r="P454">
            <v>0.716283214363583</v>
          </cell>
          <cell r="Q454">
            <v>1.0085842117926092</v>
          </cell>
          <cell r="R454">
            <v>-9.9397436042397147E-2</v>
          </cell>
          <cell r="S454">
            <v>0.90918677575021201</v>
          </cell>
        </row>
        <row r="455">
          <cell r="A455" t="str">
            <v>Mixed Paper (primarily residential)</v>
          </cell>
          <cell r="B455">
            <v>2.2946736526735392</v>
          </cell>
          <cell r="C455">
            <v>9.9999999999999978E-2</v>
          </cell>
          <cell r="D455">
            <v>2.0652062874061854</v>
          </cell>
          <cell r="E455">
            <v>0.37090616625194717</v>
          </cell>
          <cell r="F455">
            <v>0.16592544057473352</v>
          </cell>
          <cell r="G455">
            <v>1.0628203085659547</v>
          </cell>
          <cell r="H455">
            <v>0.53801999797254518</v>
          </cell>
          <cell r="I455">
            <v>0.31895718433424253</v>
          </cell>
          <cell r="J455">
            <v>-0.11090288103745255</v>
          </cell>
          <cell r="K455">
            <v>0.03</v>
          </cell>
          <cell r="L455">
            <v>0.73190264722272369</v>
          </cell>
          <cell r="M455">
            <v>-0.13281095827947809</v>
          </cell>
          <cell r="N455">
            <v>0.14986396685910378</v>
          </cell>
          <cell r="O455">
            <v>0.13385281877731325</v>
          </cell>
          <cell r="P455">
            <v>0.716283214363583</v>
          </cell>
          <cell r="Q455">
            <v>0.97601108152228822</v>
          </cell>
          <cell r="R455">
            <v>-9.513026009913228E-2</v>
          </cell>
          <cell r="S455">
            <v>0.88088082142315594</v>
          </cell>
        </row>
        <row r="456">
          <cell r="A456" t="str">
            <v>Mixed Paper (primarily from offices)</v>
          </cell>
          <cell r="B456">
            <v>2.2577848571899501</v>
          </cell>
          <cell r="C456">
            <v>9.9999999999999978E-2</v>
          </cell>
          <cell r="D456">
            <v>2.0320063714709553</v>
          </cell>
          <cell r="E456">
            <v>0.38742982706010487</v>
          </cell>
          <cell r="F456">
            <v>0.14229819756672635</v>
          </cell>
          <cell r="G456">
            <v>1.0617729447583457</v>
          </cell>
          <cell r="H456">
            <v>0.51288237855595287</v>
          </cell>
          <cell r="I456">
            <v>0.34755301441627595</v>
          </cell>
          <cell r="J456">
            <v>-0.11090288103745255</v>
          </cell>
          <cell r="K456">
            <v>0.03</v>
          </cell>
          <cell r="L456">
            <v>0.78469993301978824</v>
          </cell>
          <cell r="M456">
            <v>-0.1245704107827816</v>
          </cell>
          <cell r="N456">
            <v>0.14986396685910378</v>
          </cell>
          <cell r="O456">
            <v>0.13385281877731325</v>
          </cell>
          <cell r="P456">
            <v>0.716283214363583</v>
          </cell>
          <cell r="Q456">
            <v>1.0087132274033062</v>
          </cell>
          <cell r="R456">
            <v>-8.9227694250082742E-2</v>
          </cell>
          <cell r="S456">
            <v>0.91948553315322346</v>
          </cell>
        </row>
        <row r="457">
          <cell r="A457" t="str">
            <v>Mixed Recyclables</v>
          </cell>
          <cell r="B457">
            <v>1.9734014132616131</v>
          </cell>
          <cell r="C457">
            <v>9.9999999999999978E-2</v>
          </cell>
          <cell r="D457">
            <v>1.7760612719354518</v>
          </cell>
          <cell r="E457">
            <v>0.31888020897266162</v>
          </cell>
          <cell r="F457">
            <v>0.14375321091199642</v>
          </cell>
          <cell r="G457">
            <v>1.0604399686391754</v>
          </cell>
          <cell r="H457">
            <v>0.46201411014123644</v>
          </cell>
          <cell r="I457">
            <v>0.27789348907859934</v>
          </cell>
          <cell r="J457">
            <v>-0.11090288103745255</v>
          </cell>
          <cell r="K457">
            <v>0.03</v>
          </cell>
          <cell r="L457">
            <v>0.54839540408390863</v>
          </cell>
          <cell r="M457">
            <v>-9.8081079445357627E-2</v>
          </cell>
          <cell r="N457">
            <v>0.14986396685910378</v>
          </cell>
          <cell r="O457">
            <v>0.13385281877731325</v>
          </cell>
          <cell r="P457">
            <v>0.716283214363583</v>
          </cell>
          <cell r="Q457">
            <v>0.80091688932298966</v>
          </cell>
          <cell r="R457">
            <v>-7.0253830853370711E-2</v>
          </cell>
          <cell r="S457">
            <v>0.73066305846961899</v>
          </cell>
        </row>
        <row r="458">
          <cell r="A458" t="str">
            <v>Mixed Organics</v>
          </cell>
          <cell r="B458">
            <v>1.2328155960009999</v>
          </cell>
          <cell r="C458">
            <v>9.9999999999999978E-2</v>
          </cell>
          <cell r="D458">
            <v>1.1095340364008999</v>
          </cell>
          <cell r="E458">
            <v>0.34082252675311631</v>
          </cell>
          <cell r="F458">
            <v>0.11304279017382807</v>
          </cell>
          <cell r="G458">
            <v>0.67328335480952617</v>
          </cell>
          <cell r="H458">
            <v>0.37613116191944507</v>
          </cell>
          <cell r="I458">
            <v>0.47746360378323166</v>
          </cell>
          <cell r="J458">
            <v>-0.11090288103745255</v>
          </cell>
          <cell r="K458">
            <v>0.03</v>
          </cell>
          <cell r="L458">
            <v>0.58862457726680995</v>
          </cell>
          <cell r="M458">
            <v>-4.9882934961233499E-2</v>
          </cell>
          <cell r="N458">
            <v>0.14986396685910378</v>
          </cell>
          <cell r="O458">
            <v>0.13385281877731325</v>
          </cell>
          <cell r="P458">
            <v>0.716283214363583</v>
          </cell>
          <cell r="Q458">
            <v>0.67802195119540887</v>
          </cell>
          <cell r="R458">
            <v>-3.5730308995921882E-2</v>
          </cell>
          <cell r="S458">
            <v>0.64229164219948698</v>
          </cell>
        </row>
        <row r="459">
          <cell r="A459" t="str">
            <v>Mixed MSW</v>
          </cell>
          <cell r="B459">
            <v>1.6199727500000001</v>
          </cell>
          <cell r="C459">
            <v>9.9999999999999978E-2</v>
          </cell>
          <cell r="D459">
            <v>1.457975475</v>
          </cell>
          <cell r="E459">
            <v>0.40595709988122053</v>
          </cell>
          <cell r="F459">
            <v>0.14689905662113559</v>
          </cell>
          <cell r="G459">
            <v>0.72436084179644789</v>
          </cell>
          <cell r="H459">
            <v>0.55881456535581486</v>
          </cell>
          <cell r="I459">
            <v>0.30791127411696617</v>
          </cell>
          <cell r="J459">
            <v>-0.11090288103745255</v>
          </cell>
          <cell r="K459">
            <v>0.03</v>
          </cell>
          <cell r="L459">
            <v>0.49880787348726552</v>
          </cell>
          <cell r="M459">
            <v>-9.7384533735707587E-2</v>
          </cell>
          <cell r="N459">
            <v>0.14986396685910378</v>
          </cell>
          <cell r="O459">
            <v>0.13385281877731325</v>
          </cell>
          <cell r="P459">
            <v>0.716283214363583</v>
          </cell>
          <cell r="Q459">
            <v>0.67274343572447015</v>
          </cell>
          <cell r="R459">
            <v>-6.975490685351142E-2</v>
          </cell>
          <cell r="S459">
            <v>0.60298852887095877</v>
          </cell>
        </row>
        <row r="460">
          <cell r="A460" t="str">
            <v>Wood Flooring</v>
          </cell>
          <cell r="B460">
            <v>0.18143694800000035</v>
          </cell>
          <cell r="C460">
            <v>9.9999999999999978E-2</v>
          </cell>
          <cell r="D460">
            <v>0.16329325320000032</v>
          </cell>
          <cell r="E460">
            <v>0</v>
          </cell>
          <cell r="F460">
            <v>9.9999999999999978E-2</v>
          </cell>
          <cell r="G460">
            <v>0.16329325320000032</v>
          </cell>
          <cell r="H460">
            <v>0</v>
          </cell>
          <cell r="I460">
            <v>0.9</v>
          </cell>
          <cell r="J460">
            <v>-0.11090288103745255</v>
          </cell>
          <cell r="K460">
            <v>0.03</v>
          </cell>
          <cell r="L460">
            <v>0.16329325320000032</v>
          </cell>
          <cell r="M460">
            <v>0</v>
          </cell>
          <cell r="N460">
            <v>1</v>
          </cell>
          <cell r="O460">
            <v>0</v>
          </cell>
          <cell r="P460">
            <v>0</v>
          </cell>
          <cell r="Q460">
            <v>0.16329325320000032</v>
          </cell>
          <cell r="R460">
            <v>0</v>
          </cell>
          <cell r="S460">
            <v>0.16329325320000032</v>
          </cell>
        </row>
        <row r="461">
          <cell r="A461" t="str">
            <v>Drywall</v>
          </cell>
          <cell r="B461">
            <v>0</v>
          </cell>
          <cell r="C461">
            <v>9.9999999999999978E-2</v>
          </cell>
          <cell r="D461">
            <v>0</v>
          </cell>
          <cell r="E461">
            <v>0</v>
          </cell>
          <cell r="F461">
            <v>9.9999999999999978E-2</v>
          </cell>
          <cell r="G461">
            <v>0</v>
          </cell>
          <cell r="H461">
            <v>0</v>
          </cell>
          <cell r="I461">
            <v>0.9</v>
          </cell>
          <cell r="J461">
            <v>-0.11090288103745255</v>
          </cell>
          <cell r="K461">
            <v>0.03</v>
          </cell>
          <cell r="L461">
            <v>0</v>
          </cell>
          <cell r="M461">
            <v>0</v>
          </cell>
          <cell r="N461">
            <v>1</v>
          </cell>
          <cell r="O461">
            <v>0</v>
          </cell>
          <cell r="P461">
            <v>0</v>
          </cell>
          <cell r="Q461">
            <v>0</v>
          </cell>
          <cell r="R461">
            <v>0</v>
          </cell>
          <cell r="S461">
            <v>0</v>
          </cell>
        </row>
        <row r="464">
          <cell r="H464">
            <v>4</v>
          </cell>
          <cell r="I464">
            <v>6</v>
          </cell>
        </row>
        <row r="470">
          <cell r="H470" t="str">
            <v>Percentage of CH4 Recovered for Energy</v>
          </cell>
          <cell r="I470" t="str">
            <v>Percentage of CH4 Emitted</v>
          </cell>
          <cell r="J470" t="str">
            <v>Utility CO2 Emissions Avoided per MTCO2E CH4 Combusted (MTCO2E)</v>
          </cell>
          <cell r="K470" t="str">
            <v>Percentage of CH4 Recovered for Electricity Generation Not Utilized Due to System "Down Time"</v>
          </cell>
          <cell r="L470" t="str">
            <v>Net GHG Emissions From CH4 Generation (MTCO2E/Wet Ton)</v>
          </cell>
          <cell r="M470" t="str">
            <v>Utility CO2 Emissions Avoided (MTCO2E/Wet Ton)</v>
          </cell>
          <cell r="N470" t="str">
            <v>Percentage of CH4 From Landfills Without LFG Recovery in Current Inventory Year</v>
          </cell>
          <cell r="O470" t="str">
            <v>Percentage of CH4 From Landfills With LFG Recovery And Flaring in Current Inventory Year</v>
          </cell>
          <cell r="P470" t="str">
            <v>CH4 From Landfills With LFG Recovery and Electricity Generation in Current Inventory Year</v>
          </cell>
          <cell r="Q470" t="str">
            <v>Net CH4 Emissions from Landfilling (MTCO2E/Wet Ton)</v>
          </cell>
          <cell r="R470" t="str">
            <v>Net Avoided CO2 Emissions from Landfilling (MTCO2E/Wet Ton)</v>
          </cell>
        </row>
        <row r="471">
          <cell r="A471" t="str">
            <v>Corrugated Containers</v>
          </cell>
          <cell r="B471">
            <v>2.6232704732575001</v>
          </cell>
          <cell r="C471">
            <v>9.9999999999999978E-2</v>
          </cell>
          <cell r="D471">
            <v>2.3609434259317501</v>
          </cell>
          <cell r="E471">
            <v>0.30071754087506297</v>
          </cell>
          <cell r="F471">
            <v>0.21257206622033892</v>
          </cell>
          <cell r="G471">
            <v>1.2767730027341888</v>
          </cell>
          <cell r="H471">
            <v>0.60215236857099652</v>
          </cell>
          <cell r="I471">
            <v>0.25212195306916785</v>
          </cell>
          <cell r="J471">
            <v>-0.11090288103745255</v>
          </cell>
          <cell r="K471">
            <v>0.03</v>
          </cell>
          <cell r="L471">
            <v>0.66138407514636122</v>
          </cell>
          <cell r="M471">
            <v>-0.1699276426605939</v>
          </cell>
          <cell r="N471">
            <v>0.14986396685910378</v>
          </cell>
          <cell r="O471">
            <v>0.13385281877731325</v>
          </cell>
          <cell r="P471">
            <v>0.716283214363583</v>
          </cell>
          <cell r="Q471">
            <v>0.99845832396952128</v>
          </cell>
          <cell r="R471">
            <v>-0.12171631809415652</v>
          </cell>
          <cell r="S471">
            <v>0.87674200587536477</v>
          </cell>
        </row>
        <row r="472">
          <cell r="A472" t="str">
            <v>Magazines/Third-class Mail</v>
          </cell>
          <cell r="B472">
            <v>1.1946237049113888</v>
          </cell>
          <cell r="C472">
            <v>9.9999999999999978E-2</v>
          </cell>
          <cell r="D472">
            <v>1.07516133442025</v>
          </cell>
          <cell r="E472">
            <v>0.43027225037818423</v>
          </cell>
          <cell r="F472">
            <v>0.13125416638210374</v>
          </cell>
          <cell r="G472">
            <v>0.52381093651559707</v>
          </cell>
          <cell r="H472">
            <v>0.54820499840141235</v>
          </cell>
          <cell r="I472">
            <v>0.28919371550247347</v>
          </cell>
          <cell r="J472">
            <v>-0.11090288103745255</v>
          </cell>
          <cell r="K472">
            <v>0.03</v>
          </cell>
          <cell r="L472">
            <v>0.34547766785065498</v>
          </cell>
          <cell r="M472">
            <v>-7.0451246559042002E-2</v>
          </cell>
          <cell r="N472">
            <v>0.14986396685910378</v>
          </cell>
          <cell r="O472">
            <v>0.13385281877731325</v>
          </cell>
          <cell r="P472">
            <v>0.716283214363583</v>
          </cell>
          <cell r="Q472">
            <v>0.47870136736764451</v>
          </cell>
          <cell r="R472">
            <v>-5.0463045341231923E-2</v>
          </cell>
          <cell r="S472">
            <v>0.4282383220264126</v>
          </cell>
        </row>
        <row r="473">
          <cell r="A473" t="str">
            <v>Newspaper</v>
          </cell>
          <cell r="B473">
            <v>1.0471665853275001</v>
          </cell>
          <cell r="C473">
            <v>9.9999999999999978E-2</v>
          </cell>
          <cell r="D473">
            <v>0.94244992679475004</v>
          </cell>
          <cell r="E473">
            <v>0.32845403364367426</v>
          </cell>
          <cell r="F473">
            <v>0.19798000379408556</v>
          </cell>
          <cell r="G473">
            <v>0.49590245194363175</v>
          </cell>
          <cell r="H473">
            <v>0.60597971040024401</v>
          </cell>
          <cell r="I473">
            <v>0.24879933976094648</v>
          </cell>
          <cell r="J473">
            <v>-0.11090288103745255</v>
          </cell>
          <cell r="K473">
            <v>0.03</v>
          </cell>
          <cell r="L473">
            <v>0.26053435504920686</v>
          </cell>
          <cell r="M473">
            <v>-6.8263479547193903E-2</v>
          </cell>
          <cell r="N473">
            <v>0.14986396685910378</v>
          </cell>
          <cell r="O473">
            <v>0.13385281877731325</v>
          </cell>
          <cell r="P473">
            <v>0.716283214363583</v>
          </cell>
          <cell r="Q473">
            <v>0.3942336109135583</v>
          </cell>
          <cell r="R473">
            <v>-4.8895984553706758E-2</v>
          </cell>
          <cell r="S473">
            <v>0.34533762635985155</v>
          </cell>
        </row>
        <row r="474">
          <cell r="A474" t="str">
            <v>Office Paper</v>
          </cell>
          <cell r="B474">
            <v>3.8859258337900004</v>
          </cell>
          <cell r="C474">
            <v>9.9999999999999978E-2</v>
          </cell>
          <cell r="D474">
            <v>3.4973332504110006</v>
          </cell>
          <cell r="E474">
            <v>0.32017815462974619</v>
          </cell>
          <cell r="F474">
            <v>0.20239570677559995</v>
          </cell>
          <cell r="G474">
            <v>1.8552425656915708</v>
          </cell>
          <cell r="H474">
            <v>0.60528390651715147</v>
          </cell>
          <cell r="I474">
            <v>0.24948289239674445</v>
          </cell>
          <cell r="J474">
            <v>-0.11090288103745255</v>
          </cell>
          <cell r="K474">
            <v>0.03</v>
          </cell>
          <cell r="L474">
            <v>0.96947201665316018</v>
          </cell>
          <cell r="M474">
            <v>-0.25302777529156334</v>
          </cell>
          <cell r="N474">
            <v>0.14986396685910378</v>
          </cell>
          <cell r="O474">
            <v>0.13385281877731325</v>
          </cell>
          <cell r="P474">
            <v>0.716283214363583</v>
          </cell>
          <cell r="Q474">
            <v>1.4668702135921781</v>
          </cell>
          <cell r="R474">
            <v>-0.18123954820910737</v>
          </cell>
          <cell r="S474">
            <v>1.2856306653830707</v>
          </cell>
        </row>
        <row r="475">
          <cell r="A475" t="str">
            <v>Phonebooks</v>
          </cell>
          <cell r="B475">
            <v>1.0471665853275001</v>
          </cell>
          <cell r="C475">
            <v>9.9999999999999978E-2</v>
          </cell>
          <cell r="D475">
            <v>0.94244992679475004</v>
          </cell>
          <cell r="E475">
            <v>0.32845403364367426</v>
          </cell>
          <cell r="F475">
            <v>0.19798000379408556</v>
          </cell>
          <cell r="G475">
            <v>0.49590245194363175</v>
          </cell>
          <cell r="H475">
            <v>0.60597971040024401</v>
          </cell>
          <cell r="I475">
            <v>0.24879933976094648</v>
          </cell>
          <cell r="J475">
            <v>-0.11090288103745255</v>
          </cell>
          <cell r="K475">
            <v>0.03</v>
          </cell>
          <cell r="L475">
            <v>0.26053435504920686</v>
          </cell>
          <cell r="M475">
            <v>-6.8263479547193903E-2</v>
          </cell>
          <cell r="N475">
            <v>0.14986396685910378</v>
          </cell>
          <cell r="O475">
            <v>0.13385281877731325</v>
          </cell>
          <cell r="P475">
            <v>0.716283214363583</v>
          </cell>
          <cell r="Q475">
            <v>0.3942336109135583</v>
          </cell>
          <cell r="R475">
            <v>-4.8895984553706758E-2</v>
          </cell>
          <cell r="S475">
            <v>0.34533762635985155</v>
          </cell>
        </row>
        <row r="476">
          <cell r="A476" t="str">
            <v>Textbooks</v>
          </cell>
          <cell r="B476">
            <v>3.8859258337900004</v>
          </cell>
          <cell r="C476">
            <v>9.9999999999999978E-2</v>
          </cell>
          <cell r="D476">
            <v>3.4973332504110006</v>
          </cell>
          <cell r="E476">
            <v>0.32017815462974619</v>
          </cell>
          <cell r="F476">
            <v>0.20239570677559995</v>
          </cell>
          <cell r="G476">
            <v>1.8552425656915708</v>
          </cell>
          <cell r="H476">
            <v>0.60528390651715147</v>
          </cell>
          <cell r="I476">
            <v>0.24948289239674445</v>
          </cell>
          <cell r="J476">
            <v>-0.11090288103745255</v>
          </cell>
          <cell r="K476">
            <v>0.03</v>
          </cell>
          <cell r="L476">
            <v>0.96947201665316018</v>
          </cell>
          <cell r="M476">
            <v>-0.25302777529156334</v>
          </cell>
          <cell r="N476">
            <v>0.14986396685910378</v>
          </cell>
          <cell r="O476">
            <v>0.13385281877731325</v>
          </cell>
          <cell r="P476">
            <v>0.716283214363583</v>
          </cell>
          <cell r="Q476">
            <v>1.4668702135921781</v>
          </cell>
          <cell r="R476">
            <v>-0.18123954820910737</v>
          </cell>
          <cell r="S476">
            <v>1.2856306653830707</v>
          </cell>
        </row>
        <row r="477">
          <cell r="A477" t="str">
            <v>Dimensional Lumber</v>
          </cell>
          <cell r="B477">
            <v>0.16645220006249997</v>
          </cell>
          <cell r="C477">
            <v>9.9999999999999978E-2</v>
          </cell>
          <cell r="D477">
            <v>0.14980698005624998</v>
          </cell>
          <cell r="E477">
            <v>0.40372926541503901</v>
          </cell>
          <cell r="F477">
            <v>0.15338860783522942</v>
          </cell>
          <cell r="G477">
            <v>7.3718704365851775E-2</v>
          </cell>
          <cell r="H477">
            <v>0.58587961424178547</v>
          </cell>
          <cell r="I477">
            <v>0.26152008103162866</v>
          </cell>
          <cell r="J477">
            <v>-0.11090288103745255</v>
          </cell>
          <cell r="K477">
            <v>0.03</v>
          </cell>
          <cell r="L477">
            <v>4.3530592848237855E-2</v>
          </cell>
          <cell r="M477">
            <v>-1.0490893769020609E-2</v>
          </cell>
          <cell r="N477">
            <v>0.14986396685910378</v>
          </cell>
          <cell r="O477">
            <v>0.13385281877731325</v>
          </cell>
          <cell r="P477">
            <v>0.716283214363583</v>
          </cell>
          <cell r="Q477">
            <v>6.3498357638881175E-2</v>
          </cell>
          <cell r="R477">
            <v>-7.5144511104209659E-3</v>
          </cell>
          <cell r="S477">
            <v>5.5983906528460206E-2</v>
          </cell>
        </row>
        <row r="478">
          <cell r="A478" t="str">
            <v>Medium-density Fiberboard</v>
          </cell>
          <cell r="B478">
            <v>5.5889059875000008E-2</v>
          </cell>
          <cell r="C478">
            <v>9.9999999999999978E-2</v>
          </cell>
          <cell r="D478">
            <v>5.0300153887500011E-2</v>
          </cell>
          <cell r="E478">
            <v>0.38263199270745263</v>
          </cell>
          <cell r="F478">
            <v>0.16710396357109564</v>
          </cell>
          <cell r="G478">
            <v>2.5164834099107837E-2</v>
          </cell>
          <cell r="H478">
            <v>0.59815117625194902</v>
          </cell>
          <cell r="I478">
            <v>0.25309771134499043</v>
          </cell>
          <cell r="J478">
            <v>-0.11090288103745255</v>
          </cell>
          <cell r="K478">
            <v>0.03</v>
          </cell>
          <cell r="L478">
            <v>1.4145393143585639E-2</v>
          </cell>
          <cell r="M478">
            <v>-3.59627031395585E-3</v>
          </cell>
          <cell r="N478">
            <v>0.14986396685910378</v>
          </cell>
          <cell r="O478">
            <v>0.13385281877731325</v>
          </cell>
          <cell r="P478">
            <v>0.716283214363583</v>
          </cell>
          <cell r="Q478">
            <v>2.1038672242757267E-2</v>
          </cell>
          <cell r="R478">
            <v>-2.5759480602006281E-3</v>
          </cell>
          <cell r="S478">
            <v>1.846272418255664E-2</v>
          </cell>
        </row>
        <row r="479">
          <cell r="A479" t="str">
            <v>Food Waste</v>
          </cell>
          <cell r="B479">
            <v>1.622706214625282</v>
          </cell>
          <cell r="C479">
            <v>9.9999999999999978E-2</v>
          </cell>
          <cell r="D479">
            <v>1.4604355931627537</v>
          </cell>
          <cell r="E479">
            <v>0.43565881951319257</v>
          </cell>
          <cell r="F479">
            <v>0.12313905652437579</v>
          </cell>
          <cell r="G479">
            <v>0.71594142845971198</v>
          </cell>
          <cell r="H479">
            <v>0.52560702706077667</v>
          </cell>
          <cell r="I479">
            <v>0.30666187983249216</v>
          </cell>
          <cell r="J479">
            <v>-0.11090288103745255</v>
          </cell>
          <cell r="K479">
            <v>0.03</v>
          </cell>
          <cell r="L479">
            <v>0.49762213819285644</v>
          </cell>
          <cell r="M479">
            <v>-9.1752018004223751E-2</v>
          </cell>
          <cell r="N479">
            <v>0.14986396685910378</v>
          </cell>
          <cell r="O479">
            <v>0.13385281877731325</v>
          </cell>
          <cell r="P479">
            <v>0.716283214363583</v>
          </cell>
          <cell r="Q479">
            <v>0.67113583429564549</v>
          </cell>
          <cell r="R479">
            <v>-6.5720430380410727E-2</v>
          </cell>
          <cell r="S479">
            <v>0.60541540391523474</v>
          </cell>
        </row>
        <row r="480">
          <cell r="A480" t="str">
            <v>Food Waste (meat only)</v>
          </cell>
          <cell r="B480">
            <v>1.622706214625282</v>
          </cell>
          <cell r="C480">
            <v>9.9999999999999978E-2</v>
          </cell>
          <cell r="D480">
            <v>1.4604355931627537</v>
          </cell>
          <cell r="E480">
            <v>0.43565881951319257</v>
          </cell>
          <cell r="F480">
            <v>0.12313905652437579</v>
          </cell>
          <cell r="G480">
            <v>0.71594142845971198</v>
          </cell>
          <cell r="H480">
            <v>0.52560702706077667</v>
          </cell>
          <cell r="I480">
            <v>0.30666187983249216</v>
          </cell>
          <cell r="J480">
            <v>-0.11090288103745255</v>
          </cell>
          <cell r="K480">
            <v>0.03</v>
          </cell>
          <cell r="L480">
            <v>0.49762213819285644</v>
          </cell>
          <cell r="M480">
            <v>-9.1752018004223751E-2</v>
          </cell>
          <cell r="N480">
            <v>0.14986396685910378</v>
          </cell>
          <cell r="O480">
            <v>0.13385281877731325</v>
          </cell>
          <cell r="P480">
            <v>0.716283214363583</v>
          </cell>
          <cell r="Q480">
            <v>0.67113583429564549</v>
          </cell>
          <cell r="R480">
            <v>-6.5720430380410727E-2</v>
          </cell>
          <cell r="S480">
            <v>0.60541540391523474</v>
          </cell>
        </row>
        <row r="481">
          <cell r="A481" t="str">
            <v>Food Waste (non-meat)</v>
          </cell>
          <cell r="B481">
            <v>1.622706214625282</v>
          </cell>
          <cell r="C481">
            <v>9.9999999999999978E-2</v>
          </cell>
          <cell r="D481">
            <v>1.4604355931627537</v>
          </cell>
          <cell r="E481">
            <v>0.43565881951319257</v>
          </cell>
          <cell r="F481">
            <v>0.12313905652437579</v>
          </cell>
          <cell r="G481">
            <v>0.71594142845971198</v>
          </cell>
          <cell r="H481">
            <v>0.52560702706077667</v>
          </cell>
          <cell r="I481">
            <v>0.30666187983249216</v>
          </cell>
          <cell r="J481">
            <v>-0.11090288103745255</v>
          </cell>
          <cell r="K481">
            <v>0.03</v>
          </cell>
          <cell r="L481">
            <v>0.49762213819285644</v>
          </cell>
          <cell r="M481">
            <v>-9.1752018004223751E-2</v>
          </cell>
          <cell r="N481">
            <v>0.14986396685910378</v>
          </cell>
          <cell r="O481">
            <v>0.13385281877731325</v>
          </cell>
          <cell r="P481">
            <v>0.716283214363583</v>
          </cell>
          <cell r="Q481">
            <v>0.67113583429564549</v>
          </cell>
          <cell r="R481">
            <v>-6.5720430380410727E-2</v>
          </cell>
          <cell r="S481">
            <v>0.60541540391523474</v>
          </cell>
        </row>
        <row r="482">
          <cell r="A482" t="str">
            <v>Beef</v>
          </cell>
          <cell r="B482">
            <v>1.622706214625282</v>
          </cell>
          <cell r="C482">
            <v>9.9999999999999978E-2</v>
          </cell>
          <cell r="D482">
            <v>1.4604355931627537</v>
          </cell>
          <cell r="E482">
            <v>0.43565881951319257</v>
          </cell>
          <cell r="F482">
            <v>0.12313905652437579</v>
          </cell>
          <cell r="G482">
            <v>0.71594142845971198</v>
          </cell>
          <cell r="H482">
            <v>0.52560702706077667</v>
          </cell>
          <cell r="I482">
            <v>0.30666187983249216</v>
          </cell>
          <cell r="J482">
            <v>-0.11090288103745255</v>
          </cell>
          <cell r="K482">
            <v>0.03</v>
          </cell>
          <cell r="L482">
            <v>0.49762213819285644</v>
          </cell>
          <cell r="M482">
            <v>-9.1752018004223751E-2</v>
          </cell>
          <cell r="N482">
            <v>0.14986396685910378</v>
          </cell>
          <cell r="O482">
            <v>0.13385281877731325</v>
          </cell>
          <cell r="P482">
            <v>0.716283214363583</v>
          </cell>
          <cell r="Q482">
            <v>0.67113583429564549</v>
          </cell>
          <cell r="R482">
            <v>-6.5720430380410727E-2</v>
          </cell>
          <cell r="S482">
            <v>0.60541540391523474</v>
          </cell>
        </row>
        <row r="483">
          <cell r="A483" t="str">
            <v>Poultry</v>
          </cell>
          <cell r="B483">
            <v>1.622706214625282</v>
          </cell>
          <cell r="C483">
            <v>9.9999999999999978E-2</v>
          </cell>
          <cell r="D483">
            <v>1.4604355931627537</v>
          </cell>
          <cell r="E483">
            <v>0.43565881951319257</v>
          </cell>
          <cell r="F483">
            <v>0.12313905652437579</v>
          </cell>
          <cell r="G483">
            <v>0.71594142845971198</v>
          </cell>
          <cell r="H483">
            <v>0.52560702706077667</v>
          </cell>
          <cell r="I483">
            <v>0.30666187983249216</v>
          </cell>
          <cell r="J483">
            <v>-0.11090288103745255</v>
          </cell>
          <cell r="K483">
            <v>0.03</v>
          </cell>
          <cell r="L483">
            <v>0.49762213819285644</v>
          </cell>
          <cell r="M483">
            <v>-9.1752018004223751E-2</v>
          </cell>
          <cell r="N483">
            <v>0.14986396685910378</v>
          </cell>
          <cell r="O483">
            <v>0.13385281877731325</v>
          </cell>
          <cell r="P483">
            <v>0.716283214363583</v>
          </cell>
          <cell r="Q483">
            <v>0.67113583429564549</v>
          </cell>
          <cell r="R483">
            <v>-6.5720430380410727E-2</v>
          </cell>
          <cell r="S483">
            <v>0.60541540391523474</v>
          </cell>
        </row>
        <row r="484">
          <cell r="A484" t="str">
            <v>Grains</v>
          </cell>
          <cell r="B484">
            <v>1.622706214625282</v>
          </cell>
          <cell r="C484">
            <v>9.9999999999999978E-2</v>
          </cell>
          <cell r="D484">
            <v>1.4604355931627537</v>
          </cell>
          <cell r="E484">
            <v>0.43565881951319257</v>
          </cell>
          <cell r="F484">
            <v>0.12313905652437579</v>
          </cell>
          <cell r="G484">
            <v>0.71594142845971198</v>
          </cell>
          <cell r="H484">
            <v>0.52560702706077667</v>
          </cell>
          <cell r="I484">
            <v>0.30666187983249216</v>
          </cell>
          <cell r="J484">
            <v>-0.11090288103745255</v>
          </cell>
          <cell r="K484">
            <v>0.03</v>
          </cell>
          <cell r="L484">
            <v>0.49762213819285644</v>
          </cell>
          <cell r="M484">
            <v>-9.1752018004223751E-2</v>
          </cell>
          <cell r="N484">
            <v>0.14986396685910378</v>
          </cell>
          <cell r="O484">
            <v>0.13385281877731325</v>
          </cell>
          <cell r="P484">
            <v>0.716283214363583</v>
          </cell>
          <cell r="Q484">
            <v>0.67113583429564549</v>
          </cell>
          <cell r="R484">
            <v>-6.5720430380410727E-2</v>
          </cell>
          <cell r="S484">
            <v>0.60541540391523474</v>
          </cell>
        </row>
        <row r="485">
          <cell r="A485" t="str">
            <v>Bread</v>
          </cell>
          <cell r="B485">
            <v>1.622706214625282</v>
          </cell>
          <cell r="C485">
            <v>9.9999999999999978E-2</v>
          </cell>
          <cell r="D485">
            <v>1.4604355931627537</v>
          </cell>
          <cell r="E485">
            <v>0.43565881951319257</v>
          </cell>
          <cell r="F485">
            <v>0.12313905652437579</v>
          </cell>
          <cell r="G485">
            <v>0.71594142845971198</v>
          </cell>
          <cell r="H485">
            <v>0.52560702706077667</v>
          </cell>
          <cell r="I485">
            <v>0.30666187983249216</v>
          </cell>
          <cell r="J485">
            <v>-0.11090288103745255</v>
          </cell>
          <cell r="K485">
            <v>0.03</v>
          </cell>
          <cell r="L485">
            <v>0.49762213819285644</v>
          </cell>
          <cell r="M485">
            <v>-9.1752018004223751E-2</v>
          </cell>
          <cell r="N485">
            <v>0.14986396685910378</v>
          </cell>
          <cell r="O485">
            <v>0.13385281877731325</v>
          </cell>
          <cell r="P485">
            <v>0.716283214363583</v>
          </cell>
          <cell r="Q485">
            <v>0.67113583429564549</v>
          </cell>
          <cell r="R485">
            <v>-6.5720430380410727E-2</v>
          </cell>
          <cell r="S485">
            <v>0.60541540391523474</v>
          </cell>
        </row>
        <row r="486">
          <cell r="A486" t="str">
            <v>Fruits and Vegetables</v>
          </cell>
          <cell r="B486">
            <v>1.622706214625282</v>
          </cell>
          <cell r="C486">
            <v>9.9999999999999978E-2</v>
          </cell>
          <cell r="D486">
            <v>1.4604355931627537</v>
          </cell>
          <cell r="E486">
            <v>0.43565881951319257</v>
          </cell>
          <cell r="F486">
            <v>0.12313905652437579</v>
          </cell>
          <cell r="G486">
            <v>0.71594142845971198</v>
          </cell>
          <cell r="H486">
            <v>0.52560702706077667</v>
          </cell>
          <cell r="I486">
            <v>0.30666187983249216</v>
          </cell>
          <cell r="J486">
            <v>-0.11090288103745255</v>
          </cell>
          <cell r="K486">
            <v>0.03</v>
          </cell>
          <cell r="L486">
            <v>0.49762213819285644</v>
          </cell>
          <cell r="M486">
            <v>-9.1752018004223751E-2</v>
          </cell>
          <cell r="N486">
            <v>0.14986396685910378</v>
          </cell>
          <cell r="O486">
            <v>0.13385281877731325</v>
          </cell>
          <cell r="P486">
            <v>0.716283214363583</v>
          </cell>
          <cell r="Q486">
            <v>0.67113583429564549</v>
          </cell>
          <cell r="R486">
            <v>-6.5720430380410727E-2</v>
          </cell>
          <cell r="S486">
            <v>0.60541540391523474</v>
          </cell>
        </row>
        <row r="487">
          <cell r="A487" t="str">
            <v>Dairy Products</v>
          </cell>
          <cell r="B487">
            <v>1.622706214625282</v>
          </cell>
          <cell r="C487">
            <v>9.9999999999999978E-2</v>
          </cell>
          <cell r="D487">
            <v>1.4604355931627537</v>
          </cell>
          <cell r="E487">
            <v>0.43565881951319257</v>
          </cell>
          <cell r="F487">
            <v>0.12313905652437579</v>
          </cell>
          <cell r="G487">
            <v>0.71594142845971198</v>
          </cell>
          <cell r="H487">
            <v>0.52560702706077667</v>
          </cell>
          <cell r="I487">
            <v>0.30666187983249216</v>
          </cell>
          <cell r="J487">
            <v>-0.11090288103745255</v>
          </cell>
          <cell r="K487">
            <v>0.03</v>
          </cell>
          <cell r="L487">
            <v>0.49762213819285644</v>
          </cell>
          <cell r="M487">
            <v>-9.1752018004223751E-2</v>
          </cell>
          <cell r="N487">
            <v>0.14986396685910378</v>
          </cell>
          <cell r="O487">
            <v>0.13385281877731325</v>
          </cell>
          <cell r="P487">
            <v>0.716283214363583</v>
          </cell>
          <cell r="Q487">
            <v>0.67113583429564549</v>
          </cell>
          <cell r="R487">
            <v>-6.5720430380410727E-2</v>
          </cell>
          <cell r="S487">
            <v>0.60541540391523474</v>
          </cell>
        </row>
        <row r="488">
          <cell r="A488" t="str">
            <v>Yard Trimmings</v>
          </cell>
          <cell r="B488">
            <v>0.81032008938650013</v>
          </cell>
          <cell r="C488">
            <v>9.9999999999999978E-2</v>
          </cell>
          <cell r="D488">
            <v>0.7292880804478501</v>
          </cell>
          <cell r="E488">
            <v>0.38274901831922581</v>
          </cell>
          <cell r="F488">
            <v>0.13420146627581475</v>
          </cell>
          <cell r="G488">
            <v>0.39142472650105231</v>
          </cell>
          <cell r="H488">
            <v>0.47047531372077067</v>
          </cell>
          <cell r="I488">
            <v>0.35670422329584117</v>
          </cell>
          <cell r="J488">
            <v>-0.11090288103745255</v>
          </cell>
          <cell r="K488">
            <v>0.03</v>
          </cell>
          <cell r="L488">
            <v>0.2890445981056281</v>
          </cell>
          <cell r="M488">
            <v>-4.1011722415937667E-2</v>
          </cell>
          <cell r="N488">
            <v>0.14986396685910378</v>
          </cell>
          <cell r="O488">
            <v>0.13385281877731325</v>
          </cell>
          <cell r="P488">
            <v>0.716283214363583</v>
          </cell>
          <cell r="Q488">
            <v>0.36872510152581006</v>
          </cell>
          <cell r="R488">
            <v>-2.9376008358674842E-2</v>
          </cell>
          <cell r="S488">
            <v>0.33934909316713524</v>
          </cell>
        </row>
        <row r="489">
          <cell r="A489" t="str">
            <v>Grass</v>
          </cell>
          <cell r="B489">
            <v>0.5688048319800002</v>
          </cell>
          <cell r="C489">
            <v>9.9999999999999978E-2</v>
          </cell>
          <cell r="D489">
            <v>0.51192434878200022</v>
          </cell>
          <cell r="E489">
            <v>0.40249806018519668</v>
          </cell>
          <cell r="F489">
            <v>0.10131081662514801</v>
          </cell>
          <cell r="G489">
            <v>0.2822359084558595</v>
          </cell>
          <cell r="H489">
            <v>0.39202614030703636</v>
          </cell>
          <cell r="I489">
            <v>0.42204726368196965</v>
          </cell>
          <cell r="J489">
            <v>-0.11090288103745255</v>
          </cell>
          <cell r="K489">
            <v>0.03</v>
          </cell>
          <cell r="L489">
            <v>0.24006252290624158</v>
          </cell>
          <cell r="M489">
            <v>-2.3987935172019914E-2</v>
          </cell>
          <cell r="N489">
            <v>0.14986396685910378</v>
          </cell>
          <cell r="O489">
            <v>0.13385281877731325</v>
          </cell>
          <cell r="P489">
            <v>0.716283214363583</v>
          </cell>
          <cell r="Q489">
            <v>0.28644984110274047</v>
          </cell>
          <cell r="R489">
            <v>-1.7182155310959672E-2</v>
          </cell>
          <cell r="S489">
            <v>0.26926768579178079</v>
          </cell>
        </row>
        <row r="490">
          <cell r="A490" t="str">
            <v>Leaves</v>
          </cell>
          <cell r="B490">
            <v>0.65408019754000024</v>
          </cell>
          <cell r="C490">
            <v>9.9999999999999978E-2</v>
          </cell>
          <cell r="D490">
            <v>0.58867217778600023</v>
          </cell>
          <cell r="E490">
            <v>0.43648409809229727</v>
          </cell>
          <cell r="F490">
            <v>0.11586915161854669</v>
          </cell>
          <cell r="G490">
            <v>0.29279687485727035</v>
          </cell>
          <cell r="H490">
            <v>0.49837653526545045</v>
          </cell>
          <cell r="I490">
            <v>0.32848201226924806</v>
          </cell>
          <cell r="J490">
            <v>-0.11090288103745255</v>
          </cell>
          <cell r="K490">
            <v>0.03</v>
          </cell>
          <cell r="L490">
            <v>0.21485357947340655</v>
          </cell>
          <cell r="M490">
            <v>-3.5067366324397116E-2</v>
          </cell>
          <cell r="N490">
            <v>0.14986396685910378</v>
          </cell>
          <cell r="O490">
            <v>0.13385281877731325</v>
          </cell>
          <cell r="P490">
            <v>0.716283214363583</v>
          </cell>
          <cell r="Q490">
            <v>0.28130844729416465</v>
          </cell>
          <cell r="R490">
            <v>-2.5118165870104431E-2</v>
          </cell>
          <cell r="S490">
            <v>0.2561902814240602</v>
          </cell>
        </row>
        <row r="491">
          <cell r="A491" t="str">
            <v>Branches</v>
          </cell>
          <cell r="B491">
            <v>1.4495904960459998</v>
          </cell>
          <cell r="C491">
            <v>9.9999999999999978E-2</v>
          </cell>
          <cell r="D491">
            <v>1.3046314464413997</v>
          </cell>
          <cell r="E491">
            <v>0.28951585481421244</v>
          </cell>
          <cell r="F491">
            <v>0.21831508023441629</v>
          </cell>
          <cell r="G491">
            <v>0.71344359900135412</v>
          </cell>
          <cell r="H491">
            <v>0.59947243900355951</v>
          </cell>
          <cell r="I491">
            <v>0.25424035355017743</v>
          </cell>
          <cell r="J491">
            <v>-0.11090288103745255</v>
          </cell>
          <cell r="K491">
            <v>0.03</v>
          </cell>
          <cell r="L491">
            <v>0.36854440021771206</v>
          </cell>
          <cell r="M491">
            <v>-9.3482241369628571E-2</v>
          </cell>
          <cell r="N491">
            <v>0.14986396685910378</v>
          </cell>
          <cell r="O491">
            <v>0.13385281877731325</v>
          </cell>
          <cell r="P491">
            <v>0.716283214363583</v>
          </cell>
          <cell r="Q491">
            <v>0.55499584824144255</v>
          </cell>
          <cell r="R491">
            <v>-6.6959760334149868E-2</v>
          </cell>
          <cell r="S491">
            <v>0.48803608790729269</v>
          </cell>
        </row>
        <row r="492">
          <cell r="A492" t="str">
            <v>Mixed Paper (general)</v>
          </cell>
          <cell r="B492">
            <v>2.3832448707931113</v>
          </cell>
          <cell r="C492">
            <v>9.9999999999999978E-2</v>
          </cell>
          <cell r="D492">
            <v>2.1449203837138002</v>
          </cell>
          <cell r="E492">
            <v>0.32163079865071609</v>
          </cell>
          <cell r="F492">
            <v>0.2005292673620315</v>
          </cell>
          <cell r="G492">
            <v>1.1388095717352382</v>
          </cell>
          <cell r="H492">
            <v>0.59938144858568021</v>
          </cell>
          <cell r="I492">
            <v>0.25376245473537451</v>
          </cell>
          <cell r="J492">
            <v>-0.11090288103745255</v>
          </cell>
          <cell r="K492">
            <v>0.03</v>
          </cell>
          <cell r="L492">
            <v>0.60477806864795036</v>
          </cell>
          <cell r="M492">
            <v>-0.153669092552187</v>
          </cell>
          <cell r="N492">
            <v>0.14986396685910378</v>
          </cell>
          <cell r="O492">
            <v>0.13385281877731325</v>
          </cell>
          <cell r="P492">
            <v>0.716283214363583</v>
          </cell>
          <cell r="Q492">
            <v>0.90707152751540121</v>
          </cell>
          <cell r="R492">
            <v>-0.11007059156161543</v>
          </cell>
          <cell r="S492">
            <v>0.79700093595378574</v>
          </cell>
        </row>
        <row r="493">
          <cell r="A493" t="str">
            <v>Mixed Paper (primarily residential)</v>
          </cell>
          <cell r="B493">
            <v>2.2946736526735392</v>
          </cell>
          <cell r="C493">
            <v>9.9999999999999978E-2</v>
          </cell>
          <cell r="D493">
            <v>2.0652062874061854</v>
          </cell>
          <cell r="E493">
            <v>0.32277689108781138</v>
          </cell>
          <cell r="F493">
            <v>0.1996594115562137</v>
          </cell>
          <cell r="G493">
            <v>1.0958528337961155</v>
          </cell>
          <cell r="H493">
            <v>0.59807633548722683</v>
          </cell>
          <cell r="I493">
            <v>0.25469545975746821</v>
          </cell>
          <cell r="J493">
            <v>-0.11090288103745255</v>
          </cell>
          <cell r="K493">
            <v>0.03</v>
          </cell>
          <cell r="L493">
            <v>0.58444296096103598</v>
          </cell>
          <cell r="M493">
            <v>-0.14763594576347058</v>
          </cell>
          <cell r="N493">
            <v>0.14986396685910378</v>
          </cell>
          <cell r="O493">
            <v>0.13385281877731325</v>
          </cell>
          <cell r="P493">
            <v>0.716283214363583</v>
          </cell>
          <cell r="Q493">
            <v>0.87480968007111082</v>
          </cell>
          <cell r="R493">
            <v>-0.10574914978706632</v>
          </cell>
          <cell r="S493">
            <v>0.76906053028404453</v>
          </cell>
        </row>
        <row r="494">
          <cell r="A494" t="str">
            <v>Mixed Paper (primarily from offices)</v>
          </cell>
          <cell r="B494">
            <v>2.2577848571899501</v>
          </cell>
          <cell r="C494">
            <v>9.9999999999999978E-2</v>
          </cell>
          <cell r="D494">
            <v>2.0320063714709553</v>
          </cell>
          <cell r="E494">
            <v>0.36057693300437466</v>
          </cell>
          <cell r="F494">
            <v>0.17636627258006024</v>
          </cell>
          <cell r="G494">
            <v>1.0454826184503829</v>
          </cell>
          <cell r="H494">
            <v>0.58472504151362714</v>
          </cell>
          <cell r="I494">
            <v>0.26376719569491047</v>
          </cell>
          <cell r="J494">
            <v>-0.11090288103745255</v>
          </cell>
          <cell r="K494">
            <v>0.03</v>
          </cell>
          <cell r="L494">
            <v>0.59552958026342706</v>
          </cell>
          <cell r="M494">
            <v>-0.14201977229440949</v>
          </cell>
          <cell r="N494">
            <v>0.14986396685910378</v>
          </cell>
          <cell r="O494">
            <v>0.13385281877731325</v>
          </cell>
          <cell r="P494">
            <v>0.716283214363583</v>
          </cell>
          <cell r="Q494">
            <v>0.87103317297356386</v>
          </cell>
          <cell r="R494">
            <v>-0.10172637900222375</v>
          </cell>
          <cell r="S494">
            <v>0.76930679397134005</v>
          </cell>
        </row>
        <row r="495">
          <cell r="A495" t="str">
            <v>Mixed Recyclables</v>
          </cell>
          <cell r="B495">
            <v>1.9734014132616131</v>
          </cell>
          <cell r="C495">
            <v>9.9999999999999978E-2</v>
          </cell>
          <cell r="D495">
            <v>1.7760612719354518</v>
          </cell>
          <cell r="E495">
            <v>0.27966926930730895</v>
          </cell>
          <cell r="F495">
            <v>0.17209472862917075</v>
          </cell>
          <cell r="G495">
            <v>1.0818897012730475</v>
          </cell>
          <cell r="H495">
            <v>0.5162360261933181</v>
          </cell>
          <cell r="I495">
            <v>0.22060353129827079</v>
          </cell>
          <cell r="J495">
            <v>-0.11090288103745255</v>
          </cell>
          <cell r="K495">
            <v>0.03</v>
          </cell>
          <cell r="L495">
            <v>0.43533932043451007</v>
          </cell>
          <cell r="M495">
            <v>-0.10959186220988831</v>
          </cell>
          <cell r="N495">
            <v>0.14986396685910378</v>
          </cell>
          <cell r="O495">
            <v>0.13385281877731325</v>
          </cell>
          <cell r="P495">
            <v>0.716283214363583</v>
          </cell>
          <cell r="Q495">
            <v>0.7228078214983038</v>
          </cell>
          <cell r="R495">
            <v>-7.8498811331789681E-2</v>
          </cell>
          <cell r="S495">
            <v>0.6443090101665141</v>
          </cell>
        </row>
        <row r="496">
          <cell r="A496" t="str">
            <v>Mixed Organics</v>
          </cell>
          <cell r="B496">
            <v>1.2328155960009999</v>
          </cell>
          <cell r="C496">
            <v>9.9999999999999978E-2</v>
          </cell>
          <cell r="D496">
            <v>1.1095340364008999</v>
          </cell>
          <cell r="E496">
            <v>0.41026567888964971</v>
          </cell>
          <cell r="F496">
            <v>0.12844826805257131</v>
          </cell>
          <cell r="G496">
            <v>0.56868064042737465</v>
          </cell>
          <cell r="H496">
            <v>0.49914751827284232</v>
          </cell>
          <cell r="I496">
            <v>0.33067883389432962</v>
          </cell>
          <cell r="J496">
            <v>-0.11090288103745255</v>
          </cell>
          <cell r="K496">
            <v>0.03</v>
          </cell>
          <cell r="L496">
            <v>0.40766602369235361</v>
          </cell>
          <cell r="M496">
            <v>-6.6197501592271252E-2</v>
          </cell>
          <cell r="N496">
            <v>0.14986396685910378</v>
          </cell>
          <cell r="O496">
            <v>0.13385281877731325</v>
          </cell>
          <cell r="P496">
            <v>0.716283214363583</v>
          </cell>
          <cell r="Q496">
            <v>0.53440300860270351</v>
          </cell>
          <cell r="R496">
            <v>-4.7416159223350456E-2</v>
          </cell>
          <cell r="S496">
            <v>0.48698684937935305</v>
          </cell>
        </row>
        <row r="497">
          <cell r="A497" t="str">
            <v>Mixed MSW</v>
          </cell>
          <cell r="B497">
            <v>1.6199727500000001</v>
          </cell>
          <cell r="C497">
            <v>9.9999999999999978E-2</v>
          </cell>
          <cell r="D497">
            <v>1.457975475</v>
          </cell>
          <cell r="E497">
            <v>0.34227039472596721</v>
          </cell>
          <cell r="F497">
            <v>0.19046893529736139</v>
          </cell>
          <cell r="G497">
            <v>0.7569495525089508</v>
          </cell>
          <cell r="H497">
            <v>0.60619749253737931</v>
          </cell>
          <cell r="I497">
            <v>0.24831683489359421</v>
          </cell>
          <cell r="J497">
            <v>-0.11090288103745255</v>
          </cell>
          <cell r="K497">
            <v>0.03</v>
          </cell>
          <cell r="L497">
            <v>0.40226650589387181</v>
          </cell>
          <cell r="M497">
            <v>-0.10564194962405603</v>
          </cell>
          <cell r="N497">
            <v>0.14986396685910378</v>
          </cell>
          <cell r="O497">
            <v>0.13385281877731325</v>
          </cell>
          <cell r="P497">
            <v>0.716283214363583</v>
          </cell>
          <cell r="Q497">
            <v>0.60795456541480475</v>
          </cell>
          <cell r="R497">
            <v>-7.5669555248354559E-2</v>
          </cell>
          <cell r="S497">
            <v>0.53228501016645025</v>
          </cell>
        </row>
        <row r="498">
          <cell r="A498" t="str">
            <v>Wood Flooring</v>
          </cell>
          <cell r="B498">
            <v>0.18143694800000035</v>
          </cell>
          <cell r="C498">
            <v>9.9999999999999978E-2</v>
          </cell>
          <cell r="D498">
            <v>0.16329325320000032</v>
          </cell>
          <cell r="E498">
            <v>0</v>
          </cell>
          <cell r="F498">
            <v>9.9999999999999978E-2</v>
          </cell>
          <cell r="G498">
            <v>0.16329325320000032</v>
          </cell>
          <cell r="H498">
            <v>0</v>
          </cell>
          <cell r="I498">
            <v>0.9</v>
          </cell>
          <cell r="J498">
            <v>-0.11090288103745255</v>
          </cell>
          <cell r="K498">
            <v>0.03</v>
          </cell>
          <cell r="L498">
            <v>0.16329325320000032</v>
          </cell>
          <cell r="M498">
            <v>0</v>
          </cell>
          <cell r="N498">
            <v>1</v>
          </cell>
          <cell r="O498">
            <v>0</v>
          </cell>
          <cell r="P498">
            <v>0</v>
          </cell>
          <cell r="Q498">
            <v>0.16329325320000032</v>
          </cell>
          <cell r="R498">
            <v>0</v>
          </cell>
          <cell r="S498">
            <v>0.16329325320000032</v>
          </cell>
        </row>
        <row r="499">
          <cell r="A499" t="str">
            <v>Drywall</v>
          </cell>
          <cell r="B499">
            <v>0</v>
          </cell>
          <cell r="C499">
            <v>9.9999999999999978E-2</v>
          </cell>
          <cell r="D499">
            <v>0</v>
          </cell>
          <cell r="E499">
            <v>0</v>
          </cell>
          <cell r="F499">
            <v>9.9999999999999978E-2</v>
          </cell>
          <cell r="G499">
            <v>0</v>
          </cell>
          <cell r="H499">
            <v>0</v>
          </cell>
          <cell r="I499">
            <v>0.9</v>
          </cell>
          <cell r="J499">
            <v>-0.11090288103745255</v>
          </cell>
          <cell r="K499">
            <v>0.03</v>
          </cell>
          <cell r="L499">
            <v>0</v>
          </cell>
          <cell r="M499">
            <v>0</v>
          </cell>
          <cell r="N499">
            <v>1</v>
          </cell>
          <cell r="O499">
            <v>0</v>
          </cell>
          <cell r="P499">
            <v>0</v>
          </cell>
          <cell r="Q499">
            <v>0</v>
          </cell>
          <cell r="R499">
            <v>0</v>
          </cell>
          <cell r="S499">
            <v>0</v>
          </cell>
        </row>
        <row r="502">
          <cell r="H502">
            <v>8</v>
          </cell>
          <cell r="I502">
            <v>10</v>
          </cell>
        </row>
        <row r="504">
          <cell r="J504" t="str">
            <v>Electricity Generation</v>
          </cell>
          <cell r="N504" t="str">
            <v>Percentage of CH4 from Each Type of Landfill in the current inventory year</v>
          </cell>
          <cell r="Q504" t="str">
            <v>Net CH4 Generation</v>
          </cell>
          <cell r="R504" t="str">
            <v>Avoided CO2 from Energy Recovery</v>
          </cell>
        </row>
        <row r="506">
          <cell r="H506" t="str">
            <v>(h)</v>
          </cell>
          <cell r="I506" t="str">
            <v>(i)</v>
          </cell>
          <cell r="J506" t="str">
            <v>(j)</v>
          </cell>
          <cell r="K506" t="str">
            <v>(k)</v>
          </cell>
          <cell r="L506" t="str">
            <v>(l)</v>
          </cell>
          <cell r="M506" t="str">
            <v>(m)</v>
          </cell>
          <cell r="N506" t="str">
            <v>(n)</v>
          </cell>
          <cell r="O506" t="str">
            <v>(o)</v>
          </cell>
          <cell r="P506" t="str">
            <v>(p)</v>
          </cell>
          <cell r="Q506" t="str">
            <v>(q)</v>
          </cell>
          <cell r="R506" t="str">
            <v>( r)</v>
          </cell>
        </row>
        <row r="508">
          <cell r="H508" t="str">
            <v>Percentage of CH4 Recovered for Energy</v>
          </cell>
          <cell r="I508" t="str">
            <v>Percentage of CH4 Emitted</v>
          </cell>
          <cell r="J508" t="str">
            <v>Utility CO2 Emissions Avoided per MTCO2E CH4 Combusted (MTCO2E)</v>
          </cell>
          <cell r="K508" t="str">
            <v>Percentage of CH4 Recovered for Electricity Generation Not Utilized Due to System "Down Time"</v>
          </cell>
          <cell r="L508" t="str">
            <v>Net GHG Emissions From CH4 Generation (MTCO2E/Wet Ton)</v>
          </cell>
          <cell r="M508" t="str">
            <v>Utility CO2 Emissions Avoided (MTCO2E/Wet Ton)</v>
          </cell>
          <cell r="N508" t="str">
            <v>Percentage of CH4 From Landfills Without LFG Recovery in Current Inventory Year</v>
          </cell>
          <cell r="O508" t="str">
            <v>Percentage of CH4 From Landfills With LFG Recovery And Flaring in Current Inventory Year</v>
          </cell>
          <cell r="P508" t="str">
            <v>CH4 From Landfills With LFG Recovery and Electricity Generation in Current Inventory Year</v>
          </cell>
          <cell r="Q508" t="str">
            <v>Net CH4 Emissions from Landfilling (MTCO2E/Wet Ton)</v>
          </cell>
          <cell r="R508" t="str">
            <v>Net Avoided CO2 Emissions from Landfilling (MTCO2E/Wet Ton)</v>
          </cell>
        </row>
        <row r="509">
          <cell r="A509" t="str">
            <v>Corrugated Containers</v>
          </cell>
          <cell r="B509">
            <v>2.6232704732575001</v>
          </cell>
          <cell r="C509">
            <v>9.9999999999999978E-2</v>
          </cell>
          <cell r="D509">
            <v>2.3609434259317501</v>
          </cell>
          <cell r="E509">
            <v>0.34758062623409103</v>
          </cell>
          <cell r="F509">
            <v>0.18809074429584283</v>
          </cell>
          <cell r="G509">
            <v>1.2180595835769468</v>
          </cell>
          <cell r="H509">
            <v>0.5365728188217157</v>
          </cell>
          <cell r="I509">
            <v>0.30748116273295678</v>
          </cell>
          <cell r="J509">
            <v>-0.11090288103745255</v>
          </cell>
          <cell r="K509">
            <v>0.03</v>
          </cell>
          <cell r="L509">
            <v>0.80660625528024987</v>
          </cell>
          <cell r="M509">
            <v>-0.15142106712044551</v>
          </cell>
          <cell r="N509">
            <v>0.14986396685910378</v>
          </cell>
          <cell r="O509">
            <v>0.13385281877731325</v>
          </cell>
          <cell r="P509">
            <v>0.716283214363583</v>
          </cell>
          <cell r="Q509">
            <v>1.0946195772984595</v>
          </cell>
          <cell r="R509">
            <v>-0.10846036867939655</v>
          </cell>
          <cell r="S509">
            <v>0.98615920861906292</v>
          </cell>
        </row>
        <row r="510">
          <cell r="A510" t="str">
            <v>Magazines/Third-class Mail</v>
          </cell>
          <cell r="B510">
            <v>1.1946237049113888</v>
          </cell>
          <cell r="C510">
            <v>9.9999999999999978E-2</v>
          </cell>
          <cell r="D510">
            <v>1.07516133442025</v>
          </cell>
          <cell r="E510">
            <v>0.43015788150293149</v>
          </cell>
          <cell r="F510">
            <v>0.10243957787877654</v>
          </cell>
          <cell r="G510">
            <v>0.55837015475841989</v>
          </cell>
          <cell r="H510">
            <v>0.46285595975240446</v>
          </cell>
          <cell r="I510">
            <v>0.38868749435314709</v>
          </cell>
          <cell r="J510">
            <v>-0.11090288103745255</v>
          </cell>
          <cell r="K510">
            <v>0.03</v>
          </cell>
          <cell r="L510">
            <v>0.46433529455688111</v>
          </cell>
          <cell r="M510">
            <v>-5.9482820180274121E-2</v>
          </cell>
          <cell r="N510">
            <v>0.14986396685910378</v>
          </cell>
          <cell r="O510">
            <v>0.13385281877731325</v>
          </cell>
          <cell r="P510">
            <v>0.716283214363583</v>
          </cell>
          <cell r="Q510">
            <v>0.5684629390529492</v>
          </cell>
          <cell r="R510">
            <v>-4.2606545638137747E-2</v>
          </cell>
          <cell r="S510">
            <v>0.5258563934148115</v>
          </cell>
        </row>
        <row r="511">
          <cell r="A511" t="str">
            <v>Newspaper</v>
          </cell>
          <cell r="B511">
            <v>1.0471665853275001</v>
          </cell>
          <cell r="C511">
            <v>9.9999999999999978E-2</v>
          </cell>
          <cell r="D511">
            <v>0.94244992679475004</v>
          </cell>
          <cell r="E511">
            <v>0.39279642468416642</v>
          </cell>
          <cell r="F511">
            <v>0.16279255143318355</v>
          </cell>
          <cell r="G511">
            <v>0.46537237436109269</v>
          </cell>
          <cell r="H511">
            <v>0.56009016872519091</v>
          </cell>
          <cell r="I511">
            <v>0.29513425646866281</v>
          </cell>
          <cell r="J511">
            <v>-0.11090288103745255</v>
          </cell>
          <cell r="K511">
            <v>0.03</v>
          </cell>
          <cell r="L511">
            <v>0.30905473155946028</v>
          </cell>
          <cell r="M511">
            <v>-6.3094032887839505E-2</v>
          </cell>
          <cell r="N511">
            <v>0.14986396685910378</v>
          </cell>
          <cell r="O511">
            <v>0.13385281877731325</v>
          </cell>
          <cell r="P511">
            <v>0.716283214363583</v>
          </cell>
          <cell r="Q511">
            <v>0.42490140522054098</v>
          </cell>
          <cell r="R511">
            <v>-4.5193196684063297E-2</v>
          </cell>
          <cell r="S511">
            <v>0.37970820853647769</v>
          </cell>
        </row>
        <row r="512">
          <cell r="A512" t="str">
            <v>Office Paper</v>
          </cell>
          <cell r="B512">
            <v>3.8859258337900004</v>
          </cell>
          <cell r="C512">
            <v>9.9999999999999978E-2</v>
          </cell>
          <cell r="D512">
            <v>3.4973332504110006</v>
          </cell>
          <cell r="E512">
            <v>0.38057339459858264</v>
          </cell>
          <cell r="F512">
            <v>0.16994572630580446</v>
          </cell>
          <cell r="G512">
            <v>1.7466493598722819</v>
          </cell>
          <cell r="H512">
            <v>0.55522063869659355</v>
          </cell>
          <cell r="I512">
            <v>0.29732689272898283</v>
          </cell>
          <cell r="J512">
            <v>-0.11090288103745255</v>
          </cell>
          <cell r="K512">
            <v>0.03</v>
          </cell>
          <cell r="L512">
            <v>1.1553902535360627</v>
          </cell>
          <cell r="M512">
            <v>-0.23209974937831773</v>
          </cell>
          <cell r="N512">
            <v>0.14986396685910378</v>
          </cell>
          <cell r="O512">
            <v>0.13385281877731325</v>
          </cell>
          <cell r="P512">
            <v>0.716283214363583</v>
          </cell>
          <cell r="Q512">
            <v>1.5855048192164967</v>
          </cell>
          <cell r="R512">
            <v>-0.16624915453768346</v>
          </cell>
          <cell r="S512">
            <v>1.4192556646788133</v>
          </cell>
        </row>
        <row r="513">
          <cell r="A513" t="str">
            <v>Phonebooks</v>
          </cell>
          <cell r="B513">
            <v>1.0471665853275001</v>
          </cell>
          <cell r="C513">
            <v>9.9999999999999978E-2</v>
          </cell>
          <cell r="D513">
            <v>0.94244992679475004</v>
          </cell>
          <cell r="E513">
            <v>0.39279642468416642</v>
          </cell>
          <cell r="F513">
            <v>0.16279255143318355</v>
          </cell>
          <cell r="G513">
            <v>0.46537237436109269</v>
          </cell>
          <cell r="H513">
            <v>0.56009016872519091</v>
          </cell>
          <cell r="I513">
            <v>0.29513425646866281</v>
          </cell>
          <cell r="J513">
            <v>-0.11090288103745255</v>
          </cell>
          <cell r="K513">
            <v>0.03</v>
          </cell>
          <cell r="L513">
            <v>0.30905473155946028</v>
          </cell>
          <cell r="M513">
            <v>-6.3094032887839505E-2</v>
          </cell>
          <cell r="N513">
            <v>0.14986396685910378</v>
          </cell>
          <cell r="O513">
            <v>0.13385281877731325</v>
          </cell>
          <cell r="P513">
            <v>0.716283214363583</v>
          </cell>
          <cell r="Q513">
            <v>0.42490140522054098</v>
          </cell>
          <cell r="R513">
            <v>-4.5193196684063297E-2</v>
          </cell>
          <cell r="S513">
            <v>0.37970820853647769</v>
          </cell>
        </row>
        <row r="514">
          <cell r="A514" t="str">
            <v>Textbooks</v>
          </cell>
          <cell r="B514">
            <v>3.8859258337900004</v>
          </cell>
          <cell r="C514">
            <v>9.9999999999999978E-2</v>
          </cell>
          <cell r="D514">
            <v>3.4973332504110006</v>
          </cell>
          <cell r="E514">
            <v>0.38057339459858264</v>
          </cell>
          <cell r="F514">
            <v>0.16994572630580446</v>
          </cell>
          <cell r="G514">
            <v>1.7466493598722819</v>
          </cell>
          <cell r="H514">
            <v>0.55522063869659355</v>
          </cell>
          <cell r="I514">
            <v>0.29732689272898283</v>
          </cell>
          <cell r="J514">
            <v>-0.11090288103745255</v>
          </cell>
          <cell r="K514">
            <v>0.03</v>
          </cell>
          <cell r="L514">
            <v>1.1553902535360627</v>
          </cell>
          <cell r="M514">
            <v>-0.23209974937831773</v>
          </cell>
          <cell r="N514">
            <v>0.14986396685910378</v>
          </cell>
          <cell r="O514">
            <v>0.13385281877731325</v>
          </cell>
          <cell r="P514">
            <v>0.716283214363583</v>
          </cell>
          <cell r="Q514">
            <v>1.5855048192164967</v>
          </cell>
          <cell r="R514">
            <v>-0.16624915453768346</v>
          </cell>
          <cell r="S514">
            <v>1.4192556646788133</v>
          </cell>
        </row>
        <row r="515">
          <cell r="A515" t="str">
            <v>Dimensional Lumber</v>
          </cell>
          <cell r="B515">
            <v>0.16645220006249997</v>
          </cell>
          <cell r="C515">
            <v>9.9999999999999978E-2</v>
          </cell>
          <cell r="D515">
            <v>0.14980698005624998</v>
          </cell>
          <cell r="E515">
            <v>0.44705020461027473</v>
          </cell>
          <cell r="F515">
            <v>0.11435137295045571</v>
          </cell>
          <cell r="G515">
            <v>7.3005672358958176E-2</v>
          </cell>
          <cell r="H515">
            <v>0.52485786638547605</v>
          </cell>
          <cell r="I515">
            <v>0.3334535754774744</v>
          </cell>
          <cell r="J515">
            <v>-0.11090288103745255</v>
          </cell>
          <cell r="K515">
            <v>0.03</v>
          </cell>
          <cell r="L515">
            <v>5.55040812569325E-2</v>
          </cell>
          <cell r="M515">
            <v>-9.3982244581264571E-3</v>
          </cell>
          <cell r="N515">
            <v>0.14986396685910378</v>
          </cell>
          <cell r="O515">
            <v>0.13385281877731325</v>
          </cell>
          <cell r="P515">
            <v>0.716283214363583</v>
          </cell>
          <cell r="Q515">
            <v>7.1979325059404908E-2</v>
          </cell>
          <cell r="R515">
            <v>-6.7317904241772615E-3</v>
          </cell>
          <cell r="S515">
            <v>6.5247534635227644E-2</v>
          </cell>
        </row>
        <row r="516">
          <cell r="A516" t="str">
            <v>Medium-density Fiberboard</v>
          </cell>
          <cell r="B516">
            <v>5.5889059875000008E-2</v>
          </cell>
          <cell r="C516">
            <v>9.9999999999999978E-2</v>
          </cell>
          <cell r="D516">
            <v>5.0300153887500011E-2</v>
          </cell>
          <cell r="E516">
            <v>0.44290712438391355</v>
          </cell>
          <cell r="F516">
            <v>0.12516287813844867</v>
          </cell>
          <cell r="G516">
            <v>2.4140161490836299E-2</v>
          </cell>
          <cell r="H516">
            <v>0.54929726909166476</v>
          </cell>
          <cell r="I516">
            <v>0.31145274709501647</v>
          </cell>
          <cell r="J516">
            <v>-0.11090288103745255</v>
          </cell>
          <cell r="K516">
            <v>0.03</v>
          </cell>
          <cell r="L516">
            <v>1.7406801230626611E-2</v>
          </cell>
          <cell r="M516">
            <v>-3.3025454781339413E-3</v>
          </cell>
          <cell r="N516">
            <v>0.14986396685910378</v>
          </cell>
          <cell r="O516">
            <v>0.13385281877731325</v>
          </cell>
          <cell r="P516">
            <v>0.716283214363583</v>
          </cell>
          <cell r="Q516">
            <v>2.3237608793753313E-2</v>
          </cell>
          <cell r="R516">
            <v>-2.3655578906596956E-3</v>
          </cell>
          <cell r="S516">
            <v>2.0872050903093617E-2</v>
          </cell>
        </row>
        <row r="517">
          <cell r="A517" t="str">
            <v>Food Waste</v>
          </cell>
          <cell r="B517">
            <v>1.622706214625282</v>
          </cell>
          <cell r="C517">
            <v>9.9999999999999978E-2</v>
          </cell>
          <cell r="D517">
            <v>1.4604355931627537</v>
          </cell>
          <cell r="E517">
            <v>0.41430898718011355</v>
          </cell>
          <cell r="F517">
            <v>9.9562009723128952E-2</v>
          </cell>
          <cell r="G517">
            <v>0.78884455443470136</v>
          </cell>
          <cell r="H517">
            <v>0.43096741971074848</v>
          </cell>
          <cell r="I517">
            <v>0.41782888390014583</v>
          </cell>
          <cell r="J517">
            <v>-0.11090288103745255</v>
          </cell>
          <cell r="K517">
            <v>0.03</v>
          </cell>
          <cell r="L517">
            <v>0.67801352655471203</v>
          </cell>
          <cell r="M517">
            <v>-7.5231358061661036E-2</v>
          </cell>
          <cell r="N517">
            <v>0.14986396685910378</v>
          </cell>
          <cell r="O517">
            <v>0.13385281877731325</v>
          </cell>
          <cell r="P517">
            <v>0.716283214363583</v>
          </cell>
          <cell r="Q517">
            <v>0.81010544670441464</v>
          </cell>
          <cell r="R517">
            <v>-5.3886958973344216E-2</v>
          </cell>
          <cell r="S517">
            <v>0.75621848773107048</v>
          </cell>
        </row>
        <row r="518">
          <cell r="A518" t="str">
            <v>Food Waste (meat only)</v>
          </cell>
          <cell r="B518">
            <v>1.622706214625282</v>
          </cell>
          <cell r="C518">
            <v>9.9999999999999978E-2</v>
          </cell>
          <cell r="D518">
            <v>1.4604355931627537</v>
          </cell>
          <cell r="E518">
            <v>0.41430898718011355</v>
          </cell>
          <cell r="F518">
            <v>9.9562009723128952E-2</v>
          </cell>
          <cell r="G518">
            <v>0.78884455443470136</v>
          </cell>
          <cell r="H518">
            <v>0.43096741971074848</v>
          </cell>
          <cell r="I518">
            <v>0.41782888390014583</v>
          </cell>
          <cell r="J518">
            <v>-0.11090288103745255</v>
          </cell>
          <cell r="K518">
            <v>0.03</v>
          </cell>
          <cell r="L518">
            <v>0.67801352655471203</v>
          </cell>
          <cell r="M518">
            <v>-7.5231358061661036E-2</v>
          </cell>
          <cell r="N518">
            <v>0.14986396685910378</v>
          </cell>
          <cell r="O518">
            <v>0.13385281877731325</v>
          </cell>
          <cell r="P518">
            <v>0.716283214363583</v>
          </cell>
          <cell r="Q518">
            <v>0.81010544670441464</v>
          </cell>
          <cell r="R518">
            <v>-5.3886958973344216E-2</v>
          </cell>
          <cell r="S518">
            <v>0.75621848773107048</v>
          </cell>
        </row>
        <row r="519">
          <cell r="A519" t="str">
            <v>Food Waste (non-meat)</v>
          </cell>
          <cell r="B519">
            <v>1.622706214625282</v>
          </cell>
          <cell r="C519">
            <v>9.9999999999999978E-2</v>
          </cell>
          <cell r="D519">
            <v>1.4604355931627537</v>
          </cell>
          <cell r="E519">
            <v>0.41430898718011355</v>
          </cell>
          <cell r="F519">
            <v>9.9562009723128952E-2</v>
          </cell>
          <cell r="G519">
            <v>0.78884455443470136</v>
          </cell>
          <cell r="H519">
            <v>0.43096741971074848</v>
          </cell>
          <cell r="I519">
            <v>0.41782888390014583</v>
          </cell>
          <cell r="J519">
            <v>-0.11090288103745255</v>
          </cell>
          <cell r="K519">
            <v>0.03</v>
          </cell>
          <cell r="L519">
            <v>0.67801352655471203</v>
          </cell>
          <cell r="M519">
            <v>-7.5231358061661036E-2</v>
          </cell>
          <cell r="N519">
            <v>0.14986396685910378</v>
          </cell>
          <cell r="O519">
            <v>0.13385281877731325</v>
          </cell>
          <cell r="P519">
            <v>0.716283214363583</v>
          </cell>
          <cell r="Q519">
            <v>0.81010544670441464</v>
          </cell>
          <cell r="R519">
            <v>-5.3886958973344216E-2</v>
          </cell>
          <cell r="S519">
            <v>0.75621848773107048</v>
          </cell>
        </row>
        <row r="520">
          <cell r="A520" t="str">
            <v>Beef</v>
          </cell>
          <cell r="B520">
            <v>1.622706214625282</v>
          </cell>
          <cell r="C520">
            <v>9.9999999999999978E-2</v>
          </cell>
          <cell r="D520">
            <v>1.4604355931627537</v>
          </cell>
          <cell r="E520">
            <v>0.41430898718011355</v>
          </cell>
          <cell r="F520">
            <v>9.9562009723128952E-2</v>
          </cell>
          <cell r="G520">
            <v>0.78884455443470136</v>
          </cell>
          <cell r="H520">
            <v>0.43096741971074848</v>
          </cell>
          <cell r="I520">
            <v>0.41782888390014583</v>
          </cell>
          <cell r="J520">
            <v>-0.11090288103745255</v>
          </cell>
          <cell r="K520">
            <v>0.03</v>
          </cell>
          <cell r="L520">
            <v>0.67801352655471203</v>
          </cell>
          <cell r="M520">
            <v>-7.5231358061661036E-2</v>
          </cell>
          <cell r="N520">
            <v>0.14986396685910378</v>
          </cell>
          <cell r="O520">
            <v>0.13385281877731325</v>
          </cell>
          <cell r="P520">
            <v>0.716283214363583</v>
          </cell>
          <cell r="Q520">
            <v>0.81010544670441464</v>
          </cell>
          <cell r="R520">
            <v>-5.3886958973344216E-2</v>
          </cell>
          <cell r="S520">
            <v>0.75621848773107048</v>
          </cell>
        </row>
        <row r="521">
          <cell r="A521" t="str">
            <v>Poultry</v>
          </cell>
          <cell r="B521">
            <v>1.622706214625282</v>
          </cell>
          <cell r="C521">
            <v>9.9999999999999978E-2</v>
          </cell>
          <cell r="D521">
            <v>1.4604355931627537</v>
          </cell>
          <cell r="E521">
            <v>0.41430898718011355</v>
          </cell>
          <cell r="F521">
            <v>9.9562009723128952E-2</v>
          </cell>
          <cell r="G521">
            <v>0.78884455443470136</v>
          </cell>
          <cell r="H521">
            <v>0.43096741971074848</v>
          </cell>
          <cell r="I521">
            <v>0.41782888390014583</v>
          </cell>
          <cell r="J521">
            <v>-0.11090288103745255</v>
          </cell>
          <cell r="K521">
            <v>0.03</v>
          </cell>
          <cell r="L521">
            <v>0.67801352655471203</v>
          </cell>
          <cell r="M521">
            <v>-7.5231358061661036E-2</v>
          </cell>
          <cell r="N521">
            <v>0.14986396685910378</v>
          </cell>
          <cell r="O521">
            <v>0.13385281877731325</v>
          </cell>
          <cell r="P521">
            <v>0.716283214363583</v>
          </cell>
          <cell r="Q521">
            <v>0.81010544670441464</v>
          </cell>
          <cell r="R521">
            <v>-5.3886958973344216E-2</v>
          </cell>
          <cell r="S521">
            <v>0.75621848773107048</v>
          </cell>
        </row>
        <row r="522">
          <cell r="A522" t="str">
            <v>Grains</v>
          </cell>
          <cell r="B522">
            <v>1.622706214625282</v>
          </cell>
          <cell r="C522">
            <v>9.9999999999999978E-2</v>
          </cell>
          <cell r="D522">
            <v>1.4604355931627537</v>
          </cell>
          <cell r="E522">
            <v>0.41430898718011355</v>
          </cell>
          <cell r="F522">
            <v>9.9562009723128952E-2</v>
          </cell>
          <cell r="G522">
            <v>0.78884455443470136</v>
          </cell>
          <cell r="H522">
            <v>0.43096741971074848</v>
          </cell>
          <cell r="I522">
            <v>0.41782888390014583</v>
          </cell>
          <cell r="J522">
            <v>-0.11090288103745255</v>
          </cell>
          <cell r="K522">
            <v>0.03</v>
          </cell>
          <cell r="L522">
            <v>0.67801352655471203</v>
          </cell>
          <cell r="M522">
            <v>-7.5231358061661036E-2</v>
          </cell>
          <cell r="N522">
            <v>0.14986396685910378</v>
          </cell>
          <cell r="O522">
            <v>0.13385281877731325</v>
          </cell>
          <cell r="P522">
            <v>0.716283214363583</v>
          </cell>
          <cell r="Q522">
            <v>0.81010544670441464</v>
          </cell>
          <cell r="R522">
            <v>-5.3886958973344216E-2</v>
          </cell>
          <cell r="S522">
            <v>0.75621848773107048</v>
          </cell>
        </row>
        <row r="523">
          <cell r="A523" t="str">
            <v>Bread</v>
          </cell>
          <cell r="B523">
            <v>1.622706214625282</v>
          </cell>
          <cell r="C523">
            <v>9.9999999999999978E-2</v>
          </cell>
          <cell r="D523">
            <v>1.4604355931627537</v>
          </cell>
          <cell r="E523">
            <v>0.41430898718011355</v>
          </cell>
          <cell r="F523">
            <v>9.9562009723128952E-2</v>
          </cell>
          <cell r="G523">
            <v>0.78884455443470136</v>
          </cell>
          <cell r="H523">
            <v>0.43096741971074848</v>
          </cell>
          <cell r="I523">
            <v>0.41782888390014583</v>
          </cell>
          <cell r="J523">
            <v>-0.11090288103745255</v>
          </cell>
          <cell r="K523">
            <v>0.03</v>
          </cell>
          <cell r="L523">
            <v>0.67801352655471203</v>
          </cell>
          <cell r="M523">
            <v>-7.5231358061661036E-2</v>
          </cell>
          <cell r="N523">
            <v>0.14986396685910378</v>
          </cell>
          <cell r="O523">
            <v>0.13385281877731325</v>
          </cell>
          <cell r="P523">
            <v>0.716283214363583</v>
          </cell>
          <cell r="Q523">
            <v>0.81010544670441464</v>
          </cell>
          <cell r="R523">
            <v>-5.3886958973344216E-2</v>
          </cell>
          <cell r="S523">
            <v>0.75621848773107048</v>
          </cell>
        </row>
        <row r="524">
          <cell r="A524" t="str">
            <v>Fruits and Vegetables</v>
          </cell>
          <cell r="B524">
            <v>1.622706214625282</v>
          </cell>
          <cell r="C524">
            <v>9.9999999999999978E-2</v>
          </cell>
          <cell r="D524">
            <v>1.4604355931627537</v>
          </cell>
          <cell r="E524">
            <v>0.41430898718011355</v>
          </cell>
          <cell r="F524">
            <v>9.9562009723128952E-2</v>
          </cell>
          <cell r="G524">
            <v>0.78884455443470136</v>
          </cell>
          <cell r="H524">
            <v>0.43096741971074848</v>
          </cell>
          <cell r="I524">
            <v>0.41782888390014583</v>
          </cell>
          <cell r="J524">
            <v>-0.11090288103745255</v>
          </cell>
          <cell r="K524">
            <v>0.03</v>
          </cell>
          <cell r="L524">
            <v>0.67801352655471203</v>
          </cell>
          <cell r="M524">
            <v>-7.5231358061661036E-2</v>
          </cell>
          <cell r="N524">
            <v>0.14986396685910378</v>
          </cell>
          <cell r="O524">
            <v>0.13385281877731325</v>
          </cell>
          <cell r="P524">
            <v>0.716283214363583</v>
          </cell>
          <cell r="Q524">
            <v>0.81010544670441464</v>
          </cell>
          <cell r="R524">
            <v>-5.3886958973344216E-2</v>
          </cell>
          <cell r="S524">
            <v>0.75621848773107048</v>
          </cell>
        </row>
        <row r="525">
          <cell r="A525" t="str">
            <v>Dairy Products</v>
          </cell>
          <cell r="B525">
            <v>1.622706214625282</v>
          </cell>
          <cell r="C525">
            <v>9.9999999999999978E-2</v>
          </cell>
          <cell r="D525">
            <v>1.4604355931627537</v>
          </cell>
          <cell r="E525">
            <v>0.41430898718011355</v>
          </cell>
          <cell r="F525">
            <v>9.9562009723128952E-2</v>
          </cell>
          <cell r="G525">
            <v>0.78884455443470136</v>
          </cell>
          <cell r="H525">
            <v>0.43096741971074848</v>
          </cell>
          <cell r="I525">
            <v>0.41782888390014583</v>
          </cell>
          <cell r="J525">
            <v>-0.11090288103745255</v>
          </cell>
          <cell r="K525">
            <v>0.03</v>
          </cell>
          <cell r="L525">
            <v>0.67801352655471203</v>
          </cell>
          <cell r="M525">
            <v>-7.5231358061661036E-2</v>
          </cell>
          <cell r="N525">
            <v>0.14986396685910378</v>
          </cell>
          <cell r="O525">
            <v>0.13385281877731325</v>
          </cell>
          <cell r="P525">
            <v>0.716283214363583</v>
          </cell>
          <cell r="Q525">
            <v>0.81010544670441464</v>
          </cell>
          <cell r="R525">
            <v>-5.3886958973344216E-2</v>
          </cell>
          <cell r="S525">
            <v>0.75621848773107048</v>
          </cell>
        </row>
        <row r="526">
          <cell r="A526" t="str">
            <v>Yard Trimmings</v>
          </cell>
          <cell r="B526">
            <v>0.81032008938650013</v>
          </cell>
          <cell r="C526">
            <v>9.9999999999999978E-2</v>
          </cell>
          <cell r="D526">
            <v>0.7292880804478501</v>
          </cell>
          <cell r="E526">
            <v>0.32827679069658761</v>
          </cell>
          <cell r="F526">
            <v>0.12285927131768298</v>
          </cell>
          <cell r="G526">
            <v>0.44475547528962273</v>
          </cell>
          <cell r="H526">
            <v>0.36634277498585976</v>
          </cell>
          <cell r="I526">
            <v>0.47820881348684718</v>
          </cell>
          <cell r="J526">
            <v>-0.11090288103745255</v>
          </cell>
          <cell r="K526">
            <v>0.03</v>
          </cell>
          <cell r="L526">
            <v>0.38750220849007416</v>
          </cell>
          <cell r="M526">
            <v>-3.1934402844612193E-2</v>
          </cell>
          <cell r="N526">
            <v>0.14986396685910378</v>
          </cell>
          <cell r="O526">
            <v>0.13385281877731325</v>
          </cell>
          <cell r="P526">
            <v>0.716283214363583</v>
          </cell>
          <cell r="Q526">
            <v>0.44638710622339334</v>
          </cell>
          <cell r="R526">
            <v>-2.2874076718320372E-2</v>
          </cell>
          <cell r="S526">
            <v>0.42351302950507297</v>
          </cell>
        </row>
        <row r="527">
          <cell r="A527" t="str">
            <v>Grass</v>
          </cell>
          <cell r="B527">
            <v>0.5688048319800002</v>
          </cell>
          <cell r="C527">
            <v>9.9999999999999978E-2</v>
          </cell>
          <cell r="D527">
            <v>0.51192434878200022</v>
          </cell>
          <cell r="E527">
            <v>0.29699131063936912</v>
          </cell>
          <cell r="F527">
            <v>9.7255489383812399E-2</v>
          </cell>
          <cell r="G527">
            <v>0.34455534713416169</v>
          </cell>
          <cell r="H527">
            <v>0.27427576285768035</v>
          </cell>
          <cell r="I527">
            <v>0.57265196627035453</v>
          </cell>
          <cell r="J527">
            <v>-0.11090288103745255</v>
          </cell>
          <cell r="K527">
            <v>0.03</v>
          </cell>
          <cell r="L527">
            <v>0.32572720545742573</v>
          </cell>
          <cell r="M527">
            <v>-1.6782832934389025E-2</v>
          </cell>
          <cell r="N527">
            <v>0.14986396685910378</v>
          </cell>
          <cell r="O527">
            <v>0.13385281877731325</v>
          </cell>
          <cell r="P527">
            <v>0.716283214363583</v>
          </cell>
          <cell r="Q527">
            <v>0.35615164780964925</v>
          </cell>
          <cell r="R527">
            <v>-1.2021261520371175E-2</v>
          </cell>
          <cell r="S527">
            <v>0.34413038628927806</v>
          </cell>
        </row>
        <row r="528">
          <cell r="A528" t="str">
            <v>Leaves</v>
          </cell>
          <cell r="B528">
            <v>0.65408019754000024</v>
          </cell>
          <cell r="C528">
            <v>9.9999999999999978E-2</v>
          </cell>
          <cell r="D528">
            <v>0.58867217778600023</v>
          </cell>
          <cell r="E528">
            <v>0.39287786711890232</v>
          </cell>
          <cell r="F528">
            <v>9.7706138574999143E-2</v>
          </cell>
          <cell r="G528">
            <v>0.33319891418576858</v>
          </cell>
          <cell r="H528">
            <v>0.39550708532781992</v>
          </cell>
          <cell r="I528">
            <v>0.45108303064410721</v>
          </cell>
          <cell r="J528">
            <v>-0.11090288103745255</v>
          </cell>
          <cell r="K528">
            <v>0.03</v>
          </cell>
          <cell r="L528">
            <v>0.29504447779063964</v>
          </cell>
          <cell r="M528">
            <v>-2.7829142954529325E-2</v>
          </cell>
          <cell r="N528">
            <v>0.14986396685910378</v>
          </cell>
          <cell r="O528">
            <v>0.13385281877731325</v>
          </cell>
          <cell r="P528">
            <v>0.716283214363583</v>
          </cell>
          <cell r="Q528">
            <v>0.34415576855200697</v>
          </cell>
          <cell r="R528">
            <v>-1.9933547968453924E-2</v>
          </cell>
          <cell r="S528">
            <v>0.32422222058355304</v>
          </cell>
        </row>
        <row r="529">
          <cell r="A529" t="str">
            <v>Branches</v>
          </cell>
          <cell r="B529">
            <v>1.4495904960459998</v>
          </cell>
          <cell r="C529">
            <v>9.9999999999999978E-2</v>
          </cell>
          <cell r="D529">
            <v>1.3046314464413997</v>
          </cell>
          <cell r="E529">
            <v>0.3262466743887098</v>
          </cell>
          <cell r="F529">
            <v>0.19921996792810795</v>
          </cell>
          <cell r="G529">
            <v>0.68787904535433808</v>
          </cell>
          <cell r="H529">
            <v>0.52131248890025861</v>
          </cell>
          <cell r="I529">
            <v>0.31644829076257247</v>
          </cell>
          <cell r="J529">
            <v>-0.11090288103745255</v>
          </cell>
          <cell r="K529">
            <v>0.03</v>
          </cell>
          <cell r="L529">
            <v>0.4587204347794262</v>
          </cell>
          <cell r="M529">
            <v>-8.1293912356305051E-2</v>
          </cell>
          <cell r="N529">
            <v>0.14986396685910378</v>
          </cell>
          <cell r="O529">
            <v>0.13385281877731325</v>
          </cell>
          <cell r="P529">
            <v>0.716283214363583</v>
          </cell>
          <cell r="Q529">
            <v>0.61616554056943174</v>
          </cell>
          <cell r="R529">
            <v>-5.8229464850765578E-2</v>
          </cell>
          <cell r="S529">
            <v>0.55793607571866621</v>
          </cell>
        </row>
        <row r="530">
          <cell r="A530" t="str">
            <v>Mixed Paper (general)</v>
          </cell>
          <cell r="B530">
            <v>2.3832448707931113</v>
          </cell>
          <cell r="C530">
            <v>9.9999999999999978E-2</v>
          </cell>
          <cell r="D530">
            <v>2.1449203837138002</v>
          </cell>
          <cell r="E530">
            <v>0.3716371519565147</v>
          </cell>
          <cell r="F530">
            <v>0.17153808109743163</v>
          </cell>
          <cell r="G530">
            <v>1.0887252826754408</v>
          </cell>
          <cell r="H530">
            <v>0.54004919804798046</v>
          </cell>
          <cell r="I530">
            <v>0.30898355775834668</v>
          </cell>
          <cell r="J530">
            <v>-0.11090288103745255</v>
          </cell>
          <cell r="K530">
            <v>0.03</v>
          </cell>
          <cell r="L530">
            <v>0.73638347918698677</v>
          </cell>
          <cell r="M530">
            <v>-0.13845752215620402</v>
          </cell>
          <cell r="N530">
            <v>0.14986396685910378</v>
          </cell>
          <cell r="O530">
            <v>0.13385281877731325</v>
          </cell>
          <cell r="P530">
            <v>0.716283214363583</v>
          </cell>
          <cell r="Q530">
            <v>0.99463435073682949</v>
          </cell>
          <cell r="R530">
            <v>-9.9174799022862831E-2</v>
          </cell>
          <cell r="S530">
            <v>0.89545955171396663</v>
          </cell>
        </row>
        <row r="531">
          <cell r="A531" t="str">
            <v>Mixed Paper (primarily residential)</v>
          </cell>
          <cell r="B531">
            <v>2.2946736526735392</v>
          </cell>
          <cell r="C531">
            <v>9.9999999999999978E-2</v>
          </cell>
          <cell r="D531">
            <v>2.0652062874061854</v>
          </cell>
          <cell r="E531">
            <v>0.37085697297552128</v>
          </cell>
          <cell r="F531">
            <v>0.17116674077711919</v>
          </cell>
          <cell r="G531">
            <v>1.0509061176010908</v>
          </cell>
          <cell r="H531">
            <v>0.53722081817506684</v>
          </cell>
          <cell r="I531">
            <v>0.31134040965363186</v>
          </cell>
          <cell r="J531">
            <v>-0.11090288103745255</v>
          </cell>
          <cell r="K531">
            <v>0.03</v>
          </cell>
          <cell r="L531">
            <v>0.71442463504477538</v>
          </cell>
          <cell r="M531">
            <v>-0.13261367967433205</v>
          </cell>
          <cell r="N531">
            <v>0.14986396685910378</v>
          </cell>
          <cell r="O531">
            <v>0.13385281877731325</v>
          </cell>
          <cell r="P531">
            <v>0.716283214363583</v>
          </cell>
          <cell r="Q531">
            <v>0.96189712673468342</v>
          </cell>
          <cell r="R531">
            <v>-9.4988952745713118E-2</v>
          </cell>
          <cell r="S531">
            <v>0.86690817398897035</v>
          </cell>
        </row>
        <row r="532">
          <cell r="A532" t="str">
            <v>Mixed Paper (primarily from offices)</v>
          </cell>
          <cell r="B532">
            <v>2.2577848571899501</v>
          </cell>
          <cell r="C532">
            <v>9.9999999999999978E-2</v>
          </cell>
          <cell r="D532">
            <v>2.0320063714709553</v>
          </cell>
          <cell r="E532">
            <v>0.39934100778389625</v>
          </cell>
          <cell r="F532">
            <v>0.14504859704832593</v>
          </cell>
          <cell r="G532">
            <v>1.028670250988138</v>
          </cell>
          <cell r="H532">
            <v>0.52205956458894698</v>
          </cell>
          <cell r="I532">
            <v>0.33026396919921341</v>
          </cell>
          <cell r="J532">
            <v>-0.11090288103745255</v>
          </cell>
          <cell r="K532">
            <v>0.03</v>
          </cell>
          <cell r="L532">
            <v>0.7456649885334321</v>
          </cell>
          <cell r="M532">
            <v>-0.12679939325860548</v>
          </cell>
          <cell r="N532">
            <v>0.14986396685910378</v>
          </cell>
          <cell r="O532">
            <v>0.13385281877731325</v>
          </cell>
          <cell r="P532">
            <v>0.716283214363583</v>
          </cell>
          <cell r="Q532">
            <v>0.9763222630238505</v>
          </cell>
          <cell r="R532">
            <v>-9.0824276982625976E-2</v>
          </cell>
          <cell r="S532">
            <v>0.88549798604122454</v>
          </cell>
        </row>
        <row r="533">
          <cell r="A533" t="str">
            <v>Mixed Recyclables</v>
          </cell>
          <cell r="B533">
            <v>1.9734014132616131</v>
          </cell>
          <cell r="C533">
            <v>9.9999999999999978E-2</v>
          </cell>
          <cell r="D533">
            <v>1.7760612719354518</v>
          </cell>
          <cell r="E533">
            <v>0.319534495824356</v>
          </cell>
          <cell r="F533">
            <v>0.14800240724379166</v>
          </cell>
          <cell r="G533">
            <v>1.0507634279949727</v>
          </cell>
          <cell r="H533">
            <v>0.46180247914013656</v>
          </cell>
          <cell r="I533">
            <v>0.27098477120553149</v>
          </cell>
          <cell r="J533">
            <v>-0.11090288103745255</v>
          </cell>
          <cell r="K533">
            <v>0.03</v>
          </cell>
          <cell r="L533">
            <v>0.5347617304693707</v>
          </cell>
          <cell r="M533">
            <v>-9.803615225249411E-2</v>
          </cell>
          <cell r="N533">
            <v>0.14986396685910378</v>
          </cell>
          <cell r="O533">
            <v>0.13385281877731325</v>
          </cell>
          <cell r="P533">
            <v>0.716283214363583</v>
          </cell>
          <cell r="Q533">
            <v>0.78985608552154463</v>
          </cell>
          <cell r="R533">
            <v>-7.0221650259254101E-2</v>
          </cell>
          <cell r="S533">
            <v>0.71963443526229054</v>
          </cell>
        </row>
        <row r="534">
          <cell r="A534" t="str">
            <v>Mixed Organics</v>
          </cell>
          <cell r="B534">
            <v>1.2328155960009999</v>
          </cell>
          <cell r="C534">
            <v>9.9999999999999978E-2</v>
          </cell>
          <cell r="D534">
            <v>1.1095340364008999</v>
          </cell>
          <cell r="E534">
            <v>0.37301932790791892</v>
          </cell>
          <cell r="F534">
            <v>0.11074312600903616</v>
          </cell>
          <cell r="G534">
            <v>0.63642569805246274</v>
          </cell>
          <cell r="H534">
            <v>0.3999519432921238</v>
          </cell>
          <cell r="I534">
            <v>0.44680718297206817</v>
          </cell>
          <cell r="J534">
            <v>-0.11090288103745255</v>
          </cell>
          <cell r="K534">
            <v>0.03</v>
          </cell>
          <cell r="L534">
            <v>0.55083086357323807</v>
          </cell>
          <cell r="M534">
            <v>-5.3042073602858682E-2</v>
          </cell>
          <cell r="N534">
            <v>0.14986396685910378</v>
          </cell>
          <cell r="O534">
            <v>0.13385281877731325</v>
          </cell>
          <cell r="P534">
            <v>0.716283214363583</v>
          </cell>
          <cell r="Q534">
            <v>0.64601744721778065</v>
          </cell>
          <cell r="R534">
            <v>-3.7993146976765375E-2</v>
          </cell>
          <cell r="S534">
            <v>0.60802430024101528</v>
          </cell>
        </row>
        <row r="535">
          <cell r="A535" t="str">
            <v>Mixed MSW</v>
          </cell>
          <cell r="B535">
            <v>1.6199727500000001</v>
          </cell>
          <cell r="C535">
            <v>9.9999999999999978E-2</v>
          </cell>
          <cell r="D535">
            <v>1.457975475</v>
          </cell>
          <cell r="E535">
            <v>0.41059072635281596</v>
          </cell>
          <cell r="F535">
            <v>0.15168209197486004</v>
          </cell>
          <cell r="G535">
            <v>0.70910610624346437</v>
          </cell>
          <cell r="H535">
            <v>0.56423782527549793</v>
          </cell>
          <cell r="I535">
            <v>0.29427287985009043</v>
          </cell>
          <cell r="J535">
            <v>-0.11090288103745255</v>
          </cell>
          <cell r="K535">
            <v>0.03</v>
          </cell>
          <cell r="L535">
            <v>0.4767140464211706</v>
          </cell>
          <cell r="M535">
            <v>-9.8329644459995175E-2</v>
          </cell>
          <cell r="N535">
            <v>0.14986396685910378</v>
          </cell>
          <cell r="O535">
            <v>0.13385281877731325</v>
          </cell>
          <cell r="P535">
            <v>0.716283214363583</v>
          </cell>
          <cell r="Q535">
            <v>0.65487610890250514</v>
          </cell>
          <cell r="R535">
            <v>-7.043187380103362E-2</v>
          </cell>
          <cell r="S535">
            <v>0.58444423510147148</v>
          </cell>
        </row>
        <row r="536">
          <cell r="A536" t="str">
            <v>Wood Flooring</v>
          </cell>
          <cell r="B536">
            <v>0.18143694800000035</v>
          </cell>
          <cell r="C536">
            <v>9.9999999999999978E-2</v>
          </cell>
          <cell r="D536">
            <v>0.16329325320000032</v>
          </cell>
          <cell r="E536">
            <v>0</v>
          </cell>
          <cell r="F536">
            <v>9.9999999999999978E-2</v>
          </cell>
          <cell r="G536">
            <v>0.16329325320000032</v>
          </cell>
          <cell r="H536">
            <v>0</v>
          </cell>
          <cell r="I536">
            <v>0.9</v>
          </cell>
          <cell r="J536">
            <v>-0.11090288103745255</v>
          </cell>
          <cell r="K536">
            <v>0.03</v>
          </cell>
          <cell r="L536">
            <v>0.16329325320000032</v>
          </cell>
          <cell r="M536">
            <v>0</v>
          </cell>
          <cell r="N536">
            <v>1</v>
          </cell>
          <cell r="O536">
            <v>0</v>
          </cell>
          <cell r="P536">
            <v>0</v>
          </cell>
          <cell r="Q536">
            <v>0.16329325320000032</v>
          </cell>
          <cell r="R536">
            <v>0</v>
          </cell>
          <cell r="S536">
            <v>0.16329325320000032</v>
          </cell>
        </row>
        <row r="537">
          <cell r="A537" t="str">
            <v>Drywall</v>
          </cell>
          <cell r="B537">
            <v>0</v>
          </cell>
          <cell r="C537">
            <v>9.9999999999999978E-2</v>
          </cell>
          <cell r="D537">
            <v>0</v>
          </cell>
          <cell r="E537">
            <v>0</v>
          </cell>
          <cell r="F537">
            <v>9.9999999999999978E-2</v>
          </cell>
          <cell r="G537">
            <v>0</v>
          </cell>
          <cell r="H537">
            <v>0</v>
          </cell>
          <cell r="I537">
            <v>0.9</v>
          </cell>
          <cell r="J537">
            <v>-0.11090288103745255</v>
          </cell>
          <cell r="K537">
            <v>0.03</v>
          </cell>
          <cell r="L537">
            <v>0</v>
          </cell>
          <cell r="M537">
            <v>0</v>
          </cell>
          <cell r="N537">
            <v>1</v>
          </cell>
          <cell r="O537">
            <v>0</v>
          </cell>
          <cell r="P537">
            <v>0</v>
          </cell>
          <cell r="Q537">
            <v>0</v>
          </cell>
          <cell r="R537">
            <v>0</v>
          </cell>
          <cell r="S537">
            <v>0</v>
          </cell>
        </row>
        <row r="547">
          <cell r="A547" t="str">
            <v>Corrugated Containers</v>
          </cell>
          <cell r="B547">
            <v>2.6232704732575001</v>
          </cell>
          <cell r="C547">
            <v>9.9999999999999978E-2</v>
          </cell>
          <cell r="D547">
            <v>2.3609434259317501</v>
          </cell>
          <cell r="E547">
            <v>0.36877874437410263</v>
          </cell>
          <cell r="F547">
            <v>0.17355681895947422</v>
          </cell>
          <cell r="G547">
            <v>1.200577603367055</v>
          </cell>
          <cell r="H547">
            <v>0.52790960554367328</v>
          </cell>
          <cell r="I547">
            <v>0.32542255226911171</v>
          </cell>
          <cell r="J547">
            <v>-0.11090288103745255</v>
          </cell>
          <cell r="K547">
            <v>0.03</v>
          </cell>
          <cell r="L547">
            <v>0.85367137269965621</v>
          </cell>
          <cell r="M547">
            <v>-0.14897630481934007</v>
          </cell>
          <cell r="N547">
            <v>0.14986396685910378</v>
          </cell>
          <cell r="O547">
            <v>0.13385281877731325</v>
          </cell>
          <cell r="P547">
            <v>0.716283214363583</v>
          </cell>
          <cell r="Q547">
            <v>1.125991518559128</v>
          </cell>
          <cell r="R547">
            <v>-0.10670922648000584</v>
          </cell>
          <cell r="S547">
            <v>1.0192822920791222</v>
          </cell>
        </row>
        <row r="548">
          <cell r="A548" t="str">
            <v>Magazines/Third-class Mail</v>
          </cell>
          <cell r="B548">
            <v>1.1946237049113888</v>
          </cell>
          <cell r="C548">
            <v>9.9999999999999978E-2</v>
          </cell>
          <cell r="D548">
            <v>1.07516133442025</v>
          </cell>
          <cell r="E548">
            <v>0.38211021015015967</v>
          </cell>
          <cell r="F548">
            <v>9.786854341142498E-2</v>
          </cell>
          <cell r="G548">
            <v>0.62122970805289801</v>
          </cell>
          <cell r="H548">
            <v>0.40061000398021723</v>
          </cell>
          <cell r="I548">
            <v>0.46712168444663738</v>
          </cell>
          <cell r="J548">
            <v>-0.11090288103745255</v>
          </cell>
          <cell r="K548">
            <v>0.03</v>
          </cell>
          <cell r="L548">
            <v>0.55803463731809055</v>
          </cell>
          <cell r="M548">
            <v>-5.1483430918597722E-2</v>
          </cell>
          <cell r="N548">
            <v>0.14986396685910378</v>
          </cell>
          <cell r="O548">
            <v>0.13385281877731325</v>
          </cell>
          <cell r="P548">
            <v>0.716283214363583</v>
          </cell>
          <cell r="Q548">
            <v>0.64399213386525211</v>
          </cell>
          <cell r="R548">
            <v>-3.687671738483865E-2</v>
          </cell>
          <cell r="S548">
            <v>0.60711541648041345</v>
          </cell>
        </row>
        <row r="549">
          <cell r="A549" t="str">
            <v>Newspaper</v>
          </cell>
          <cell r="B549">
            <v>1.0471665853275001</v>
          </cell>
          <cell r="C549">
            <v>9.9999999999999978E-2</v>
          </cell>
          <cell r="D549">
            <v>0.94244992679475004</v>
          </cell>
          <cell r="E549">
            <v>0.41706641064208338</v>
          </cell>
          <cell r="F549">
            <v>0.14329888629599358</v>
          </cell>
          <cell r="G549">
            <v>0.46037077079682337</v>
          </cell>
          <cell r="H549">
            <v>0.55327285681636429</v>
          </cell>
          <cell r="I549">
            <v>0.31692558198482479</v>
          </cell>
          <cell r="J549">
            <v>-0.11090288103745255</v>
          </cell>
          <cell r="K549">
            <v>0.03</v>
          </cell>
          <cell r="L549">
            <v>0.33187387948997965</v>
          </cell>
          <cell r="M549">
            <v>-6.232606421814979E-2</v>
          </cell>
          <cell r="N549">
            <v>0.14986396685910378</v>
          </cell>
          <cell r="O549">
            <v>0.13385281877731325</v>
          </cell>
          <cell r="P549">
            <v>0.716283214363583</v>
          </cell>
          <cell r="Q549">
            <v>0.44057689911376741</v>
          </cell>
          <cell r="R549">
            <v>-4.464311361680743E-2</v>
          </cell>
          <cell r="S549">
            <v>0.39593378549695996</v>
          </cell>
        </row>
        <row r="550">
          <cell r="A550" t="str">
            <v>Office Paper</v>
          </cell>
          <cell r="B550">
            <v>3.8859258337900004</v>
          </cell>
          <cell r="C550">
            <v>9.9999999999999978E-2</v>
          </cell>
          <cell r="D550">
            <v>3.4973332504110006</v>
          </cell>
          <cell r="E550">
            <v>0.40573760582366702</v>
          </cell>
          <cell r="F550">
            <v>0.15117565092425761</v>
          </cell>
          <cell r="G550">
            <v>1.7218022222131169</v>
          </cell>
          <cell r="H550">
            <v>0.5499129680128011</v>
          </cell>
          <cell r="I550">
            <v>0.31665460069167223</v>
          </cell>
          <cell r="J550">
            <v>-0.11090288103745255</v>
          </cell>
          <cell r="K550">
            <v>0.03</v>
          </cell>
          <cell r="L550">
            <v>1.230496293216226</v>
          </cell>
          <cell r="M550">
            <v>-0.22988097552584921</v>
          </cell>
          <cell r="N550">
            <v>0.14986396685910378</v>
          </cell>
          <cell r="O550">
            <v>0.13385281877731325</v>
          </cell>
          <cell r="P550">
            <v>0.716283214363583</v>
          </cell>
          <cell r="Q550">
            <v>1.6359761553224956</v>
          </cell>
          <cell r="R550">
            <v>-0.16465988407069143</v>
          </cell>
          <cell r="S550">
            <v>1.4713162712518042</v>
          </cell>
        </row>
        <row r="551">
          <cell r="A551" t="str">
            <v>Phonebooks</v>
          </cell>
          <cell r="B551">
            <v>1.0471665853275001</v>
          </cell>
          <cell r="C551">
            <v>9.9999999999999978E-2</v>
          </cell>
          <cell r="D551">
            <v>0.94244992679475004</v>
          </cell>
          <cell r="E551">
            <v>0.41706641064208338</v>
          </cell>
          <cell r="F551">
            <v>0.14329888629599358</v>
          </cell>
          <cell r="G551">
            <v>0.46037077079682337</v>
          </cell>
          <cell r="H551">
            <v>0.55327285681636429</v>
          </cell>
          <cell r="I551">
            <v>0.31692558198482479</v>
          </cell>
          <cell r="J551">
            <v>-0.11090288103745255</v>
          </cell>
          <cell r="K551">
            <v>0.03</v>
          </cell>
          <cell r="L551">
            <v>0.33187387948997965</v>
          </cell>
          <cell r="M551">
            <v>-6.232606421814979E-2</v>
          </cell>
          <cell r="N551">
            <v>0.14986396685910378</v>
          </cell>
          <cell r="O551">
            <v>0.13385281877731325</v>
          </cell>
          <cell r="P551">
            <v>0.716283214363583</v>
          </cell>
          <cell r="Q551">
            <v>0.44057689911376741</v>
          </cell>
          <cell r="R551">
            <v>-4.464311361680743E-2</v>
          </cell>
          <cell r="S551">
            <v>0.39593378549695996</v>
          </cell>
        </row>
        <row r="552">
          <cell r="A552" t="str">
            <v>Textbooks</v>
          </cell>
          <cell r="B552">
            <v>3.8859258337900004</v>
          </cell>
          <cell r="C552">
            <v>9.9999999999999978E-2</v>
          </cell>
          <cell r="D552">
            <v>3.4973332504110006</v>
          </cell>
          <cell r="E552">
            <v>0.40573760582366702</v>
          </cell>
          <cell r="F552">
            <v>0.15117565092425761</v>
          </cell>
          <cell r="G552">
            <v>1.7218022222131169</v>
          </cell>
          <cell r="H552">
            <v>0.5499129680128011</v>
          </cell>
          <cell r="I552">
            <v>0.31665460069167223</v>
          </cell>
          <cell r="J552">
            <v>-0.11090288103745255</v>
          </cell>
          <cell r="K552">
            <v>0.03</v>
          </cell>
          <cell r="L552">
            <v>1.230496293216226</v>
          </cell>
          <cell r="M552">
            <v>-0.22988097552584921</v>
          </cell>
          <cell r="N552">
            <v>0.14986396685910378</v>
          </cell>
          <cell r="O552">
            <v>0.13385281877731325</v>
          </cell>
          <cell r="P552">
            <v>0.716283214363583</v>
          </cell>
          <cell r="Q552">
            <v>1.6359761553224956</v>
          </cell>
          <cell r="R552">
            <v>-0.16465988407069143</v>
          </cell>
          <cell r="S552">
            <v>1.4713162712518042</v>
          </cell>
        </row>
        <row r="553">
          <cell r="A553" t="str">
            <v>Dimensional Lumber</v>
          </cell>
          <cell r="B553">
            <v>0.16645220006249997</v>
          </cell>
          <cell r="C553">
            <v>9.9999999999999978E-2</v>
          </cell>
          <cell r="D553">
            <v>0.14980698005624998</v>
          </cell>
          <cell r="E553">
            <v>0.42637818702281227</v>
          </cell>
          <cell r="F553">
            <v>0.10353967210226603</v>
          </cell>
          <cell r="G553">
            <v>7.8246206558720763E-2</v>
          </cell>
          <cell r="H553">
            <v>0.47826112893771544</v>
          </cell>
          <cell r="I553">
            <v>0.39475922917779138</v>
          </cell>
          <cell r="J553">
            <v>-0.11090288103745255</v>
          </cell>
          <cell r="K553">
            <v>0.03</v>
          </cell>
          <cell r="L553">
            <v>6.5708542191620006E-2</v>
          </cell>
          <cell r="M553">
            <v>-8.563852667976303E-3</v>
          </cell>
          <cell r="N553">
            <v>0.14986396685910378</v>
          </cell>
          <cell r="O553">
            <v>0.13385281877731325</v>
          </cell>
          <cell r="P553">
            <v>0.716283214363583</v>
          </cell>
          <cell r="Q553">
            <v>7.9990069413087617E-2</v>
          </cell>
          <cell r="R553">
            <v>-6.134143916354212E-3</v>
          </cell>
          <cell r="S553">
            <v>7.3855925496733407E-2</v>
          </cell>
        </row>
        <row r="554">
          <cell r="A554" t="str">
            <v>Medium-density Fiberboard</v>
          </cell>
          <cell r="B554">
            <v>5.5889059875000008E-2</v>
          </cell>
          <cell r="C554">
            <v>9.9999999999999978E-2</v>
          </cell>
          <cell r="D554">
            <v>5.0300153887500011E-2</v>
          </cell>
          <cell r="E554">
            <v>0.4389136187643336</v>
          </cell>
          <cell r="F554">
            <v>0.11041037770787404</v>
          </cell>
          <cell r="G554">
            <v>2.5187858145390499E-2</v>
          </cell>
          <cell r="H554">
            <v>0.5149218109036795</v>
          </cell>
          <cell r="I554">
            <v>0.36070429328019782</v>
          </cell>
          <cell r="J554">
            <v>-0.11090288103745255</v>
          </cell>
          <cell r="K554">
            <v>0.03</v>
          </cell>
          <cell r="L554">
            <v>2.0159423844306541E-2</v>
          </cell>
          <cell r="M554">
            <v>-3.0958695662269987E-3</v>
          </cell>
          <cell r="N554">
            <v>0.14986396685910378</v>
          </cell>
          <cell r="O554">
            <v>0.13385281877731325</v>
          </cell>
          <cell r="P554">
            <v>0.716283214363583</v>
          </cell>
          <cell r="Q554">
            <v>2.5349503317845499E-2</v>
          </cell>
          <cell r="R554">
            <v>-2.2175194041474662E-3</v>
          </cell>
          <cell r="S554">
            <v>2.3131983913698032E-2</v>
          </cell>
        </row>
        <row r="555">
          <cell r="A555" t="str">
            <v>Food Waste</v>
          </cell>
          <cell r="B555">
            <v>1.622706214625282</v>
          </cell>
          <cell r="C555">
            <v>9.9999999999999978E-2</v>
          </cell>
          <cell r="D555">
            <v>1.4604355931627537</v>
          </cell>
          <cell r="E555">
            <v>0.35618681190617157</v>
          </cell>
          <cell r="F555">
            <v>9.7131126736934345E-2</v>
          </cell>
          <cell r="G555">
            <v>0.88710437838799183</v>
          </cell>
          <cell r="H555">
            <v>0.36424956405967635</v>
          </cell>
          <cell r="I555">
            <v>0.50187185627595388</v>
          </cell>
          <cell r="J555">
            <v>-0.11090288103745255</v>
          </cell>
          <cell r="K555">
            <v>0.03</v>
          </cell>
          <cell r="L555">
            <v>0.81439058012451671</v>
          </cell>
          <cell r="M555">
            <v>-6.3584828282308326E-2</v>
          </cell>
          <cell r="N555">
            <v>0.14986396685910378</v>
          </cell>
          <cell r="O555">
            <v>0.13385281877731325</v>
          </cell>
          <cell r="P555">
            <v>0.716283214363583</v>
          </cell>
          <cell r="Q555">
            <v>0.92094239540953948</v>
          </cell>
          <cell r="R555">
            <v>-4.5544745186808268E-2</v>
          </cell>
          <cell r="S555">
            <v>0.87539765022273119</v>
          </cell>
        </row>
        <row r="556">
          <cell r="A556" t="str">
            <v>Food Waste (meat only)</v>
          </cell>
          <cell r="B556">
            <v>1.622706214625282</v>
          </cell>
          <cell r="C556">
            <v>9.9999999999999978E-2</v>
          </cell>
          <cell r="D556">
            <v>1.4604355931627537</v>
          </cell>
          <cell r="E556">
            <v>0.35618681190617157</v>
          </cell>
          <cell r="F556">
            <v>9.7131126736934345E-2</v>
          </cell>
          <cell r="G556">
            <v>0.88710437838799183</v>
          </cell>
          <cell r="H556">
            <v>0.36424956405967635</v>
          </cell>
          <cell r="I556">
            <v>0.50187185627595388</v>
          </cell>
          <cell r="J556">
            <v>-0.11090288103745255</v>
          </cell>
          <cell r="K556">
            <v>0.03</v>
          </cell>
          <cell r="L556">
            <v>0.81439058012451671</v>
          </cell>
          <cell r="M556">
            <v>-6.3584828282308326E-2</v>
          </cell>
          <cell r="N556">
            <v>0.14986396685910378</v>
          </cell>
          <cell r="O556">
            <v>0.13385281877731325</v>
          </cell>
          <cell r="P556">
            <v>0.716283214363583</v>
          </cell>
          <cell r="Q556">
            <v>0.92094239540953948</v>
          </cell>
          <cell r="R556">
            <v>-4.5544745186808268E-2</v>
          </cell>
          <cell r="S556">
            <v>0.87539765022273119</v>
          </cell>
        </row>
        <row r="557">
          <cell r="A557" t="str">
            <v>Food Waste (non-meat)</v>
          </cell>
          <cell r="B557">
            <v>1.622706214625282</v>
          </cell>
          <cell r="C557">
            <v>9.9999999999999978E-2</v>
          </cell>
          <cell r="D557">
            <v>1.4604355931627537</v>
          </cell>
          <cell r="E557">
            <v>0.35618681190617157</v>
          </cell>
          <cell r="F557">
            <v>9.7131126736934345E-2</v>
          </cell>
          <cell r="G557">
            <v>0.88710437838799183</v>
          </cell>
          <cell r="H557">
            <v>0.36424956405967635</v>
          </cell>
          <cell r="I557">
            <v>0.50187185627595388</v>
          </cell>
          <cell r="J557">
            <v>-0.11090288103745255</v>
          </cell>
          <cell r="K557">
            <v>0.03</v>
          </cell>
          <cell r="L557">
            <v>0.81439058012451671</v>
          </cell>
          <cell r="M557">
            <v>-6.3584828282308326E-2</v>
          </cell>
          <cell r="N557">
            <v>0.14986396685910378</v>
          </cell>
          <cell r="O557">
            <v>0.13385281877731325</v>
          </cell>
          <cell r="P557">
            <v>0.716283214363583</v>
          </cell>
          <cell r="Q557">
            <v>0.92094239540953948</v>
          </cell>
          <cell r="R557">
            <v>-4.5544745186808268E-2</v>
          </cell>
          <cell r="S557">
            <v>0.87539765022273119</v>
          </cell>
        </row>
        <row r="558">
          <cell r="A558" t="str">
            <v>Beef</v>
          </cell>
          <cell r="B558">
            <v>1.622706214625282</v>
          </cell>
          <cell r="C558">
            <v>9.9999999999999978E-2</v>
          </cell>
          <cell r="D558">
            <v>1.4604355931627537</v>
          </cell>
          <cell r="E558">
            <v>0.35618681190617157</v>
          </cell>
          <cell r="F558">
            <v>9.7131126736934345E-2</v>
          </cell>
          <cell r="G558">
            <v>0.88710437838799183</v>
          </cell>
          <cell r="H558">
            <v>0.36424956405967635</v>
          </cell>
          <cell r="I558">
            <v>0.50187185627595388</v>
          </cell>
          <cell r="J558">
            <v>-0.11090288103745255</v>
          </cell>
          <cell r="K558">
            <v>0.03</v>
          </cell>
          <cell r="L558">
            <v>0.81439058012451671</v>
          </cell>
          <cell r="M558">
            <v>-6.3584828282308326E-2</v>
          </cell>
          <cell r="N558">
            <v>0.14986396685910378</v>
          </cell>
          <cell r="O558">
            <v>0.13385281877731325</v>
          </cell>
          <cell r="P558">
            <v>0.716283214363583</v>
          </cell>
          <cell r="Q558">
            <v>0.92094239540953948</v>
          </cell>
          <cell r="R558">
            <v>-4.5544745186808268E-2</v>
          </cell>
          <cell r="S558">
            <v>0.87539765022273119</v>
          </cell>
        </row>
        <row r="559">
          <cell r="A559" t="str">
            <v>Poultry</v>
          </cell>
          <cell r="B559">
            <v>1.622706214625282</v>
          </cell>
          <cell r="C559">
            <v>9.9999999999999978E-2</v>
          </cell>
          <cell r="D559">
            <v>1.4604355931627537</v>
          </cell>
          <cell r="E559">
            <v>0.35618681190617157</v>
          </cell>
          <cell r="F559">
            <v>9.7131126736934345E-2</v>
          </cell>
          <cell r="G559">
            <v>0.88710437838799183</v>
          </cell>
          <cell r="H559">
            <v>0.36424956405967635</v>
          </cell>
          <cell r="I559">
            <v>0.50187185627595388</v>
          </cell>
          <cell r="J559">
            <v>-0.11090288103745255</v>
          </cell>
          <cell r="K559">
            <v>0.03</v>
          </cell>
          <cell r="L559">
            <v>0.81439058012451671</v>
          </cell>
          <cell r="M559">
            <v>-6.3584828282308326E-2</v>
          </cell>
          <cell r="N559">
            <v>0.14986396685910378</v>
          </cell>
          <cell r="O559">
            <v>0.13385281877731325</v>
          </cell>
          <cell r="P559">
            <v>0.716283214363583</v>
          </cell>
          <cell r="Q559">
            <v>0.92094239540953948</v>
          </cell>
          <cell r="R559">
            <v>-4.5544745186808268E-2</v>
          </cell>
          <cell r="S559">
            <v>0.87539765022273119</v>
          </cell>
        </row>
        <row r="560">
          <cell r="A560" t="str">
            <v>Grains</v>
          </cell>
          <cell r="B560">
            <v>1.622706214625282</v>
          </cell>
          <cell r="C560">
            <v>9.9999999999999978E-2</v>
          </cell>
          <cell r="D560">
            <v>1.4604355931627537</v>
          </cell>
          <cell r="E560">
            <v>0.35618681190617157</v>
          </cell>
          <cell r="F560">
            <v>9.7131126736934345E-2</v>
          </cell>
          <cell r="G560">
            <v>0.88710437838799183</v>
          </cell>
          <cell r="H560">
            <v>0.36424956405967635</v>
          </cell>
          <cell r="I560">
            <v>0.50187185627595388</v>
          </cell>
          <cell r="J560">
            <v>-0.11090288103745255</v>
          </cell>
          <cell r="K560">
            <v>0.03</v>
          </cell>
          <cell r="L560">
            <v>0.81439058012451671</v>
          </cell>
          <cell r="M560">
            <v>-6.3584828282308326E-2</v>
          </cell>
          <cell r="N560">
            <v>0.14986396685910378</v>
          </cell>
          <cell r="O560">
            <v>0.13385281877731325</v>
          </cell>
          <cell r="P560">
            <v>0.716283214363583</v>
          </cell>
          <cell r="Q560">
            <v>0.92094239540953948</v>
          </cell>
          <cell r="R560">
            <v>-4.5544745186808268E-2</v>
          </cell>
          <cell r="S560">
            <v>0.87539765022273119</v>
          </cell>
        </row>
        <row r="561">
          <cell r="A561" t="str">
            <v>Bread</v>
          </cell>
          <cell r="B561">
            <v>1.622706214625282</v>
          </cell>
          <cell r="C561">
            <v>9.9999999999999978E-2</v>
          </cell>
          <cell r="D561">
            <v>1.4604355931627537</v>
          </cell>
          <cell r="E561">
            <v>0.35618681190617157</v>
          </cell>
          <cell r="F561">
            <v>9.7131126736934345E-2</v>
          </cell>
          <cell r="G561">
            <v>0.88710437838799183</v>
          </cell>
          <cell r="H561">
            <v>0.36424956405967635</v>
          </cell>
          <cell r="I561">
            <v>0.50187185627595388</v>
          </cell>
          <cell r="J561">
            <v>-0.11090288103745255</v>
          </cell>
          <cell r="K561">
            <v>0.03</v>
          </cell>
          <cell r="L561">
            <v>0.81439058012451671</v>
          </cell>
          <cell r="M561">
            <v>-6.3584828282308326E-2</v>
          </cell>
          <cell r="N561">
            <v>0.14986396685910378</v>
          </cell>
          <cell r="O561">
            <v>0.13385281877731325</v>
          </cell>
          <cell r="P561">
            <v>0.716283214363583</v>
          </cell>
          <cell r="Q561">
            <v>0.92094239540953948</v>
          </cell>
          <cell r="R561">
            <v>-4.5544745186808268E-2</v>
          </cell>
          <cell r="S561">
            <v>0.87539765022273119</v>
          </cell>
        </row>
        <row r="562">
          <cell r="A562" t="str">
            <v>Fruits and Vegetables</v>
          </cell>
          <cell r="B562">
            <v>1.622706214625282</v>
          </cell>
          <cell r="C562">
            <v>9.9999999999999978E-2</v>
          </cell>
          <cell r="D562">
            <v>1.4604355931627537</v>
          </cell>
          <cell r="E562">
            <v>0.35618681190617157</v>
          </cell>
          <cell r="F562">
            <v>9.7131126736934345E-2</v>
          </cell>
          <cell r="G562">
            <v>0.88710437838799183</v>
          </cell>
          <cell r="H562">
            <v>0.36424956405967635</v>
          </cell>
          <cell r="I562">
            <v>0.50187185627595388</v>
          </cell>
          <cell r="J562">
            <v>-0.11090288103745255</v>
          </cell>
          <cell r="K562">
            <v>0.03</v>
          </cell>
          <cell r="L562">
            <v>0.81439058012451671</v>
          </cell>
          <cell r="M562">
            <v>-6.3584828282308326E-2</v>
          </cell>
          <cell r="N562">
            <v>0.14986396685910378</v>
          </cell>
          <cell r="O562">
            <v>0.13385281877731325</v>
          </cell>
          <cell r="P562">
            <v>0.716283214363583</v>
          </cell>
          <cell r="Q562">
            <v>0.92094239540953948</v>
          </cell>
          <cell r="R562">
            <v>-4.5544745186808268E-2</v>
          </cell>
          <cell r="S562">
            <v>0.87539765022273119</v>
          </cell>
        </row>
        <row r="563">
          <cell r="A563" t="str">
            <v>Dairy Products</v>
          </cell>
          <cell r="B563">
            <v>1.622706214625282</v>
          </cell>
          <cell r="C563">
            <v>9.9999999999999978E-2</v>
          </cell>
          <cell r="D563">
            <v>1.4604355931627537</v>
          </cell>
          <cell r="E563">
            <v>0.35618681190617157</v>
          </cell>
          <cell r="F563">
            <v>9.7131126736934345E-2</v>
          </cell>
          <cell r="G563">
            <v>0.88710437838799183</v>
          </cell>
          <cell r="H563">
            <v>0.36424956405967635</v>
          </cell>
          <cell r="I563">
            <v>0.50187185627595388</v>
          </cell>
          <cell r="J563">
            <v>-0.11090288103745255</v>
          </cell>
          <cell r="K563">
            <v>0.03</v>
          </cell>
          <cell r="L563">
            <v>0.81439058012451671</v>
          </cell>
          <cell r="M563">
            <v>-6.3584828282308326E-2</v>
          </cell>
          <cell r="N563">
            <v>0.14986396685910378</v>
          </cell>
          <cell r="O563">
            <v>0.13385281877731325</v>
          </cell>
          <cell r="P563">
            <v>0.716283214363583</v>
          </cell>
          <cell r="Q563">
            <v>0.92094239540953948</v>
          </cell>
          <cell r="R563">
            <v>-4.5544745186808268E-2</v>
          </cell>
          <cell r="S563">
            <v>0.87539765022273119</v>
          </cell>
        </row>
        <row r="564">
          <cell r="A564" t="str">
            <v>Yard Trimmings</v>
          </cell>
          <cell r="B564">
            <v>0.81032008938650013</v>
          </cell>
          <cell r="C564">
            <v>9.9999999999999978E-2</v>
          </cell>
          <cell r="D564">
            <v>0.7292880804478501</v>
          </cell>
          <cell r="E564">
            <v>0.27450133040607438</v>
          </cell>
          <cell r="F564">
            <v>0.1212209181362025</v>
          </cell>
          <cell r="G564">
            <v>0.48965840157549551</v>
          </cell>
          <cell r="H564">
            <v>0.30934185236583722</v>
          </cell>
          <cell r="I564">
            <v>0.55180127878177898</v>
          </cell>
          <cell r="J564">
            <v>-0.11090288103745255</v>
          </cell>
          <cell r="K564">
            <v>0.03</v>
          </cell>
          <cell r="L564">
            <v>0.44713566154603623</v>
          </cell>
          <cell r="M564">
            <v>-2.6965585251491578E-2</v>
          </cell>
          <cell r="N564">
            <v>0.14986396685910378</v>
          </cell>
          <cell r="O564">
            <v>0.13385281877731325</v>
          </cell>
          <cell r="P564">
            <v>0.716283214363583</v>
          </cell>
          <cell r="Q564">
            <v>0.49511193091663164</v>
          </cell>
          <cell r="R564">
            <v>-1.9314996081133615E-2</v>
          </cell>
          <cell r="S564">
            <v>0.47579693483549801</v>
          </cell>
        </row>
        <row r="565">
          <cell r="A565" t="str">
            <v>Grass</v>
          </cell>
          <cell r="B565">
            <v>0.5688048319800002</v>
          </cell>
          <cell r="C565">
            <v>9.9999999999999978E-2</v>
          </cell>
          <cell r="D565">
            <v>0.51192434878200022</v>
          </cell>
          <cell r="E565">
            <v>0.2156763112147837</v>
          </cell>
          <cell r="F565">
            <v>9.9462248702158723E-2</v>
          </cell>
          <cell r="G565">
            <v>0.38955249635602457</v>
          </cell>
          <cell r="H565">
            <v>0.20340008875651983</v>
          </cell>
          <cell r="I565">
            <v>0.66512917846102193</v>
          </cell>
          <cell r="J565">
            <v>-0.11090288103745255</v>
          </cell>
          <cell r="K565">
            <v>0.03</v>
          </cell>
          <cell r="L565">
            <v>0.37832869059951713</v>
          </cell>
          <cell r="M565">
            <v>-1.2445976534251328E-2</v>
          </cell>
          <cell r="N565">
            <v>0.14986396685910378</v>
          </cell>
          <cell r="O565">
            <v>0.13385281877731325</v>
          </cell>
          <cell r="P565">
            <v>0.716283214363583</v>
          </cell>
          <cell r="Q565">
            <v>0.39985220392781451</v>
          </cell>
          <cell r="R565">
            <v>-8.9148440778472685E-3</v>
          </cell>
          <cell r="S565">
            <v>0.39093735984996725</v>
          </cell>
        </row>
        <row r="566">
          <cell r="A566" t="str">
            <v>Leaves</v>
          </cell>
          <cell r="B566">
            <v>0.65408019754000024</v>
          </cell>
          <cell r="C566">
            <v>9.9999999999999978E-2</v>
          </cell>
          <cell r="D566">
            <v>0.58867217778600023</v>
          </cell>
          <cell r="E566">
            <v>0.32581636598940966</v>
          </cell>
          <cell r="F566">
            <v>9.7086160789592035E-2</v>
          </cell>
          <cell r="G566">
            <v>0.37746802928422563</v>
          </cell>
          <cell r="H566">
            <v>0.32550400641066313</v>
          </cell>
          <cell r="I566">
            <v>0.53970905236000133</v>
          </cell>
          <cell r="J566">
            <v>-0.11090288103745255</v>
          </cell>
          <cell r="K566">
            <v>0.03</v>
          </cell>
          <cell r="L566">
            <v>0.35301300358175602</v>
          </cell>
          <cell r="M566">
            <v>-2.2903502523010811E-2</v>
          </cell>
          <cell r="N566">
            <v>0.14986396685910378</v>
          </cell>
          <cell r="O566">
            <v>0.13385281877731325</v>
          </cell>
          <cell r="P566">
            <v>0.716283214363583</v>
          </cell>
          <cell r="Q566">
            <v>0.39160319637829183</v>
          </cell>
          <cell r="R566">
            <v>-1.6405394407366616E-2</v>
          </cell>
          <cell r="S566">
            <v>0.37519780197092523</v>
          </cell>
        </row>
        <row r="567">
          <cell r="A567" t="str">
            <v>Branches</v>
          </cell>
          <cell r="B567">
            <v>1.4495904960459998</v>
          </cell>
          <cell r="C567">
            <v>9.9999999999999978E-2</v>
          </cell>
          <cell r="D567">
            <v>1.3046314464413997</v>
          </cell>
          <cell r="E567">
            <v>0.34083633320532042</v>
          </cell>
          <cell r="F567">
            <v>0.18887301435090056</v>
          </cell>
          <cell r="G567">
            <v>0.68172886016177459</v>
          </cell>
          <cell r="H567">
            <v>0.505063225539646</v>
          </cell>
          <cell r="I567">
            <v>0.33723770584507062</v>
          </cell>
          <cell r="J567">
            <v>-0.11090288103745255</v>
          </cell>
          <cell r="K567">
            <v>0.03</v>
          </cell>
          <cell r="L567">
            <v>0.48885657330137089</v>
          </cell>
          <cell r="M567">
            <v>-7.8759988424655494E-2</v>
          </cell>
          <cell r="N567">
            <v>0.14986396685910378</v>
          </cell>
          <cell r="O567">
            <v>0.13385281877731325</v>
          </cell>
          <cell r="P567">
            <v>0.716283214363583</v>
          </cell>
          <cell r="Q567">
            <v>0.63692833111440939</v>
          </cell>
          <cell r="R567">
            <v>-5.6414457672050826E-2</v>
          </cell>
          <cell r="S567">
            <v>0.58051387344235861</v>
          </cell>
        </row>
        <row r="568">
          <cell r="A568" t="str">
            <v>Mixed Paper (general)</v>
          </cell>
          <cell r="B568">
            <v>2.3832448707931113</v>
          </cell>
          <cell r="C568">
            <v>9.9999999999999978E-2</v>
          </cell>
          <cell r="D568">
            <v>2.1449203837138002</v>
          </cell>
          <cell r="E568">
            <v>0.38882607383041545</v>
          </cell>
          <cell r="F568">
            <v>0.15576361946935163</v>
          </cell>
          <cell r="G568">
            <v>1.0853542775496479</v>
          </cell>
          <cell r="H568">
            <v>0.52821349021786823</v>
          </cell>
          <cell r="I568">
            <v>0.33296561965959703</v>
          </cell>
          <cell r="J568">
            <v>-0.11090288103745255</v>
          </cell>
          <cell r="K568">
            <v>0.03</v>
          </cell>
          <cell r="L568">
            <v>0.79353860520418462</v>
          </cell>
          <cell r="M568">
            <v>-0.13542308976551556</v>
          </cell>
          <cell r="N568">
            <v>0.14986396685910378</v>
          </cell>
          <cell r="O568">
            <v>0.13385281877731325</v>
          </cell>
          <cell r="P568">
            <v>0.716283214363583</v>
          </cell>
          <cell r="Q568">
            <v>1.0351223895795836</v>
          </cell>
          <cell r="R568">
            <v>-9.7001286036291531E-2</v>
          </cell>
          <cell r="S568">
            <v>0.93812110354329203</v>
          </cell>
        </row>
        <row r="569">
          <cell r="A569" t="str">
            <v>Mixed Paper (primarily residential)</v>
          </cell>
          <cell r="B569">
            <v>2.2946736526735392</v>
          </cell>
          <cell r="C569">
            <v>9.9999999999999978E-2</v>
          </cell>
          <cell r="D569">
            <v>2.0652062874061854</v>
          </cell>
          <cell r="E569">
            <v>0.3863922947962829</v>
          </cell>
          <cell r="F569">
            <v>0.15589530336713842</v>
          </cell>
          <cell r="G569">
            <v>1.0503005889963208</v>
          </cell>
          <cell r="H569">
            <v>0.52409366392572454</v>
          </cell>
          <cell r="I569">
            <v>0.33641064910063678</v>
          </cell>
          <cell r="J569">
            <v>-0.11090288103745255</v>
          </cell>
          <cell r="K569">
            <v>0.03</v>
          </cell>
          <cell r="L569">
            <v>0.77195265297003446</v>
          </cell>
          <cell r="M569">
            <v>-0.12937322403716697</v>
          </cell>
          <cell r="N569">
            <v>0.14986396685910378</v>
          </cell>
          <cell r="O569">
            <v>0.13385281877731325</v>
          </cell>
          <cell r="P569">
            <v>0.716283214363583</v>
          </cell>
          <cell r="Q569">
            <v>1.003022428619555</v>
          </cell>
          <cell r="R569">
            <v>-9.2667868765921924E-2</v>
          </cell>
          <cell r="S569">
            <v>0.91035455985363312</v>
          </cell>
        </row>
        <row r="570">
          <cell r="A570" t="str">
            <v>Mixed Paper (primarily from offices)</v>
          </cell>
          <cell r="B570">
            <v>2.2577848571899501</v>
          </cell>
          <cell r="C570">
            <v>9.9999999999999978E-2</v>
          </cell>
          <cell r="D570">
            <v>2.0320063714709553</v>
          </cell>
          <cell r="E570">
            <v>0.39776284932059358</v>
          </cell>
          <cell r="F570">
            <v>0.13145003004946326</v>
          </cell>
          <cell r="G570">
            <v>1.0629360319183441</v>
          </cell>
          <cell r="H570">
            <v>0.49576930948636277</v>
          </cell>
          <cell r="I570">
            <v>0.37131805449389366</v>
          </cell>
          <cell r="J570">
            <v>-0.11090288103745255</v>
          </cell>
          <cell r="K570">
            <v>0.03</v>
          </cell>
          <cell r="L570">
            <v>0.83835628063754586</v>
          </cell>
          <cell r="M570">
            <v>-0.12041393722688541</v>
          </cell>
          <cell r="N570">
            <v>0.14986396685910378</v>
          </cell>
          <cell r="O570">
            <v>0.13385281877731325</v>
          </cell>
          <cell r="P570">
            <v>0.716283214363583</v>
          </cell>
          <cell r="Q570">
            <v>1.0473020510408129</v>
          </cell>
          <cell r="R570">
            <v>-8.6250482011048193E-2</v>
          </cell>
          <cell r="S570">
            <v>0.96105156902976463</v>
          </cell>
        </row>
        <row r="571">
          <cell r="A571" t="str">
            <v>Mixed Recyclables</v>
          </cell>
          <cell r="B571">
            <v>1.9734014132616131</v>
          </cell>
          <cell r="C571">
            <v>9.9999999999999978E-2</v>
          </cell>
          <cell r="D571">
            <v>1.7760612719354518</v>
          </cell>
          <cell r="E571">
            <v>0.33118325982861402</v>
          </cell>
          <cell r="F571">
            <v>0.13546819621172881</v>
          </cell>
          <cell r="G571">
            <v>1.0525107704110113</v>
          </cell>
          <cell r="H571">
            <v>0.44883975396875536</v>
          </cell>
          <cell r="I571">
            <v>0.29380421195626721</v>
          </cell>
          <cell r="J571">
            <v>-0.11090288103745255</v>
          </cell>
          <cell r="K571">
            <v>0.03</v>
          </cell>
          <cell r="L571">
            <v>0.57979364709671222</v>
          </cell>
          <cell r="M571">
            <v>-9.5284292407837173E-2</v>
          </cell>
          <cell r="N571">
            <v>0.14986396685910378</v>
          </cell>
          <cell r="O571">
            <v>0.13385281877731325</v>
          </cell>
          <cell r="P571">
            <v>0.716283214363583</v>
          </cell>
          <cell r="Q571">
            <v>0.82234557822008569</v>
          </cell>
          <cell r="R571">
            <v>-6.8250539244245165E-2</v>
          </cell>
          <cell r="S571">
            <v>0.75409503897584051</v>
          </cell>
        </row>
        <row r="572">
          <cell r="A572" t="str">
            <v>Mixed Organics</v>
          </cell>
          <cell r="B572">
            <v>1.2328155960009999</v>
          </cell>
          <cell r="C572">
            <v>9.9999999999999978E-2</v>
          </cell>
          <cell r="D572">
            <v>1.1095340364008999</v>
          </cell>
          <cell r="E572">
            <v>0.31698328303579093</v>
          </cell>
          <cell r="F572">
            <v>0.10869260394511523</v>
          </cell>
          <cell r="G572">
            <v>0.70803572368937973</v>
          </cell>
          <cell r="H572">
            <v>0.33789756097338253</v>
          </cell>
          <cell r="I572">
            <v>0.52583461588441893</v>
          </cell>
          <cell r="J572">
            <v>-0.11090288103745255</v>
          </cell>
          <cell r="K572">
            <v>0.03</v>
          </cell>
          <cell r="L572">
            <v>0.64825711537950681</v>
          </cell>
          <cell r="M572">
            <v>-4.4812352083724791E-2</v>
          </cell>
          <cell r="N572">
            <v>0.14986396685910378</v>
          </cell>
          <cell r="O572">
            <v>0.13385281877731325</v>
          </cell>
          <cell r="P572">
            <v>0.716283214363583</v>
          </cell>
          <cell r="Q572">
            <v>0.72538743980918774</v>
          </cell>
          <cell r="R572">
            <v>-3.2098335593723E-2</v>
          </cell>
          <cell r="S572">
            <v>0.69328910421546475</v>
          </cell>
        </row>
        <row r="573">
          <cell r="A573" t="str">
            <v>Mixed MSW</v>
          </cell>
          <cell r="B573">
            <v>1.6199727500000001</v>
          </cell>
          <cell r="C573">
            <v>9.9999999999999978E-2</v>
          </cell>
          <cell r="D573">
            <v>1.457975475</v>
          </cell>
          <cell r="E573">
            <v>0.43068041411059682</v>
          </cell>
          <cell r="F573">
            <v>0.13212578967233604</v>
          </cell>
          <cell r="G573">
            <v>0.70824203634070182</v>
          </cell>
          <cell r="H573">
            <v>0.55233926226959162</v>
          </cell>
          <cell r="I573">
            <v>0.32179989819534638</v>
          </cell>
          <cell r="J573">
            <v>-0.11090288103745255</v>
          </cell>
          <cell r="K573">
            <v>0.03</v>
          </cell>
          <cell r="L573">
            <v>0.52130706602923538</v>
          </cell>
          <cell r="M573">
            <v>-9.6256083600468681E-2</v>
          </cell>
          <cell r="N573">
            <v>0.14986396685910378</v>
          </cell>
          <cell r="O573">
            <v>0.13385281877731325</v>
          </cell>
          <cell r="P573">
            <v>0.716283214363583</v>
          </cell>
          <cell r="Q573">
            <v>0.68670168213344263</v>
          </cell>
          <cell r="R573">
            <v>-6.8946616963393478E-2</v>
          </cell>
          <cell r="S573">
            <v>0.61775506517004919</v>
          </cell>
        </row>
        <row r="574">
          <cell r="A574" t="str">
            <v>Wood Flooring</v>
          </cell>
          <cell r="B574">
            <v>0.18143694800000035</v>
          </cell>
          <cell r="C574">
            <v>9.9999999999999978E-2</v>
          </cell>
          <cell r="D574">
            <v>0.16329325320000032</v>
          </cell>
          <cell r="E574">
            <v>0</v>
          </cell>
          <cell r="F574">
            <v>9.9999999999999978E-2</v>
          </cell>
          <cell r="G574">
            <v>0.16329325320000032</v>
          </cell>
          <cell r="H574">
            <v>0</v>
          </cell>
          <cell r="I574">
            <v>0.9</v>
          </cell>
          <cell r="J574">
            <v>-0.11090288103745255</v>
          </cell>
          <cell r="K574">
            <v>0.03</v>
          </cell>
          <cell r="L574">
            <v>0.16329325320000032</v>
          </cell>
          <cell r="M574">
            <v>0</v>
          </cell>
          <cell r="N574">
            <v>1</v>
          </cell>
          <cell r="O574">
            <v>0</v>
          </cell>
          <cell r="P574">
            <v>0</v>
          </cell>
          <cell r="Q574">
            <v>0.16329325320000032</v>
          </cell>
          <cell r="R574">
            <v>0</v>
          </cell>
          <cell r="S574">
            <v>0.16329325320000032</v>
          </cell>
        </row>
        <row r="575">
          <cell r="A575" t="str">
            <v>Drywall</v>
          </cell>
          <cell r="B575">
            <v>0</v>
          </cell>
          <cell r="C575">
            <v>9.9999999999999978E-2</v>
          </cell>
          <cell r="D575">
            <v>0</v>
          </cell>
          <cell r="E575">
            <v>0</v>
          </cell>
          <cell r="F575">
            <v>9.9999999999999978E-2</v>
          </cell>
          <cell r="G575">
            <v>0</v>
          </cell>
          <cell r="H575">
            <v>0</v>
          </cell>
          <cell r="I575">
            <v>0.9</v>
          </cell>
          <cell r="J575">
            <v>-0.11090288103745255</v>
          </cell>
          <cell r="K575">
            <v>0.03</v>
          </cell>
          <cell r="L575">
            <v>0</v>
          </cell>
          <cell r="M575">
            <v>0</v>
          </cell>
          <cell r="N575">
            <v>1</v>
          </cell>
          <cell r="O575">
            <v>0</v>
          </cell>
          <cell r="P575">
            <v>0</v>
          </cell>
          <cell r="Q575">
            <v>0</v>
          </cell>
          <cell r="R575">
            <v>0</v>
          </cell>
          <cell r="S575">
            <v>0</v>
          </cell>
        </row>
        <row r="585">
          <cell r="A585" t="str">
            <v>Corrugated Containers</v>
          </cell>
          <cell r="B585">
            <v>2.6232704732575001</v>
          </cell>
          <cell r="C585">
            <v>9.9999999999999978E-2</v>
          </cell>
          <cell r="D585">
            <v>2.3609434259317501</v>
          </cell>
          <cell r="E585">
            <v>0.41560539770346372</v>
          </cell>
          <cell r="F585">
            <v>0.13633882725668561</v>
          </cell>
          <cell r="G585">
            <v>1.1753714850345451</v>
          </cell>
          <cell r="H585">
            <v>0.5048316511901445</v>
          </cell>
          <cell r="I585">
            <v>0.36464613666662649</v>
          </cell>
          <cell r="J585">
            <v>-0.11090288103745255</v>
          </cell>
          <cell r="K585">
            <v>0.03</v>
          </cell>
          <cell r="L585">
            <v>0.9565654435049803</v>
          </cell>
          <cell r="M585">
            <v>-0.14246369673970988</v>
          </cell>
          <cell r="N585">
            <v>0.14986396685910378</v>
          </cell>
          <cell r="O585">
            <v>0.13385281877731325</v>
          </cell>
          <cell r="P585">
            <v>0.716283214363583</v>
          </cell>
          <cell r="Q585">
            <v>1.1963189043452789</v>
          </cell>
          <cell r="R585">
            <v>-0.10204435463083809</v>
          </cell>
          <cell r="S585">
            <v>1.0942745497144408</v>
          </cell>
        </row>
        <row r="586">
          <cell r="A586" t="str">
            <v>Magazines/Third-class Mail</v>
          </cell>
          <cell r="B586">
            <v>1.1946237049113888</v>
          </cell>
          <cell r="C586">
            <v>9.9999999999999978E-2</v>
          </cell>
          <cell r="D586">
            <v>1.07516133442025</v>
          </cell>
          <cell r="E586">
            <v>0.25331315626913786</v>
          </cell>
          <cell r="F586">
            <v>9.891341649419276E-2</v>
          </cell>
          <cell r="G586">
            <v>0.77384549158861793</v>
          </cell>
          <cell r="H586">
            <v>0.25816187685403502</v>
          </cell>
          <cell r="I586">
            <v>0.62192237485867186</v>
          </cell>
          <cell r="J586">
            <v>-0.11090288103745255</v>
          </cell>
          <cell r="K586">
            <v>0.03</v>
          </cell>
          <cell r="L586">
            <v>0.74296321162095613</v>
          </cell>
          <cell r="M586">
            <v>-3.3177052546812039E-2</v>
          </cell>
          <cell r="N586">
            <v>0.14986396685910378</v>
          </cell>
          <cell r="O586">
            <v>0.13385281877731325</v>
          </cell>
          <cell r="P586">
            <v>0.716283214363583</v>
          </cell>
          <cell r="Q586">
            <v>0.79688142031074771</v>
          </cell>
          <cell r="R586">
            <v>-2.3764165841340026E-2</v>
          </cell>
          <cell r="S586">
            <v>0.77311725446940771</v>
          </cell>
        </row>
        <row r="587">
          <cell r="A587" t="str">
            <v>Newspaper</v>
          </cell>
          <cell r="B587">
            <v>1.0471665853275001</v>
          </cell>
          <cell r="C587">
            <v>9.9999999999999978E-2</v>
          </cell>
          <cell r="D587">
            <v>0.94244992679475004</v>
          </cell>
          <cell r="E587">
            <v>0.42661505561735225</v>
          </cell>
          <cell r="F587">
            <v>0.11264257951858724</v>
          </cell>
          <cell r="G587">
            <v>0.48247400893041537</v>
          </cell>
          <cell r="H587">
            <v>0.49436494697539807</v>
          </cell>
          <cell r="I587">
            <v>0.3885343964359439</v>
          </cell>
          <cell r="J587">
            <v>-0.11090288103745255</v>
          </cell>
          <cell r="K587">
            <v>0.03</v>
          </cell>
          <cell r="L587">
            <v>0.4068602371981086</v>
          </cell>
          <cell r="M587">
            <v>-5.5690101281468736E-2</v>
          </cell>
          <cell r="N587">
            <v>0.14986396685910378</v>
          </cell>
          <cell r="O587">
            <v>0.13385281877731325</v>
          </cell>
          <cell r="P587">
            <v>0.716283214363583</v>
          </cell>
          <cell r="Q587">
            <v>0.49724694917465095</v>
          </cell>
          <cell r="R587">
            <v>-3.9889884754123917E-2</v>
          </cell>
          <cell r="S587">
            <v>0.45735706442052704</v>
          </cell>
        </row>
        <row r="588">
          <cell r="A588" t="str">
            <v>Office Paper</v>
          </cell>
          <cell r="B588">
            <v>3.8859258337900004</v>
          </cell>
          <cell r="C588">
            <v>9.9999999999999978E-2</v>
          </cell>
          <cell r="D588">
            <v>3.4973332504110006</v>
          </cell>
          <cell r="E588">
            <v>0.42810898307234874</v>
          </cell>
          <cell r="F588">
            <v>0.11768065403826281</v>
          </cell>
          <cell r="G588">
            <v>1.7650277831270054</v>
          </cell>
          <cell r="H588">
            <v>0.50266632049861182</v>
          </cell>
          <cell r="I588">
            <v>0.37815550732449293</v>
          </cell>
          <cell r="J588">
            <v>-0.11090288103745255</v>
          </cell>
          <cell r="K588">
            <v>0.03</v>
          </cell>
          <cell r="L588">
            <v>1.4694842551022109</v>
          </cell>
          <cell r="M588">
            <v>-0.21013038579137522</v>
          </cell>
          <cell r="N588">
            <v>0.14986396685910378</v>
          </cell>
          <cell r="O588">
            <v>0.13385281877731325</v>
          </cell>
          <cell r="P588">
            <v>0.716283214363583</v>
          </cell>
          <cell r="Q588">
            <v>1.8129450840279449</v>
          </cell>
          <cell r="R588">
            <v>-0.15051286817010601</v>
          </cell>
          <cell r="S588">
            <v>1.6624322158578388</v>
          </cell>
        </row>
        <row r="589">
          <cell r="A589" t="str">
            <v>Phonebooks</v>
          </cell>
          <cell r="B589">
            <v>1.0471665853275001</v>
          </cell>
          <cell r="C589">
            <v>9.9999999999999978E-2</v>
          </cell>
          <cell r="D589">
            <v>0.94244992679475004</v>
          </cell>
          <cell r="E589">
            <v>0.42661505561735225</v>
          </cell>
          <cell r="F589">
            <v>0.11264257951858724</v>
          </cell>
          <cell r="G589">
            <v>0.48247400893041537</v>
          </cell>
          <cell r="H589">
            <v>0.49436494697539807</v>
          </cell>
          <cell r="I589">
            <v>0.3885343964359439</v>
          </cell>
          <cell r="J589">
            <v>-0.11090288103745255</v>
          </cell>
          <cell r="K589">
            <v>0.03</v>
          </cell>
          <cell r="L589">
            <v>0.4068602371981086</v>
          </cell>
          <cell r="M589">
            <v>-5.5690101281468736E-2</v>
          </cell>
          <cell r="N589">
            <v>0.14986396685910378</v>
          </cell>
          <cell r="O589">
            <v>0.13385281877731325</v>
          </cell>
          <cell r="P589">
            <v>0.716283214363583</v>
          </cell>
          <cell r="Q589">
            <v>0.49724694917465095</v>
          </cell>
          <cell r="R589">
            <v>-3.9889884754123917E-2</v>
          </cell>
          <cell r="S589">
            <v>0.45735706442052704</v>
          </cell>
        </row>
        <row r="590">
          <cell r="A590" t="str">
            <v>Textbooks</v>
          </cell>
          <cell r="B590">
            <v>3.8859258337900004</v>
          </cell>
          <cell r="C590">
            <v>9.9999999999999978E-2</v>
          </cell>
          <cell r="D590">
            <v>3.4973332504110006</v>
          </cell>
          <cell r="E590">
            <v>0.42810898307234874</v>
          </cell>
          <cell r="F590">
            <v>0.11768065403826281</v>
          </cell>
          <cell r="G590">
            <v>1.7650277831270054</v>
          </cell>
          <cell r="H590">
            <v>0.50266632049861182</v>
          </cell>
          <cell r="I590">
            <v>0.37815550732449293</v>
          </cell>
          <cell r="J590">
            <v>-0.11090288103745255</v>
          </cell>
          <cell r="K590">
            <v>0.03</v>
          </cell>
          <cell r="L590">
            <v>1.4694842551022109</v>
          </cell>
          <cell r="M590">
            <v>-0.21013038579137522</v>
          </cell>
          <cell r="N590">
            <v>0.14986396685910378</v>
          </cell>
          <cell r="O590">
            <v>0.13385281877731325</v>
          </cell>
          <cell r="P590">
            <v>0.716283214363583</v>
          </cell>
          <cell r="Q590">
            <v>1.8129450840279449</v>
          </cell>
          <cell r="R590">
            <v>-0.15051286817010601</v>
          </cell>
          <cell r="S590">
            <v>1.6624322158578388</v>
          </cell>
        </row>
        <row r="591">
          <cell r="A591" t="str">
            <v>Dimensional Lumber</v>
          </cell>
          <cell r="B591">
            <v>0.16645220006249997</v>
          </cell>
          <cell r="C591">
            <v>9.9999999999999978E-2</v>
          </cell>
          <cell r="D591">
            <v>0.14980698005624998</v>
          </cell>
          <cell r="E591">
            <v>0.32882679956410882</v>
          </cell>
          <cell r="F591">
            <v>9.8016218184986681E-2</v>
          </cell>
          <cell r="G591">
            <v>9.5403240676846315E-2</v>
          </cell>
          <cell r="H591">
            <v>0.34651519327137137</v>
          </cell>
          <cell r="I591">
            <v>0.53483622023111532</v>
          </cell>
          <cell r="J591">
            <v>-0.11090288103745255</v>
          </cell>
          <cell r="K591">
            <v>0.03</v>
          </cell>
          <cell r="L591">
            <v>8.9024665530580901E-2</v>
          </cell>
          <cell r="M591">
            <v>-6.20477994726981E-3</v>
          </cell>
          <cell r="N591">
            <v>0.14986396685910378</v>
          </cell>
          <cell r="O591">
            <v>0.13385281877731325</v>
          </cell>
          <cell r="P591">
            <v>0.716283214363583</v>
          </cell>
          <cell r="Q591">
            <v>9.8987534563385937E-2</v>
          </cell>
          <cell r="R591">
            <v>-4.4443797250491223E-3</v>
          </cell>
          <cell r="S591">
            <v>9.4543154838336821E-2</v>
          </cell>
        </row>
        <row r="592">
          <cell r="A592" t="str">
            <v>Medium-density Fiberboard</v>
          </cell>
          <cell r="B592">
            <v>5.5889059875000008E-2</v>
          </cell>
          <cell r="C592">
            <v>9.9999999999999978E-2</v>
          </cell>
          <cell r="D592">
            <v>5.0300153887500011E-2</v>
          </cell>
          <cell r="E592">
            <v>0.36792296597391044</v>
          </cell>
          <cell r="F592">
            <v>9.8932340233277766E-2</v>
          </cell>
          <cell r="G592">
            <v>2.9796955713425E-2</v>
          </cell>
          <cell r="H592">
            <v>0.39706472506070428</v>
          </cell>
          <cell r="I592">
            <v>0.48591350508403552</v>
          </cell>
          <cell r="J592">
            <v>-0.11090288103745255</v>
          </cell>
          <cell r="K592">
            <v>0.03</v>
          </cell>
          <cell r="L592">
            <v>2.7157248979712782E-2</v>
          </cell>
          <cell r="M592">
            <v>-2.3872762273953641E-3</v>
          </cell>
          <cell r="N592">
            <v>0.14986396685910378</v>
          </cell>
          <cell r="O592">
            <v>0.13385281877731325</v>
          </cell>
          <cell r="P592">
            <v>0.716283214363583</v>
          </cell>
          <cell r="Q592">
            <v>3.0978868700889631E-2</v>
          </cell>
          <cell r="R592">
            <v>-1.7099658897325194E-3</v>
          </cell>
          <cell r="S592">
            <v>2.9268902811157113E-2</v>
          </cell>
        </row>
        <row r="593">
          <cell r="A593" t="str">
            <v>Food Waste</v>
          </cell>
          <cell r="B593">
            <v>1.622706214625282</v>
          </cell>
          <cell r="C593">
            <v>9.9999999999999978E-2</v>
          </cell>
          <cell r="D593">
            <v>1.4604355931627537</v>
          </cell>
          <cell r="E593">
            <v>0.2203233004245872</v>
          </cell>
          <cell r="F593">
            <v>9.9666417633947152E-2</v>
          </cell>
          <cell r="G593">
            <v>1.1034569105155063</v>
          </cell>
          <cell r="H593">
            <v>0.22196693917641336</v>
          </cell>
          <cell r="I593">
            <v>0.65845749736083936</v>
          </cell>
          <cell r="J593">
            <v>-0.11090288103745255</v>
          </cell>
          <cell r="K593">
            <v>0.03</v>
          </cell>
          <cell r="L593">
            <v>1.0684830730340442</v>
          </cell>
          <cell r="M593">
            <v>-3.8747416893461319E-2</v>
          </cell>
          <cell r="N593">
            <v>0.14986396685910378</v>
          </cell>
          <cell r="O593">
            <v>0.13385281877731325</v>
          </cell>
          <cell r="P593">
            <v>0.716283214363583</v>
          </cell>
          <cell r="Q593">
            <v>1.1319039792513088</v>
          </cell>
          <cell r="R593">
            <v>-2.7754124320734271E-2</v>
          </cell>
          <cell r="S593">
            <v>1.1041498549305746</v>
          </cell>
        </row>
        <row r="594">
          <cell r="A594" t="str">
            <v>Food Waste (meat only)</v>
          </cell>
          <cell r="B594">
            <v>1.622706214625282</v>
          </cell>
          <cell r="C594">
            <v>9.9999999999999978E-2</v>
          </cell>
          <cell r="D594">
            <v>1.4604355931627537</v>
          </cell>
          <cell r="E594">
            <v>0.2203233004245872</v>
          </cell>
          <cell r="F594">
            <v>9.9666417633947152E-2</v>
          </cell>
          <cell r="G594">
            <v>1.1034569105155063</v>
          </cell>
          <cell r="H594">
            <v>0.22196693917641336</v>
          </cell>
          <cell r="I594">
            <v>0.65845749736083936</v>
          </cell>
          <cell r="J594">
            <v>-0.11090288103745255</v>
          </cell>
          <cell r="K594">
            <v>0.03</v>
          </cell>
          <cell r="L594">
            <v>1.0684830730340442</v>
          </cell>
          <cell r="M594">
            <v>-3.8747416893461319E-2</v>
          </cell>
          <cell r="N594">
            <v>0.14986396685910378</v>
          </cell>
          <cell r="O594">
            <v>0.13385281877731325</v>
          </cell>
          <cell r="P594">
            <v>0.716283214363583</v>
          </cell>
          <cell r="Q594">
            <v>1.1319039792513088</v>
          </cell>
          <cell r="R594">
            <v>-2.7754124320734271E-2</v>
          </cell>
          <cell r="S594">
            <v>1.1041498549305746</v>
          </cell>
        </row>
        <row r="595">
          <cell r="A595" t="str">
            <v>Food Waste (non-meat)</v>
          </cell>
          <cell r="B595">
            <v>1.622706214625282</v>
          </cell>
          <cell r="C595">
            <v>9.9999999999999978E-2</v>
          </cell>
          <cell r="D595">
            <v>1.4604355931627537</v>
          </cell>
          <cell r="E595">
            <v>0.2203233004245872</v>
          </cell>
          <cell r="F595">
            <v>9.9666417633947152E-2</v>
          </cell>
          <cell r="G595">
            <v>1.1034569105155063</v>
          </cell>
          <cell r="H595">
            <v>0.22196693917641336</v>
          </cell>
          <cell r="I595">
            <v>0.65845749736083936</v>
          </cell>
          <cell r="J595">
            <v>-0.11090288103745255</v>
          </cell>
          <cell r="K595">
            <v>0.03</v>
          </cell>
          <cell r="L595">
            <v>1.0684830730340442</v>
          </cell>
          <cell r="M595">
            <v>-3.8747416893461319E-2</v>
          </cell>
          <cell r="N595">
            <v>0.14986396685910378</v>
          </cell>
          <cell r="O595">
            <v>0.13385281877731325</v>
          </cell>
          <cell r="P595">
            <v>0.716283214363583</v>
          </cell>
          <cell r="Q595">
            <v>1.1319039792513088</v>
          </cell>
          <cell r="R595">
            <v>-2.7754124320734271E-2</v>
          </cell>
          <cell r="S595">
            <v>1.1041498549305746</v>
          </cell>
        </row>
        <row r="596">
          <cell r="A596" t="str">
            <v>Beef</v>
          </cell>
          <cell r="B596">
            <v>1.622706214625282</v>
          </cell>
          <cell r="C596">
            <v>9.9999999999999978E-2</v>
          </cell>
          <cell r="D596">
            <v>1.4604355931627537</v>
          </cell>
          <cell r="E596">
            <v>0.2203233004245872</v>
          </cell>
          <cell r="F596">
            <v>9.9666417633947152E-2</v>
          </cell>
          <cell r="G596">
            <v>1.1034569105155063</v>
          </cell>
          <cell r="H596">
            <v>0.22196693917641336</v>
          </cell>
          <cell r="I596">
            <v>0.65845749736083936</v>
          </cell>
          <cell r="J596">
            <v>-0.11090288103745255</v>
          </cell>
          <cell r="K596">
            <v>0.03</v>
          </cell>
          <cell r="L596">
            <v>1.0684830730340442</v>
          </cell>
          <cell r="M596">
            <v>-3.8747416893461319E-2</v>
          </cell>
          <cell r="N596">
            <v>0.14986396685910378</v>
          </cell>
          <cell r="O596">
            <v>0.13385281877731325</v>
          </cell>
          <cell r="P596">
            <v>0.716283214363583</v>
          </cell>
          <cell r="Q596">
            <v>1.1319039792513088</v>
          </cell>
          <cell r="R596">
            <v>-2.7754124320734271E-2</v>
          </cell>
          <cell r="S596">
            <v>1.1041498549305746</v>
          </cell>
        </row>
        <row r="597">
          <cell r="A597" t="str">
            <v>Poultry</v>
          </cell>
          <cell r="B597">
            <v>1.622706214625282</v>
          </cell>
          <cell r="C597">
            <v>9.9999999999999978E-2</v>
          </cell>
          <cell r="D597">
            <v>1.4604355931627537</v>
          </cell>
          <cell r="E597">
            <v>0.2203233004245872</v>
          </cell>
          <cell r="F597">
            <v>9.9666417633947152E-2</v>
          </cell>
          <cell r="G597">
            <v>1.1034569105155063</v>
          </cell>
          <cell r="H597">
            <v>0.22196693917641336</v>
          </cell>
          <cell r="I597">
            <v>0.65845749736083936</v>
          </cell>
          <cell r="J597">
            <v>-0.11090288103745255</v>
          </cell>
          <cell r="K597">
            <v>0.03</v>
          </cell>
          <cell r="L597">
            <v>1.0684830730340442</v>
          </cell>
          <cell r="M597">
            <v>-3.8747416893461319E-2</v>
          </cell>
          <cell r="N597">
            <v>0.14986396685910378</v>
          </cell>
          <cell r="O597">
            <v>0.13385281877731325</v>
          </cell>
          <cell r="P597">
            <v>0.716283214363583</v>
          </cell>
          <cell r="Q597">
            <v>1.1319039792513088</v>
          </cell>
          <cell r="R597">
            <v>-2.7754124320734271E-2</v>
          </cell>
          <cell r="S597">
            <v>1.1041498549305746</v>
          </cell>
        </row>
        <row r="598">
          <cell r="A598" t="str">
            <v>Grains</v>
          </cell>
          <cell r="B598">
            <v>1.622706214625282</v>
          </cell>
          <cell r="C598">
            <v>9.9999999999999978E-2</v>
          </cell>
          <cell r="D598">
            <v>1.4604355931627537</v>
          </cell>
          <cell r="E598">
            <v>0.2203233004245872</v>
          </cell>
          <cell r="F598">
            <v>9.9666417633947152E-2</v>
          </cell>
          <cell r="G598">
            <v>1.1034569105155063</v>
          </cell>
          <cell r="H598">
            <v>0.22196693917641336</v>
          </cell>
          <cell r="I598">
            <v>0.65845749736083936</v>
          </cell>
          <cell r="J598">
            <v>-0.11090288103745255</v>
          </cell>
          <cell r="K598">
            <v>0.03</v>
          </cell>
          <cell r="L598">
            <v>1.0684830730340442</v>
          </cell>
          <cell r="M598">
            <v>-3.8747416893461319E-2</v>
          </cell>
          <cell r="N598">
            <v>0.14986396685910378</v>
          </cell>
          <cell r="O598">
            <v>0.13385281877731325</v>
          </cell>
          <cell r="P598">
            <v>0.716283214363583</v>
          </cell>
          <cell r="Q598">
            <v>1.1319039792513088</v>
          </cell>
          <cell r="R598">
            <v>-2.7754124320734271E-2</v>
          </cell>
          <cell r="S598">
            <v>1.1041498549305746</v>
          </cell>
        </row>
        <row r="599">
          <cell r="A599" t="str">
            <v>Bread</v>
          </cell>
          <cell r="B599">
            <v>1.622706214625282</v>
          </cell>
          <cell r="C599">
            <v>9.9999999999999978E-2</v>
          </cell>
          <cell r="D599">
            <v>1.4604355931627537</v>
          </cell>
          <cell r="E599">
            <v>0.2203233004245872</v>
          </cell>
          <cell r="F599">
            <v>9.9666417633947152E-2</v>
          </cell>
          <cell r="G599">
            <v>1.1034569105155063</v>
          </cell>
          <cell r="H599">
            <v>0.22196693917641336</v>
          </cell>
          <cell r="I599">
            <v>0.65845749736083936</v>
          </cell>
          <cell r="J599">
            <v>-0.11090288103745255</v>
          </cell>
          <cell r="K599">
            <v>0.03</v>
          </cell>
          <cell r="L599">
            <v>1.0684830730340442</v>
          </cell>
          <cell r="M599">
            <v>-3.8747416893461319E-2</v>
          </cell>
          <cell r="N599">
            <v>0.14986396685910378</v>
          </cell>
          <cell r="O599">
            <v>0.13385281877731325</v>
          </cell>
          <cell r="P599">
            <v>0.716283214363583</v>
          </cell>
          <cell r="Q599">
            <v>1.1319039792513088</v>
          </cell>
          <cell r="R599">
            <v>-2.7754124320734271E-2</v>
          </cell>
          <cell r="S599">
            <v>1.1041498549305746</v>
          </cell>
        </row>
        <row r="600">
          <cell r="A600" t="str">
            <v>Fruits and Vegetables</v>
          </cell>
          <cell r="B600">
            <v>1.622706214625282</v>
          </cell>
          <cell r="C600">
            <v>9.9999999999999978E-2</v>
          </cell>
          <cell r="D600">
            <v>1.4604355931627537</v>
          </cell>
          <cell r="E600">
            <v>0.2203233004245872</v>
          </cell>
          <cell r="F600">
            <v>9.9666417633947152E-2</v>
          </cell>
          <cell r="G600">
            <v>1.1034569105155063</v>
          </cell>
          <cell r="H600">
            <v>0.22196693917641336</v>
          </cell>
          <cell r="I600">
            <v>0.65845749736083936</v>
          </cell>
          <cell r="J600">
            <v>-0.11090288103745255</v>
          </cell>
          <cell r="K600">
            <v>0.03</v>
          </cell>
          <cell r="L600">
            <v>1.0684830730340442</v>
          </cell>
          <cell r="M600">
            <v>-3.8747416893461319E-2</v>
          </cell>
          <cell r="N600">
            <v>0.14986396685910378</v>
          </cell>
          <cell r="O600">
            <v>0.13385281877731325</v>
          </cell>
          <cell r="P600">
            <v>0.716283214363583</v>
          </cell>
          <cell r="Q600">
            <v>1.1319039792513088</v>
          </cell>
          <cell r="R600">
            <v>-2.7754124320734271E-2</v>
          </cell>
          <cell r="S600">
            <v>1.1041498549305746</v>
          </cell>
        </row>
        <row r="601">
          <cell r="A601" t="str">
            <v>Dairy Products</v>
          </cell>
          <cell r="B601">
            <v>1.622706214625282</v>
          </cell>
          <cell r="C601">
            <v>9.9999999999999978E-2</v>
          </cell>
          <cell r="D601">
            <v>1.4604355931627537</v>
          </cell>
          <cell r="E601">
            <v>0.2203233004245872</v>
          </cell>
          <cell r="F601">
            <v>9.9666417633947152E-2</v>
          </cell>
          <cell r="G601">
            <v>1.1034569105155063</v>
          </cell>
          <cell r="H601">
            <v>0.22196693917641336</v>
          </cell>
          <cell r="I601">
            <v>0.65845749736083936</v>
          </cell>
          <cell r="J601">
            <v>-0.11090288103745255</v>
          </cell>
          <cell r="K601">
            <v>0.03</v>
          </cell>
          <cell r="L601">
            <v>1.0684830730340442</v>
          </cell>
          <cell r="M601">
            <v>-3.8747416893461319E-2</v>
          </cell>
          <cell r="N601">
            <v>0.14986396685910378</v>
          </cell>
          <cell r="O601">
            <v>0.13385281877731325</v>
          </cell>
          <cell r="P601">
            <v>0.716283214363583</v>
          </cell>
          <cell r="Q601">
            <v>1.1319039792513088</v>
          </cell>
          <cell r="R601">
            <v>-2.7754124320734271E-2</v>
          </cell>
          <cell r="S601">
            <v>1.1041498549305746</v>
          </cell>
        </row>
        <row r="602">
          <cell r="A602" t="str">
            <v>Yard Trimmings</v>
          </cell>
          <cell r="B602">
            <v>0.81032008938650013</v>
          </cell>
          <cell r="C602">
            <v>9.9999999999999978E-2</v>
          </cell>
          <cell r="D602">
            <v>0.7292880804478501</v>
          </cell>
          <cell r="E602">
            <v>0.19228490408890325</v>
          </cell>
          <cell r="F602">
            <v>0.11444080681363128</v>
          </cell>
          <cell r="G602">
            <v>0.56177408391082051</v>
          </cell>
          <cell r="H602">
            <v>0.21452746134718442</v>
          </cell>
          <cell r="I602">
            <v>0.66339119514701972</v>
          </cell>
          <cell r="J602">
            <v>-0.11090288103745255</v>
          </cell>
          <cell r="K602">
            <v>0.03</v>
          </cell>
          <cell r="L602">
            <v>0.53755921254975014</v>
          </cell>
          <cell r="M602">
            <v>-1.8700536327370971E-2</v>
          </cell>
          <cell r="N602">
            <v>0.14986396685910378</v>
          </cell>
          <cell r="O602">
            <v>0.13385281877731325</v>
          </cell>
          <cell r="P602">
            <v>0.716283214363583</v>
          </cell>
          <cell r="Q602">
            <v>0.56953369004237375</v>
          </cell>
          <cell r="R602">
            <v>-1.3394880270892232E-2</v>
          </cell>
          <cell r="S602">
            <v>0.55613880977148156</v>
          </cell>
        </row>
        <row r="603">
          <cell r="A603" t="str">
            <v>Grass</v>
          </cell>
          <cell r="B603">
            <v>0.5688048319800002</v>
          </cell>
          <cell r="C603">
            <v>9.9999999999999978E-2</v>
          </cell>
          <cell r="D603">
            <v>0.51192434878200022</v>
          </cell>
          <cell r="E603">
            <v>9.4738904796742365E-2</v>
          </cell>
          <cell r="F603">
            <v>0.10182735601149082</v>
          </cell>
          <cell r="G603">
            <v>0.4569969930280362</v>
          </cell>
          <cell r="H603">
            <v>9.2246366836759797E-2</v>
          </cell>
          <cell r="I603">
            <v>0.79498575833740981</v>
          </cell>
          <cell r="J603">
            <v>-0.11090288103745255</v>
          </cell>
          <cell r="K603">
            <v>0.03</v>
          </cell>
          <cell r="L603">
            <v>0.45219174069760343</v>
          </cell>
          <cell r="M603">
            <v>-5.6445212194306442E-3</v>
          </cell>
          <cell r="N603">
            <v>0.14986396685910378</v>
          </cell>
          <cell r="O603">
            <v>0.13385281877731325</v>
          </cell>
          <cell r="P603">
            <v>0.716283214363583</v>
          </cell>
          <cell r="Q603">
            <v>0.46178670286533602</v>
          </cell>
          <cell r="R603">
            <v>-4.0430758025972327E-3</v>
          </cell>
          <cell r="S603">
            <v>0.4577436270627388</v>
          </cell>
        </row>
        <row r="604">
          <cell r="A604" t="str">
            <v>Leaves</v>
          </cell>
          <cell r="B604">
            <v>0.65408019754000024</v>
          </cell>
          <cell r="C604">
            <v>9.9999999999999978E-2</v>
          </cell>
          <cell r="D604">
            <v>0.58867217778600023</v>
          </cell>
          <cell r="E604">
            <v>0.18685739046465069</v>
          </cell>
          <cell r="F604">
            <v>0.10044524354077852</v>
          </cell>
          <cell r="G604">
            <v>0.4661612339359667</v>
          </cell>
          <cell r="H604">
            <v>0.18630734224518025</v>
          </cell>
          <cell r="I604">
            <v>0.69504356013119795</v>
          </cell>
          <cell r="J604">
            <v>-0.11090288103745255</v>
          </cell>
          <cell r="K604">
            <v>0.03</v>
          </cell>
          <cell r="L604">
            <v>0.45461422910951899</v>
          </cell>
          <cell r="M604">
            <v>-1.3109180222453137E-2</v>
          </cell>
          <cell r="N604">
            <v>0.14986396685910378</v>
          </cell>
          <cell r="O604">
            <v>0.13385281877731325</v>
          </cell>
          <cell r="P604">
            <v>0.716283214363583</v>
          </cell>
          <cell r="Q604">
            <v>0.47625028423162585</v>
          </cell>
          <cell r="R604">
            <v>-9.3898857474102437E-3</v>
          </cell>
          <cell r="S604">
            <v>0.46686039848421562</v>
          </cell>
        </row>
        <row r="605">
          <cell r="A605" t="str">
            <v>Branches</v>
          </cell>
          <cell r="B605">
            <v>1.4495904960459998</v>
          </cell>
          <cell r="C605">
            <v>9.9999999999999978E-2</v>
          </cell>
          <cell r="D605">
            <v>1.3046314464413997</v>
          </cell>
          <cell r="E605">
            <v>0.39280441629747753</v>
          </cell>
          <cell r="F605">
            <v>0.15366327169076496</v>
          </cell>
          <cell r="G605">
            <v>0.65743612914201266</v>
          </cell>
          <cell r="H605">
            <v>0.48730976947003785</v>
          </cell>
          <cell r="I605">
            <v>0.36854970378206148</v>
          </cell>
          <cell r="J605">
            <v>-0.11090288103745255</v>
          </cell>
          <cell r="K605">
            <v>0.03</v>
          </cell>
          <cell r="L605">
            <v>0.53424614792304481</v>
          </cell>
          <cell r="M605">
            <v>-7.5991499404204702E-2</v>
          </cell>
          <cell r="N605">
            <v>0.14986396685910378</v>
          </cell>
          <cell r="O605">
            <v>0.13385281877731325</v>
          </cell>
          <cell r="P605">
            <v>0.716283214363583</v>
          </cell>
          <cell r="Q605">
            <v>0.66618847100022349</v>
          </cell>
          <cell r="R605">
            <v>-5.4431435457552045E-2</v>
          </cell>
          <cell r="S605">
            <v>0.61175703554267147</v>
          </cell>
        </row>
        <row r="606">
          <cell r="A606" t="str">
            <v>Mixed Paper (general)</v>
          </cell>
          <cell r="B606">
            <v>2.3832448707931113</v>
          </cell>
          <cell r="C606">
            <v>9.9999999999999978E-2</v>
          </cell>
          <cell r="D606">
            <v>2.1449203837138002</v>
          </cell>
          <cell r="E606">
            <v>0.40776505336182794</v>
          </cell>
          <cell r="F606">
            <v>0.123926060294858</v>
          </cell>
          <cell r="G606">
            <v>1.1160947513245372</v>
          </cell>
          <cell r="H606">
            <v>0.48215299409341006</v>
          </cell>
          <cell r="I606">
            <v>0.39366329219819957</v>
          </cell>
          <cell r="J606">
            <v>-0.11090288103745255</v>
          </cell>
          <cell r="K606">
            <v>0.03</v>
          </cell>
          <cell r="L606">
            <v>0.93819602195088891</v>
          </cell>
          <cell r="M606">
            <v>-0.12361412460876826</v>
          </cell>
          <cell r="N606">
            <v>0.14986396685910378</v>
          </cell>
          <cell r="O606">
            <v>0.13385281877731325</v>
          </cell>
          <cell r="P606">
            <v>0.716283214363583</v>
          </cell>
          <cell r="Q606">
            <v>1.1428527680937641</v>
          </cell>
          <cell r="R606">
            <v>-8.8542722515509015E-2</v>
          </cell>
          <cell r="S606">
            <v>1.054310045578255</v>
          </cell>
        </row>
        <row r="607">
          <cell r="A607" t="str">
            <v>Mixed Paper (primarily residential)</v>
          </cell>
          <cell r="B607">
            <v>2.2946736526735392</v>
          </cell>
          <cell r="C607">
            <v>9.9999999999999978E-2</v>
          </cell>
          <cell r="D607">
            <v>2.0652062874061854</v>
          </cell>
          <cell r="E607">
            <v>0.40365889683186945</v>
          </cell>
          <cell r="F607">
            <v>0.12453400495009451</v>
          </cell>
          <cell r="G607">
            <v>1.0826433174252839</v>
          </cell>
          <cell r="H607">
            <v>0.47745418549032731</v>
          </cell>
          <cell r="I607">
            <v>0.39775937212487533</v>
          </cell>
          <cell r="J607">
            <v>-0.11090288103745255</v>
          </cell>
          <cell r="K607">
            <v>0.03</v>
          </cell>
          <cell r="L607">
            <v>0.91272795131892115</v>
          </cell>
          <cell r="M607">
            <v>-0.11786020621626389</v>
          </cell>
          <cell r="N607">
            <v>0.14986396685910378</v>
          </cell>
          <cell r="O607">
            <v>0.13385281877731325</v>
          </cell>
          <cell r="P607">
            <v>0.716283214363583</v>
          </cell>
          <cell r="Q607">
            <v>1.108186577191054</v>
          </cell>
          <cell r="R607">
            <v>-8.4421287354140243E-2</v>
          </cell>
          <cell r="S607">
            <v>1.0237652898369136</v>
          </cell>
        </row>
        <row r="608">
          <cell r="A608" t="str">
            <v>Mixed Paper (primarily from offices)</v>
          </cell>
          <cell r="B608">
            <v>2.2577848571899501</v>
          </cell>
          <cell r="C608">
            <v>9.9999999999999978E-2</v>
          </cell>
          <cell r="D608">
            <v>2.0320063714709553</v>
          </cell>
          <cell r="E608">
            <v>0.36424358138919932</v>
          </cell>
          <cell r="F608">
            <v>0.11079936153418685</v>
          </cell>
          <cell r="G608">
            <v>1.1852400941425789</v>
          </cell>
          <cell r="H608">
            <v>0.41300969888126593</v>
          </cell>
          <cell r="I608">
            <v>0.46741567781730875</v>
          </cell>
          <cell r="J608">
            <v>-0.11090288103745255</v>
          </cell>
          <cell r="K608">
            <v>0.03</v>
          </cell>
          <cell r="L608">
            <v>1.0553240393890961</v>
          </cell>
          <cell r="M608">
            <v>-0.10031303471912797</v>
          </cell>
          <cell r="N608">
            <v>0.14986396685910378</v>
          </cell>
          <cell r="O608">
            <v>0.13385281877731325</v>
          </cell>
          <cell r="P608">
            <v>0.716283214363583</v>
          </cell>
          <cell r="Q608">
            <v>1.2190831581692656</v>
          </cell>
          <cell r="R608">
            <v>-7.1852542951182694E-2</v>
          </cell>
          <cell r="S608">
            <v>1.1472306152180829</v>
          </cell>
        </row>
        <row r="609">
          <cell r="A609" t="str">
            <v>Mixed Recyclables</v>
          </cell>
          <cell r="B609">
            <v>1.9734014132616131</v>
          </cell>
          <cell r="C609">
            <v>9.9999999999999978E-2</v>
          </cell>
          <cell r="D609">
            <v>1.7760612719354518</v>
          </cell>
          <cell r="E609">
            <v>0.34484566028400498</v>
          </cell>
          <cell r="F609">
            <v>0.10884140849685972</v>
          </cell>
          <cell r="G609">
            <v>1.078094710550936</v>
          </cell>
          <cell r="H609">
            <v>0.40832849549914957</v>
          </cell>
          <cell r="I609">
            <v>0.34704652826520743</v>
          </cell>
          <cell r="J609">
            <v>-0.11090288103745255</v>
          </cell>
          <cell r="K609">
            <v>0.03</v>
          </cell>
          <cell r="L609">
            <v>0.6848621093460967</v>
          </cell>
          <cell r="M609">
            <v>-8.6684148227880939E-2</v>
          </cell>
          <cell r="N609">
            <v>0.14986396685910378</v>
          </cell>
          <cell r="O609">
            <v>0.13385281877731325</v>
          </cell>
          <cell r="P609">
            <v>0.716283214363583</v>
          </cell>
          <cell r="Q609">
            <v>0.90102883659147248</v>
          </cell>
          <cell r="R609">
            <v>-6.2090400327035847E-2</v>
          </cell>
          <cell r="S609">
            <v>0.83893843626443665</v>
          </cell>
        </row>
        <row r="610">
          <cell r="A610" t="str">
            <v>Mixed Organics</v>
          </cell>
          <cell r="B610">
            <v>1.2328155960009999</v>
          </cell>
          <cell r="C610">
            <v>9.9999999999999978E-2</v>
          </cell>
          <cell r="D610">
            <v>1.1095340364008999</v>
          </cell>
          <cell r="E610">
            <v>0.20686675882087696</v>
          </cell>
          <cell r="F610">
            <v>0.10675712925259993</v>
          </cell>
          <cell r="G610">
            <v>0.84617517550554555</v>
          </cell>
          <cell r="H610">
            <v>0.21839649093392627</v>
          </cell>
          <cell r="I610">
            <v>0.66082533996941883</v>
          </cell>
          <cell r="J610">
            <v>-0.11090288103745255</v>
          </cell>
          <cell r="K610">
            <v>0.03</v>
          </cell>
          <cell r="L610">
            <v>0.8146757853469625</v>
          </cell>
          <cell r="M610">
            <v>-2.8963986651422031E-2</v>
          </cell>
          <cell r="N610">
            <v>0.14986396685910378</v>
          </cell>
          <cell r="O610">
            <v>0.13385281877731325</v>
          </cell>
          <cell r="P610">
            <v>0.716283214363583</v>
          </cell>
          <cell r="Q610">
            <v>0.86308069467353576</v>
          </cell>
          <cell r="R610">
            <v>-2.0746417459464483E-2</v>
          </cell>
          <cell r="S610">
            <v>0.84233427721407128</v>
          </cell>
        </row>
        <row r="611">
          <cell r="A611" t="str">
            <v>Mixed MSW</v>
          </cell>
          <cell r="B611">
            <v>1.6199727500000001</v>
          </cell>
          <cell r="C611">
            <v>9.9999999999999978E-2</v>
          </cell>
          <cell r="D611">
            <v>1.457975475</v>
          </cell>
          <cell r="E611">
            <v>0.41832650820608008</v>
          </cell>
          <cell r="F611">
            <v>0.1066544542559868</v>
          </cell>
          <cell r="G611">
            <v>0.76951789654267877</v>
          </cell>
          <cell r="H611">
            <v>0.47498898550917984</v>
          </cell>
          <cell r="I611">
            <v>0.40943286703283827</v>
          </cell>
          <cell r="J611">
            <v>-0.11090288103745255</v>
          </cell>
          <cell r="K611">
            <v>0.03</v>
          </cell>
          <cell r="L611">
            <v>0.66327008754757133</v>
          </cell>
          <cell r="M611">
            <v>-8.2776262021651531E-2</v>
          </cell>
          <cell r="N611">
            <v>0.14986396685910378</v>
          </cell>
          <cell r="O611">
            <v>0.13385281877731325</v>
          </cell>
          <cell r="P611">
            <v>0.716283214363583</v>
          </cell>
          <cell r="Q611">
            <v>0.79658935811840204</v>
          </cell>
          <cell r="R611">
            <v>-5.9291247033870738E-2</v>
          </cell>
          <cell r="S611">
            <v>0.73729811108453125</v>
          </cell>
        </row>
        <row r="612">
          <cell r="A612" t="str">
            <v>Wood Flooring</v>
          </cell>
          <cell r="B612">
            <v>0.18143694800000035</v>
          </cell>
          <cell r="C612">
            <v>9.9999999999999978E-2</v>
          </cell>
          <cell r="D612">
            <v>0.16329325320000032</v>
          </cell>
          <cell r="E612">
            <v>0</v>
          </cell>
          <cell r="F612">
            <v>9.9999999999999978E-2</v>
          </cell>
          <cell r="G612">
            <v>0.16329325320000032</v>
          </cell>
          <cell r="H612">
            <v>0</v>
          </cell>
          <cell r="I612">
            <v>0.9</v>
          </cell>
          <cell r="J612">
            <v>-0.11090288103745255</v>
          </cell>
          <cell r="K612">
            <v>0.03</v>
          </cell>
          <cell r="L612">
            <v>0.16329325320000032</v>
          </cell>
          <cell r="M612">
            <v>0</v>
          </cell>
          <cell r="N612">
            <v>1</v>
          </cell>
          <cell r="O612">
            <v>0</v>
          </cell>
          <cell r="P612">
            <v>0</v>
          </cell>
          <cell r="Q612">
            <v>0.16329325320000032</v>
          </cell>
          <cell r="R612">
            <v>0</v>
          </cell>
          <cell r="S612">
            <v>0.16329325320000032</v>
          </cell>
        </row>
        <row r="613">
          <cell r="A613" t="str">
            <v>Drywall</v>
          </cell>
          <cell r="B613">
            <v>0</v>
          </cell>
          <cell r="C613">
            <v>9.9999999999999978E-2</v>
          </cell>
          <cell r="D613">
            <v>0</v>
          </cell>
          <cell r="E613">
            <v>0</v>
          </cell>
          <cell r="F613">
            <v>9.9999999999999978E-2</v>
          </cell>
          <cell r="G613">
            <v>0</v>
          </cell>
          <cell r="H613">
            <v>0</v>
          </cell>
          <cell r="I613">
            <v>0.9</v>
          </cell>
          <cell r="J613">
            <v>-0.11090288103745255</v>
          </cell>
          <cell r="K613">
            <v>0.03</v>
          </cell>
          <cell r="L613">
            <v>0</v>
          </cell>
          <cell r="M613">
            <v>0</v>
          </cell>
          <cell r="N613">
            <v>1</v>
          </cell>
          <cell r="O613">
            <v>0</v>
          </cell>
          <cell r="P613">
            <v>0</v>
          </cell>
          <cell r="Q613">
            <v>0</v>
          </cell>
          <cell r="R613">
            <v>0</v>
          </cell>
          <cell r="S613">
            <v>0</v>
          </cell>
        </row>
        <row r="623">
          <cell r="A623" t="str">
            <v>Corrugated Containers</v>
          </cell>
          <cell r="B623">
            <v>2.6232704732575001</v>
          </cell>
          <cell r="C623">
            <v>9.9999999999999978E-2</v>
          </cell>
          <cell r="D623">
            <v>2.3609434259317501</v>
          </cell>
          <cell r="E623">
            <v>0.71221762898436514</v>
          </cell>
          <cell r="F623">
            <v>8.1927090243536199E-2</v>
          </cell>
          <cell r="G623">
            <v>0.54001407981357885</v>
          </cell>
          <cell r="H623">
            <v>0.6120722770260878</v>
          </cell>
          <cell r="I623">
            <v>0.16786721629141643</v>
          </cell>
          <cell r="J623">
            <v>-0.11090288103745255</v>
          </cell>
          <cell r="K623">
            <v>0.03</v>
          </cell>
          <cell r="L623">
            <v>0.44036111192520311</v>
          </cell>
          <cell r="M623">
            <v>-0.17272704485041326</v>
          </cell>
          <cell r="N623">
            <v>0.14986396685910378</v>
          </cell>
          <cell r="O623">
            <v>0.13385281877731325</v>
          </cell>
          <cell r="P623">
            <v>0.716283214363583</v>
          </cell>
          <cell r="Q623">
            <v>0.74152602683304525</v>
          </cell>
          <cell r="R623">
            <v>-0.12372148289297678</v>
          </cell>
          <cell r="S623">
            <v>0.61780454394006845</v>
          </cell>
        </row>
        <row r="624">
          <cell r="A624" t="str">
            <v>Magazines/Third-class Mail</v>
          </cell>
          <cell r="B624">
            <v>1.1946237049113888</v>
          </cell>
          <cell r="C624">
            <v>9.9999999999999978E-2</v>
          </cell>
          <cell r="D624">
            <v>1.07516133442025</v>
          </cell>
          <cell r="E624">
            <v>0.70947860369619475</v>
          </cell>
          <cell r="F624">
            <v>5.7262368582836114E-2</v>
          </cell>
          <cell r="G624">
            <v>0.27865676390005251</v>
          </cell>
          <cell r="H624">
            <v>0.62074435793919114</v>
          </cell>
          <cell r="I624">
            <v>0.22467865120063432</v>
          </cell>
          <cell r="J624">
            <v>-0.11090288103745255</v>
          </cell>
          <cell r="K624">
            <v>0.03</v>
          </cell>
          <cell r="L624">
            <v>0.26840644271179542</v>
          </cell>
          <cell r="M624">
            <v>-7.977346784292931E-2</v>
          </cell>
          <cell r="N624">
            <v>0.14986396685910378</v>
          </cell>
          <cell r="O624">
            <v>0.13385281877731325</v>
          </cell>
          <cell r="P624">
            <v>0.716283214363583</v>
          </cell>
          <cell r="Q624">
            <v>0.39068196545063216</v>
          </cell>
          <cell r="R624">
            <v>-5.7140395967463328E-2</v>
          </cell>
          <cell r="S624">
            <v>0.33354156948316882</v>
          </cell>
        </row>
        <row r="625">
          <cell r="A625" t="str">
            <v>Newspaper</v>
          </cell>
          <cell r="B625">
            <v>1.0471665853275001</v>
          </cell>
          <cell r="C625">
            <v>9.9999999999999978E-2</v>
          </cell>
          <cell r="D625">
            <v>0.94244992679475004</v>
          </cell>
          <cell r="E625">
            <v>0.74186212044836186</v>
          </cell>
          <cell r="F625">
            <v>6.7252189337371093E-2</v>
          </cell>
          <cell r="G625">
            <v>0.199889116409557</v>
          </cell>
          <cell r="H625">
            <v>0.65167714850728453</v>
          </cell>
          <cell r="I625">
            <v>0.1601077656072516</v>
          </cell>
          <cell r="J625">
            <v>-0.11090288103745255</v>
          </cell>
          <cell r="K625">
            <v>0.03</v>
          </cell>
          <cell r="L625">
            <v>0.16765950219536141</v>
          </cell>
          <cell r="M625">
            <v>-7.3411285782354396E-2</v>
          </cell>
          <cell r="N625">
            <v>0.14986396685910378</v>
          </cell>
          <cell r="O625">
            <v>0.13385281877731325</v>
          </cell>
          <cell r="P625">
            <v>0.716283214363583</v>
          </cell>
          <cell r="Q625">
            <v>0.28808669342095061</v>
          </cell>
          <cell r="R625">
            <v>-5.2583271750748409E-2</v>
          </cell>
          <cell r="S625">
            <v>0.23550342167020222</v>
          </cell>
        </row>
        <row r="626">
          <cell r="A626" t="str">
            <v>Office Paper</v>
          </cell>
          <cell r="B626">
            <v>3.8859258337900004</v>
          </cell>
          <cell r="C626">
            <v>9.9999999999999978E-2</v>
          </cell>
          <cell r="D626">
            <v>3.4973332504110006</v>
          </cell>
          <cell r="E626">
            <v>0.73567597546785435</v>
          </cell>
          <cell r="F626">
            <v>7.0702479640002328E-2</v>
          </cell>
          <cell r="G626">
            <v>0.75239896327471012</v>
          </cell>
          <cell r="H626">
            <v>0.6428573611187387</v>
          </cell>
          <cell r="I626">
            <v>0.16072308052309775</v>
          </cell>
          <cell r="J626">
            <v>-0.11090288103745255</v>
          </cell>
          <cell r="K626">
            <v>0.03</v>
          </cell>
          <cell r="L626">
            <v>0.62455797069101604</v>
          </cell>
          <cell r="M626">
            <v>-0.26873466510887717</v>
          </cell>
          <cell r="N626">
            <v>0.14986396685910378</v>
          </cell>
          <cell r="O626">
            <v>0.13385281877731325</v>
          </cell>
          <cell r="P626">
            <v>0.716283214363583</v>
          </cell>
          <cell r="Q626">
            <v>1.0721953472172414</v>
          </cell>
          <cell r="R626">
            <v>-0.19249012973510754</v>
          </cell>
          <cell r="S626">
            <v>0.87970521748213382</v>
          </cell>
        </row>
        <row r="627">
          <cell r="A627" t="str">
            <v>Phonebooks</v>
          </cell>
          <cell r="B627">
            <v>1.0471665853275001</v>
          </cell>
          <cell r="C627">
            <v>9.9999999999999978E-2</v>
          </cell>
          <cell r="D627">
            <v>0.94244992679475004</v>
          </cell>
          <cell r="E627">
            <v>0.74186212044836186</v>
          </cell>
          <cell r="F627">
            <v>6.7252189337371093E-2</v>
          </cell>
          <cell r="G627">
            <v>0.199889116409557</v>
          </cell>
          <cell r="H627">
            <v>0.65167714850728453</v>
          </cell>
          <cell r="I627">
            <v>0.1601077656072516</v>
          </cell>
          <cell r="J627">
            <v>-0.11090288103745255</v>
          </cell>
          <cell r="K627">
            <v>0.03</v>
          </cell>
          <cell r="L627">
            <v>0.16765950219536141</v>
          </cell>
          <cell r="M627">
            <v>-7.3411285782354396E-2</v>
          </cell>
          <cell r="N627">
            <v>0.14986396685910378</v>
          </cell>
          <cell r="O627">
            <v>0.13385281877731325</v>
          </cell>
          <cell r="P627">
            <v>0.716283214363583</v>
          </cell>
          <cell r="Q627">
            <v>0.28808669342095061</v>
          </cell>
          <cell r="R627">
            <v>-5.2583271750748409E-2</v>
          </cell>
          <cell r="S627">
            <v>0.23550342167020222</v>
          </cell>
        </row>
        <row r="628">
          <cell r="A628" t="str">
            <v>Textbooks</v>
          </cell>
          <cell r="B628">
            <v>3.8859258337900004</v>
          </cell>
          <cell r="C628">
            <v>9.9999999999999978E-2</v>
          </cell>
          <cell r="D628">
            <v>3.4973332504110006</v>
          </cell>
          <cell r="E628">
            <v>0.73567597546785435</v>
          </cell>
          <cell r="F628">
            <v>7.0702479640002328E-2</v>
          </cell>
          <cell r="G628">
            <v>0.75239896327471012</v>
          </cell>
          <cell r="H628">
            <v>0.6428573611187387</v>
          </cell>
          <cell r="I628">
            <v>0.16072308052309775</v>
          </cell>
          <cell r="J628">
            <v>-0.11090288103745255</v>
          </cell>
          <cell r="K628">
            <v>0.03</v>
          </cell>
          <cell r="L628">
            <v>0.62455797069101604</v>
          </cell>
          <cell r="M628">
            <v>-0.26873466510887717</v>
          </cell>
          <cell r="N628">
            <v>0.14986396685910378</v>
          </cell>
          <cell r="O628">
            <v>0.13385281877731325</v>
          </cell>
          <cell r="P628">
            <v>0.716283214363583</v>
          </cell>
          <cell r="Q628">
            <v>1.0721953472172414</v>
          </cell>
          <cell r="R628">
            <v>-0.19249012973510754</v>
          </cell>
          <cell r="S628">
            <v>0.87970521748213382</v>
          </cell>
        </row>
        <row r="629">
          <cell r="A629" t="str">
            <v>Dimensional Lumber</v>
          </cell>
          <cell r="B629">
            <v>0.16645220006249997</v>
          </cell>
          <cell r="C629">
            <v>9.9999999999999978E-2</v>
          </cell>
          <cell r="D629">
            <v>0.14980698005624998</v>
          </cell>
          <cell r="E629">
            <v>0.73767939191732534</v>
          </cell>
          <cell r="F629">
            <v>5.5629083786499348E-2</v>
          </cell>
          <cell r="G629">
            <v>3.440425895337005E-2</v>
          </cell>
          <cell r="H629">
            <v>0.65485154883517738</v>
          </cell>
          <cell r="I629">
            <v>0.19259688966464</v>
          </cell>
          <cell r="J629">
            <v>-0.11090288103745255</v>
          </cell>
          <cell r="K629">
            <v>0.03</v>
          </cell>
          <cell r="L629">
            <v>3.2058176009873894E-2</v>
          </cell>
          <cell r="M629">
            <v>-1.1725920933772753E-2</v>
          </cell>
          <cell r="N629">
            <v>0.14986396685910378</v>
          </cell>
          <cell r="O629">
            <v>0.13385281877731325</v>
          </cell>
          <cell r="P629">
            <v>0.716283214363583</v>
          </cell>
          <cell r="Q629">
            <v>5.001850869225144E-2</v>
          </cell>
          <cell r="R629">
            <v>-8.3990803378159746E-3</v>
          </cell>
          <cell r="S629">
            <v>4.1619428354435467E-2</v>
          </cell>
        </row>
        <row r="630">
          <cell r="A630" t="str">
            <v>Medium-density Fiberboard</v>
          </cell>
          <cell r="B630">
            <v>5.5889059875000008E-2</v>
          </cell>
          <cell r="C630">
            <v>9.9999999999999978E-2</v>
          </cell>
          <cell r="D630">
            <v>5.0300153887500011E-2</v>
          </cell>
          <cell r="E630">
            <v>0.74745974680005223</v>
          </cell>
          <cell r="F630">
            <v>5.6419199048059851E-2</v>
          </cell>
          <cell r="G630">
            <v>1.0961021338242982E-2</v>
          </cell>
          <cell r="H630">
            <v>0.66559103232194194</v>
          </cell>
          <cell r="I630">
            <v>0.17779323721443777</v>
          </cell>
          <cell r="J630">
            <v>-0.11090288103745255</v>
          </cell>
          <cell r="K630">
            <v>0.03</v>
          </cell>
          <cell r="L630">
            <v>9.9366968800477917E-3</v>
          </cell>
          <cell r="M630">
            <v>-4.0017396367476076E-3</v>
          </cell>
          <cell r="N630">
            <v>0.14986396685910378</v>
          </cell>
          <cell r="O630">
            <v>0.13385281877731325</v>
          </cell>
          <cell r="P630">
            <v>0.716283214363583</v>
          </cell>
          <cell r="Q630">
            <v>1.6122833379403442E-2</v>
          </cell>
          <cell r="R630">
            <v>-2.8663789300557335E-3</v>
          </cell>
          <cell r="S630">
            <v>1.3256454449347709E-2</v>
          </cell>
        </row>
        <row r="631">
          <cell r="A631" t="str">
            <v>Food Waste</v>
          </cell>
          <cell r="B631">
            <v>1.622706214625282</v>
          </cell>
          <cell r="C631">
            <v>9.9999999999999978E-2</v>
          </cell>
          <cell r="D631">
            <v>1.4604355931627537</v>
          </cell>
          <cell r="E631">
            <v>0.69362288949788575</v>
          </cell>
          <cell r="F631">
            <v>5.8833730044498968E-2</v>
          </cell>
          <cell r="G631">
            <v>0.40169018185792288</v>
          </cell>
          <cell r="H631">
            <v>0.60151370407032245</v>
          </cell>
          <cell r="I631">
            <v>0.24065772449281039</v>
          </cell>
          <cell r="J631">
            <v>-0.11090288103745255</v>
          </cell>
          <cell r="K631">
            <v>0.03</v>
          </cell>
          <cell r="L631">
            <v>0.39051678513206234</v>
          </cell>
          <cell r="M631">
            <v>-0.10500258437234675</v>
          </cell>
          <cell r="N631">
            <v>0.14986396685910378</v>
          </cell>
          <cell r="O631">
            <v>0.13385281877731325</v>
          </cell>
          <cell r="P631">
            <v>0.716283214363583</v>
          </cell>
          <cell r="Q631">
            <v>0.55235465256777938</v>
          </cell>
          <cell r="R631">
            <v>-7.5211588650707858E-2</v>
          </cell>
          <cell r="S631">
            <v>0.47714306391707151</v>
          </cell>
        </row>
        <row r="632">
          <cell r="A632" t="str">
            <v>Food Waste (meat only)</v>
          </cell>
          <cell r="B632">
            <v>1.622706214625282</v>
          </cell>
          <cell r="C632">
            <v>9.9999999999999978E-2</v>
          </cell>
          <cell r="D632">
            <v>1.4604355931627537</v>
          </cell>
          <cell r="E632">
            <v>0.69362288949788575</v>
          </cell>
          <cell r="F632">
            <v>5.8833730044498968E-2</v>
          </cell>
          <cell r="G632">
            <v>0.40169018185792288</v>
          </cell>
          <cell r="H632">
            <v>0.60151370407032245</v>
          </cell>
          <cell r="I632">
            <v>0.24065772449281039</v>
          </cell>
          <cell r="J632">
            <v>-0.11090288103745255</v>
          </cell>
          <cell r="K632">
            <v>0.03</v>
          </cell>
          <cell r="L632">
            <v>0.39051678513206234</v>
          </cell>
          <cell r="M632">
            <v>-0.10500258437234675</v>
          </cell>
          <cell r="N632">
            <v>0.14986396685910378</v>
          </cell>
          <cell r="O632">
            <v>0.13385281877731325</v>
          </cell>
          <cell r="P632">
            <v>0.716283214363583</v>
          </cell>
          <cell r="Q632">
            <v>0.55235465256777938</v>
          </cell>
          <cell r="R632">
            <v>-7.5211588650707858E-2</v>
          </cell>
          <cell r="S632">
            <v>0.47714306391707151</v>
          </cell>
        </row>
        <row r="633">
          <cell r="A633" t="str">
            <v>Food Waste (non-meat)</v>
          </cell>
          <cell r="B633">
            <v>1.622706214625282</v>
          </cell>
          <cell r="C633">
            <v>9.9999999999999978E-2</v>
          </cell>
          <cell r="D633">
            <v>1.4604355931627537</v>
          </cell>
          <cell r="E633">
            <v>0.69362288949788575</v>
          </cell>
          <cell r="F633">
            <v>5.8833730044498968E-2</v>
          </cell>
          <cell r="G633">
            <v>0.40169018185792288</v>
          </cell>
          <cell r="H633">
            <v>0.60151370407032245</v>
          </cell>
          <cell r="I633">
            <v>0.24065772449281039</v>
          </cell>
          <cell r="J633">
            <v>-0.11090288103745255</v>
          </cell>
          <cell r="K633">
            <v>0.03</v>
          </cell>
          <cell r="L633">
            <v>0.39051678513206234</v>
          </cell>
          <cell r="M633">
            <v>-0.10500258437234675</v>
          </cell>
          <cell r="N633">
            <v>0.14986396685910378</v>
          </cell>
          <cell r="O633">
            <v>0.13385281877731325</v>
          </cell>
          <cell r="P633">
            <v>0.716283214363583</v>
          </cell>
          <cell r="Q633">
            <v>0.55235465256777938</v>
          </cell>
          <cell r="R633">
            <v>-7.5211588650707858E-2</v>
          </cell>
          <cell r="S633">
            <v>0.47714306391707151</v>
          </cell>
        </row>
        <row r="634">
          <cell r="A634" t="str">
            <v>Beef</v>
          </cell>
          <cell r="B634">
            <v>1.622706214625282</v>
          </cell>
          <cell r="C634">
            <v>9.9999999999999978E-2</v>
          </cell>
          <cell r="D634">
            <v>1.4604355931627537</v>
          </cell>
          <cell r="E634">
            <v>0.69362288949788575</v>
          </cell>
          <cell r="F634">
            <v>5.8833730044498968E-2</v>
          </cell>
          <cell r="G634">
            <v>0.40169018185792288</v>
          </cell>
          <cell r="H634">
            <v>0.60151370407032245</v>
          </cell>
          <cell r="I634">
            <v>0.24065772449281039</v>
          </cell>
          <cell r="J634">
            <v>-0.11090288103745255</v>
          </cell>
          <cell r="K634">
            <v>0.03</v>
          </cell>
          <cell r="L634">
            <v>0.39051678513206234</v>
          </cell>
          <cell r="M634">
            <v>-0.10500258437234675</v>
          </cell>
          <cell r="N634">
            <v>0.14986396685910378</v>
          </cell>
          <cell r="O634">
            <v>0.13385281877731325</v>
          </cell>
          <cell r="P634">
            <v>0.716283214363583</v>
          </cell>
          <cell r="Q634">
            <v>0.55235465256777938</v>
          </cell>
          <cell r="R634">
            <v>-7.5211588650707858E-2</v>
          </cell>
          <cell r="S634">
            <v>0.47714306391707151</v>
          </cell>
        </row>
        <row r="635">
          <cell r="A635" t="str">
            <v>Poultry</v>
          </cell>
          <cell r="B635">
            <v>1.622706214625282</v>
          </cell>
          <cell r="C635">
            <v>9.9999999999999978E-2</v>
          </cell>
          <cell r="D635">
            <v>1.4604355931627537</v>
          </cell>
          <cell r="E635">
            <v>0.69362288949788575</v>
          </cell>
          <cell r="F635">
            <v>5.8833730044498968E-2</v>
          </cell>
          <cell r="G635">
            <v>0.40169018185792288</v>
          </cell>
          <cell r="H635">
            <v>0.60151370407032245</v>
          </cell>
          <cell r="I635">
            <v>0.24065772449281039</v>
          </cell>
          <cell r="J635">
            <v>-0.11090288103745255</v>
          </cell>
          <cell r="K635">
            <v>0.03</v>
          </cell>
          <cell r="L635">
            <v>0.39051678513206234</v>
          </cell>
          <cell r="M635">
            <v>-0.10500258437234675</v>
          </cell>
          <cell r="N635">
            <v>0.14986396685910378</v>
          </cell>
          <cell r="O635">
            <v>0.13385281877731325</v>
          </cell>
          <cell r="P635">
            <v>0.716283214363583</v>
          </cell>
          <cell r="Q635">
            <v>0.55235465256777938</v>
          </cell>
          <cell r="R635">
            <v>-7.5211588650707858E-2</v>
          </cell>
          <cell r="S635">
            <v>0.47714306391707151</v>
          </cell>
        </row>
        <row r="636">
          <cell r="A636" t="str">
            <v>Grains</v>
          </cell>
          <cell r="B636">
            <v>1.622706214625282</v>
          </cell>
          <cell r="C636">
            <v>9.9999999999999978E-2</v>
          </cell>
          <cell r="D636">
            <v>1.4604355931627537</v>
          </cell>
          <cell r="E636">
            <v>0.69362288949788575</v>
          </cell>
          <cell r="F636">
            <v>5.8833730044498968E-2</v>
          </cell>
          <cell r="G636">
            <v>0.40169018185792288</v>
          </cell>
          <cell r="H636">
            <v>0.60151370407032245</v>
          </cell>
          <cell r="I636">
            <v>0.24065772449281039</v>
          </cell>
          <cell r="J636">
            <v>-0.11090288103745255</v>
          </cell>
          <cell r="K636">
            <v>0.03</v>
          </cell>
          <cell r="L636">
            <v>0.39051678513206234</v>
          </cell>
          <cell r="M636">
            <v>-0.10500258437234675</v>
          </cell>
          <cell r="N636">
            <v>0.14986396685910378</v>
          </cell>
          <cell r="O636">
            <v>0.13385281877731325</v>
          </cell>
          <cell r="P636">
            <v>0.716283214363583</v>
          </cell>
          <cell r="Q636">
            <v>0.55235465256777938</v>
          </cell>
          <cell r="R636">
            <v>-7.5211588650707858E-2</v>
          </cell>
          <cell r="S636">
            <v>0.47714306391707151</v>
          </cell>
        </row>
        <row r="637">
          <cell r="A637" t="str">
            <v>Bread</v>
          </cell>
          <cell r="B637">
            <v>1.622706214625282</v>
          </cell>
          <cell r="C637">
            <v>9.9999999999999978E-2</v>
          </cell>
          <cell r="D637">
            <v>1.4604355931627537</v>
          </cell>
          <cell r="E637">
            <v>0.69362288949788575</v>
          </cell>
          <cell r="F637">
            <v>5.8833730044498968E-2</v>
          </cell>
          <cell r="G637">
            <v>0.40169018185792288</v>
          </cell>
          <cell r="H637">
            <v>0.60151370407032245</v>
          </cell>
          <cell r="I637">
            <v>0.24065772449281039</v>
          </cell>
          <cell r="J637">
            <v>-0.11090288103745255</v>
          </cell>
          <cell r="K637">
            <v>0.03</v>
          </cell>
          <cell r="L637">
            <v>0.39051678513206234</v>
          </cell>
          <cell r="M637">
            <v>-0.10500258437234675</v>
          </cell>
          <cell r="N637">
            <v>0.14986396685910378</v>
          </cell>
          <cell r="O637">
            <v>0.13385281877731325</v>
          </cell>
          <cell r="P637">
            <v>0.716283214363583</v>
          </cell>
          <cell r="Q637">
            <v>0.55235465256777938</v>
          </cell>
          <cell r="R637">
            <v>-7.5211588650707858E-2</v>
          </cell>
          <cell r="S637">
            <v>0.47714306391707151</v>
          </cell>
        </row>
        <row r="638">
          <cell r="A638" t="str">
            <v>Fruits and Vegetables</v>
          </cell>
          <cell r="B638">
            <v>1.622706214625282</v>
          </cell>
          <cell r="C638">
            <v>9.9999999999999978E-2</v>
          </cell>
          <cell r="D638">
            <v>1.4604355931627537</v>
          </cell>
          <cell r="E638">
            <v>0.69362288949788575</v>
          </cell>
          <cell r="F638">
            <v>5.8833730044498968E-2</v>
          </cell>
          <cell r="G638">
            <v>0.40169018185792288</v>
          </cell>
          <cell r="H638">
            <v>0.60151370407032245</v>
          </cell>
          <cell r="I638">
            <v>0.24065772449281039</v>
          </cell>
          <cell r="J638">
            <v>-0.11090288103745255</v>
          </cell>
          <cell r="K638">
            <v>0.03</v>
          </cell>
          <cell r="L638">
            <v>0.39051678513206234</v>
          </cell>
          <cell r="M638">
            <v>-0.10500258437234675</v>
          </cell>
          <cell r="N638">
            <v>0.14986396685910378</v>
          </cell>
          <cell r="O638">
            <v>0.13385281877731325</v>
          </cell>
          <cell r="P638">
            <v>0.716283214363583</v>
          </cell>
          <cell r="Q638">
            <v>0.55235465256777938</v>
          </cell>
          <cell r="R638">
            <v>-7.5211588650707858E-2</v>
          </cell>
          <cell r="S638">
            <v>0.47714306391707151</v>
          </cell>
        </row>
        <row r="639">
          <cell r="A639" t="str">
            <v>Dairy Products</v>
          </cell>
          <cell r="B639">
            <v>1.622706214625282</v>
          </cell>
          <cell r="C639">
            <v>9.9999999999999978E-2</v>
          </cell>
          <cell r="D639">
            <v>1.4604355931627537</v>
          </cell>
          <cell r="E639">
            <v>0.69362288949788575</v>
          </cell>
          <cell r="F639">
            <v>5.8833730044498968E-2</v>
          </cell>
          <cell r="G639">
            <v>0.40169018185792288</v>
          </cell>
          <cell r="H639">
            <v>0.60151370407032245</v>
          </cell>
          <cell r="I639">
            <v>0.24065772449281039</v>
          </cell>
          <cell r="J639">
            <v>-0.11090288103745255</v>
          </cell>
          <cell r="K639">
            <v>0.03</v>
          </cell>
          <cell r="L639">
            <v>0.39051678513206234</v>
          </cell>
          <cell r="M639">
            <v>-0.10500258437234675</v>
          </cell>
          <cell r="N639">
            <v>0.14986396685910378</v>
          </cell>
          <cell r="O639">
            <v>0.13385281877731325</v>
          </cell>
          <cell r="P639">
            <v>0.716283214363583</v>
          </cell>
          <cell r="Q639">
            <v>0.55235465256777938</v>
          </cell>
          <cell r="R639">
            <v>-7.5211588650707858E-2</v>
          </cell>
          <cell r="S639">
            <v>0.47714306391707151</v>
          </cell>
        </row>
        <row r="640">
          <cell r="A640" t="str">
            <v>Yard Trimmings</v>
          </cell>
          <cell r="B640">
            <v>0.81032008938650013</v>
          </cell>
          <cell r="C640">
            <v>9.9999999999999978E-2</v>
          </cell>
          <cell r="D640">
            <v>0.7292880804478501</v>
          </cell>
          <cell r="E640">
            <v>0.64139838961824713</v>
          </cell>
          <cell r="F640">
            <v>7.3043661051495165E-2</v>
          </cell>
          <cell r="G640">
            <v>0.23139334302632009</v>
          </cell>
          <cell r="H640">
            <v>0.53924666619305661</v>
          </cell>
          <cell r="I640">
            <v>0.27263132799412182</v>
          </cell>
          <cell r="J640">
            <v>-0.11090288103745255</v>
          </cell>
          <cell r="K640">
            <v>0.03</v>
          </cell>
          <cell r="L640">
            <v>0.22091864206975703</v>
          </cell>
          <cell r="M640">
            <v>-4.7006578119325203E-2</v>
          </cell>
          <cell r="N640">
            <v>0.14986396685910378</v>
          </cell>
          <cell r="O640">
            <v>0.13385281877731325</v>
          </cell>
          <cell r="P640">
            <v>0.716283214363583</v>
          </cell>
          <cell r="Q640">
            <v>0.29850697098391815</v>
          </cell>
          <cell r="R640">
            <v>-3.3670022871543123E-2</v>
          </cell>
          <cell r="S640">
            <v>0.26483694811237501</v>
          </cell>
        </row>
        <row r="641">
          <cell r="A641" t="str">
            <v>Grass</v>
          </cell>
          <cell r="B641">
            <v>0.5688048319800002</v>
          </cell>
          <cell r="C641">
            <v>9.9999999999999978E-2</v>
          </cell>
          <cell r="D641">
            <v>0.51192434878200022</v>
          </cell>
          <cell r="E641">
            <v>0.59959470092008105</v>
          </cell>
          <cell r="F641">
            <v>7.0182319660834935E-2</v>
          </cell>
          <cell r="G641">
            <v>0.18783242632440714</v>
          </cell>
          <cell r="H641">
            <v>0.49551047830266221</v>
          </cell>
          <cell r="I641">
            <v>0.32754755716524431</v>
          </cell>
          <cell r="J641">
            <v>-0.11090288103745255</v>
          </cell>
          <cell r="K641">
            <v>0.03</v>
          </cell>
          <cell r="L641">
            <v>0.18631063321883631</v>
          </cell>
          <cell r="M641">
            <v>-3.0320103708572761E-2</v>
          </cell>
          <cell r="N641">
            <v>0.14986396685910378</v>
          </cell>
          <cell r="O641">
            <v>0.13385281877731325</v>
          </cell>
          <cell r="P641">
            <v>0.716283214363583</v>
          </cell>
          <cell r="Q641">
            <v>0.2353120925936405</v>
          </cell>
          <cell r="R641">
            <v>-2.1717781344213691E-2</v>
          </cell>
          <cell r="S641">
            <v>0.21359431124942679</v>
          </cell>
        </row>
        <row r="642">
          <cell r="A642" t="str">
            <v>Leaves</v>
          </cell>
          <cell r="B642">
            <v>0.65408019754000024</v>
          </cell>
          <cell r="C642">
            <v>9.9999999999999978E-2</v>
          </cell>
          <cell r="D642">
            <v>0.58867217778600023</v>
          </cell>
          <cell r="E642">
            <v>0.6748524020121538</v>
          </cell>
          <cell r="F642">
            <v>6.0921933190187814E-2</v>
          </cell>
          <cell r="G642">
            <v>0.17282477502599031</v>
          </cell>
          <cell r="H642">
            <v>0.5791691280473692</v>
          </cell>
          <cell r="I642">
            <v>0.2587482520850648</v>
          </cell>
          <cell r="J642">
            <v>-0.11090288103745255</v>
          </cell>
          <cell r="K642">
            <v>0.03</v>
          </cell>
          <cell r="L642">
            <v>0.16924210783692897</v>
          </cell>
          <cell r="M642">
            <v>-4.0752191445371864E-2</v>
          </cell>
          <cell r="N642">
            <v>0.14986396685910378</v>
          </cell>
          <cell r="O642">
            <v>0.13385281877731325</v>
          </cell>
          <cell r="P642">
            <v>0.716283214363583</v>
          </cell>
          <cell r="Q642">
            <v>0.23257911204148501</v>
          </cell>
          <cell r="R642">
            <v>-2.9190110680851068E-2</v>
          </cell>
          <cell r="S642">
            <v>0.20338900136063395</v>
          </cell>
        </row>
        <row r="643">
          <cell r="A643" t="str">
            <v>Branches</v>
          </cell>
          <cell r="B643">
            <v>1.4495904960459998</v>
          </cell>
          <cell r="C643">
            <v>9.9999999999999978E-2</v>
          </cell>
          <cell r="D643">
            <v>1.3046314464413997</v>
          </cell>
          <cell r="E643">
            <v>0.69155175462067286</v>
          </cell>
          <cell r="F643">
            <v>9.0888071694122954E-2</v>
          </cell>
          <cell r="G643">
            <v>0.31537316009218902</v>
          </cell>
          <cell r="H643">
            <v>0.58679658011953273</v>
          </cell>
          <cell r="I643">
            <v>0.17668194556093395</v>
          </cell>
          <cell r="J643">
            <v>-0.11090288103745255</v>
          </cell>
          <cell r="K643">
            <v>0.03</v>
          </cell>
          <cell r="L643">
            <v>0.25611646910804658</v>
          </cell>
          <cell r="M643">
            <v>-9.1505557167543175E-2</v>
          </cell>
          <cell r="N643">
            <v>0.14986396685910378</v>
          </cell>
          <cell r="O643">
            <v>0.13385281877731325</v>
          </cell>
          <cell r="P643">
            <v>0.716283214363583</v>
          </cell>
          <cell r="Q643">
            <v>0.42118275804204985</v>
          </cell>
          <cell r="R643">
            <v>-6.5543894620098422E-2</v>
          </cell>
          <cell r="S643">
            <v>0.35563886342195145</v>
          </cell>
        </row>
        <row r="644">
          <cell r="A644" t="str">
            <v>Mixed Paper (general)</v>
          </cell>
          <cell r="B644">
            <v>2.3832448707931113</v>
          </cell>
          <cell r="C644">
            <v>9.9999999999999978E-2</v>
          </cell>
          <cell r="D644">
            <v>2.1449203837138002</v>
          </cell>
          <cell r="E644">
            <v>0.72380485420936858</v>
          </cell>
          <cell r="F644">
            <v>7.4187014172493793E-2</v>
          </cell>
          <cell r="G644">
            <v>0.48143484353742627</v>
          </cell>
          <cell r="H644">
            <v>0.62842822947315347</v>
          </cell>
          <cell r="I644">
            <v>0.16912103576629056</v>
          </cell>
          <cell r="J644">
            <v>-0.11090288103745255</v>
          </cell>
          <cell r="K644">
            <v>0.03</v>
          </cell>
          <cell r="L644">
            <v>0.40305684103323031</v>
          </cell>
          <cell r="M644">
            <v>-0.16111609057168305</v>
          </cell>
          <cell r="N644">
            <v>0.14986396685910378</v>
          </cell>
          <cell r="O644">
            <v>0.13385281877731325</v>
          </cell>
          <cell r="P644">
            <v>0.716283214363583</v>
          </cell>
          <cell r="Q644">
            <v>0.67459053783191436</v>
          </cell>
          <cell r="R644">
            <v>-0.1154047512403793</v>
          </cell>
          <cell r="S644">
            <v>0.55918578659153506</v>
          </cell>
        </row>
        <row r="645">
          <cell r="A645" t="str">
            <v>Mixed Paper (primarily residential)</v>
          </cell>
          <cell r="B645">
            <v>2.2946736526735392</v>
          </cell>
          <cell r="C645">
            <v>9.9999999999999978E-2</v>
          </cell>
          <cell r="D645">
            <v>2.0652062874061854</v>
          </cell>
          <cell r="E645">
            <v>0.72204612799995593</v>
          </cell>
          <cell r="F645">
            <v>7.451394538455347E-2</v>
          </cell>
          <cell r="G645">
            <v>0.46682823950640456</v>
          </cell>
          <cell r="H645">
            <v>0.62635851733104453</v>
          </cell>
          <cell r="I645">
            <v>0.1707635071174157</v>
          </cell>
          <cell r="J645">
            <v>-0.11090288103745255</v>
          </cell>
          <cell r="K645">
            <v>0.03</v>
          </cell>
          <cell r="L645">
            <v>0.39184652062046416</v>
          </cell>
          <cell r="M645">
            <v>-0.15461744029353738</v>
          </cell>
          <cell r="N645">
            <v>0.14986396685910378</v>
          </cell>
          <cell r="O645">
            <v>0.13385281877731325</v>
          </cell>
          <cell r="P645">
            <v>0.716283214363583</v>
          </cell>
          <cell r="Q645">
            <v>0.65265936768304833</v>
          </cell>
          <cell r="R645">
            <v>-0.11074987713012434</v>
          </cell>
          <cell r="S645">
            <v>0.54190949055292403</v>
          </cell>
        </row>
        <row r="646">
          <cell r="A646" t="str">
            <v>Mixed Paper (primarily from offices)</v>
          </cell>
          <cell r="B646">
            <v>2.2577848571899501</v>
          </cell>
          <cell r="C646">
            <v>9.9999999999999978E-2</v>
          </cell>
          <cell r="D646">
            <v>2.0320063714709553</v>
          </cell>
          <cell r="E646">
            <v>0.72637109475178896</v>
          </cell>
          <cell r="F646">
            <v>6.5700709226046622E-2</v>
          </cell>
          <cell r="G646">
            <v>0.46945713236166647</v>
          </cell>
          <cell r="H646">
            <v>0.63520958112106363</v>
          </cell>
          <cell r="I646">
            <v>0.18397507662309914</v>
          </cell>
          <cell r="J646">
            <v>-0.11090288103745255</v>
          </cell>
          <cell r="K646">
            <v>0.03</v>
          </cell>
          <cell r="L646">
            <v>0.41537614209999402</v>
          </cell>
          <cell r="M646">
            <v>-0.15428160873103</v>
          </cell>
          <cell r="N646">
            <v>0.14986396685910378</v>
          </cell>
          <cell r="O646">
            <v>0.13385281877731325</v>
          </cell>
          <cell r="P646">
            <v>0.716283214363583</v>
          </cell>
          <cell r="Q646">
            <v>0.66488965420666246</v>
          </cell>
          <cell r="R646">
            <v>-0.1105093266190468</v>
          </cell>
          <cell r="S646">
            <v>0.55438032758761568</v>
          </cell>
        </row>
        <row r="647">
          <cell r="A647" t="str">
            <v>Mixed Recyclables</v>
          </cell>
          <cell r="B647">
            <v>1.9734014132616131</v>
          </cell>
          <cell r="C647">
            <v>9.9999999999999978E-2</v>
          </cell>
          <cell r="D647">
            <v>1.7760612719354518</v>
          </cell>
          <cell r="E647">
            <v>0.62196278128559801</v>
          </cell>
          <cell r="F647">
            <v>6.5025443228622873E-2</v>
          </cell>
          <cell r="G647">
            <v>0.61769788011116333</v>
          </cell>
          <cell r="H647">
            <v>0.53887544108494245</v>
          </cell>
          <cell r="I647">
            <v>0.14916705250847084</v>
          </cell>
          <cell r="J647">
            <v>-0.11090288103745255</v>
          </cell>
          <cell r="K647">
            <v>0.03</v>
          </cell>
          <cell r="L647">
            <v>0.29436647223228563</v>
          </cell>
          <cell r="M647">
            <v>-0.11439798869356438</v>
          </cell>
          <cell r="N647">
            <v>0.14986396685910378</v>
          </cell>
          <cell r="O647">
            <v>0.13385281877731325</v>
          </cell>
          <cell r="P647">
            <v>0.716283214363583</v>
          </cell>
          <cell r="Q647">
            <v>0.55969795293413238</v>
          </cell>
          <cell r="R647">
            <v>-8.1941359058155125E-2</v>
          </cell>
          <cell r="S647">
            <v>0.47775659387597724</v>
          </cell>
        </row>
        <row r="648">
          <cell r="A648" t="str">
            <v>Mixed Organics</v>
          </cell>
          <cell r="B648">
            <v>1.2328155960009999</v>
          </cell>
          <cell r="C648">
            <v>9.9999999999999978E-2</v>
          </cell>
          <cell r="D648">
            <v>1.1095340364008999</v>
          </cell>
          <cell r="E648">
            <v>0.6685586473440317</v>
          </cell>
          <cell r="F648">
            <v>6.5653539761581059E-2</v>
          </cell>
          <cell r="G648">
            <v>0.32766736096319626</v>
          </cell>
          <cell r="H648">
            <v>0.57162972013259461</v>
          </cell>
          <cell r="I648">
            <v>0.25600290046453156</v>
          </cell>
          <cell r="J648">
            <v>-0.11090288103745255</v>
          </cell>
          <cell r="K648">
            <v>0.03</v>
          </cell>
          <cell r="L648">
            <v>0.31560436831416611</v>
          </cell>
          <cell r="M648">
            <v>-7.5810172190383968E-2</v>
          </cell>
          <cell r="N648">
            <v>0.14986396685910378</v>
          </cell>
          <cell r="O648">
            <v>0.13385281877731325</v>
          </cell>
          <cell r="P648">
            <v>0.716283214363583</v>
          </cell>
          <cell r="Q648">
            <v>0.43620048334973838</v>
          </cell>
          <cell r="R648">
            <v>-5.4301553817984939E-2</v>
          </cell>
          <cell r="S648">
            <v>0.38189892953175342</v>
          </cell>
        </row>
        <row r="649">
          <cell r="A649" t="str">
            <v>Mixed MSW</v>
          </cell>
          <cell r="B649">
            <v>1.6199727500000001</v>
          </cell>
          <cell r="C649">
            <v>9.9999999999999978E-2</v>
          </cell>
          <cell r="D649">
            <v>1.457975475</v>
          </cell>
          <cell r="E649">
            <v>0.74832297061771635</v>
          </cell>
          <cell r="F649">
            <v>6.2830947238515261E-2</v>
          </cell>
          <cell r="G649">
            <v>0.30592550701716636</v>
          </cell>
          <cell r="H649">
            <v>0.66174802556634793</v>
          </cell>
          <cell r="I649">
            <v>0.16149343292944718</v>
          </cell>
          <cell r="J649">
            <v>-0.11090288103745255</v>
          </cell>
          <cell r="K649">
            <v>0.03</v>
          </cell>
          <cell r="L649">
            <v>0.26161496064965711</v>
          </cell>
          <cell r="M649">
            <v>-0.11532273300584131</v>
          </cell>
          <cell r="N649">
            <v>0.14986396685910378</v>
          </cell>
          <cell r="O649">
            <v>0.13385281877731325</v>
          </cell>
          <cell r="P649">
            <v>0.716283214363583</v>
          </cell>
          <cell r="Q649">
            <v>0.44683738465665124</v>
          </cell>
          <cell r="R649">
            <v>-8.2603737886617276E-2</v>
          </cell>
          <cell r="S649">
            <v>0.36423364677003395</v>
          </cell>
        </row>
        <row r="650">
          <cell r="A650" t="str">
            <v>Wood Flooring</v>
          </cell>
          <cell r="B650">
            <v>0.18143694800000035</v>
          </cell>
          <cell r="C650">
            <v>9.9999999999999978E-2</v>
          </cell>
          <cell r="D650">
            <v>0.16329325320000032</v>
          </cell>
          <cell r="E650">
            <v>0</v>
          </cell>
          <cell r="F650">
            <v>9.9999999999999978E-2</v>
          </cell>
          <cell r="G650">
            <v>0.16329325320000032</v>
          </cell>
          <cell r="H650">
            <v>0</v>
          </cell>
          <cell r="I650">
            <v>0.9</v>
          </cell>
          <cell r="J650">
            <v>-0.11090288103745255</v>
          </cell>
          <cell r="K650">
            <v>0.03</v>
          </cell>
          <cell r="L650">
            <v>0.16329325320000032</v>
          </cell>
          <cell r="M650">
            <v>0</v>
          </cell>
          <cell r="N650">
            <v>1</v>
          </cell>
          <cell r="O650">
            <v>0</v>
          </cell>
          <cell r="P650">
            <v>0</v>
          </cell>
          <cell r="Q650">
            <v>0.16329325320000032</v>
          </cell>
          <cell r="R650">
            <v>0</v>
          </cell>
          <cell r="S650">
            <v>0.16329325320000032</v>
          </cell>
        </row>
        <row r="651">
          <cell r="A651" t="str">
            <v>Drywall</v>
          </cell>
          <cell r="B651">
            <v>0</v>
          </cell>
          <cell r="C651">
            <v>9.9999999999999978E-2</v>
          </cell>
          <cell r="D651">
            <v>0</v>
          </cell>
          <cell r="E651">
            <v>0</v>
          </cell>
          <cell r="F651">
            <v>9.9999999999999978E-2</v>
          </cell>
          <cell r="G651">
            <v>0</v>
          </cell>
          <cell r="H651">
            <v>0</v>
          </cell>
          <cell r="I651">
            <v>0.9</v>
          </cell>
          <cell r="J651">
            <v>-0.11090288103745255</v>
          </cell>
          <cell r="K651">
            <v>0.03</v>
          </cell>
          <cell r="L651">
            <v>0</v>
          </cell>
          <cell r="M651">
            <v>0</v>
          </cell>
          <cell r="N651">
            <v>1</v>
          </cell>
          <cell r="O651">
            <v>0</v>
          </cell>
          <cell r="P651">
            <v>0</v>
          </cell>
          <cell r="Q651">
            <v>0</v>
          </cell>
          <cell r="R651">
            <v>0</v>
          </cell>
          <cell r="S651">
            <v>0</v>
          </cell>
        </row>
        <row r="661">
          <cell r="A661" t="str">
            <v>Corrugated Containers</v>
          </cell>
          <cell r="B661">
            <v>2.6232704732575001</v>
          </cell>
          <cell r="C661">
            <v>9.9999999999999978E-2</v>
          </cell>
          <cell r="D661">
            <v>2.3609434259317501</v>
          </cell>
          <cell r="E661">
            <v>0.70586181864475517</v>
          </cell>
          <cell r="F661">
            <v>8.6139315343470232E-2</v>
          </cell>
          <cell r="G661">
            <v>0.5456372836797313</v>
          </cell>
          <cell r="H661">
            <v>0.65635159957313161</v>
          </cell>
          <cell r="I661">
            <v>0.11504021595914821</v>
          </cell>
          <cell r="J661">
            <v>-0.11090288103745255</v>
          </cell>
          <cell r="K661">
            <v>0.03</v>
          </cell>
          <cell r="L661">
            <v>0.30178160176279972</v>
          </cell>
          <cell r="M661">
            <v>-0.18522268763412189</v>
          </cell>
          <cell r="N661">
            <v>0.14986396685910378</v>
          </cell>
          <cell r="O661">
            <v>0.13385281877731325</v>
          </cell>
          <cell r="P661">
            <v>0.716283214363583</v>
          </cell>
          <cell r="Q661">
            <v>0.6430165315370322</v>
          </cell>
          <cell r="R661">
            <v>-0.13267190207163071</v>
          </cell>
          <cell r="S661">
            <v>0.51034462946540149</v>
          </cell>
        </row>
        <row r="662">
          <cell r="A662" t="str">
            <v>Magazines/Third-class Mail</v>
          </cell>
          <cell r="B662">
            <v>1.1946237049113888</v>
          </cell>
          <cell r="C662">
            <v>9.9999999999999978E-2</v>
          </cell>
          <cell r="D662">
            <v>1.07516133442025</v>
          </cell>
          <cell r="E662">
            <v>0.75645773245699144</v>
          </cell>
          <cell r="F662">
            <v>5.6099921604227443E-2</v>
          </cell>
          <cell r="G662">
            <v>0.2239230697626689</v>
          </cell>
          <cell r="H662">
            <v>0.6659614864811132</v>
          </cell>
          <cell r="I662">
            <v>0.15889673000510135</v>
          </cell>
          <cell r="J662">
            <v>-0.11090288103745255</v>
          </cell>
          <cell r="K662">
            <v>0.03</v>
          </cell>
          <cell r="L662">
            <v>0.18982180029699883</v>
          </cell>
          <cell r="M662">
            <v>-8.5584438339163738E-2</v>
          </cell>
          <cell r="N662">
            <v>0.14986396685910378</v>
          </cell>
          <cell r="O662">
            <v>0.13385281877731325</v>
          </cell>
          <cell r="P662">
            <v>0.716283214363583</v>
          </cell>
          <cell r="Q662">
            <v>0.32706684593976476</v>
          </cell>
          <cell r="R662">
            <v>-6.130269659307807E-2</v>
          </cell>
          <cell r="S662">
            <v>0.26576414934668668</v>
          </cell>
        </row>
        <row r="663">
          <cell r="A663" t="str">
            <v>Newspaper</v>
          </cell>
          <cell r="B663">
            <v>1.0471665853275001</v>
          </cell>
          <cell r="C663">
            <v>9.9999999999999978E-2</v>
          </cell>
          <cell r="D663">
            <v>0.94244992679475004</v>
          </cell>
          <cell r="E663">
            <v>0.72212889448093687</v>
          </cell>
          <cell r="F663">
            <v>7.8894540308686187E-2</v>
          </cell>
          <cell r="G663">
            <v>0.20836161035154505</v>
          </cell>
          <cell r="H663">
            <v>0.66873383761308469</v>
          </cell>
          <cell r="I663">
            <v>0.11932165066710718</v>
          </cell>
          <cell r="J663">
            <v>-0.11090288103745255</v>
          </cell>
          <cell r="K663">
            <v>0.03</v>
          </cell>
          <cell r="L663">
            <v>0.12494964548471545</v>
          </cell>
          <cell r="M663">
            <v>-7.5332718015040184E-2</v>
          </cell>
          <cell r="N663">
            <v>0.14986396685910378</v>
          </cell>
          <cell r="O663">
            <v>0.13385281877731325</v>
          </cell>
          <cell r="P663">
            <v>0.716283214363583</v>
          </cell>
          <cell r="Q663">
            <v>0.25862840716744984</v>
          </cell>
          <cell r="R663">
            <v>-5.395956140655838E-2</v>
          </cell>
          <cell r="S663">
            <v>0.20466884576089145</v>
          </cell>
        </row>
        <row r="664">
          <cell r="A664" t="str">
            <v>Office Paper</v>
          </cell>
          <cell r="B664">
            <v>3.8859258337900004</v>
          </cell>
          <cell r="C664">
            <v>9.9999999999999978E-2</v>
          </cell>
          <cell r="D664">
            <v>3.4973332504110006</v>
          </cell>
          <cell r="E664">
            <v>0.71747827505037487</v>
          </cell>
          <cell r="F664">
            <v>8.1008777479675664E-2</v>
          </cell>
          <cell r="G664">
            <v>0.78306436841664395</v>
          </cell>
          <cell r="H664">
            <v>0.66536811532029683</v>
          </cell>
          <cell r="I664">
            <v>0.1179111221189162</v>
          </cell>
          <cell r="J664">
            <v>-0.11090288103745255</v>
          </cell>
          <cell r="K664">
            <v>0.03</v>
          </cell>
          <cell r="L664">
            <v>0.45819387553306401</v>
          </cell>
          <cell r="M664">
            <v>-0.27814487078992656</v>
          </cell>
          <cell r="N664">
            <v>0.14986396685910378</v>
          </cell>
          <cell r="O664">
            <v>0.13385281877731325</v>
          </cell>
          <cell r="P664">
            <v>0.716283214363583</v>
          </cell>
          <cell r="Q664">
            <v>0.95713618930001076</v>
          </cell>
          <cell r="R664">
            <v>-0.19923050210815205</v>
          </cell>
          <cell r="S664">
            <v>0.75790568719185869</v>
          </cell>
        </row>
        <row r="665">
          <cell r="A665" t="str">
            <v>Phonebooks</v>
          </cell>
          <cell r="B665">
            <v>1.0471665853275001</v>
          </cell>
          <cell r="C665">
            <v>9.9999999999999978E-2</v>
          </cell>
          <cell r="D665">
            <v>0.94244992679475004</v>
          </cell>
          <cell r="E665">
            <v>0.72212889448093687</v>
          </cell>
          <cell r="F665">
            <v>7.8894540308686187E-2</v>
          </cell>
          <cell r="G665">
            <v>0.20836161035154505</v>
          </cell>
          <cell r="H665">
            <v>0.66873383761308469</v>
          </cell>
          <cell r="I665">
            <v>0.11932165066710718</v>
          </cell>
          <cell r="J665">
            <v>-0.11090288103745255</v>
          </cell>
          <cell r="K665">
            <v>0.03</v>
          </cell>
          <cell r="L665">
            <v>0.12494964548471545</v>
          </cell>
          <cell r="M665">
            <v>-7.5332718015040184E-2</v>
          </cell>
          <cell r="N665">
            <v>0.14986396685910378</v>
          </cell>
          <cell r="O665">
            <v>0.13385281877731325</v>
          </cell>
          <cell r="P665">
            <v>0.716283214363583</v>
          </cell>
          <cell r="Q665">
            <v>0.25862840716744984</v>
          </cell>
          <cell r="R665">
            <v>-5.395956140655838E-2</v>
          </cell>
          <cell r="S665">
            <v>0.20466884576089145</v>
          </cell>
        </row>
        <row r="666">
          <cell r="A666" t="str">
            <v>Textbooks</v>
          </cell>
          <cell r="B666">
            <v>3.8859258337900004</v>
          </cell>
          <cell r="C666">
            <v>9.9999999999999978E-2</v>
          </cell>
          <cell r="D666">
            <v>3.4973332504110006</v>
          </cell>
          <cell r="E666">
            <v>0.71747827505037487</v>
          </cell>
          <cell r="F666">
            <v>8.1008777479675664E-2</v>
          </cell>
          <cell r="G666">
            <v>0.78306436841664395</v>
          </cell>
          <cell r="H666">
            <v>0.66536811532029683</v>
          </cell>
          <cell r="I666">
            <v>0.1179111221189162</v>
          </cell>
          <cell r="J666">
            <v>-0.11090288103745255</v>
          </cell>
          <cell r="K666">
            <v>0.03</v>
          </cell>
          <cell r="L666">
            <v>0.45819387553306401</v>
          </cell>
          <cell r="M666">
            <v>-0.27814487078992656</v>
          </cell>
          <cell r="N666">
            <v>0.14986396685910378</v>
          </cell>
          <cell r="O666">
            <v>0.13385281877731325</v>
          </cell>
          <cell r="P666">
            <v>0.716283214363583</v>
          </cell>
          <cell r="Q666">
            <v>0.95713618930001076</v>
          </cell>
          <cell r="R666">
            <v>-0.19923050210815205</v>
          </cell>
          <cell r="S666">
            <v>0.75790568719185869</v>
          </cell>
        </row>
        <row r="667">
          <cell r="A667" t="str">
            <v>Dimensional Lumber</v>
          </cell>
          <cell r="B667">
            <v>0.16645220006249997</v>
          </cell>
          <cell r="C667">
            <v>9.9999999999999978E-2</v>
          </cell>
          <cell r="D667">
            <v>0.14980698005624998</v>
          </cell>
          <cell r="E667">
            <v>0.75429176419672272</v>
          </cell>
          <cell r="F667">
            <v>6.1504385642868267E-2</v>
          </cell>
          <cell r="G667">
            <v>3.0661136119183169E-2</v>
          </cell>
          <cell r="H667">
            <v>0.68102325018906906</v>
          </cell>
          <cell r="I667">
            <v>0.14054322404191849</v>
          </cell>
          <cell r="J667">
            <v>-0.11090288103745255</v>
          </cell>
          <cell r="K667">
            <v>0.03</v>
          </cell>
          <cell r="L667">
            <v>2.3393728845654174E-2</v>
          </cell>
          <cell r="M667">
            <v>-1.2194557377137552E-2</v>
          </cell>
          <cell r="N667">
            <v>0.14986396685910378</v>
          </cell>
          <cell r="O667">
            <v>0.13385281877731325</v>
          </cell>
          <cell r="P667">
            <v>0.716283214363583</v>
          </cell>
          <cell r="Q667">
            <v>4.3311283084395066E-2</v>
          </cell>
          <cell r="R667">
            <v>-8.7347567558372294E-3</v>
          </cell>
          <cell r="S667">
            <v>3.4576526328557837E-2</v>
          </cell>
        </row>
        <row r="668">
          <cell r="A668" t="str">
            <v>Medium-density Fiberboard</v>
          </cell>
          <cell r="B668">
            <v>5.5889059875000008E-2</v>
          </cell>
          <cell r="C668">
            <v>9.9999999999999978E-2</v>
          </cell>
          <cell r="D668">
            <v>5.0300153887500011E-2</v>
          </cell>
          <cell r="E668">
            <v>0.74758673447592061</v>
          </cell>
          <cell r="F668">
            <v>6.6041024664056355E-2</v>
          </cell>
          <cell r="G668">
            <v>1.0416169328463749E-2</v>
          </cell>
          <cell r="H668">
            <v>0.68202640155814565</v>
          </cell>
          <cell r="I668">
            <v>0.13240503328309186</v>
          </cell>
          <cell r="J668">
            <v>-0.11090288103745255</v>
          </cell>
          <cell r="K668">
            <v>0.03</v>
          </cell>
          <cell r="L668">
            <v>7.3999928329100901E-3</v>
          </cell>
          <cell r="M668">
            <v>-4.1005541719850444E-3</v>
          </cell>
          <cell r="N668">
            <v>0.14986396685910378</v>
          </cell>
          <cell r="O668">
            <v>0.13385281877731325</v>
          </cell>
          <cell r="P668">
            <v>0.716283214363583</v>
          </cell>
          <cell r="Q668">
            <v>1.4232904873305106E-2</v>
          </cell>
          <cell r="R668">
            <v>-2.937158122981448E-3</v>
          </cell>
          <cell r="S668">
            <v>1.1295746750323658E-2</v>
          </cell>
        </row>
        <row r="669">
          <cell r="A669" t="str">
            <v>Food Waste</v>
          </cell>
          <cell r="B669">
            <v>1.622706214625282</v>
          </cell>
          <cell r="C669">
            <v>9.9999999999999978E-2</v>
          </cell>
          <cell r="D669">
            <v>1.4604355931627537</v>
          </cell>
          <cell r="E669">
            <v>0.75315853012471701</v>
          </cell>
          <cell r="F669">
            <v>5.4906279218545191E-2</v>
          </cell>
          <cell r="G669">
            <v>0.31145442668397677</v>
          </cell>
          <cell r="H669">
            <v>0.65405248455216192</v>
          </cell>
          <cell r="I669">
            <v>0.16847302148861806</v>
          </cell>
          <cell r="J669">
            <v>-0.11090288103745255</v>
          </cell>
          <cell r="K669">
            <v>0.03</v>
          </cell>
          <cell r="L669">
            <v>0.27338221896627918</v>
          </cell>
          <cell r="M669">
            <v>-0.11417395934358031</v>
          </cell>
          <cell r="N669">
            <v>0.14986396685910378</v>
          </cell>
          <cell r="O669">
            <v>0.13385281877731325</v>
          </cell>
          <cell r="P669">
            <v>0.716283214363583</v>
          </cell>
          <cell r="Q669">
            <v>0.4563748188169362</v>
          </cell>
          <cell r="R669">
            <v>-8.1780890595236744E-2</v>
          </cell>
          <cell r="S669">
            <v>0.37459392822169946</v>
          </cell>
        </row>
        <row r="670">
          <cell r="A670" t="str">
            <v>Food Waste (meat only)</v>
          </cell>
          <cell r="B670">
            <v>1.622706214625282</v>
          </cell>
          <cell r="C670">
            <v>9.9999999999999978E-2</v>
          </cell>
          <cell r="D670">
            <v>1.4604355931627537</v>
          </cell>
          <cell r="E670">
            <v>0.75315853012471701</v>
          </cell>
          <cell r="F670">
            <v>5.4906279218545191E-2</v>
          </cell>
          <cell r="G670">
            <v>0.31145442668397677</v>
          </cell>
          <cell r="H670">
            <v>0.65405248455216192</v>
          </cell>
          <cell r="I670">
            <v>0.16847302148861806</v>
          </cell>
          <cell r="J670">
            <v>-0.11090288103745255</v>
          </cell>
          <cell r="K670">
            <v>0.03</v>
          </cell>
          <cell r="L670">
            <v>0.27338221896627918</v>
          </cell>
          <cell r="M670">
            <v>-0.11417395934358031</v>
          </cell>
          <cell r="N670">
            <v>0.14986396685910378</v>
          </cell>
          <cell r="O670">
            <v>0.13385281877731325</v>
          </cell>
          <cell r="P670">
            <v>0.716283214363583</v>
          </cell>
          <cell r="Q670">
            <v>0.4563748188169362</v>
          </cell>
          <cell r="R670">
            <v>-8.1780890595236744E-2</v>
          </cell>
          <cell r="S670">
            <v>0.37459392822169946</v>
          </cell>
        </row>
        <row r="671">
          <cell r="A671" t="str">
            <v>Food Waste (non-meat)</v>
          </cell>
          <cell r="B671">
            <v>1.622706214625282</v>
          </cell>
          <cell r="C671">
            <v>9.9999999999999978E-2</v>
          </cell>
          <cell r="D671">
            <v>1.4604355931627537</v>
          </cell>
          <cell r="E671">
            <v>0.75315853012471701</v>
          </cell>
          <cell r="F671">
            <v>5.4906279218545191E-2</v>
          </cell>
          <cell r="G671">
            <v>0.31145442668397677</v>
          </cell>
          <cell r="H671">
            <v>0.65405248455216192</v>
          </cell>
          <cell r="I671">
            <v>0.16847302148861806</v>
          </cell>
          <cell r="J671">
            <v>-0.11090288103745255</v>
          </cell>
          <cell r="K671">
            <v>0.03</v>
          </cell>
          <cell r="L671">
            <v>0.27338221896627918</v>
          </cell>
          <cell r="M671">
            <v>-0.11417395934358031</v>
          </cell>
          <cell r="N671">
            <v>0.14986396685910378</v>
          </cell>
          <cell r="O671">
            <v>0.13385281877731325</v>
          </cell>
          <cell r="P671">
            <v>0.716283214363583</v>
          </cell>
          <cell r="Q671">
            <v>0.4563748188169362</v>
          </cell>
          <cell r="R671">
            <v>-8.1780890595236744E-2</v>
          </cell>
          <cell r="S671">
            <v>0.37459392822169946</v>
          </cell>
        </row>
        <row r="672">
          <cell r="A672" t="str">
            <v>Beef</v>
          </cell>
          <cell r="B672">
            <v>1.622706214625282</v>
          </cell>
          <cell r="C672">
            <v>9.9999999999999978E-2</v>
          </cell>
          <cell r="D672">
            <v>1.4604355931627537</v>
          </cell>
          <cell r="E672">
            <v>0.75315853012471701</v>
          </cell>
          <cell r="F672">
            <v>5.4906279218545191E-2</v>
          </cell>
          <cell r="G672">
            <v>0.31145442668397677</v>
          </cell>
          <cell r="H672">
            <v>0.65405248455216192</v>
          </cell>
          <cell r="I672">
            <v>0.16847302148861806</v>
          </cell>
          <cell r="J672">
            <v>-0.11090288103745255</v>
          </cell>
          <cell r="K672">
            <v>0.03</v>
          </cell>
          <cell r="L672">
            <v>0.27338221896627918</v>
          </cell>
          <cell r="M672">
            <v>-0.11417395934358031</v>
          </cell>
          <cell r="N672">
            <v>0.14986396685910378</v>
          </cell>
          <cell r="O672">
            <v>0.13385281877731325</v>
          </cell>
          <cell r="P672">
            <v>0.716283214363583</v>
          </cell>
          <cell r="Q672">
            <v>0.4563748188169362</v>
          </cell>
          <cell r="R672">
            <v>-8.1780890595236744E-2</v>
          </cell>
          <cell r="S672">
            <v>0.37459392822169946</v>
          </cell>
        </row>
        <row r="673">
          <cell r="A673" t="str">
            <v>Poultry</v>
          </cell>
          <cell r="B673">
            <v>1.622706214625282</v>
          </cell>
          <cell r="C673">
            <v>9.9999999999999978E-2</v>
          </cell>
          <cell r="D673">
            <v>1.4604355931627537</v>
          </cell>
          <cell r="E673">
            <v>0.75315853012471701</v>
          </cell>
          <cell r="F673">
            <v>5.4906279218545191E-2</v>
          </cell>
          <cell r="G673">
            <v>0.31145442668397677</v>
          </cell>
          <cell r="H673">
            <v>0.65405248455216192</v>
          </cell>
          <cell r="I673">
            <v>0.16847302148861806</v>
          </cell>
          <cell r="J673">
            <v>-0.11090288103745255</v>
          </cell>
          <cell r="K673">
            <v>0.03</v>
          </cell>
          <cell r="L673">
            <v>0.27338221896627918</v>
          </cell>
          <cell r="M673">
            <v>-0.11417395934358031</v>
          </cell>
          <cell r="N673">
            <v>0.14986396685910378</v>
          </cell>
          <cell r="O673">
            <v>0.13385281877731325</v>
          </cell>
          <cell r="P673">
            <v>0.716283214363583</v>
          </cell>
          <cell r="Q673">
            <v>0.4563748188169362</v>
          </cell>
          <cell r="R673">
            <v>-8.1780890595236744E-2</v>
          </cell>
          <cell r="S673">
            <v>0.37459392822169946</v>
          </cell>
        </row>
        <row r="674">
          <cell r="A674" t="str">
            <v>Grains</v>
          </cell>
          <cell r="B674">
            <v>1.622706214625282</v>
          </cell>
          <cell r="C674">
            <v>9.9999999999999978E-2</v>
          </cell>
          <cell r="D674">
            <v>1.4604355931627537</v>
          </cell>
          <cell r="E674">
            <v>0.75315853012471701</v>
          </cell>
          <cell r="F674">
            <v>5.4906279218545191E-2</v>
          </cell>
          <cell r="G674">
            <v>0.31145442668397677</v>
          </cell>
          <cell r="H674">
            <v>0.65405248455216192</v>
          </cell>
          <cell r="I674">
            <v>0.16847302148861806</v>
          </cell>
          <cell r="J674">
            <v>-0.11090288103745255</v>
          </cell>
          <cell r="K674">
            <v>0.03</v>
          </cell>
          <cell r="L674">
            <v>0.27338221896627918</v>
          </cell>
          <cell r="M674">
            <v>-0.11417395934358031</v>
          </cell>
          <cell r="N674">
            <v>0.14986396685910378</v>
          </cell>
          <cell r="O674">
            <v>0.13385281877731325</v>
          </cell>
          <cell r="P674">
            <v>0.716283214363583</v>
          </cell>
          <cell r="Q674">
            <v>0.4563748188169362</v>
          </cell>
          <cell r="R674">
            <v>-8.1780890595236744E-2</v>
          </cell>
          <cell r="S674">
            <v>0.37459392822169946</v>
          </cell>
        </row>
        <row r="675">
          <cell r="A675" t="str">
            <v>Bread</v>
          </cell>
          <cell r="B675">
            <v>1.622706214625282</v>
          </cell>
          <cell r="C675">
            <v>9.9999999999999978E-2</v>
          </cell>
          <cell r="D675">
            <v>1.4604355931627537</v>
          </cell>
          <cell r="E675">
            <v>0.75315853012471701</v>
          </cell>
          <cell r="F675">
            <v>5.4906279218545191E-2</v>
          </cell>
          <cell r="G675">
            <v>0.31145442668397677</v>
          </cell>
          <cell r="H675">
            <v>0.65405248455216192</v>
          </cell>
          <cell r="I675">
            <v>0.16847302148861806</v>
          </cell>
          <cell r="J675">
            <v>-0.11090288103745255</v>
          </cell>
          <cell r="K675">
            <v>0.03</v>
          </cell>
          <cell r="L675">
            <v>0.27338221896627918</v>
          </cell>
          <cell r="M675">
            <v>-0.11417395934358031</v>
          </cell>
          <cell r="N675">
            <v>0.14986396685910378</v>
          </cell>
          <cell r="O675">
            <v>0.13385281877731325</v>
          </cell>
          <cell r="P675">
            <v>0.716283214363583</v>
          </cell>
          <cell r="Q675">
            <v>0.4563748188169362</v>
          </cell>
          <cell r="R675">
            <v>-8.1780890595236744E-2</v>
          </cell>
          <cell r="S675">
            <v>0.37459392822169946</v>
          </cell>
        </row>
        <row r="676">
          <cell r="A676" t="str">
            <v>Fruits and Vegetables</v>
          </cell>
          <cell r="B676">
            <v>1.622706214625282</v>
          </cell>
          <cell r="C676">
            <v>9.9999999999999978E-2</v>
          </cell>
          <cell r="D676">
            <v>1.4604355931627537</v>
          </cell>
          <cell r="E676">
            <v>0.75315853012471701</v>
          </cell>
          <cell r="F676">
            <v>5.4906279218545191E-2</v>
          </cell>
          <cell r="G676">
            <v>0.31145442668397677</v>
          </cell>
          <cell r="H676">
            <v>0.65405248455216192</v>
          </cell>
          <cell r="I676">
            <v>0.16847302148861806</v>
          </cell>
          <cell r="J676">
            <v>-0.11090288103745255</v>
          </cell>
          <cell r="K676">
            <v>0.03</v>
          </cell>
          <cell r="L676">
            <v>0.27338221896627918</v>
          </cell>
          <cell r="M676">
            <v>-0.11417395934358031</v>
          </cell>
          <cell r="N676">
            <v>0.14986396685910378</v>
          </cell>
          <cell r="O676">
            <v>0.13385281877731325</v>
          </cell>
          <cell r="P676">
            <v>0.716283214363583</v>
          </cell>
          <cell r="Q676">
            <v>0.4563748188169362</v>
          </cell>
          <cell r="R676">
            <v>-8.1780890595236744E-2</v>
          </cell>
          <cell r="S676">
            <v>0.37459392822169946</v>
          </cell>
        </row>
        <row r="677">
          <cell r="A677" t="str">
            <v>Dairy Products</v>
          </cell>
          <cell r="B677">
            <v>1.622706214625282</v>
          </cell>
          <cell r="C677">
            <v>9.9999999999999978E-2</v>
          </cell>
          <cell r="D677">
            <v>1.4604355931627537</v>
          </cell>
          <cell r="E677">
            <v>0.75315853012471701</v>
          </cell>
          <cell r="F677">
            <v>5.4906279218545191E-2</v>
          </cell>
          <cell r="G677">
            <v>0.31145442668397677</v>
          </cell>
          <cell r="H677">
            <v>0.65405248455216192</v>
          </cell>
          <cell r="I677">
            <v>0.16847302148861806</v>
          </cell>
          <cell r="J677">
            <v>-0.11090288103745255</v>
          </cell>
          <cell r="K677">
            <v>0.03</v>
          </cell>
          <cell r="L677">
            <v>0.27338221896627918</v>
          </cell>
          <cell r="M677">
            <v>-0.11417395934358031</v>
          </cell>
          <cell r="N677">
            <v>0.14986396685910378</v>
          </cell>
          <cell r="O677">
            <v>0.13385281877731325</v>
          </cell>
          <cell r="P677">
            <v>0.716283214363583</v>
          </cell>
          <cell r="Q677">
            <v>0.4563748188169362</v>
          </cell>
          <cell r="R677">
            <v>-8.1780890595236744E-2</v>
          </cell>
          <cell r="S677">
            <v>0.37459392822169946</v>
          </cell>
        </row>
        <row r="678">
          <cell r="A678" t="str">
            <v>Yard Trimmings</v>
          </cell>
          <cell r="B678">
            <v>0.81032008938650013</v>
          </cell>
          <cell r="C678">
            <v>9.9999999999999978E-2</v>
          </cell>
          <cell r="D678">
            <v>0.7292880804478501</v>
          </cell>
          <cell r="E678">
            <v>0.71597537259551136</v>
          </cell>
          <cell r="F678">
            <v>6.4316241006968852E-2</v>
          </cell>
          <cell r="G678">
            <v>0.17803411930460195</v>
          </cell>
          <cell r="H678">
            <v>0.60793580646923961</v>
          </cell>
          <cell r="I678">
            <v>0.18546721874520902</v>
          </cell>
          <cell r="J678">
            <v>-0.11090288103745255</v>
          </cell>
          <cell r="K678">
            <v>0.03</v>
          </cell>
          <cell r="L678">
            <v>0.15028781327188334</v>
          </cell>
          <cell r="M678">
            <v>-5.299426731754775E-2</v>
          </cell>
          <cell r="N678">
            <v>0.14986396685910378</v>
          </cell>
          <cell r="O678">
            <v>0.13385281877731325</v>
          </cell>
          <cell r="P678">
            <v>0.716283214363583</v>
          </cell>
          <cell r="Q678">
            <v>0.24077301139649201</v>
          </cell>
          <cell r="R678">
            <v>-3.7958904137056076E-2</v>
          </cell>
          <cell r="S678">
            <v>0.20281410725943594</v>
          </cell>
        </row>
        <row r="679">
          <cell r="A679" t="str">
            <v>Grass</v>
          </cell>
          <cell r="B679">
            <v>0.5688048319800002</v>
          </cell>
          <cell r="C679">
            <v>9.9999999999999978E-2</v>
          </cell>
          <cell r="D679">
            <v>0.51192434878200022</v>
          </cell>
          <cell r="E679">
            <v>0.7090843569305707</v>
          </cell>
          <cell r="F679">
            <v>5.6849207264905346E-2</v>
          </cell>
          <cell r="G679">
            <v>0.13313811968994976</v>
          </cell>
          <cell r="H679">
            <v>0.57139354072038728</v>
          </cell>
          <cell r="I679">
            <v>0.2243168211170079</v>
          </cell>
          <cell r="J679">
            <v>-0.11090288103745255</v>
          </cell>
          <cell r="K679">
            <v>0.03</v>
          </cell>
          <cell r="L679">
            <v>0.12759249174574744</v>
          </cell>
          <cell r="M679">
            <v>-3.4963360355961329E-2</v>
          </cell>
          <cell r="N679">
            <v>0.14986396685910378</v>
          </cell>
          <cell r="O679">
            <v>0.13385281877731325</v>
          </cell>
          <cell r="P679">
            <v>0.716283214363583</v>
          </cell>
          <cell r="Q679">
            <v>0.18593228636374798</v>
          </cell>
          <cell r="R679">
            <v>-2.504366814072025E-2</v>
          </cell>
          <cell r="S679">
            <v>0.16088861822302772</v>
          </cell>
        </row>
        <row r="680">
          <cell r="A680" t="str">
            <v>Leaves</v>
          </cell>
          <cell r="B680">
            <v>0.65408019754000024</v>
          </cell>
          <cell r="C680">
            <v>9.9999999999999978E-2</v>
          </cell>
          <cell r="D680">
            <v>0.58867217778600023</v>
          </cell>
          <cell r="E680">
            <v>0.74697654514707201</v>
          </cell>
          <cell r="F680">
            <v>5.4371075398478325E-2</v>
          </cell>
          <cell r="G680">
            <v>0.12993458759535753</v>
          </cell>
          <cell r="H680">
            <v>0.63845196742769816</v>
          </cell>
          <cell r="I680">
            <v>0.17958905448282578</v>
          </cell>
          <cell r="J680">
            <v>-0.11090288103745255</v>
          </cell>
          <cell r="K680">
            <v>0.03</v>
          </cell>
          <cell r="L680">
            <v>0.11746564423214854</v>
          </cell>
          <cell r="M680">
            <v>-4.4923521550616692E-2</v>
          </cell>
          <cell r="N680">
            <v>0.14986396685910378</v>
          </cell>
          <cell r="O680">
            <v>0.13385281877731325</v>
          </cell>
          <cell r="P680">
            <v>0.716283214363583</v>
          </cell>
          <cell r="Q680">
            <v>0.18975152777679632</v>
          </cell>
          <cell r="R680">
            <v>-3.2177964416807418E-2</v>
          </cell>
          <cell r="S680">
            <v>0.1575735633599889</v>
          </cell>
        </row>
        <row r="681">
          <cell r="A681" t="str">
            <v>Branches</v>
          </cell>
          <cell r="B681">
            <v>1.4495904960459998</v>
          </cell>
          <cell r="C681">
            <v>9.9999999999999978E-2</v>
          </cell>
          <cell r="D681">
            <v>1.3046314464413997</v>
          </cell>
          <cell r="E681">
            <v>0.69875623137383225</v>
          </cell>
          <cell r="F681">
            <v>8.9195474099586405E-2</v>
          </cell>
          <cell r="G681">
            <v>0.30738319244849532</v>
          </cell>
          <cell r="H681">
            <v>0.65050417700848584</v>
          </cell>
          <cell r="I681">
            <v>0.11364617826399444</v>
          </cell>
          <cell r="J681">
            <v>-0.11090288103745255</v>
          </cell>
          <cell r="K681">
            <v>0.03</v>
          </cell>
          <cell r="L681">
            <v>0.16474041992343583</v>
          </cell>
          <cell r="M681">
            <v>-0.10144017394383963</v>
          </cell>
          <cell r="N681">
            <v>0.14986396685910378</v>
          </cell>
          <cell r="O681">
            <v>0.13385281877731325</v>
          </cell>
          <cell r="P681">
            <v>0.716283214363583</v>
          </cell>
          <cell r="Q681">
            <v>0.35466214812520408</v>
          </cell>
          <cell r="R681">
            <v>-7.2659893858094432E-2</v>
          </cell>
          <cell r="S681">
            <v>0.28200225426710968</v>
          </cell>
        </row>
        <row r="682">
          <cell r="A682" t="str">
            <v>Mixed Paper (general)</v>
          </cell>
          <cell r="B682">
            <v>2.3832448707931113</v>
          </cell>
          <cell r="C682">
            <v>9.9999999999999978E-2</v>
          </cell>
          <cell r="D682">
            <v>2.1449203837138002</v>
          </cell>
          <cell r="E682">
            <v>0.71613688123154162</v>
          </cell>
          <cell r="F682">
            <v>8.0971310263223725E-2</v>
          </cell>
          <cell r="G682">
            <v>0.48354086194603862</v>
          </cell>
          <cell r="H682">
            <v>0.66189543080479185</v>
          </cell>
          <cell r="I682">
            <v>0.12015046264468821</v>
          </cell>
          <cell r="J682">
            <v>-0.11090288103745255</v>
          </cell>
          <cell r="K682">
            <v>0.03</v>
          </cell>
          <cell r="L682">
            <v>0.2863479738213725</v>
          </cell>
          <cell r="M682">
            <v>-0.16969639360079664</v>
          </cell>
          <cell r="N682">
            <v>0.14986396685910378</v>
          </cell>
          <cell r="O682">
            <v>0.13385281877731325</v>
          </cell>
          <cell r="P682">
            <v>0.716283214363583</v>
          </cell>
          <cell r="Q682">
            <v>0.59127583178106191</v>
          </cell>
          <cell r="R682">
            <v>-0.12155067827428637</v>
          </cell>
          <cell r="S682">
            <v>0.46972515350677557</v>
          </cell>
        </row>
        <row r="683">
          <cell r="A683" t="str">
            <v>Mixed Paper (primarily residential)</v>
          </cell>
          <cell r="B683">
            <v>2.2946736526735392</v>
          </cell>
          <cell r="C683">
            <v>9.9999999999999978E-2</v>
          </cell>
          <cell r="D683">
            <v>2.0652062874061854</v>
          </cell>
          <cell r="E683">
            <v>0.71628914136508737</v>
          </cell>
          <cell r="F683">
            <v>8.0750802410614372E-2</v>
          </cell>
          <cell r="G683">
            <v>0.46572709356303732</v>
          </cell>
          <cell r="H683">
            <v>0.66142281521772206</v>
          </cell>
          <cell r="I683">
            <v>0.1208125242089416</v>
          </cell>
          <cell r="J683">
            <v>-0.11090288103745255</v>
          </cell>
          <cell r="K683">
            <v>0.03</v>
          </cell>
          <cell r="L683">
            <v>0.27722531621524243</v>
          </cell>
          <cell r="M683">
            <v>-0.16327310926732219</v>
          </cell>
          <cell r="N683">
            <v>0.14986396685910378</v>
          </cell>
          <cell r="O683">
            <v>0.13385281877731325</v>
          </cell>
          <cell r="P683">
            <v>0.716283214363583</v>
          </cell>
          <cell r="Q683">
            <v>0.57041073146904597</v>
          </cell>
          <cell r="R683">
            <v>-0.11694978752513405</v>
          </cell>
          <cell r="S683">
            <v>0.4534609439439119</v>
          </cell>
        </row>
        <row r="684">
          <cell r="A684" t="str">
            <v>Mixed Paper (primarily from offices)</v>
          </cell>
          <cell r="B684">
            <v>2.2577848571899501</v>
          </cell>
          <cell r="C684">
            <v>9.9999999999999978E-2</v>
          </cell>
          <cell r="D684">
            <v>2.0320063714709553</v>
          </cell>
          <cell r="E684">
            <v>0.73190668697689387</v>
          </cell>
          <cell r="F684">
            <v>7.1854126451796244E-2</v>
          </cell>
          <cell r="G684">
            <v>0.44306586382797691</v>
          </cell>
          <cell r="H684">
            <v>0.66583770483231786</v>
          </cell>
          <cell r="I684">
            <v>0.13281860664507456</v>
          </cell>
          <cell r="J684">
            <v>-0.11090288103745255</v>
          </cell>
          <cell r="K684">
            <v>0.03</v>
          </cell>
          <cell r="L684">
            <v>0.2998758388363178</v>
          </cell>
          <cell r="M684">
            <v>-0.16172065930430007</v>
          </cell>
          <cell r="N684">
            <v>0.14986396685910378</v>
          </cell>
          <cell r="O684">
            <v>0.13385281877731325</v>
          </cell>
          <cell r="P684">
            <v>0.716283214363583</v>
          </cell>
          <cell r="Q684">
            <v>0.57862618004064437</v>
          </cell>
          <cell r="R684">
            <v>-0.11583779367548194</v>
          </cell>
          <cell r="S684">
            <v>0.4627883863651624</v>
          </cell>
        </row>
        <row r="685">
          <cell r="A685" t="str">
            <v>Mixed Recyclables</v>
          </cell>
          <cell r="B685">
            <v>1.9734014132616131</v>
          </cell>
          <cell r="C685">
            <v>9.9999999999999978E-2</v>
          </cell>
          <cell r="D685">
            <v>1.7760612719354518</v>
          </cell>
          <cell r="E685">
            <v>0.6191651721748147</v>
          </cell>
          <cell r="F685">
            <v>6.9690853098164099E-2</v>
          </cell>
          <cell r="G685">
            <v>0.61401195945413933</v>
          </cell>
          <cell r="H685">
            <v>0.57141506848975043</v>
          </cell>
          <cell r="I685">
            <v>0.10476172786990549</v>
          </cell>
          <cell r="J685">
            <v>-0.11090288103745255</v>
          </cell>
          <cell r="K685">
            <v>0.03</v>
          </cell>
          <cell r="L685">
            <v>0.20673694183420002</v>
          </cell>
          <cell r="M685">
            <v>-0.12130583352028984</v>
          </cell>
          <cell r="N685">
            <v>0.14986396685910378</v>
          </cell>
          <cell r="O685">
            <v>0.13385281877731325</v>
          </cell>
          <cell r="P685">
            <v>0.716283214363583</v>
          </cell>
          <cell r="Q685">
            <v>0.49643702035768805</v>
          </cell>
          <cell r="R685">
            <v>-8.6889332354966875E-2</v>
          </cell>
          <cell r="S685">
            <v>0.40954768800272118</v>
          </cell>
        </row>
        <row r="686">
          <cell r="A686" t="str">
            <v>Mixed Organics</v>
          </cell>
          <cell r="B686">
            <v>1.2328155960009999</v>
          </cell>
          <cell r="C686">
            <v>9.9999999999999978E-2</v>
          </cell>
          <cell r="D686">
            <v>1.1095340364008999</v>
          </cell>
          <cell r="E686">
            <v>0.73531311912978525</v>
          </cell>
          <cell r="F686">
            <v>5.9422427031681442E-2</v>
          </cell>
          <cell r="G686">
            <v>0.25305321999677116</v>
          </cell>
          <cell r="H686">
            <v>0.63191958544416382</v>
          </cell>
          <cell r="I686">
            <v>0.17662909146020678</v>
          </cell>
          <cell r="J686">
            <v>-0.11090288103745255</v>
          </cell>
          <cell r="K686">
            <v>0.03</v>
          </cell>
          <cell r="L686">
            <v>0.21775109865962994</v>
          </cell>
          <cell r="M686">
            <v>-8.3805881492456172E-2</v>
          </cell>
          <cell r="N686">
            <v>0.14986396685910378</v>
          </cell>
          <cell r="O686">
            <v>0.13385281877731325</v>
          </cell>
          <cell r="P686">
            <v>0.716283214363583</v>
          </cell>
          <cell r="Q686">
            <v>0.35612251573659692</v>
          </cell>
          <cell r="R686">
            <v>-6.0028746177990019E-2</v>
          </cell>
          <cell r="S686">
            <v>0.29609376955860689</v>
          </cell>
        </row>
        <row r="687">
          <cell r="A687" t="str">
            <v>Mixed MSW</v>
          </cell>
          <cell r="B687">
            <v>1.6199727500000001</v>
          </cell>
          <cell r="C687">
            <v>9.9999999999999978E-2</v>
          </cell>
          <cell r="D687">
            <v>1.457975475</v>
          </cell>
          <cell r="E687">
            <v>0.72948618421587075</v>
          </cell>
          <cell r="F687">
            <v>7.5453812464597564E-2</v>
          </cell>
          <cell r="G687">
            <v>0.3159918899925509</v>
          </cell>
          <cell r="H687">
            <v>0.67367023825588612</v>
          </cell>
          <cell r="I687">
            <v>0.12196253530597771</v>
          </cell>
          <cell r="J687">
            <v>-0.11090288103745255</v>
          </cell>
          <cell r="K687">
            <v>0.03</v>
          </cell>
          <cell r="L687">
            <v>0.19757598371659682</v>
          </cell>
          <cell r="M687">
            <v>-0.11740041529232458</v>
          </cell>
          <cell r="N687">
            <v>0.14986396685910378</v>
          </cell>
          <cell r="O687">
            <v>0.13385281877731325</v>
          </cell>
          <cell r="P687">
            <v>0.716283214363583</v>
          </cell>
          <cell r="Q687">
            <v>0.40231475415063062</v>
          </cell>
          <cell r="R687">
            <v>-8.4091946833205797E-2</v>
          </cell>
          <cell r="S687">
            <v>0.31822280731742481</v>
          </cell>
        </row>
        <row r="688">
          <cell r="A688" t="str">
            <v>Wood Flooring</v>
          </cell>
          <cell r="B688">
            <v>0.18143694800000035</v>
          </cell>
          <cell r="C688">
            <v>9.9999999999999978E-2</v>
          </cell>
          <cell r="D688">
            <v>0.16329325320000032</v>
          </cell>
          <cell r="E688">
            <v>0</v>
          </cell>
          <cell r="F688">
            <v>9.9999999999999978E-2</v>
          </cell>
          <cell r="G688">
            <v>0.16329325320000032</v>
          </cell>
          <cell r="H688">
            <v>0</v>
          </cell>
          <cell r="I688">
            <v>0.9</v>
          </cell>
          <cell r="J688">
            <v>-0.11090288103745255</v>
          </cell>
          <cell r="K688">
            <v>0.03</v>
          </cell>
          <cell r="L688">
            <v>0.16329325320000032</v>
          </cell>
          <cell r="M688">
            <v>0</v>
          </cell>
          <cell r="N688">
            <v>1</v>
          </cell>
          <cell r="O688">
            <v>0</v>
          </cell>
          <cell r="P688">
            <v>0</v>
          </cell>
          <cell r="Q688">
            <v>0.16329325320000032</v>
          </cell>
          <cell r="R688">
            <v>0</v>
          </cell>
          <cell r="S688">
            <v>0.16329325320000032</v>
          </cell>
        </row>
        <row r="689">
          <cell r="A689" t="str">
            <v>Drywall</v>
          </cell>
          <cell r="B689">
            <v>0</v>
          </cell>
          <cell r="C689">
            <v>9.9999999999999978E-2</v>
          </cell>
          <cell r="D689">
            <v>0</v>
          </cell>
          <cell r="E689">
            <v>0</v>
          </cell>
          <cell r="F689">
            <v>9.9999999999999978E-2</v>
          </cell>
          <cell r="G689">
            <v>0</v>
          </cell>
          <cell r="H689">
            <v>0</v>
          </cell>
          <cell r="I689">
            <v>0.9</v>
          </cell>
          <cell r="J689">
            <v>-0.11090288103745255</v>
          </cell>
          <cell r="K689">
            <v>0.03</v>
          </cell>
          <cell r="L689">
            <v>0</v>
          </cell>
          <cell r="M689">
            <v>0</v>
          </cell>
          <cell r="N689">
            <v>1</v>
          </cell>
          <cell r="O689">
            <v>0</v>
          </cell>
          <cell r="P689">
            <v>0</v>
          </cell>
          <cell r="Q689">
            <v>0</v>
          </cell>
          <cell r="R689">
            <v>0</v>
          </cell>
          <cell r="S689">
            <v>0</v>
          </cell>
        </row>
        <row r="699">
          <cell r="A699" t="str">
            <v>Corrugated Containers</v>
          </cell>
          <cell r="B699">
            <v>2.6232704732575001</v>
          </cell>
          <cell r="C699">
            <v>9.9999999999999978E-2</v>
          </cell>
          <cell r="D699">
            <v>2.3609434259317501</v>
          </cell>
          <cell r="E699">
            <v>0.7299583255290405</v>
          </cell>
          <cell r="F699">
            <v>7.8843956039772109E-2</v>
          </cell>
          <cell r="G699">
            <v>0.50156332931473513</v>
          </cell>
          <cell r="H699">
            <v>0.59423010502593754</v>
          </cell>
          <cell r="I699">
            <v>0.16106009687373674</v>
          </cell>
          <cell r="J699">
            <v>-0.11090288103745255</v>
          </cell>
          <cell r="K699">
            <v>0.03</v>
          </cell>
          <cell r="L699">
            <v>0.42250419654886617</v>
          </cell>
          <cell r="M699">
            <v>-0.16769197667468638</v>
          </cell>
          <cell r="N699">
            <v>0.14986396685910378</v>
          </cell>
          <cell r="O699">
            <v>0.13385281877731325</v>
          </cell>
          <cell r="P699">
            <v>0.716283214363583</v>
          </cell>
          <cell r="Q699">
            <v>0.72358867675029082</v>
          </cell>
          <cell r="R699">
            <v>-0.12011494807552735</v>
          </cell>
          <cell r="S699">
            <v>0.60347372867476345</v>
          </cell>
        </row>
        <row r="700">
          <cell r="A700" t="str">
            <v>Magazines/Third-class Mail</v>
          </cell>
          <cell r="B700">
            <v>1.1946237049113888</v>
          </cell>
          <cell r="C700">
            <v>9.9999999999999978E-2</v>
          </cell>
          <cell r="D700">
            <v>1.07516133442025</v>
          </cell>
          <cell r="E700">
            <v>0.73615966550946599</v>
          </cell>
          <cell r="F700">
            <v>5.2968048601168702E-2</v>
          </cell>
          <cell r="G700">
            <v>0.25191303143228716</v>
          </cell>
          <cell r="H700">
            <v>0.62815767756627705</v>
          </cell>
          <cell r="I700">
            <v>0.20617620319054425</v>
          </cell>
          <cell r="J700">
            <v>-0.11090288103745255</v>
          </cell>
          <cell r="K700">
            <v>0.03</v>
          </cell>
          <cell r="L700">
            <v>0.24630297972005127</v>
          </cell>
          <cell r="M700">
            <v>-8.0726172780665753E-2</v>
          </cell>
          <cell r="N700">
            <v>0.14986396685910378</v>
          </cell>
          <cell r="O700">
            <v>0.13385281877731325</v>
          </cell>
          <cell r="P700">
            <v>0.716283214363583</v>
          </cell>
          <cell r="Q700">
            <v>0.37126990195490239</v>
          </cell>
          <cell r="R700">
            <v>-5.7822802522605243E-2</v>
          </cell>
          <cell r="S700">
            <v>0.31344709943229715</v>
          </cell>
        </row>
        <row r="701">
          <cell r="A701" t="str">
            <v>Newspaper</v>
          </cell>
          <cell r="B701">
            <v>1.0471665853275001</v>
          </cell>
          <cell r="C701">
            <v>9.9999999999999978E-2</v>
          </cell>
          <cell r="D701">
            <v>0.94244992679475004</v>
          </cell>
          <cell r="E701">
            <v>0.75674952315555333</v>
          </cell>
          <cell r="F701">
            <v>6.5676677860854571E-2</v>
          </cell>
          <cell r="G701">
            <v>0.18594934872528004</v>
          </cell>
          <cell r="H701">
            <v>0.63534955775369806</v>
          </cell>
          <cell r="I701">
            <v>0.15414961174444608</v>
          </cell>
          <cell r="J701">
            <v>-0.11090288103745255</v>
          </cell>
          <cell r="K701">
            <v>0.03</v>
          </cell>
          <cell r="L701">
            <v>0.1614203225599915</v>
          </cell>
          <cell r="M701">
            <v>-7.1571986316822392E-2</v>
          </cell>
          <cell r="N701">
            <v>0.14986396685910378</v>
          </cell>
          <cell r="O701">
            <v>0.13385281877731325</v>
          </cell>
          <cell r="P701">
            <v>0.716283214363583</v>
          </cell>
          <cell r="Q701">
            <v>0.28175179657909466</v>
          </cell>
          <cell r="R701">
            <v>-5.1265812417399921E-2</v>
          </cell>
          <cell r="S701">
            <v>0.23048598416169475</v>
          </cell>
        </row>
        <row r="702">
          <cell r="A702" t="str">
            <v>Office Paper</v>
          </cell>
          <cell r="B702">
            <v>3.8859258337900004</v>
          </cell>
          <cell r="C702">
            <v>9.9999999999999978E-2</v>
          </cell>
          <cell r="D702">
            <v>3.4973332504110006</v>
          </cell>
          <cell r="E702">
            <v>0.75034491941361592</v>
          </cell>
          <cell r="F702">
            <v>6.9079062135880304E-2</v>
          </cell>
          <cell r="G702">
            <v>0.70170501505975236</v>
          </cell>
          <cell r="H702">
            <v>0.62505506351805762</v>
          </cell>
          <cell r="I702">
            <v>0.15518746771705691</v>
          </cell>
          <cell r="J702">
            <v>-0.11090288103745255</v>
          </cell>
          <cell r="K702">
            <v>0.03</v>
          </cell>
          <cell r="L702">
            <v>0.6030469898821631</v>
          </cell>
          <cell r="M702">
            <v>-0.26129274288282994</v>
          </cell>
          <cell r="N702">
            <v>0.14986396685910378</v>
          </cell>
          <cell r="O702">
            <v>0.13385281877731325</v>
          </cell>
          <cell r="P702">
            <v>0.716283214363583</v>
          </cell>
          <cell r="Q702">
            <v>1.0500018648758398</v>
          </cell>
          <cell r="R702">
            <v>-0.18715960576199064</v>
          </cell>
          <cell r="S702">
            <v>0.86284225911384915</v>
          </cell>
        </row>
        <row r="703">
          <cell r="A703" t="str">
            <v>Phonebooks</v>
          </cell>
          <cell r="B703">
            <v>1.0471665853275001</v>
          </cell>
          <cell r="C703">
            <v>9.9999999999999978E-2</v>
          </cell>
          <cell r="D703">
            <v>0.94244992679475004</v>
          </cell>
          <cell r="E703">
            <v>0.75674952315555333</v>
          </cell>
          <cell r="F703">
            <v>6.5676677860854571E-2</v>
          </cell>
          <cell r="G703">
            <v>0.18594934872528004</v>
          </cell>
          <cell r="H703">
            <v>0.63534955775369806</v>
          </cell>
          <cell r="I703">
            <v>0.15414961174444608</v>
          </cell>
          <cell r="J703">
            <v>-0.11090288103745255</v>
          </cell>
          <cell r="K703">
            <v>0.03</v>
          </cell>
          <cell r="L703">
            <v>0.1614203225599915</v>
          </cell>
          <cell r="M703">
            <v>-7.1571986316822392E-2</v>
          </cell>
          <cell r="N703">
            <v>0.14986396685910378</v>
          </cell>
          <cell r="O703">
            <v>0.13385281877731325</v>
          </cell>
          <cell r="P703">
            <v>0.716283214363583</v>
          </cell>
          <cell r="Q703">
            <v>0.28175179657909466</v>
          </cell>
          <cell r="R703">
            <v>-5.1265812417399921E-2</v>
          </cell>
          <cell r="S703">
            <v>0.23048598416169475</v>
          </cell>
        </row>
        <row r="704">
          <cell r="A704" t="str">
            <v>Textbooks</v>
          </cell>
          <cell r="B704">
            <v>3.8859258337900004</v>
          </cell>
          <cell r="C704">
            <v>9.9999999999999978E-2</v>
          </cell>
          <cell r="D704">
            <v>3.4973332504110006</v>
          </cell>
          <cell r="E704">
            <v>0.75034491941361592</v>
          </cell>
          <cell r="F704">
            <v>6.9079062135880304E-2</v>
          </cell>
          <cell r="G704">
            <v>0.70170501505975236</v>
          </cell>
          <cell r="H704">
            <v>0.62505506351805762</v>
          </cell>
          <cell r="I704">
            <v>0.15518746771705691</v>
          </cell>
          <cell r="J704">
            <v>-0.11090288103745255</v>
          </cell>
          <cell r="K704">
            <v>0.03</v>
          </cell>
          <cell r="L704">
            <v>0.6030469898821631</v>
          </cell>
          <cell r="M704">
            <v>-0.26129274288282994</v>
          </cell>
          <cell r="N704">
            <v>0.14986396685910378</v>
          </cell>
          <cell r="O704">
            <v>0.13385281877731325</v>
          </cell>
          <cell r="P704">
            <v>0.716283214363583</v>
          </cell>
          <cell r="Q704">
            <v>1.0500018648758398</v>
          </cell>
          <cell r="R704">
            <v>-0.18715960576199064</v>
          </cell>
          <cell r="S704">
            <v>0.86284225911384915</v>
          </cell>
        </row>
        <row r="705">
          <cell r="A705" t="str">
            <v>Dimensional Lumber</v>
          </cell>
          <cell r="B705">
            <v>0.16645220006249997</v>
          </cell>
          <cell r="C705">
            <v>9.9999999999999978E-2</v>
          </cell>
          <cell r="D705">
            <v>0.14980698005624998</v>
          </cell>
          <cell r="E705">
            <v>0.7618088046560908</v>
          </cell>
          <cell r="F705">
            <v>5.1637203198439653E-2</v>
          </cell>
          <cell r="G705">
            <v>3.1052322423055747E-2</v>
          </cell>
          <cell r="H705">
            <v>0.6574009927760126</v>
          </cell>
          <cell r="I705">
            <v>0.17778248663843055</v>
          </cell>
          <cell r="J705">
            <v>-0.11090288103745255</v>
          </cell>
          <cell r="K705">
            <v>0.03</v>
          </cell>
          <cell r="L705">
            <v>2.959228603354877E-2</v>
          </cell>
          <cell r="M705">
            <v>-1.1771571857449266E-2</v>
          </cell>
          <cell r="N705">
            <v>0.14986396685910378</v>
          </cell>
          <cell r="O705">
            <v>0.13385281877731325</v>
          </cell>
          <cell r="P705">
            <v>0.716283214363583</v>
          </cell>
          <cell r="Q705">
            <v>4.7803566940797126E-2</v>
          </cell>
          <cell r="R705">
            <v>-8.431779328165653E-3</v>
          </cell>
          <cell r="S705">
            <v>3.9371787612631472E-2</v>
          </cell>
        </row>
        <row r="706">
          <cell r="A706" t="str">
            <v>Medium-density Fiberboard</v>
          </cell>
          <cell r="B706">
            <v>5.5889059875000008E-2</v>
          </cell>
          <cell r="C706">
            <v>9.9999999999999978E-2</v>
          </cell>
          <cell r="D706">
            <v>5.0300153887500011E-2</v>
          </cell>
          <cell r="E706">
            <v>0.76932548676515722</v>
          </cell>
          <cell r="F706">
            <v>5.2965333119880095E-2</v>
          </cell>
          <cell r="G706">
            <v>9.9319990077823099E-3</v>
          </cell>
          <cell r="H706">
            <v>0.66363735122268541</v>
          </cell>
          <cell r="I706">
            <v>0.16546019814753707</v>
          </cell>
          <cell r="J706">
            <v>-0.11090288103745255</v>
          </cell>
          <cell r="K706">
            <v>0.03</v>
          </cell>
          <cell r="L706">
            <v>9.2474149211970638E-3</v>
          </cell>
          <cell r="M706">
            <v>-3.9899935002872264E-3</v>
          </cell>
          <cell r="N706">
            <v>0.14986396685910378</v>
          </cell>
          <cell r="O706">
            <v>0.13385281877731325</v>
          </cell>
          <cell r="P706">
            <v>0.716283214363583</v>
          </cell>
          <cell r="Q706">
            <v>1.5491374742798054E-2</v>
          </cell>
          <cell r="R706">
            <v>-2.8579653696755381E-3</v>
          </cell>
          <cell r="S706">
            <v>1.2633409373122517E-2</v>
          </cell>
        </row>
        <row r="707">
          <cell r="A707" t="str">
            <v>Food Waste</v>
          </cell>
          <cell r="B707">
            <v>1.622706214625282</v>
          </cell>
          <cell r="C707">
            <v>9.9999999999999978E-2</v>
          </cell>
          <cell r="D707">
            <v>1.4604355931627537</v>
          </cell>
          <cell r="E707">
            <v>0.72126574798544507</v>
          </cell>
          <cell r="F707">
            <v>5.4508768248114133E-2</v>
          </cell>
          <cell r="G707">
            <v>0.36385208598516378</v>
          </cell>
          <cell r="H707">
            <v>0.61043220265739406</v>
          </cell>
          <cell r="I707">
            <v>0.22065395705024676</v>
          </cell>
          <cell r="J707">
            <v>-0.11090288103745255</v>
          </cell>
          <cell r="K707">
            <v>0.03</v>
          </cell>
          <cell r="L707">
            <v>0.35805654738709547</v>
          </cell>
          <cell r="M707">
            <v>-0.10655943236105718</v>
          </cell>
          <cell r="N707">
            <v>0.14986396685910378</v>
          </cell>
          <cell r="O707">
            <v>0.13385281877731325</v>
          </cell>
          <cell r="P707">
            <v>0.716283214363583</v>
          </cell>
          <cell r="Q707">
            <v>0.52403919334707338</v>
          </cell>
          <cell r="R707">
            <v>-7.6326732732336838E-2</v>
          </cell>
          <cell r="S707">
            <v>0.44771246061473657</v>
          </cell>
        </row>
        <row r="708">
          <cell r="A708" t="str">
            <v>Food Waste (meat only)</v>
          </cell>
          <cell r="B708">
            <v>1.622706214625282</v>
          </cell>
          <cell r="C708">
            <v>9.9999999999999978E-2</v>
          </cell>
          <cell r="D708">
            <v>1.4604355931627537</v>
          </cell>
          <cell r="E708">
            <v>0.72126574798544507</v>
          </cell>
          <cell r="F708">
            <v>5.4508768248114133E-2</v>
          </cell>
          <cell r="G708">
            <v>0.36385208598516378</v>
          </cell>
          <cell r="H708">
            <v>0.61043220265739406</v>
          </cell>
          <cell r="I708">
            <v>0.22065395705024676</v>
          </cell>
          <cell r="J708">
            <v>-0.11090288103745255</v>
          </cell>
          <cell r="K708">
            <v>0.03</v>
          </cell>
          <cell r="L708">
            <v>0.35805654738709547</v>
          </cell>
          <cell r="M708">
            <v>-0.10655943236105718</v>
          </cell>
          <cell r="N708">
            <v>0.14986396685910378</v>
          </cell>
          <cell r="O708">
            <v>0.13385281877731325</v>
          </cell>
          <cell r="P708">
            <v>0.716283214363583</v>
          </cell>
          <cell r="Q708">
            <v>0.52403919334707338</v>
          </cell>
          <cell r="R708">
            <v>-7.6326732732336838E-2</v>
          </cell>
          <cell r="S708">
            <v>0.44771246061473657</v>
          </cell>
        </row>
        <row r="709">
          <cell r="A709" t="str">
            <v>Food Waste (non-meat)</v>
          </cell>
          <cell r="B709">
            <v>1.622706214625282</v>
          </cell>
          <cell r="C709">
            <v>9.9999999999999978E-2</v>
          </cell>
          <cell r="D709">
            <v>1.4604355931627537</v>
          </cell>
          <cell r="E709">
            <v>0.72126574798544507</v>
          </cell>
          <cell r="F709">
            <v>5.4508768248114133E-2</v>
          </cell>
          <cell r="G709">
            <v>0.36385208598516378</v>
          </cell>
          <cell r="H709">
            <v>0.61043220265739406</v>
          </cell>
          <cell r="I709">
            <v>0.22065395705024676</v>
          </cell>
          <cell r="J709">
            <v>-0.11090288103745255</v>
          </cell>
          <cell r="K709">
            <v>0.03</v>
          </cell>
          <cell r="L709">
            <v>0.35805654738709547</v>
          </cell>
          <cell r="M709">
            <v>-0.10655943236105718</v>
          </cell>
          <cell r="N709">
            <v>0.14986396685910378</v>
          </cell>
          <cell r="O709">
            <v>0.13385281877731325</v>
          </cell>
          <cell r="P709">
            <v>0.716283214363583</v>
          </cell>
          <cell r="Q709">
            <v>0.52403919334707338</v>
          </cell>
          <cell r="R709">
            <v>-7.6326732732336838E-2</v>
          </cell>
          <cell r="S709">
            <v>0.44771246061473657</v>
          </cell>
        </row>
        <row r="710">
          <cell r="A710" t="str">
            <v>Beef</v>
          </cell>
          <cell r="B710">
            <v>1.622706214625282</v>
          </cell>
          <cell r="C710">
            <v>9.9999999999999978E-2</v>
          </cell>
          <cell r="D710">
            <v>1.4604355931627537</v>
          </cell>
          <cell r="E710">
            <v>0.72126574798544507</v>
          </cell>
          <cell r="F710">
            <v>5.4508768248114133E-2</v>
          </cell>
          <cell r="G710">
            <v>0.36385208598516378</v>
          </cell>
          <cell r="H710">
            <v>0.61043220265739406</v>
          </cell>
          <cell r="I710">
            <v>0.22065395705024676</v>
          </cell>
          <cell r="J710">
            <v>-0.11090288103745255</v>
          </cell>
          <cell r="K710">
            <v>0.03</v>
          </cell>
          <cell r="L710">
            <v>0.35805654738709547</v>
          </cell>
          <cell r="M710">
            <v>-0.10655943236105718</v>
          </cell>
          <cell r="N710">
            <v>0.14986396685910378</v>
          </cell>
          <cell r="O710">
            <v>0.13385281877731325</v>
          </cell>
          <cell r="P710">
            <v>0.716283214363583</v>
          </cell>
          <cell r="Q710">
            <v>0.52403919334707338</v>
          </cell>
          <cell r="R710">
            <v>-7.6326732732336838E-2</v>
          </cell>
          <cell r="S710">
            <v>0.44771246061473657</v>
          </cell>
        </row>
        <row r="711">
          <cell r="A711" t="str">
            <v>Poultry</v>
          </cell>
          <cell r="B711">
            <v>1.622706214625282</v>
          </cell>
          <cell r="C711">
            <v>9.9999999999999978E-2</v>
          </cell>
          <cell r="D711">
            <v>1.4604355931627537</v>
          </cell>
          <cell r="E711">
            <v>0.72126574798544507</v>
          </cell>
          <cell r="F711">
            <v>5.4508768248114133E-2</v>
          </cell>
          <cell r="G711">
            <v>0.36385208598516378</v>
          </cell>
          <cell r="H711">
            <v>0.61043220265739406</v>
          </cell>
          <cell r="I711">
            <v>0.22065395705024676</v>
          </cell>
          <cell r="J711">
            <v>-0.11090288103745255</v>
          </cell>
          <cell r="K711">
            <v>0.03</v>
          </cell>
          <cell r="L711">
            <v>0.35805654738709547</v>
          </cell>
          <cell r="M711">
            <v>-0.10655943236105718</v>
          </cell>
          <cell r="N711">
            <v>0.14986396685910378</v>
          </cell>
          <cell r="O711">
            <v>0.13385281877731325</v>
          </cell>
          <cell r="P711">
            <v>0.716283214363583</v>
          </cell>
          <cell r="Q711">
            <v>0.52403919334707338</v>
          </cell>
          <cell r="R711">
            <v>-7.6326732732336838E-2</v>
          </cell>
          <cell r="S711">
            <v>0.44771246061473657</v>
          </cell>
        </row>
        <row r="712">
          <cell r="A712" t="str">
            <v>Grains</v>
          </cell>
          <cell r="B712">
            <v>1.622706214625282</v>
          </cell>
          <cell r="C712">
            <v>9.9999999999999978E-2</v>
          </cell>
          <cell r="D712">
            <v>1.4604355931627537</v>
          </cell>
          <cell r="E712">
            <v>0.72126574798544507</v>
          </cell>
          <cell r="F712">
            <v>5.4508768248114133E-2</v>
          </cell>
          <cell r="G712">
            <v>0.36385208598516378</v>
          </cell>
          <cell r="H712">
            <v>0.61043220265739406</v>
          </cell>
          <cell r="I712">
            <v>0.22065395705024676</v>
          </cell>
          <cell r="J712">
            <v>-0.11090288103745255</v>
          </cell>
          <cell r="K712">
            <v>0.03</v>
          </cell>
          <cell r="L712">
            <v>0.35805654738709547</v>
          </cell>
          <cell r="M712">
            <v>-0.10655943236105718</v>
          </cell>
          <cell r="N712">
            <v>0.14986396685910378</v>
          </cell>
          <cell r="O712">
            <v>0.13385281877731325</v>
          </cell>
          <cell r="P712">
            <v>0.716283214363583</v>
          </cell>
          <cell r="Q712">
            <v>0.52403919334707338</v>
          </cell>
          <cell r="R712">
            <v>-7.6326732732336838E-2</v>
          </cell>
          <cell r="S712">
            <v>0.44771246061473657</v>
          </cell>
        </row>
        <row r="713">
          <cell r="A713" t="str">
            <v>Bread</v>
          </cell>
          <cell r="B713">
            <v>1.622706214625282</v>
          </cell>
          <cell r="C713">
            <v>9.9999999999999978E-2</v>
          </cell>
          <cell r="D713">
            <v>1.4604355931627537</v>
          </cell>
          <cell r="E713">
            <v>0.72126574798544507</v>
          </cell>
          <cell r="F713">
            <v>5.4508768248114133E-2</v>
          </cell>
          <cell r="G713">
            <v>0.36385208598516378</v>
          </cell>
          <cell r="H713">
            <v>0.61043220265739406</v>
          </cell>
          <cell r="I713">
            <v>0.22065395705024676</v>
          </cell>
          <cell r="J713">
            <v>-0.11090288103745255</v>
          </cell>
          <cell r="K713">
            <v>0.03</v>
          </cell>
          <cell r="L713">
            <v>0.35805654738709547</v>
          </cell>
          <cell r="M713">
            <v>-0.10655943236105718</v>
          </cell>
          <cell r="N713">
            <v>0.14986396685910378</v>
          </cell>
          <cell r="O713">
            <v>0.13385281877731325</v>
          </cell>
          <cell r="P713">
            <v>0.716283214363583</v>
          </cell>
          <cell r="Q713">
            <v>0.52403919334707338</v>
          </cell>
          <cell r="R713">
            <v>-7.6326732732336838E-2</v>
          </cell>
          <cell r="S713">
            <v>0.44771246061473657</v>
          </cell>
        </row>
        <row r="714">
          <cell r="A714" t="str">
            <v>Fruits and Vegetables</v>
          </cell>
          <cell r="B714">
            <v>1.622706214625282</v>
          </cell>
          <cell r="C714">
            <v>9.9999999999999978E-2</v>
          </cell>
          <cell r="D714">
            <v>1.4604355931627537</v>
          </cell>
          <cell r="E714">
            <v>0.72126574798544507</v>
          </cell>
          <cell r="F714">
            <v>5.4508768248114133E-2</v>
          </cell>
          <cell r="G714">
            <v>0.36385208598516378</v>
          </cell>
          <cell r="H714">
            <v>0.61043220265739406</v>
          </cell>
          <cell r="I714">
            <v>0.22065395705024676</v>
          </cell>
          <cell r="J714">
            <v>-0.11090288103745255</v>
          </cell>
          <cell r="K714">
            <v>0.03</v>
          </cell>
          <cell r="L714">
            <v>0.35805654738709547</v>
          </cell>
          <cell r="M714">
            <v>-0.10655943236105718</v>
          </cell>
          <cell r="N714">
            <v>0.14986396685910378</v>
          </cell>
          <cell r="O714">
            <v>0.13385281877731325</v>
          </cell>
          <cell r="P714">
            <v>0.716283214363583</v>
          </cell>
          <cell r="Q714">
            <v>0.52403919334707338</v>
          </cell>
          <cell r="R714">
            <v>-7.6326732732336838E-2</v>
          </cell>
          <cell r="S714">
            <v>0.44771246061473657</v>
          </cell>
        </row>
        <row r="715">
          <cell r="A715" t="str">
            <v>Dairy Products</v>
          </cell>
          <cell r="B715">
            <v>1.622706214625282</v>
          </cell>
          <cell r="C715">
            <v>9.9999999999999978E-2</v>
          </cell>
          <cell r="D715">
            <v>1.4604355931627537</v>
          </cell>
          <cell r="E715">
            <v>0.72126574798544507</v>
          </cell>
          <cell r="F715">
            <v>5.4508768248114133E-2</v>
          </cell>
          <cell r="G715">
            <v>0.36385208598516378</v>
          </cell>
          <cell r="H715">
            <v>0.61043220265739406</v>
          </cell>
          <cell r="I715">
            <v>0.22065395705024676</v>
          </cell>
          <cell r="J715">
            <v>-0.11090288103745255</v>
          </cell>
          <cell r="K715">
            <v>0.03</v>
          </cell>
          <cell r="L715">
            <v>0.35805654738709547</v>
          </cell>
          <cell r="M715">
            <v>-0.10655943236105718</v>
          </cell>
          <cell r="N715">
            <v>0.14986396685910378</v>
          </cell>
          <cell r="O715">
            <v>0.13385281877731325</v>
          </cell>
          <cell r="P715">
            <v>0.716283214363583</v>
          </cell>
          <cell r="Q715">
            <v>0.52403919334707338</v>
          </cell>
          <cell r="R715">
            <v>-7.6326732732336838E-2</v>
          </cell>
          <cell r="S715">
            <v>0.44771246061473657</v>
          </cell>
        </row>
        <row r="716">
          <cell r="A716" t="str">
            <v>Yard Trimmings</v>
          </cell>
          <cell r="B716">
            <v>0.81032008938650013</v>
          </cell>
          <cell r="C716">
            <v>9.9999999999999978E-2</v>
          </cell>
          <cell r="D716">
            <v>0.7292880804478501</v>
          </cell>
          <cell r="E716">
            <v>0.67012224997196412</v>
          </cell>
          <cell r="F716">
            <v>6.8477499534307346E-2</v>
          </cell>
          <cell r="G716">
            <v>0.2118178743457316</v>
          </cell>
          <cell r="H716">
            <v>0.54544068762139519</v>
          </cell>
          <cell r="I716">
            <v>0.25194626100789436</v>
          </cell>
          <cell r="J716">
            <v>-0.11090288103745255</v>
          </cell>
          <cell r="K716">
            <v>0.03</v>
          </cell>
          <cell r="L716">
            <v>0.20415711674051146</v>
          </cell>
          <cell r="M716">
            <v>-4.7546516092793797E-2</v>
          </cell>
          <cell r="N716">
            <v>0.14986396685910378</v>
          </cell>
          <cell r="O716">
            <v>0.13385281877731325</v>
          </cell>
          <cell r="P716">
            <v>0.716283214363583</v>
          </cell>
          <cell r="Q716">
            <v>0.28388074008166575</v>
          </cell>
          <cell r="R716">
            <v>-3.4056771378736167E-2</v>
          </cell>
          <cell r="S716">
            <v>0.24982396870292958</v>
          </cell>
        </row>
        <row r="717">
          <cell r="A717" t="str">
            <v>Grass</v>
          </cell>
          <cell r="B717">
            <v>0.5688048319800002</v>
          </cell>
          <cell r="C717">
            <v>9.9999999999999978E-2</v>
          </cell>
          <cell r="D717">
            <v>0.51192434878200022</v>
          </cell>
          <cell r="E717">
            <v>0.63109440694330943</v>
          </cell>
          <cell r="F717">
            <v>6.5869532569358541E-2</v>
          </cell>
          <cell r="G717">
            <v>0.17236837546937805</v>
          </cell>
          <cell r="H717">
            <v>0.50992065978849266</v>
          </cell>
          <cell r="I717">
            <v>0.30191330748884093</v>
          </cell>
          <cell r="J717">
            <v>-0.11090288103745255</v>
          </cell>
          <cell r="K717">
            <v>0.03</v>
          </cell>
          <cell r="L717">
            <v>0.1717297481387163</v>
          </cell>
          <cell r="M717">
            <v>-3.120185740751848E-2</v>
          </cell>
          <cell r="N717">
            <v>0.14986396685910378</v>
          </cell>
          <cell r="O717">
            <v>0.13385281877731325</v>
          </cell>
          <cell r="P717">
            <v>0.716283214363583</v>
          </cell>
          <cell r="Q717">
            <v>0.22279814256352476</v>
          </cell>
          <cell r="R717">
            <v>-2.2349366717971511E-2</v>
          </cell>
          <cell r="S717">
            <v>0.20044877584555326</v>
          </cell>
        </row>
        <row r="718">
          <cell r="A718" t="str">
            <v>Leaves</v>
          </cell>
          <cell r="B718">
            <v>0.65408019754000024</v>
          </cell>
          <cell r="C718">
            <v>9.9999999999999978E-2</v>
          </cell>
          <cell r="D718">
            <v>0.58867217778600023</v>
          </cell>
          <cell r="E718">
            <v>0.70352020459322162</v>
          </cell>
          <cell r="F718">
            <v>5.6577539170144908E-2</v>
          </cell>
          <cell r="G718">
            <v>0.15691531514954898</v>
          </cell>
          <cell r="H718">
            <v>0.58952414510609352</v>
          </cell>
          <cell r="I718">
            <v>0.23721172757224177</v>
          </cell>
          <cell r="J718">
            <v>-0.11090288103745255</v>
          </cell>
          <cell r="K718">
            <v>0.03</v>
          </cell>
          <cell r="L718">
            <v>0.15515549362925662</v>
          </cell>
          <cell r="M718">
            <v>-4.1480803550474794E-2</v>
          </cell>
          <cell r="N718">
            <v>0.14986396685910378</v>
          </cell>
          <cell r="O718">
            <v>0.13385281877731325</v>
          </cell>
          <cell r="P718">
            <v>0.716283214363583</v>
          </cell>
          <cell r="Q718">
            <v>0.22035958068762751</v>
          </cell>
          <cell r="R718">
            <v>-2.9712003301518412E-2</v>
          </cell>
          <cell r="S718">
            <v>0.1906475773861091</v>
          </cell>
        </row>
        <row r="719">
          <cell r="A719" t="str">
            <v>Branches</v>
          </cell>
          <cell r="B719">
            <v>1.4495904960459998</v>
          </cell>
          <cell r="C719">
            <v>9.9999999999999978E-2</v>
          </cell>
          <cell r="D719">
            <v>1.3046314464413997</v>
          </cell>
          <cell r="E719">
            <v>0.7147799814080158</v>
          </cell>
          <cell r="F719">
            <v>8.5593393828367365E-2</v>
          </cell>
          <cell r="G719">
            <v>0.28937685801508001</v>
          </cell>
          <cell r="H719">
            <v>0.57239728580250182</v>
          </cell>
          <cell r="I719">
            <v>0.16674670148165377</v>
          </cell>
          <cell r="J719">
            <v>-0.11090288103745255</v>
          </cell>
          <cell r="K719">
            <v>0.03</v>
          </cell>
          <cell r="L719">
            <v>0.24171443371482473</v>
          </cell>
          <cell r="M719">
            <v>-8.9260118980035413E-2</v>
          </cell>
          <cell r="N719">
            <v>0.14986396685910378</v>
          </cell>
          <cell r="O719">
            <v>0.13385281877731325</v>
          </cell>
          <cell r="P719">
            <v>0.716283214363583</v>
          </cell>
          <cell r="Q719">
            <v>0.40738714352640726</v>
          </cell>
          <cell r="R719">
            <v>-6.393552493749563E-2</v>
          </cell>
          <cell r="S719">
            <v>0.3434516185889116</v>
          </cell>
        </row>
        <row r="720">
          <cell r="A720" t="str">
            <v>Mixed Paper (general)</v>
          </cell>
          <cell r="B720">
            <v>2.3832448707931113</v>
          </cell>
          <cell r="C720">
            <v>9.9999999999999978E-2</v>
          </cell>
          <cell r="D720">
            <v>2.1449203837138002</v>
          </cell>
          <cell r="E720">
            <v>0.74096163893475264</v>
          </cell>
          <cell r="F720">
            <v>7.1660757900965266E-2</v>
          </cell>
          <cell r="G720">
            <v>0.44656671164278233</v>
          </cell>
          <cell r="H720">
            <v>0.61297797118225117</v>
          </cell>
          <cell r="I720">
            <v>0.1618363431167156</v>
          </cell>
          <cell r="J720">
            <v>-0.11090288103745255</v>
          </cell>
          <cell r="K720">
            <v>0.03</v>
          </cell>
          <cell r="L720">
            <v>0.38569563464082651</v>
          </cell>
          <cell r="M720">
            <v>-0.15715496168312273</v>
          </cell>
          <cell r="N720">
            <v>0.14986396685910378</v>
          </cell>
          <cell r="O720">
            <v>0.13385281877731325</v>
          </cell>
          <cell r="P720">
            <v>0.716283214363583</v>
          </cell>
          <cell r="Q720">
            <v>0.65748779937233648</v>
          </cell>
          <cell r="R720">
            <v>-0.11256746110757287</v>
          </cell>
          <cell r="S720">
            <v>0.5449203382647636</v>
          </cell>
        </row>
        <row r="721">
          <cell r="A721" t="str">
            <v>Mixed Paper (primarily residential)</v>
          </cell>
          <cell r="B721">
            <v>2.2946736526735392</v>
          </cell>
          <cell r="C721">
            <v>9.9999999999999978E-2</v>
          </cell>
          <cell r="D721">
            <v>2.0652062874061854</v>
          </cell>
          <cell r="E721">
            <v>0.73959455812502162</v>
          </cell>
          <cell r="F721">
            <v>7.1860806168215885E-2</v>
          </cell>
          <cell r="G721">
            <v>0.43264840790923847</v>
          </cell>
          <cell r="H721">
            <v>0.61139583059625324</v>
          </cell>
          <cell r="I721">
            <v>0.16316012784374548</v>
          </cell>
          <cell r="J721">
            <v>-0.11090288103745255</v>
          </cell>
          <cell r="K721">
            <v>0.03</v>
          </cell>
          <cell r="L721">
            <v>0.37439924652988904</v>
          </cell>
          <cell r="M721">
            <v>-0.15092388099988327</v>
          </cell>
          <cell r="N721">
            <v>0.14986396685910378</v>
          </cell>
          <cell r="O721">
            <v>0.13385281877731325</v>
          </cell>
          <cell r="P721">
            <v>0.716283214363583</v>
          </cell>
          <cell r="Q721">
            <v>0.63558711131095424</v>
          </cell>
          <cell r="R721">
            <v>-0.10810424260682328</v>
          </cell>
          <cell r="S721">
            <v>0.52748286870413097</v>
          </cell>
        </row>
        <row r="722">
          <cell r="A722" t="str">
            <v>Mixed Paper (primarily from offices)</v>
          </cell>
          <cell r="B722">
            <v>2.2577848571899501</v>
          </cell>
          <cell r="C722">
            <v>9.9999999999999978E-2</v>
          </cell>
          <cell r="D722">
            <v>2.0320063714709553</v>
          </cell>
          <cell r="E722">
            <v>0.74556386509970007</v>
          </cell>
          <cell r="F722">
            <v>6.3052841260823306E-2</v>
          </cell>
          <cell r="G722">
            <v>0.43210230229834801</v>
          </cell>
          <cell r="H722">
            <v>0.62679260044029506</v>
          </cell>
          <cell r="I722">
            <v>0.17361909419109806</v>
          </cell>
          <cell r="J722">
            <v>-0.11090288103745255</v>
          </cell>
          <cell r="K722">
            <v>0.03</v>
          </cell>
          <cell r="L722">
            <v>0.39199456178369685</v>
          </cell>
          <cell r="M722">
            <v>-0.1522372672118181</v>
          </cell>
          <cell r="N722">
            <v>0.14986396685910378</v>
          </cell>
          <cell r="O722">
            <v>0.13385281877731325</v>
          </cell>
          <cell r="P722">
            <v>0.716283214363583</v>
          </cell>
          <cell r="Q722">
            <v>0.64314177140188211</v>
          </cell>
          <cell r="R722">
            <v>-0.10904499910440876</v>
          </cell>
          <cell r="S722">
            <v>0.53409677229747332</v>
          </cell>
        </row>
        <row r="723">
          <cell r="A723" t="str">
            <v>Mixed Recyclables</v>
          </cell>
          <cell r="B723">
            <v>1.9734014132616131</v>
          </cell>
          <cell r="C723">
            <v>9.9999999999999978E-2</v>
          </cell>
          <cell r="D723">
            <v>1.7760612719354518</v>
          </cell>
          <cell r="E723">
            <v>0.6377136230298851</v>
          </cell>
          <cell r="F723">
            <v>6.2516345723264768E-2</v>
          </cell>
          <cell r="G723">
            <v>0.59156660331601196</v>
          </cell>
          <cell r="H723">
            <v>0.5265644532582161</v>
          </cell>
          <cell r="I723">
            <v>0.14219837975861255</v>
          </cell>
          <cell r="J723">
            <v>-0.11090288103745255</v>
          </cell>
          <cell r="K723">
            <v>0.03</v>
          </cell>
          <cell r="L723">
            <v>0.28061448357915758</v>
          </cell>
          <cell r="M723">
            <v>-0.11178448631651607</v>
          </cell>
          <cell r="N723">
            <v>0.14986396685910378</v>
          </cell>
          <cell r="O723">
            <v>0.13385281877731325</v>
          </cell>
          <cell r="P723">
            <v>0.716283214363583</v>
          </cell>
          <cell r="Q723">
            <v>0.5463498892404971</v>
          </cell>
          <cell r="R723">
            <v>-8.0069351174776093E-2</v>
          </cell>
          <cell r="S723">
            <v>0.46628053806572101</v>
          </cell>
        </row>
        <row r="724">
          <cell r="A724" t="str">
            <v>Mixed Organics</v>
          </cell>
          <cell r="B724">
            <v>1.2328155960009999</v>
          </cell>
          <cell r="C724">
            <v>9.9999999999999978E-2</v>
          </cell>
          <cell r="D724">
            <v>1.1095340364008999</v>
          </cell>
          <cell r="E724">
            <v>0.69672031391217748</v>
          </cell>
          <cell r="F724">
            <v>6.1212818346174862E-2</v>
          </cell>
          <cell r="G724">
            <v>0.29842380982701455</v>
          </cell>
          <cell r="H724">
            <v>0.5792406532014418</v>
          </cell>
          <cell r="I724">
            <v>0.23567215513264289</v>
          </cell>
          <cell r="J724">
            <v>-0.11090288103745255</v>
          </cell>
          <cell r="K724">
            <v>0.03</v>
          </cell>
          <cell r="L724">
            <v>0.29054030839068923</v>
          </cell>
          <cell r="M724">
            <v>-7.6819542637996382E-2</v>
          </cell>
          <cell r="N724">
            <v>0.14986396685910378</v>
          </cell>
          <cell r="O724">
            <v>0.13385281877731325</v>
          </cell>
          <cell r="P724">
            <v>0.716283214363583</v>
          </cell>
          <cell r="Q724">
            <v>0.41433318619211246</v>
          </cell>
          <cell r="R724">
            <v>-5.5024548926684368E-2</v>
          </cell>
          <cell r="S724">
            <v>0.35930863726542811</v>
          </cell>
        </row>
        <row r="725">
          <cell r="A725" t="str">
            <v>Mixed MSW</v>
          </cell>
          <cell r="B725">
            <v>1.6199727500000001</v>
          </cell>
          <cell r="C725">
            <v>9.9999999999999978E-2</v>
          </cell>
          <cell r="D725">
            <v>1.457975475</v>
          </cell>
          <cell r="E725">
            <v>0.76459012293313211</v>
          </cell>
          <cell r="F725">
            <v>6.0942803131534086E-2</v>
          </cell>
          <cell r="G725">
            <v>0.28263190554747603</v>
          </cell>
          <cell r="H725">
            <v>0.64884526846053414</v>
          </cell>
          <cell r="I725">
            <v>0.15419577206447391</v>
          </cell>
          <cell r="J725">
            <v>-0.11090288103745255</v>
          </cell>
          <cell r="K725">
            <v>0.03</v>
          </cell>
          <cell r="L725">
            <v>0.24979294890965897</v>
          </cell>
          <cell r="M725">
            <v>-0.1130741713853068</v>
          </cell>
          <cell r="N725">
            <v>0.14986396685910378</v>
          </cell>
          <cell r="O725">
            <v>0.13385281877731325</v>
          </cell>
          <cell r="P725">
            <v>0.716283214363583</v>
          </cell>
          <cell r="Q725">
            <v>0.43525156187108793</v>
          </cell>
          <cell r="R725">
            <v>-8.0993130941366231E-2</v>
          </cell>
          <cell r="S725">
            <v>0.3542584309297217</v>
          </cell>
        </row>
        <row r="726">
          <cell r="A726" t="str">
            <v>Wood Flooring</v>
          </cell>
          <cell r="B726">
            <v>0.18143694800000035</v>
          </cell>
          <cell r="C726">
            <v>9.9999999999999978E-2</v>
          </cell>
          <cell r="D726">
            <v>0.16329325320000032</v>
          </cell>
          <cell r="E726">
            <v>0</v>
          </cell>
          <cell r="F726">
            <v>9.9999999999999978E-2</v>
          </cell>
          <cell r="G726">
            <v>0.16329325320000032</v>
          </cell>
          <cell r="H726">
            <v>0</v>
          </cell>
          <cell r="I726">
            <v>0.9</v>
          </cell>
          <cell r="J726">
            <v>-0.11090288103745255</v>
          </cell>
          <cell r="K726">
            <v>0.03</v>
          </cell>
          <cell r="L726">
            <v>0.16329325320000032</v>
          </cell>
          <cell r="M726">
            <v>0</v>
          </cell>
          <cell r="N726">
            <v>1</v>
          </cell>
          <cell r="O726">
            <v>0</v>
          </cell>
          <cell r="P726">
            <v>0</v>
          </cell>
          <cell r="Q726">
            <v>0.16329325320000032</v>
          </cell>
          <cell r="R726">
            <v>0</v>
          </cell>
          <cell r="S726">
            <v>0.16329325320000032</v>
          </cell>
        </row>
        <row r="727">
          <cell r="A727" t="str">
            <v>Drywall</v>
          </cell>
          <cell r="B727">
            <v>0</v>
          </cell>
          <cell r="C727">
            <v>9.9999999999999978E-2</v>
          </cell>
          <cell r="D727">
            <v>0</v>
          </cell>
          <cell r="E727">
            <v>0</v>
          </cell>
          <cell r="F727">
            <v>9.9999999999999978E-2</v>
          </cell>
          <cell r="G727">
            <v>0</v>
          </cell>
          <cell r="H727">
            <v>0</v>
          </cell>
          <cell r="I727">
            <v>0.9</v>
          </cell>
          <cell r="J727">
            <v>-0.11090288103745255</v>
          </cell>
          <cell r="K727">
            <v>0.03</v>
          </cell>
          <cell r="L727">
            <v>0</v>
          </cell>
          <cell r="M727">
            <v>0</v>
          </cell>
          <cell r="N727">
            <v>1</v>
          </cell>
          <cell r="O727">
            <v>0</v>
          </cell>
          <cell r="P727">
            <v>0</v>
          </cell>
          <cell r="Q727">
            <v>0</v>
          </cell>
          <cell r="R727">
            <v>0</v>
          </cell>
          <cell r="S727">
            <v>0</v>
          </cell>
        </row>
        <row r="737">
          <cell r="A737" t="str">
            <v>Corrugated Containers</v>
          </cell>
          <cell r="B737">
            <v>2.6232704732575001</v>
          </cell>
          <cell r="C737">
            <v>9.9999999999999978E-2</v>
          </cell>
          <cell r="D737">
            <v>2.3609434259317501</v>
          </cell>
          <cell r="E737">
            <v>0.70677559786638744</v>
          </cell>
          <cell r="F737">
            <v>8.3016084220028596E-2</v>
          </cell>
          <cell r="G737">
            <v>0.55143327361583039</v>
          </cell>
          <cell r="H737">
            <v>0.60088642960595939</v>
          </cell>
          <cell r="I737">
            <v>0.18743306751411798</v>
          </cell>
          <cell r="J737">
            <v>-0.11090288103745255</v>
          </cell>
          <cell r="K737">
            <v>0.03</v>
          </cell>
          <cell r="L737">
            <v>0.49168763172186525</v>
          </cell>
          <cell r="M737">
            <v>-0.16957039417116013</v>
          </cell>
          <cell r="N737">
            <v>0.14986396685910378</v>
          </cell>
          <cell r="O737">
            <v>0.13385281877731325</v>
          </cell>
          <cell r="P737">
            <v>0.716283214363583</v>
          </cell>
          <cell r="Q737">
            <v>0.77981884269369028</v>
          </cell>
          <cell r="R737">
            <v>-0.12146042699781835</v>
          </cell>
          <cell r="S737">
            <v>0.65835841569587195</v>
          </cell>
        </row>
        <row r="738">
          <cell r="A738" t="str">
            <v>Magazines/Third-class Mail</v>
          </cell>
          <cell r="B738">
            <v>1.1946237049113888</v>
          </cell>
          <cell r="C738">
            <v>9.9999999999999978E-2</v>
          </cell>
          <cell r="D738">
            <v>1.07516133442025</v>
          </cell>
          <cell r="E738">
            <v>0.69487914437800447</v>
          </cell>
          <cell r="F738">
            <v>5.7688000155585811E-2</v>
          </cell>
          <cell r="G738">
            <v>0.29558915451408657</v>
          </cell>
          <cell r="H738">
            <v>0.61381018464132975</v>
          </cell>
          <cell r="I738">
            <v>0.24401299194507012</v>
          </cell>
          <cell r="J738">
            <v>-0.11090288103745255</v>
          </cell>
          <cell r="K738">
            <v>0.03</v>
          </cell>
          <cell r="L738">
            <v>0.29150370448393254</v>
          </cell>
          <cell r="M738">
            <v>-7.8882339243016325E-2</v>
          </cell>
          <cell r="N738">
            <v>0.14986396685910378</v>
          </cell>
          <cell r="O738">
            <v>0.13385281877731325</v>
          </cell>
          <cell r="P738">
            <v>0.716283214363583</v>
          </cell>
          <cell r="Q738">
            <v>0.40949259456810261</v>
          </cell>
          <cell r="R738">
            <v>-5.6502095509506335E-2</v>
          </cell>
          <cell r="S738">
            <v>0.35299049905859625</v>
          </cell>
        </row>
        <row r="739">
          <cell r="A739" t="str">
            <v>Newspaper</v>
          </cell>
          <cell r="B739">
            <v>1.0471665853275001</v>
          </cell>
          <cell r="C739">
            <v>9.9999999999999978E-2</v>
          </cell>
          <cell r="D739">
            <v>0.94244992679475004</v>
          </cell>
          <cell r="E739">
            <v>0.74575353224970298</v>
          </cell>
          <cell r="F739">
            <v>6.4190829650714751E-2</v>
          </cell>
          <cell r="G739">
            <v>0.19901991357097867</v>
          </cell>
          <cell r="H739">
            <v>0.65406834791418378</v>
          </cell>
          <cell r="I739">
            <v>0.17256924443171609</v>
          </cell>
          <cell r="J739">
            <v>-0.11090288103745255</v>
          </cell>
          <cell r="K739">
            <v>0.03</v>
          </cell>
          <cell r="L739">
            <v>0.18070874642410684</v>
          </cell>
          <cell r="M739">
            <v>-7.3680653863504031E-2</v>
          </cell>
          <cell r="N739">
            <v>0.14986396685910378</v>
          </cell>
          <cell r="O739">
            <v>0.13385281877731325</v>
          </cell>
          <cell r="P739">
            <v>0.716283214363583</v>
          </cell>
          <cell r="Q739">
            <v>0.29731730277209883</v>
          </cell>
          <cell r="R739">
            <v>-5.2776215585761219E-2</v>
          </cell>
          <cell r="S739">
            <v>0.2445410871863376</v>
          </cell>
        </row>
        <row r="740">
          <cell r="A740" t="str">
            <v>Office Paper</v>
          </cell>
          <cell r="B740">
            <v>3.8859258337900004</v>
          </cell>
          <cell r="C740">
            <v>9.9999999999999978E-2</v>
          </cell>
          <cell r="D740">
            <v>3.4973332504110006</v>
          </cell>
          <cell r="E740">
            <v>0.73792251337318759</v>
          </cell>
          <cell r="F740">
            <v>6.8472737310919088E-2</v>
          </cell>
          <cell r="G740">
            <v>0.75233369691106677</v>
          </cell>
          <cell r="H740">
            <v>0.64243123015469716</v>
          </cell>
          <cell r="I740">
            <v>0.17455252939291671</v>
          </cell>
          <cell r="J740">
            <v>-0.11090288103745255</v>
          </cell>
          <cell r="K740">
            <v>0.03</v>
          </cell>
          <cell r="L740">
            <v>0.67829818332132341</v>
          </cell>
          <cell r="M740">
            <v>-0.26855652891749104</v>
          </cell>
          <cell r="N740">
            <v>0.14986396685910378</v>
          </cell>
          <cell r="O740">
            <v>0.13385281877731325</v>
          </cell>
          <cell r="P740">
            <v>0.716283214363583</v>
          </cell>
          <cell r="Q740">
            <v>1.1106798233739155</v>
          </cell>
          <cell r="R740">
            <v>-0.19236253377134702</v>
          </cell>
          <cell r="S740">
            <v>0.91831728960256842</v>
          </cell>
        </row>
        <row r="741">
          <cell r="A741" t="str">
            <v>Phonebooks</v>
          </cell>
          <cell r="B741">
            <v>1.0471665853275001</v>
          </cell>
          <cell r="C741">
            <v>9.9999999999999978E-2</v>
          </cell>
          <cell r="D741">
            <v>0.94244992679475004</v>
          </cell>
          <cell r="E741">
            <v>0.74575353224970298</v>
          </cell>
          <cell r="F741">
            <v>6.4190829650714751E-2</v>
          </cell>
          <cell r="G741">
            <v>0.19901991357097867</v>
          </cell>
          <cell r="H741">
            <v>0.65406834791418378</v>
          </cell>
          <cell r="I741">
            <v>0.17256924443171609</v>
          </cell>
          <cell r="J741">
            <v>-0.11090288103745255</v>
          </cell>
          <cell r="K741">
            <v>0.03</v>
          </cell>
          <cell r="L741">
            <v>0.18070874642410684</v>
          </cell>
          <cell r="M741">
            <v>-7.3680653863504031E-2</v>
          </cell>
          <cell r="N741">
            <v>0.14986396685910378</v>
          </cell>
          <cell r="O741">
            <v>0.13385281877731325</v>
          </cell>
          <cell r="P741">
            <v>0.716283214363583</v>
          </cell>
          <cell r="Q741">
            <v>0.29731730277209883</v>
          </cell>
          <cell r="R741">
            <v>-5.2776215585761219E-2</v>
          </cell>
          <cell r="S741">
            <v>0.2445410871863376</v>
          </cell>
        </row>
        <row r="742">
          <cell r="A742" t="str">
            <v>Textbooks</v>
          </cell>
          <cell r="B742">
            <v>3.8859258337900004</v>
          </cell>
          <cell r="C742">
            <v>9.9999999999999978E-2</v>
          </cell>
          <cell r="D742">
            <v>3.4973332504110006</v>
          </cell>
          <cell r="E742">
            <v>0.73792251337318759</v>
          </cell>
          <cell r="F742">
            <v>6.8472737310919088E-2</v>
          </cell>
          <cell r="G742">
            <v>0.75233369691106677</v>
          </cell>
          <cell r="H742">
            <v>0.64243123015469716</v>
          </cell>
          <cell r="I742">
            <v>0.17455252939291671</v>
          </cell>
          <cell r="J742">
            <v>-0.11090288103745255</v>
          </cell>
          <cell r="K742">
            <v>0.03</v>
          </cell>
          <cell r="L742">
            <v>0.67829818332132341</v>
          </cell>
          <cell r="M742">
            <v>-0.26855652891749104</v>
          </cell>
          <cell r="N742">
            <v>0.14986396685910378</v>
          </cell>
          <cell r="O742">
            <v>0.13385281877731325</v>
          </cell>
          <cell r="P742">
            <v>0.716283214363583</v>
          </cell>
          <cell r="Q742">
            <v>1.1106798233739155</v>
          </cell>
          <cell r="R742">
            <v>-0.19236253377134702</v>
          </cell>
          <cell r="S742">
            <v>0.91831728960256842</v>
          </cell>
        </row>
        <row r="743">
          <cell r="A743" t="str">
            <v>Dimensional Lumber</v>
          </cell>
          <cell r="B743">
            <v>0.16645220006249997</v>
          </cell>
          <cell r="C743">
            <v>9.9999999999999978E-2</v>
          </cell>
          <cell r="D743">
            <v>0.14980698005624998</v>
          </cell>
          <cell r="E743">
            <v>0.73235120047551883</v>
          </cell>
          <cell r="F743">
            <v>5.3811952515965114E-2</v>
          </cell>
          <cell r="G743">
            <v>3.5593613638995714E-2</v>
          </cell>
          <cell r="H743">
            <v>0.65465963100970259</v>
          </cell>
          <cell r="I743">
            <v>0.20751646344500937</v>
          </cell>
          <cell r="J743">
            <v>-0.11090288103745255</v>
          </cell>
          <cell r="K743">
            <v>0.03</v>
          </cell>
          <cell r="L743">
            <v>3.4541571889611163E-2</v>
          </cell>
          <cell r="M743">
            <v>-1.1722484409492858E-2</v>
          </cell>
          <cell r="N743">
            <v>0.14986396685910378</v>
          </cell>
          <cell r="O743">
            <v>0.13385281877731325</v>
          </cell>
          <cell r="P743">
            <v>0.716283214363583</v>
          </cell>
          <cell r="Q743">
            <v>5.1956521952723933E-2</v>
          </cell>
          <cell r="R743">
            <v>-8.3966188131585334E-3</v>
          </cell>
          <cell r="S743">
            <v>4.3559903139565398E-2</v>
          </cell>
        </row>
        <row r="744">
          <cell r="A744" t="str">
            <v>Medium-density Fiberboard</v>
          </cell>
          <cell r="B744">
            <v>5.5889059875000008E-2</v>
          </cell>
          <cell r="C744">
            <v>9.9999999999999978E-2</v>
          </cell>
          <cell r="D744">
            <v>5.0300153887500011E-2</v>
          </cell>
          <cell r="E744">
            <v>0.74723810903068288</v>
          </cell>
          <cell r="F744">
            <v>5.3361449209726831E-2</v>
          </cell>
          <cell r="G744">
            <v>1.1144303228603193E-2</v>
          </cell>
          <cell r="H744">
            <v>0.6690979366629074</v>
          </cell>
          <cell r="I744">
            <v>0.19054218721237215</v>
          </cell>
          <cell r="J744">
            <v>-0.11090288103745255</v>
          </cell>
          <cell r="K744">
            <v>0.03</v>
          </cell>
          <cell r="L744">
            <v>1.0649223709825727E-2</v>
          </cell>
          <cell r="M744">
            <v>-4.0228242328765049E-3</v>
          </cell>
          <cell r="N744">
            <v>0.14986396685910378</v>
          </cell>
          <cell r="O744">
            <v>0.13385281877731325</v>
          </cell>
          <cell r="P744">
            <v>0.716283214363583</v>
          </cell>
          <cell r="Q744">
            <v>1.6657737185012622E-2</v>
          </cell>
          <cell r="R744">
            <v>-2.8814814723444977E-3</v>
          </cell>
          <cell r="S744">
            <v>1.3776255712668124E-2</v>
          </cell>
        </row>
        <row r="745">
          <cell r="A745" t="str">
            <v>Food Waste</v>
          </cell>
          <cell r="B745">
            <v>1.622706214625282</v>
          </cell>
          <cell r="C745">
            <v>9.9999999999999978E-2</v>
          </cell>
          <cell r="D745">
            <v>1.4604355931627537</v>
          </cell>
          <cell r="E745">
            <v>0.67516262190719634</v>
          </cell>
          <cell r="F745">
            <v>6.0129094216580484E-2</v>
          </cell>
          <cell r="G745">
            <v>0.42954377730874072</v>
          </cell>
          <cell r="H745">
            <v>0.59203932880689469</v>
          </cell>
          <cell r="I745">
            <v>0.26207889242227433</v>
          </cell>
          <cell r="J745">
            <v>-0.11090288103745255</v>
          </cell>
          <cell r="K745">
            <v>0.03</v>
          </cell>
          <cell r="L745">
            <v>0.4252770474557353</v>
          </cell>
          <cell r="M745">
            <v>-0.10334870037728311</v>
          </cell>
          <cell r="N745">
            <v>0.14986396685910378</v>
          </cell>
          <cell r="O745">
            <v>0.13385281877731325</v>
          </cell>
          <cell r="P745">
            <v>0.716283214363583</v>
          </cell>
          <cell r="Q745">
            <v>0.58098112726127615</v>
          </cell>
          <cell r="R745">
            <v>-7.4026939306539183E-2</v>
          </cell>
          <cell r="S745">
            <v>0.50695418795473701</v>
          </cell>
        </row>
        <row r="746">
          <cell r="A746" t="str">
            <v>Food Waste (meat only)</v>
          </cell>
          <cell r="B746">
            <v>1.622706214625282</v>
          </cell>
          <cell r="C746">
            <v>9.9999999999999978E-2</v>
          </cell>
          <cell r="D746">
            <v>1.4604355931627537</v>
          </cell>
          <cell r="E746">
            <v>0.67516262190719634</v>
          </cell>
          <cell r="F746">
            <v>6.0129094216580484E-2</v>
          </cell>
          <cell r="G746">
            <v>0.42954377730874072</v>
          </cell>
          <cell r="H746">
            <v>0.59203932880689469</v>
          </cell>
          <cell r="I746">
            <v>0.26207889242227433</v>
          </cell>
          <cell r="J746">
            <v>-0.11090288103745255</v>
          </cell>
          <cell r="K746">
            <v>0.03</v>
          </cell>
          <cell r="L746">
            <v>0.4252770474557353</v>
          </cell>
          <cell r="M746">
            <v>-0.10334870037728311</v>
          </cell>
          <cell r="N746">
            <v>0.14986396685910378</v>
          </cell>
          <cell r="O746">
            <v>0.13385281877731325</v>
          </cell>
          <cell r="P746">
            <v>0.716283214363583</v>
          </cell>
          <cell r="Q746">
            <v>0.58098112726127615</v>
          </cell>
          <cell r="R746">
            <v>-7.4026939306539183E-2</v>
          </cell>
          <cell r="S746">
            <v>0.50695418795473701</v>
          </cell>
        </row>
        <row r="747">
          <cell r="A747" t="str">
            <v>Food Waste (non-meat)</v>
          </cell>
          <cell r="B747">
            <v>1.622706214625282</v>
          </cell>
          <cell r="C747">
            <v>9.9999999999999978E-2</v>
          </cell>
          <cell r="D747">
            <v>1.4604355931627537</v>
          </cell>
          <cell r="E747">
            <v>0.67516262190719634</v>
          </cell>
          <cell r="F747">
            <v>6.0129094216580484E-2</v>
          </cell>
          <cell r="G747">
            <v>0.42954377730874072</v>
          </cell>
          <cell r="H747">
            <v>0.59203932880689469</v>
          </cell>
          <cell r="I747">
            <v>0.26207889242227433</v>
          </cell>
          <cell r="J747">
            <v>-0.11090288103745255</v>
          </cell>
          <cell r="K747">
            <v>0.03</v>
          </cell>
          <cell r="L747">
            <v>0.4252770474557353</v>
          </cell>
          <cell r="M747">
            <v>-0.10334870037728311</v>
          </cell>
          <cell r="N747">
            <v>0.14986396685910378</v>
          </cell>
          <cell r="O747">
            <v>0.13385281877731325</v>
          </cell>
          <cell r="P747">
            <v>0.716283214363583</v>
          </cell>
          <cell r="Q747">
            <v>0.58098112726127615</v>
          </cell>
          <cell r="R747">
            <v>-7.4026939306539183E-2</v>
          </cell>
          <cell r="S747">
            <v>0.50695418795473701</v>
          </cell>
        </row>
        <row r="748">
          <cell r="A748" t="str">
            <v>Beef</v>
          </cell>
          <cell r="B748">
            <v>1.622706214625282</v>
          </cell>
          <cell r="C748">
            <v>9.9999999999999978E-2</v>
          </cell>
          <cell r="D748">
            <v>1.4604355931627537</v>
          </cell>
          <cell r="E748">
            <v>0.67516262190719634</v>
          </cell>
          <cell r="F748">
            <v>6.0129094216580484E-2</v>
          </cell>
          <cell r="G748">
            <v>0.42954377730874072</v>
          </cell>
          <cell r="H748">
            <v>0.59203932880689469</v>
          </cell>
          <cell r="I748">
            <v>0.26207889242227433</v>
          </cell>
          <cell r="J748">
            <v>-0.11090288103745255</v>
          </cell>
          <cell r="K748">
            <v>0.03</v>
          </cell>
          <cell r="L748">
            <v>0.4252770474557353</v>
          </cell>
          <cell r="M748">
            <v>-0.10334870037728311</v>
          </cell>
          <cell r="N748">
            <v>0.14986396685910378</v>
          </cell>
          <cell r="O748">
            <v>0.13385281877731325</v>
          </cell>
          <cell r="P748">
            <v>0.716283214363583</v>
          </cell>
          <cell r="Q748">
            <v>0.58098112726127615</v>
          </cell>
          <cell r="R748">
            <v>-7.4026939306539183E-2</v>
          </cell>
          <cell r="S748">
            <v>0.50695418795473701</v>
          </cell>
        </row>
        <row r="749">
          <cell r="A749" t="str">
            <v>Poultry</v>
          </cell>
          <cell r="B749">
            <v>1.622706214625282</v>
          </cell>
          <cell r="C749">
            <v>9.9999999999999978E-2</v>
          </cell>
          <cell r="D749">
            <v>1.4604355931627537</v>
          </cell>
          <cell r="E749">
            <v>0.67516262190719634</v>
          </cell>
          <cell r="F749">
            <v>6.0129094216580484E-2</v>
          </cell>
          <cell r="G749">
            <v>0.42954377730874072</v>
          </cell>
          <cell r="H749">
            <v>0.59203932880689469</v>
          </cell>
          <cell r="I749">
            <v>0.26207889242227433</v>
          </cell>
          <cell r="J749">
            <v>-0.11090288103745255</v>
          </cell>
          <cell r="K749">
            <v>0.03</v>
          </cell>
          <cell r="L749">
            <v>0.4252770474557353</v>
          </cell>
          <cell r="M749">
            <v>-0.10334870037728311</v>
          </cell>
          <cell r="N749">
            <v>0.14986396685910378</v>
          </cell>
          <cell r="O749">
            <v>0.13385281877731325</v>
          </cell>
          <cell r="P749">
            <v>0.716283214363583</v>
          </cell>
          <cell r="Q749">
            <v>0.58098112726127615</v>
          </cell>
          <cell r="R749">
            <v>-7.4026939306539183E-2</v>
          </cell>
          <cell r="S749">
            <v>0.50695418795473701</v>
          </cell>
        </row>
        <row r="750">
          <cell r="A750" t="str">
            <v>Grains</v>
          </cell>
          <cell r="B750">
            <v>1.622706214625282</v>
          </cell>
          <cell r="C750">
            <v>9.9999999999999978E-2</v>
          </cell>
          <cell r="D750">
            <v>1.4604355931627537</v>
          </cell>
          <cell r="E750">
            <v>0.67516262190719634</v>
          </cell>
          <cell r="F750">
            <v>6.0129094216580484E-2</v>
          </cell>
          <cell r="G750">
            <v>0.42954377730874072</v>
          </cell>
          <cell r="H750">
            <v>0.59203932880689469</v>
          </cell>
          <cell r="I750">
            <v>0.26207889242227433</v>
          </cell>
          <cell r="J750">
            <v>-0.11090288103745255</v>
          </cell>
          <cell r="K750">
            <v>0.03</v>
          </cell>
          <cell r="L750">
            <v>0.4252770474557353</v>
          </cell>
          <cell r="M750">
            <v>-0.10334870037728311</v>
          </cell>
          <cell r="N750">
            <v>0.14986396685910378</v>
          </cell>
          <cell r="O750">
            <v>0.13385281877731325</v>
          </cell>
          <cell r="P750">
            <v>0.716283214363583</v>
          </cell>
          <cell r="Q750">
            <v>0.58098112726127615</v>
          </cell>
          <cell r="R750">
            <v>-7.4026939306539183E-2</v>
          </cell>
          <cell r="S750">
            <v>0.50695418795473701</v>
          </cell>
        </row>
        <row r="751">
          <cell r="A751" t="str">
            <v>Bread</v>
          </cell>
          <cell r="B751">
            <v>1.622706214625282</v>
          </cell>
          <cell r="C751">
            <v>9.9999999999999978E-2</v>
          </cell>
          <cell r="D751">
            <v>1.4604355931627537</v>
          </cell>
          <cell r="E751">
            <v>0.67516262190719634</v>
          </cell>
          <cell r="F751">
            <v>6.0129094216580484E-2</v>
          </cell>
          <cell r="G751">
            <v>0.42954377730874072</v>
          </cell>
          <cell r="H751">
            <v>0.59203932880689469</v>
          </cell>
          <cell r="I751">
            <v>0.26207889242227433</v>
          </cell>
          <cell r="J751">
            <v>-0.11090288103745255</v>
          </cell>
          <cell r="K751">
            <v>0.03</v>
          </cell>
          <cell r="L751">
            <v>0.4252770474557353</v>
          </cell>
          <cell r="M751">
            <v>-0.10334870037728311</v>
          </cell>
          <cell r="N751">
            <v>0.14986396685910378</v>
          </cell>
          <cell r="O751">
            <v>0.13385281877731325</v>
          </cell>
          <cell r="P751">
            <v>0.716283214363583</v>
          </cell>
          <cell r="Q751">
            <v>0.58098112726127615</v>
          </cell>
          <cell r="R751">
            <v>-7.4026939306539183E-2</v>
          </cell>
          <cell r="S751">
            <v>0.50695418795473701</v>
          </cell>
        </row>
        <row r="752">
          <cell r="A752" t="str">
            <v>Fruits and Vegetables</v>
          </cell>
          <cell r="B752">
            <v>1.622706214625282</v>
          </cell>
          <cell r="C752">
            <v>9.9999999999999978E-2</v>
          </cell>
          <cell r="D752">
            <v>1.4604355931627537</v>
          </cell>
          <cell r="E752">
            <v>0.67516262190719634</v>
          </cell>
          <cell r="F752">
            <v>6.0129094216580484E-2</v>
          </cell>
          <cell r="G752">
            <v>0.42954377730874072</v>
          </cell>
          <cell r="H752">
            <v>0.59203932880689469</v>
          </cell>
          <cell r="I752">
            <v>0.26207889242227433</v>
          </cell>
          <cell r="J752">
            <v>-0.11090288103745255</v>
          </cell>
          <cell r="K752">
            <v>0.03</v>
          </cell>
          <cell r="L752">
            <v>0.4252770474557353</v>
          </cell>
          <cell r="M752">
            <v>-0.10334870037728311</v>
          </cell>
          <cell r="N752">
            <v>0.14986396685910378</v>
          </cell>
          <cell r="O752">
            <v>0.13385281877731325</v>
          </cell>
          <cell r="P752">
            <v>0.716283214363583</v>
          </cell>
          <cell r="Q752">
            <v>0.58098112726127615</v>
          </cell>
          <cell r="R752">
            <v>-7.4026939306539183E-2</v>
          </cell>
          <cell r="S752">
            <v>0.50695418795473701</v>
          </cell>
        </row>
        <row r="753">
          <cell r="A753" t="str">
            <v>Dairy Products</v>
          </cell>
          <cell r="B753">
            <v>1.622706214625282</v>
          </cell>
          <cell r="C753">
            <v>9.9999999999999978E-2</v>
          </cell>
          <cell r="D753">
            <v>1.4604355931627537</v>
          </cell>
          <cell r="E753">
            <v>0.67516262190719634</v>
          </cell>
          <cell r="F753">
            <v>6.0129094216580484E-2</v>
          </cell>
          <cell r="G753">
            <v>0.42954377730874072</v>
          </cell>
          <cell r="H753">
            <v>0.59203932880689469</v>
          </cell>
          <cell r="I753">
            <v>0.26207889242227433</v>
          </cell>
          <cell r="J753">
            <v>-0.11090288103745255</v>
          </cell>
          <cell r="K753">
            <v>0.03</v>
          </cell>
          <cell r="L753">
            <v>0.4252770474557353</v>
          </cell>
          <cell r="M753">
            <v>-0.10334870037728311</v>
          </cell>
          <cell r="N753">
            <v>0.14986396685910378</v>
          </cell>
          <cell r="O753">
            <v>0.13385281877731325</v>
          </cell>
          <cell r="P753">
            <v>0.716283214363583</v>
          </cell>
          <cell r="Q753">
            <v>0.58098112726127615</v>
          </cell>
          <cell r="R753">
            <v>-7.4026939306539183E-2</v>
          </cell>
          <cell r="S753">
            <v>0.50695418795473701</v>
          </cell>
        </row>
        <row r="754">
          <cell r="A754" t="str">
            <v>Yard Trimmings</v>
          </cell>
          <cell r="B754">
            <v>0.81032008938650013</v>
          </cell>
          <cell r="C754">
            <v>9.9999999999999978E-2</v>
          </cell>
          <cell r="D754">
            <v>0.7292880804478501</v>
          </cell>
          <cell r="E754">
            <v>0.61521626451946354</v>
          </cell>
          <cell r="F754">
            <v>7.6726099184627014E-2</v>
          </cell>
          <cell r="G754">
            <v>0.24962529137949527</v>
          </cell>
          <cell r="H754">
            <v>0.52206550985582845</v>
          </cell>
          <cell r="I754">
            <v>0.30090673693934522</v>
          </cell>
          <cell r="J754">
            <v>-0.11090288103745255</v>
          </cell>
          <cell r="K754">
            <v>0.03</v>
          </cell>
          <cell r="L754">
            <v>0.2438307739736903</v>
          </cell>
          <cell r="M754">
            <v>-4.5508882503981121E-2</v>
          </cell>
          <cell r="N754">
            <v>0.14986396685910378</v>
          </cell>
          <cell r="O754">
            <v>0.13385281877731325</v>
          </cell>
          <cell r="P754">
            <v>0.716283214363583</v>
          </cell>
          <cell r="Q754">
            <v>0.31735894415086474</v>
          </cell>
          <cell r="R754">
            <v>-3.2597248642046224E-2</v>
          </cell>
          <cell r="S754">
            <v>0.28476169550881852</v>
          </cell>
        </row>
        <row r="755">
          <cell r="A755" t="str">
            <v>Grass</v>
          </cell>
          <cell r="B755">
            <v>0.5688048319800002</v>
          </cell>
          <cell r="C755">
            <v>9.9999999999999978E-2</v>
          </cell>
          <cell r="D755">
            <v>0.51192434878200022</v>
          </cell>
          <cell r="E755">
            <v>0.56454920786486207</v>
          </cell>
          <cell r="F755">
            <v>7.4575952503304815E-2</v>
          </cell>
          <cell r="G755">
            <v>0.20526735252259434</v>
          </cell>
          <cell r="H755">
            <v>0.47698251631481448</v>
          </cell>
          <cell r="I755">
            <v>0.35997571139321605</v>
          </cell>
          <cell r="J755">
            <v>-0.11090288103745255</v>
          </cell>
          <cell r="K755">
            <v>0.03</v>
          </cell>
          <cell r="L755">
            <v>0.20475592403589929</v>
          </cell>
          <cell r="M755">
            <v>-2.9186384536973524E-2</v>
          </cell>
          <cell r="N755">
            <v>0.14986396685910378</v>
          </cell>
          <cell r="O755">
            <v>0.13385281877731325</v>
          </cell>
          <cell r="P755">
            <v>0.716283214363583</v>
          </cell>
          <cell r="Q755">
            <v>0.2508578588067592</v>
          </cell>
          <cell r="R755">
            <v>-2.0905717331794971E-2</v>
          </cell>
          <cell r="S755">
            <v>0.22995214147496423</v>
          </cell>
        </row>
        <row r="756">
          <cell r="A756" t="str">
            <v>Leaves</v>
          </cell>
          <cell r="B756">
            <v>0.65408019754000024</v>
          </cell>
          <cell r="C756">
            <v>9.9999999999999978E-2</v>
          </cell>
          <cell r="D756">
            <v>0.58867217778600023</v>
          </cell>
          <cell r="E756">
            <v>0.65244404968450298</v>
          </cell>
          <cell r="F756">
            <v>6.3049940629475068E-2</v>
          </cell>
          <cell r="G756">
            <v>0.18608974701675046</v>
          </cell>
          <cell r="H756">
            <v>0.5673114596775386</v>
          </cell>
          <cell r="I756">
            <v>0.28249458462317673</v>
          </cell>
          <cell r="J756">
            <v>-0.11090288103745255</v>
          </cell>
          <cell r="K756">
            <v>0.03</v>
          </cell>
          <cell r="L756">
            <v>0.18477411371430774</v>
          </cell>
          <cell r="M756">
            <v>-3.9917847990063329E-2</v>
          </cell>
          <cell r="N756">
            <v>0.14986396685910378</v>
          </cell>
          <cell r="O756">
            <v>0.13385281877731325</v>
          </cell>
          <cell r="P756">
            <v>0.716283214363583</v>
          </cell>
          <cell r="Q756">
            <v>0.2454799810288133</v>
          </cell>
          <cell r="R756">
            <v>-2.8592484468799452E-2</v>
          </cell>
          <cell r="S756">
            <v>0.21688749656001385</v>
          </cell>
        </row>
        <row r="757">
          <cell r="A757" t="str">
            <v>Branches</v>
          </cell>
          <cell r="B757">
            <v>1.4495904960459998</v>
          </cell>
          <cell r="C757">
            <v>9.9999999999999978E-2</v>
          </cell>
          <cell r="D757">
            <v>1.3046314464413997</v>
          </cell>
          <cell r="E757">
            <v>0.67932259266362716</v>
          </cell>
          <cell r="F757">
            <v>9.4702551102423371E-2</v>
          </cell>
          <cell r="G757">
            <v>0.32757100394209432</v>
          </cell>
          <cell r="H757">
            <v>0.56698554711614635</v>
          </cell>
          <cell r="I757">
            <v>0.20118094034777209</v>
          </cell>
          <cell r="J757">
            <v>-0.11090288103745255</v>
          </cell>
          <cell r="K757">
            <v>0.03</v>
          </cell>
          <cell r="L757">
            <v>0.29162997911372762</v>
          </cell>
          <cell r="M757">
            <v>-8.8416207852197504E-2</v>
          </cell>
          <cell r="N757">
            <v>0.14986396685910378</v>
          </cell>
          <cell r="O757">
            <v>0.13385281877731325</v>
          </cell>
          <cell r="P757">
            <v>0.716283214363583</v>
          </cell>
          <cell r="Q757">
            <v>0.44825320492456766</v>
          </cell>
          <cell r="R757">
            <v>-6.3331045562210697E-2</v>
          </cell>
          <cell r="S757">
            <v>0.38492215936235696</v>
          </cell>
        </row>
        <row r="758">
          <cell r="A758" t="str">
            <v>Mixed Paper (general)</v>
          </cell>
          <cell r="B758">
            <v>2.3832448707931113</v>
          </cell>
          <cell r="C758">
            <v>9.9999999999999978E-2</v>
          </cell>
          <cell r="D758">
            <v>2.1449203837138002</v>
          </cell>
          <cell r="E758">
            <v>0.72140796894067261</v>
          </cell>
          <cell r="F758">
            <v>7.3563107016415955E-2</v>
          </cell>
          <cell r="G758">
            <v>0.48863413158949914</v>
          </cell>
          <cell r="H758">
            <v>0.62299295051251036</v>
          </cell>
          <cell r="I758">
            <v>0.18581603630457746</v>
          </cell>
          <cell r="J758">
            <v>-0.11090288103745255</v>
          </cell>
          <cell r="K758">
            <v>0.03</v>
          </cell>
          <cell r="L758">
            <v>0.4428451154339908</v>
          </cell>
          <cell r="M758">
            <v>-0.15972259668290675</v>
          </cell>
          <cell r="N758">
            <v>0.14986396685910378</v>
          </cell>
          <cell r="O758">
            <v>0.13385281877731325</v>
          </cell>
          <cell r="P758">
            <v>0.716283214363583</v>
          </cell>
          <cell r="Q758">
            <v>0.70405385591263103</v>
          </cell>
          <cell r="R758">
            <v>-0.11440661495853061</v>
          </cell>
          <cell r="S758">
            <v>0.58964724095410048</v>
          </cell>
        </row>
        <row r="759">
          <cell r="A759" t="str">
            <v>Mixed Paper (primarily residential)</v>
          </cell>
          <cell r="B759">
            <v>2.2946736526735392</v>
          </cell>
          <cell r="C759">
            <v>9.9999999999999978E-2</v>
          </cell>
          <cell r="D759">
            <v>2.0652062874061854</v>
          </cell>
          <cell r="E759">
            <v>0.71891144559666376</v>
          </cell>
          <cell r="F759">
            <v>7.4117398695366807E-2</v>
          </cell>
          <cell r="G759">
            <v>0.47493125786647</v>
          </cell>
          <cell r="H759">
            <v>0.62022691839721145</v>
          </cell>
          <cell r="I759">
            <v>0.18786910531129258</v>
          </cell>
          <cell r="J759">
            <v>-0.11090288103745255</v>
          </cell>
          <cell r="K759">
            <v>0.03</v>
          </cell>
          <cell r="L759">
            <v>0.43109828610917356</v>
          </cell>
          <cell r="M759">
            <v>-0.15310384687088296</v>
          </cell>
          <cell r="N759">
            <v>0.14986396685910378</v>
          </cell>
          <cell r="O759">
            <v>0.13385281877731325</v>
          </cell>
          <cell r="P759">
            <v>0.716283214363583</v>
          </cell>
          <cell r="Q759">
            <v>0.68185936028484573</v>
          </cell>
          <cell r="R759">
            <v>-0.10966571556810585</v>
          </cell>
          <cell r="S759">
            <v>0.57219364471673984</v>
          </cell>
        </row>
        <row r="760">
          <cell r="A760" t="str">
            <v>Mixed Paper (primarily from offices)</v>
          </cell>
          <cell r="B760">
            <v>2.2577848571899501</v>
          </cell>
          <cell r="C760">
            <v>9.9999999999999978E-2</v>
          </cell>
          <cell r="D760">
            <v>2.0320063714709553</v>
          </cell>
          <cell r="E760">
            <v>0.72251406872364987</v>
          </cell>
          <cell r="F760">
            <v>6.4418198671811672E-2</v>
          </cell>
          <cell r="G760">
            <v>0.48106110023032433</v>
          </cell>
          <cell r="H760">
            <v>0.63249420847194027</v>
          </cell>
          <cell r="I760">
            <v>0.19978583297589986</v>
          </cell>
          <cell r="J760">
            <v>-0.11090288103745255</v>
          </cell>
          <cell r="K760">
            <v>0.03</v>
          </cell>
          <cell r="L760">
            <v>0.45107342837406728</v>
          </cell>
          <cell r="M760">
            <v>-0.15362209087572368</v>
          </cell>
          <cell r="N760">
            <v>0.14986396685910378</v>
          </cell>
          <cell r="O760">
            <v>0.13385281877731325</v>
          </cell>
          <cell r="P760">
            <v>0.716283214363583</v>
          </cell>
          <cell r="Q760">
            <v>0.69201224497133373</v>
          </cell>
          <cell r="R760">
            <v>-0.11003692504971781</v>
          </cell>
          <cell r="S760">
            <v>0.58197531992161589</v>
          </cell>
        </row>
        <row r="761">
          <cell r="A761" t="str">
            <v>Mixed Recyclables</v>
          </cell>
          <cell r="B761">
            <v>1.9734014132616131</v>
          </cell>
          <cell r="C761">
            <v>9.9999999999999978E-2</v>
          </cell>
          <cell r="D761">
            <v>1.7760612719354518</v>
          </cell>
          <cell r="E761">
            <v>0.61826744085508678</v>
          </cell>
          <cell r="F761">
            <v>6.5024318802537492E-2</v>
          </cell>
          <cell r="G761">
            <v>0.6249924890832429</v>
          </cell>
          <cell r="H761">
            <v>0.5325142074400484</v>
          </cell>
          <cell r="I761">
            <v>0.1645453421284602</v>
          </cell>
          <cell r="J761">
            <v>-0.11090288103745255</v>
          </cell>
          <cell r="K761">
            <v>0.03</v>
          </cell>
          <cell r="L761">
            <v>0.32471401070191902</v>
          </cell>
          <cell r="M761">
            <v>-0.11304756097111972</v>
          </cell>
          <cell r="N761">
            <v>0.14986396685910378</v>
          </cell>
          <cell r="O761">
            <v>0.13385281877731325</v>
          </cell>
          <cell r="P761">
            <v>0.716283214363583</v>
          </cell>
          <cell r="Q761">
            <v>0.58241178930997495</v>
          </cell>
          <cell r="R761">
            <v>-8.0974070348356769E-2</v>
          </cell>
          <cell r="S761">
            <v>0.50143771896161815</v>
          </cell>
        </row>
        <row r="762">
          <cell r="A762" t="str">
            <v>Mixed Organics</v>
          </cell>
          <cell r="B762">
            <v>1.2328155960009999</v>
          </cell>
          <cell r="C762">
            <v>9.9999999999999978E-2</v>
          </cell>
          <cell r="D762">
            <v>1.1095340364008999</v>
          </cell>
          <cell r="E762">
            <v>0.64639240828580347</v>
          </cell>
          <cell r="F762">
            <v>6.8094538644130176E-2</v>
          </cell>
          <cell r="G762">
            <v>0.35198494468663899</v>
          </cell>
          <cell r="H762">
            <v>0.55845660907455585</v>
          </cell>
          <cell r="I762">
            <v>0.28071364238696456</v>
          </cell>
          <cell r="J762">
            <v>-0.11090288103745255</v>
          </cell>
          <cell r="K762">
            <v>0.03</v>
          </cell>
          <cell r="L762">
            <v>0.34606815634489724</v>
          </cell>
          <cell r="M762">
            <v>-7.4063139482984985E-2</v>
          </cell>
          <cell r="N762">
            <v>0.14986396685910378</v>
          </cell>
          <cell r="O762">
            <v>0.13385281877731325</v>
          </cell>
          <cell r="P762">
            <v>0.716283214363583</v>
          </cell>
          <cell r="Q762">
            <v>0.46127616048931741</v>
          </cell>
          <cell r="R762">
            <v>-5.3050183614730885E-2</v>
          </cell>
          <cell r="S762">
            <v>0.4082259768745865</v>
          </cell>
        </row>
        <row r="763">
          <cell r="A763" t="str">
            <v>Mixed MSW</v>
          </cell>
          <cell r="B763">
            <v>1.6199727500000001</v>
          </cell>
          <cell r="C763">
            <v>9.9999999999999978E-2</v>
          </cell>
          <cell r="D763">
            <v>1.457975475</v>
          </cell>
          <cell r="E763">
            <v>0.75317427770931122</v>
          </cell>
          <cell r="F763">
            <v>5.9031806625970511E-2</v>
          </cell>
          <cell r="G763">
            <v>0.30422102599264172</v>
          </cell>
          <cell r="H763">
            <v>0.66681743584579412</v>
          </cell>
          <cell r="I763">
            <v>0.17280617088504507</v>
          </cell>
          <cell r="J763">
            <v>-0.11090288103745255</v>
          </cell>
          <cell r="K763">
            <v>0.03</v>
          </cell>
          <cell r="L763">
            <v>0.27994128786561639</v>
          </cell>
          <cell r="M763">
            <v>-0.11620617840434219</v>
          </cell>
          <cell r="N763">
            <v>0.14986396685910378</v>
          </cell>
          <cell r="O763">
            <v>0.13385281877731325</v>
          </cell>
          <cell r="P763">
            <v>0.716283214363583</v>
          </cell>
          <cell r="Q763">
            <v>0.45973607563269225</v>
          </cell>
          <cell r="R763">
            <v>-8.3236534996370209E-2</v>
          </cell>
          <cell r="S763">
            <v>0.37649954063632207</v>
          </cell>
        </row>
        <row r="764">
          <cell r="A764" t="str">
            <v>Wood Flooring</v>
          </cell>
          <cell r="B764">
            <v>0.18143694800000035</v>
          </cell>
          <cell r="C764">
            <v>9.9999999999999978E-2</v>
          </cell>
          <cell r="D764">
            <v>0.16329325320000032</v>
          </cell>
          <cell r="E764">
            <v>0</v>
          </cell>
          <cell r="F764">
            <v>9.9999999999999978E-2</v>
          </cell>
          <cell r="G764">
            <v>0.16329325320000032</v>
          </cell>
          <cell r="H764">
            <v>0</v>
          </cell>
          <cell r="I764">
            <v>0.9</v>
          </cell>
          <cell r="J764">
            <v>-0.11090288103745255</v>
          </cell>
          <cell r="K764">
            <v>0.03</v>
          </cell>
          <cell r="L764">
            <v>0.16329325320000032</v>
          </cell>
          <cell r="M764">
            <v>0</v>
          </cell>
          <cell r="N764">
            <v>1</v>
          </cell>
          <cell r="O764">
            <v>0</v>
          </cell>
          <cell r="P764">
            <v>0</v>
          </cell>
          <cell r="Q764">
            <v>0.16329325320000032</v>
          </cell>
          <cell r="R764">
            <v>0</v>
          </cell>
          <cell r="S764">
            <v>0.16329325320000032</v>
          </cell>
        </row>
        <row r="765">
          <cell r="A765" t="str">
            <v>Drywall</v>
          </cell>
          <cell r="B765">
            <v>0</v>
          </cell>
          <cell r="C765">
            <v>9.9999999999999978E-2</v>
          </cell>
          <cell r="D765">
            <v>0</v>
          </cell>
          <cell r="E765">
            <v>0</v>
          </cell>
          <cell r="F765">
            <v>9.9999999999999978E-2</v>
          </cell>
          <cell r="G765">
            <v>0</v>
          </cell>
          <cell r="H765">
            <v>0</v>
          </cell>
          <cell r="I765">
            <v>0.9</v>
          </cell>
          <cell r="J765">
            <v>-0.11090288103745255</v>
          </cell>
          <cell r="K765">
            <v>0.03</v>
          </cell>
          <cell r="L765">
            <v>0</v>
          </cell>
          <cell r="M765">
            <v>0</v>
          </cell>
          <cell r="N765">
            <v>1</v>
          </cell>
          <cell r="O765">
            <v>0</v>
          </cell>
          <cell r="P765">
            <v>0</v>
          </cell>
          <cell r="Q765">
            <v>0</v>
          </cell>
          <cell r="R765">
            <v>0</v>
          </cell>
          <cell r="S765">
            <v>0</v>
          </cell>
        </row>
        <row r="775">
          <cell r="A775" t="str">
            <v>Corrugated Containers</v>
          </cell>
          <cell r="B775">
            <v>2.6232704732575001</v>
          </cell>
          <cell r="C775">
            <v>9.9999999999999978E-2</v>
          </cell>
          <cell r="D775">
            <v>2.3609434259317501</v>
          </cell>
          <cell r="E775">
            <v>0.69602538454436247</v>
          </cell>
          <cell r="F775">
            <v>7.7937132649162716E-2</v>
          </cell>
          <cell r="G775">
            <v>0.59295745449567527</v>
          </cell>
          <cell r="H775">
            <v>0.62105134190916278</v>
          </cell>
          <cell r="I775">
            <v>0.21277814354774369</v>
          </cell>
          <cell r="J775">
            <v>-0.11090288103745255</v>
          </cell>
          <cell r="K775">
            <v>0.03</v>
          </cell>
          <cell r="L775">
            <v>0.55817462132334184</v>
          </cell>
          <cell r="M775">
            <v>-0.17526094060257713</v>
          </cell>
          <cell r="N775">
            <v>0.14986396685910378</v>
          </cell>
          <cell r="O775">
            <v>0.13385281877731325</v>
          </cell>
          <cell r="P775">
            <v>0.716283214363583</v>
          </cell>
          <cell r="Q775">
            <v>0.8330004859769804</v>
          </cell>
          <cell r="R775">
            <v>-0.12553646988719894</v>
          </cell>
          <cell r="S775">
            <v>0.70746401608978149</v>
          </cell>
        </row>
        <row r="776">
          <cell r="A776" t="str">
            <v>Magazines/Third-class Mail</v>
          </cell>
          <cell r="B776">
            <v>1.1946237049113888</v>
          </cell>
          <cell r="C776">
            <v>9.9999999999999978E-2</v>
          </cell>
          <cell r="D776">
            <v>1.07516133442025</v>
          </cell>
          <cell r="E776">
            <v>0.59841585533200969</v>
          </cell>
          <cell r="F776">
            <v>7.0248501523071008E-2</v>
          </cell>
          <cell r="G776">
            <v>0.39582141358298134</v>
          </cell>
          <cell r="H776">
            <v>0.53738505938727965</v>
          </cell>
          <cell r="I776">
            <v>0.33025042788122966</v>
          </cell>
          <cell r="J776">
            <v>-0.11090288103745255</v>
          </cell>
          <cell r="K776">
            <v>0.03</v>
          </cell>
          <cell r="L776">
            <v>0.39452498970404598</v>
          </cell>
          <cell r="M776">
            <v>-6.9060748126044708E-2</v>
          </cell>
          <cell r="N776">
            <v>0.14986396685910378</v>
          </cell>
          <cell r="O776">
            <v>0.13385281877731325</v>
          </cell>
          <cell r="P776">
            <v>0.716283214363583</v>
          </cell>
          <cell r="Q776">
            <v>0.49670138230222244</v>
          </cell>
          <cell r="R776">
            <v>-4.9467054654077094E-2</v>
          </cell>
          <cell r="S776">
            <v>0.44723432764814536</v>
          </cell>
        </row>
        <row r="777">
          <cell r="A777" t="str">
            <v>Newspaper</v>
          </cell>
          <cell r="B777">
            <v>1.0471665853275001</v>
          </cell>
          <cell r="C777">
            <v>9.9999999999999978E-2</v>
          </cell>
          <cell r="D777">
            <v>0.94244992679475004</v>
          </cell>
          <cell r="E777">
            <v>0.72231027605591702</v>
          </cell>
          <cell r="F777">
            <v>6.1102903874031209E-2</v>
          </cell>
          <cell r="G777">
            <v>0.22680248079969775</v>
          </cell>
          <cell r="H777">
            <v>0.65492267801119441</v>
          </cell>
          <cell r="I777">
            <v>0.20768238218249929</v>
          </cell>
          <cell r="J777">
            <v>-0.11090288103745255</v>
          </cell>
          <cell r="K777">
            <v>0.03</v>
          </cell>
          <cell r="L777">
            <v>0.21747805098272863</v>
          </cell>
          <cell r="M777">
            <v>-7.377689395884536E-2</v>
          </cell>
          <cell r="N777">
            <v>0.14986396685910378</v>
          </cell>
          <cell r="O777">
            <v>0.13385281877731325</v>
          </cell>
          <cell r="P777">
            <v>0.716283214363583</v>
          </cell>
          <cell r="Q777">
            <v>0.32737331336769626</v>
          </cell>
          <cell r="R777">
            <v>-5.2845150750602962E-2</v>
          </cell>
          <cell r="S777">
            <v>0.27452816261709329</v>
          </cell>
        </row>
        <row r="778">
          <cell r="A778" t="str">
            <v>Office Paper</v>
          </cell>
          <cell r="B778">
            <v>3.8859258337900004</v>
          </cell>
          <cell r="C778">
            <v>9.9999999999999978E-2</v>
          </cell>
          <cell r="D778">
            <v>3.4973332504110006</v>
          </cell>
          <cell r="E778">
            <v>0.72044485750864384</v>
          </cell>
          <cell r="F778">
            <v>6.3945801520100473E-2</v>
          </cell>
          <cell r="G778">
            <v>0.83784190808663916</v>
          </cell>
          <cell r="H778">
            <v>0.65103589104380188</v>
          </cell>
          <cell r="I778">
            <v>0.20550588348596296</v>
          </cell>
          <cell r="J778">
            <v>-0.11090288103745255</v>
          </cell>
          <cell r="K778">
            <v>0.03</v>
          </cell>
          <cell r="L778">
            <v>0.79858062163394128</v>
          </cell>
          <cell r="M778">
            <v>-0.27215354872665193</v>
          </cell>
          <cell r="N778">
            <v>0.14986396685910378</v>
          </cell>
          <cell r="O778">
            <v>0.13385281877731325</v>
          </cell>
          <cell r="P778">
            <v>0.716283214363583</v>
          </cell>
          <cell r="Q778">
            <v>1.2082816300144228</v>
          </cell>
          <cell r="R778">
            <v>-0.19493901868238225</v>
          </cell>
          <cell r="S778">
            <v>1.0133426113320405</v>
          </cell>
        </row>
        <row r="779">
          <cell r="A779" t="str">
            <v>Phonebooks</v>
          </cell>
          <cell r="B779">
            <v>1.0471665853275001</v>
          </cell>
          <cell r="C779">
            <v>9.9999999999999978E-2</v>
          </cell>
          <cell r="D779">
            <v>0.94244992679475004</v>
          </cell>
          <cell r="E779">
            <v>0.72231027605591702</v>
          </cell>
          <cell r="F779">
            <v>6.1102903874031209E-2</v>
          </cell>
          <cell r="G779">
            <v>0.22680248079969775</v>
          </cell>
          <cell r="H779">
            <v>0.65492267801119441</v>
          </cell>
          <cell r="I779">
            <v>0.20768238218249929</v>
          </cell>
          <cell r="J779">
            <v>-0.11090288103745255</v>
          </cell>
          <cell r="K779">
            <v>0.03</v>
          </cell>
          <cell r="L779">
            <v>0.21747805098272863</v>
          </cell>
          <cell r="M779">
            <v>-7.377689395884536E-2</v>
          </cell>
          <cell r="N779">
            <v>0.14986396685910378</v>
          </cell>
          <cell r="O779">
            <v>0.13385281877731325</v>
          </cell>
          <cell r="P779">
            <v>0.716283214363583</v>
          </cell>
          <cell r="Q779">
            <v>0.32737331336769626</v>
          </cell>
          <cell r="R779">
            <v>-5.2845150750602962E-2</v>
          </cell>
          <cell r="S779">
            <v>0.27452816261709329</v>
          </cell>
        </row>
        <row r="780">
          <cell r="A780" t="str">
            <v>Textbooks</v>
          </cell>
          <cell r="B780">
            <v>3.8859258337900004</v>
          </cell>
          <cell r="C780">
            <v>9.9999999999999978E-2</v>
          </cell>
          <cell r="D780">
            <v>3.4973332504110006</v>
          </cell>
          <cell r="E780">
            <v>0.72044485750864384</v>
          </cell>
          <cell r="F780">
            <v>6.3945801520100473E-2</v>
          </cell>
          <cell r="G780">
            <v>0.83784190808663916</v>
          </cell>
          <cell r="H780">
            <v>0.65103589104380188</v>
          </cell>
          <cell r="I780">
            <v>0.20550588348596296</v>
          </cell>
          <cell r="J780">
            <v>-0.11090288103745255</v>
          </cell>
          <cell r="K780">
            <v>0.03</v>
          </cell>
          <cell r="L780">
            <v>0.79858062163394128</v>
          </cell>
          <cell r="M780">
            <v>-0.27215354872665193</v>
          </cell>
          <cell r="N780">
            <v>0.14986396685910378</v>
          </cell>
          <cell r="O780">
            <v>0.13385281877731325</v>
          </cell>
          <cell r="P780">
            <v>0.716283214363583</v>
          </cell>
          <cell r="Q780">
            <v>1.2082816300144228</v>
          </cell>
          <cell r="R780">
            <v>-0.19493901868238225</v>
          </cell>
          <cell r="S780">
            <v>1.0133426113320405</v>
          </cell>
        </row>
        <row r="781">
          <cell r="A781" t="str">
            <v>Dimensional Lumber</v>
          </cell>
          <cell r="B781">
            <v>0.16645220006249997</v>
          </cell>
          <cell r="C781">
            <v>9.9999999999999978E-2</v>
          </cell>
          <cell r="D781">
            <v>0.14980698005624998</v>
          </cell>
          <cell r="E781">
            <v>0.65661951136932373</v>
          </cell>
          <cell r="F781">
            <v>6.2883424495149678E-2</v>
          </cell>
          <cell r="G781">
            <v>4.6689353436430561E-2</v>
          </cell>
          <cell r="H781">
            <v>0.59592903540108222</v>
          </cell>
          <cell r="I781">
            <v>0.27819839741851071</v>
          </cell>
          <cell r="J781">
            <v>-0.11090288103745255</v>
          </cell>
          <cell r="K781">
            <v>0.03</v>
          </cell>
          <cell r="L781">
            <v>4.6306735304172821E-2</v>
          </cell>
          <cell r="M781">
            <v>-1.0670840992408418E-2</v>
          </cell>
          <cell r="N781">
            <v>0.14986396685910378</v>
          </cell>
          <cell r="O781">
            <v>0.13385281877731325</v>
          </cell>
          <cell r="P781">
            <v>0.716283214363583</v>
          </cell>
          <cell r="Q781">
            <v>6.1868907069125262E-2</v>
          </cell>
          <cell r="R781">
            <v>-7.6433442860049878E-3</v>
          </cell>
          <cell r="S781">
            <v>5.4225562783120275E-2</v>
          </cell>
        </row>
        <row r="782">
          <cell r="A782" t="str">
            <v>Medium-density Fiberboard</v>
          </cell>
          <cell r="B782">
            <v>5.5889059875000008E-2</v>
          </cell>
          <cell r="C782">
            <v>9.9999999999999978E-2</v>
          </cell>
          <cell r="D782">
            <v>5.0300153887500011E-2</v>
          </cell>
          <cell r="E782">
            <v>0.68492471418126954</v>
          </cell>
          <cell r="F782">
            <v>5.9724572184055094E-2</v>
          </cell>
          <cell r="G782">
            <v>1.4271311323452354E-2</v>
          </cell>
          <cell r="H782">
            <v>0.62395305538501711</v>
          </cell>
          <cell r="I782">
            <v>0.25181394348896224</v>
          </cell>
          <cell r="J782">
            <v>-0.11090288103745255</v>
          </cell>
          <cell r="K782">
            <v>0.03</v>
          </cell>
          <cell r="L782">
            <v>1.4073644565014479E-2</v>
          </cell>
          <cell r="M782">
            <v>-3.7513992105534643E-3</v>
          </cell>
          <cell r="N782">
            <v>0.14986396685910378</v>
          </cell>
          <cell r="O782">
            <v>0.13385281877731325</v>
          </cell>
          <cell r="P782">
            <v>0.716283214363583</v>
          </cell>
          <cell r="Q782">
            <v>1.9529151210335952E-2</v>
          </cell>
          <cell r="R782">
            <v>-2.6870642848962432E-3</v>
          </cell>
          <cell r="S782">
            <v>1.684208692543971E-2</v>
          </cell>
        </row>
        <row r="783">
          <cell r="A783" t="str">
            <v>Food Waste</v>
          </cell>
          <cell r="B783">
            <v>1.622706214625282</v>
          </cell>
          <cell r="C783">
            <v>9.9999999999999978E-2</v>
          </cell>
          <cell r="D783">
            <v>1.4604355931627537</v>
          </cell>
          <cell r="E783">
            <v>0.57053544701291092</v>
          </cell>
          <cell r="F783">
            <v>7.3863824540703629E-2</v>
          </cell>
          <cell r="G783">
            <v>0.57703551197522696</v>
          </cell>
          <cell r="H783">
            <v>0.50960136452269433</v>
          </cell>
          <cell r="I783">
            <v>0.35479701822010684</v>
          </cell>
          <cell r="J783">
            <v>-0.11090288103745255</v>
          </cell>
          <cell r="K783">
            <v>0.03</v>
          </cell>
          <cell r="L783">
            <v>0.57573132639628677</v>
          </cell>
          <cell r="M783">
            <v>-8.8958006962217923E-2</v>
          </cell>
          <cell r="N783">
            <v>0.14986396685910378</v>
          </cell>
          <cell r="O783">
            <v>0.13385281877731325</v>
          </cell>
          <cell r="P783">
            <v>0.716283214363583</v>
          </cell>
          <cell r="Q783">
            <v>0.70849118622703422</v>
          </cell>
          <cell r="R783">
            <v>-6.3719127170275447E-2</v>
          </cell>
          <cell r="S783">
            <v>0.64477205905675872</v>
          </cell>
        </row>
        <row r="784">
          <cell r="A784" t="str">
            <v>Food Waste (meat only)</v>
          </cell>
          <cell r="B784">
            <v>1.622706214625282</v>
          </cell>
          <cell r="C784">
            <v>9.9999999999999978E-2</v>
          </cell>
          <cell r="D784">
            <v>1.4604355931627537</v>
          </cell>
          <cell r="E784">
            <v>0.57053544701291092</v>
          </cell>
          <cell r="F784">
            <v>7.3863824540703629E-2</v>
          </cell>
          <cell r="G784">
            <v>0.57703551197522696</v>
          </cell>
          <cell r="H784">
            <v>0.50960136452269433</v>
          </cell>
          <cell r="I784">
            <v>0.35479701822010684</v>
          </cell>
          <cell r="J784">
            <v>-0.11090288103745255</v>
          </cell>
          <cell r="K784">
            <v>0.03</v>
          </cell>
          <cell r="L784">
            <v>0.57573132639628677</v>
          </cell>
          <cell r="M784">
            <v>-8.8958006962217923E-2</v>
          </cell>
          <cell r="N784">
            <v>0.14986396685910378</v>
          </cell>
          <cell r="O784">
            <v>0.13385281877731325</v>
          </cell>
          <cell r="P784">
            <v>0.716283214363583</v>
          </cell>
          <cell r="Q784">
            <v>0.70849118622703422</v>
          </cell>
          <cell r="R784">
            <v>-6.3719127170275447E-2</v>
          </cell>
          <cell r="S784">
            <v>0.64477205905675872</v>
          </cell>
        </row>
        <row r="785">
          <cell r="A785" t="str">
            <v>Food Waste (non-meat)</v>
          </cell>
          <cell r="B785">
            <v>1.622706214625282</v>
          </cell>
          <cell r="C785">
            <v>9.9999999999999978E-2</v>
          </cell>
          <cell r="D785">
            <v>1.4604355931627537</v>
          </cell>
          <cell r="E785">
            <v>0.57053544701291092</v>
          </cell>
          <cell r="F785">
            <v>7.3863824540703629E-2</v>
          </cell>
          <cell r="G785">
            <v>0.57703551197522696</v>
          </cell>
          <cell r="H785">
            <v>0.50960136452269433</v>
          </cell>
          <cell r="I785">
            <v>0.35479701822010684</v>
          </cell>
          <cell r="J785">
            <v>-0.11090288103745255</v>
          </cell>
          <cell r="K785">
            <v>0.03</v>
          </cell>
          <cell r="L785">
            <v>0.57573132639628677</v>
          </cell>
          <cell r="M785">
            <v>-8.8958006962217923E-2</v>
          </cell>
          <cell r="N785">
            <v>0.14986396685910378</v>
          </cell>
          <cell r="O785">
            <v>0.13385281877731325</v>
          </cell>
          <cell r="P785">
            <v>0.716283214363583</v>
          </cell>
          <cell r="Q785">
            <v>0.70849118622703422</v>
          </cell>
          <cell r="R785">
            <v>-6.3719127170275447E-2</v>
          </cell>
          <cell r="S785">
            <v>0.64477205905675872</v>
          </cell>
        </row>
        <row r="786">
          <cell r="A786" t="str">
            <v>Beef</v>
          </cell>
          <cell r="B786">
            <v>1.622706214625282</v>
          </cell>
          <cell r="C786">
            <v>9.9999999999999978E-2</v>
          </cell>
          <cell r="D786">
            <v>1.4604355931627537</v>
          </cell>
          <cell r="E786">
            <v>0.57053544701291092</v>
          </cell>
          <cell r="F786">
            <v>7.3863824540703629E-2</v>
          </cell>
          <cell r="G786">
            <v>0.57703551197522696</v>
          </cell>
          <cell r="H786">
            <v>0.50960136452269433</v>
          </cell>
          <cell r="I786">
            <v>0.35479701822010684</v>
          </cell>
          <cell r="J786">
            <v>-0.11090288103745255</v>
          </cell>
          <cell r="K786">
            <v>0.03</v>
          </cell>
          <cell r="L786">
            <v>0.57573132639628677</v>
          </cell>
          <cell r="M786">
            <v>-8.8958006962217923E-2</v>
          </cell>
          <cell r="N786">
            <v>0.14986396685910378</v>
          </cell>
          <cell r="O786">
            <v>0.13385281877731325</v>
          </cell>
          <cell r="P786">
            <v>0.716283214363583</v>
          </cell>
          <cell r="Q786">
            <v>0.70849118622703422</v>
          </cell>
          <cell r="R786">
            <v>-6.3719127170275447E-2</v>
          </cell>
          <cell r="S786">
            <v>0.64477205905675872</v>
          </cell>
        </row>
        <row r="787">
          <cell r="A787" t="str">
            <v>Poultry</v>
          </cell>
          <cell r="B787">
            <v>1.622706214625282</v>
          </cell>
          <cell r="C787">
            <v>9.9999999999999978E-2</v>
          </cell>
          <cell r="D787">
            <v>1.4604355931627537</v>
          </cell>
          <cell r="E787">
            <v>0.57053544701291092</v>
          </cell>
          <cell r="F787">
            <v>7.3863824540703629E-2</v>
          </cell>
          <cell r="G787">
            <v>0.57703551197522696</v>
          </cell>
          <cell r="H787">
            <v>0.50960136452269433</v>
          </cell>
          <cell r="I787">
            <v>0.35479701822010684</v>
          </cell>
          <cell r="J787">
            <v>-0.11090288103745255</v>
          </cell>
          <cell r="K787">
            <v>0.03</v>
          </cell>
          <cell r="L787">
            <v>0.57573132639628677</v>
          </cell>
          <cell r="M787">
            <v>-8.8958006962217923E-2</v>
          </cell>
          <cell r="N787">
            <v>0.14986396685910378</v>
          </cell>
          <cell r="O787">
            <v>0.13385281877731325</v>
          </cell>
          <cell r="P787">
            <v>0.716283214363583</v>
          </cell>
          <cell r="Q787">
            <v>0.70849118622703422</v>
          </cell>
          <cell r="R787">
            <v>-6.3719127170275447E-2</v>
          </cell>
          <cell r="S787">
            <v>0.64477205905675872</v>
          </cell>
        </row>
        <row r="788">
          <cell r="A788" t="str">
            <v>Grains</v>
          </cell>
          <cell r="B788">
            <v>1.622706214625282</v>
          </cell>
          <cell r="C788">
            <v>9.9999999999999978E-2</v>
          </cell>
          <cell r="D788">
            <v>1.4604355931627537</v>
          </cell>
          <cell r="E788">
            <v>0.57053544701291092</v>
          </cell>
          <cell r="F788">
            <v>7.3863824540703629E-2</v>
          </cell>
          <cell r="G788">
            <v>0.57703551197522696</v>
          </cell>
          <cell r="H788">
            <v>0.50960136452269433</v>
          </cell>
          <cell r="I788">
            <v>0.35479701822010684</v>
          </cell>
          <cell r="J788">
            <v>-0.11090288103745255</v>
          </cell>
          <cell r="K788">
            <v>0.03</v>
          </cell>
          <cell r="L788">
            <v>0.57573132639628677</v>
          </cell>
          <cell r="M788">
            <v>-8.8958006962217923E-2</v>
          </cell>
          <cell r="N788">
            <v>0.14986396685910378</v>
          </cell>
          <cell r="O788">
            <v>0.13385281877731325</v>
          </cell>
          <cell r="P788">
            <v>0.716283214363583</v>
          </cell>
          <cell r="Q788">
            <v>0.70849118622703422</v>
          </cell>
          <cell r="R788">
            <v>-6.3719127170275447E-2</v>
          </cell>
          <cell r="S788">
            <v>0.64477205905675872</v>
          </cell>
        </row>
        <row r="789">
          <cell r="A789" t="str">
            <v>Bread</v>
          </cell>
          <cell r="B789">
            <v>1.622706214625282</v>
          </cell>
          <cell r="C789">
            <v>9.9999999999999978E-2</v>
          </cell>
          <cell r="D789">
            <v>1.4604355931627537</v>
          </cell>
          <cell r="E789">
            <v>0.57053544701291092</v>
          </cell>
          <cell r="F789">
            <v>7.3863824540703629E-2</v>
          </cell>
          <cell r="G789">
            <v>0.57703551197522696</v>
          </cell>
          <cell r="H789">
            <v>0.50960136452269433</v>
          </cell>
          <cell r="I789">
            <v>0.35479701822010684</v>
          </cell>
          <cell r="J789">
            <v>-0.11090288103745255</v>
          </cell>
          <cell r="K789">
            <v>0.03</v>
          </cell>
          <cell r="L789">
            <v>0.57573132639628677</v>
          </cell>
          <cell r="M789">
            <v>-8.8958006962217923E-2</v>
          </cell>
          <cell r="N789">
            <v>0.14986396685910378</v>
          </cell>
          <cell r="O789">
            <v>0.13385281877731325</v>
          </cell>
          <cell r="P789">
            <v>0.716283214363583</v>
          </cell>
          <cell r="Q789">
            <v>0.70849118622703422</v>
          </cell>
          <cell r="R789">
            <v>-6.3719127170275447E-2</v>
          </cell>
          <cell r="S789">
            <v>0.64477205905675872</v>
          </cell>
        </row>
        <row r="790">
          <cell r="A790" t="str">
            <v>Fruits and Vegetables</v>
          </cell>
          <cell r="B790">
            <v>1.622706214625282</v>
          </cell>
          <cell r="C790">
            <v>9.9999999999999978E-2</v>
          </cell>
          <cell r="D790">
            <v>1.4604355931627537</v>
          </cell>
          <cell r="E790">
            <v>0.57053544701291092</v>
          </cell>
          <cell r="F790">
            <v>7.3863824540703629E-2</v>
          </cell>
          <cell r="G790">
            <v>0.57703551197522696</v>
          </cell>
          <cell r="H790">
            <v>0.50960136452269433</v>
          </cell>
          <cell r="I790">
            <v>0.35479701822010684</v>
          </cell>
          <cell r="J790">
            <v>-0.11090288103745255</v>
          </cell>
          <cell r="K790">
            <v>0.03</v>
          </cell>
          <cell r="L790">
            <v>0.57573132639628677</v>
          </cell>
          <cell r="M790">
            <v>-8.8958006962217923E-2</v>
          </cell>
          <cell r="N790">
            <v>0.14986396685910378</v>
          </cell>
          <cell r="O790">
            <v>0.13385281877731325</v>
          </cell>
          <cell r="P790">
            <v>0.716283214363583</v>
          </cell>
          <cell r="Q790">
            <v>0.70849118622703422</v>
          </cell>
          <cell r="R790">
            <v>-6.3719127170275447E-2</v>
          </cell>
          <cell r="S790">
            <v>0.64477205905675872</v>
          </cell>
        </row>
        <row r="791">
          <cell r="A791" t="str">
            <v>Dairy Products</v>
          </cell>
          <cell r="B791">
            <v>1.622706214625282</v>
          </cell>
          <cell r="C791">
            <v>9.9999999999999978E-2</v>
          </cell>
          <cell r="D791">
            <v>1.4604355931627537</v>
          </cell>
          <cell r="E791">
            <v>0.57053544701291092</v>
          </cell>
          <cell r="F791">
            <v>7.3863824540703629E-2</v>
          </cell>
          <cell r="G791">
            <v>0.57703551197522696</v>
          </cell>
          <cell r="H791">
            <v>0.50960136452269433</v>
          </cell>
          <cell r="I791">
            <v>0.35479701822010684</v>
          </cell>
          <cell r="J791">
            <v>-0.11090288103745255</v>
          </cell>
          <cell r="K791">
            <v>0.03</v>
          </cell>
          <cell r="L791">
            <v>0.57573132639628677</v>
          </cell>
          <cell r="M791">
            <v>-8.8958006962217923E-2</v>
          </cell>
          <cell r="N791">
            <v>0.14986396685910378</v>
          </cell>
          <cell r="O791">
            <v>0.13385281877731325</v>
          </cell>
          <cell r="P791">
            <v>0.716283214363583</v>
          </cell>
          <cell r="Q791">
            <v>0.70849118622703422</v>
          </cell>
          <cell r="R791">
            <v>-6.3719127170275447E-2</v>
          </cell>
          <cell r="S791">
            <v>0.64477205905675872</v>
          </cell>
        </row>
        <row r="792">
          <cell r="A792" t="str">
            <v>Yard Trimmings</v>
          </cell>
          <cell r="B792">
            <v>0.81032008938650013</v>
          </cell>
          <cell r="C792">
            <v>9.9999999999999978E-2</v>
          </cell>
          <cell r="D792">
            <v>0.7292880804478501</v>
          </cell>
          <cell r="E792">
            <v>0.5168410013974778</v>
          </cell>
          <cell r="F792">
            <v>8.855988719804872E-2</v>
          </cell>
          <cell r="G792">
            <v>0.31975158722510644</v>
          </cell>
          <cell r="H792">
            <v>0.45458221625879958</v>
          </cell>
          <cell r="I792">
            <v>0.39052745931727678</v>
          </cell>
          <cell r="J792">
            <v>-0.11090288103745255</v>
          </cell>
          <cell r="K792">
            <v>0.03</v>
          </cell>
          <cell r="L792">
            <v>0.31645224574185854</v>
          </cell>
          <cell r="M792">
            <v>-3.9626307958620044E-2</v>
          </cell>
          <cell r="N792">
            <v>0.14986396685910378</v>
          </cell>
          <cell r="O792">
            <v>0.13385281877731325</v>
          </cell>
          <cell r="P792">
            <v>0.716283214363583</v>
          </cell>
          <cell r="Q792">
            <v>0.37876308775012935</v>
          </cell>
          <cell r="R792">
            <v>-2.8383659237961597E-2</v>
          </cell>
          <cell r="S792">
            <v>0.35037942851216775</v>
          </cell>
        </row>
        <row r="793">
          <cell r="A793" t="str">
            <v>Grass</v>
          </cell>
          <cell r="B793">
            <v>0.5688048319800002</v>
          </cell>
          <cell r="C793">
            <v>9.9999999999999978E-2</v>
          </cell>
          <cell r="D793">
            <v>0.51192434878200022</v>
          </cell>
          <cell r="E793">
            <v>0.43361821494892211</v>
          </cell>
          <cell r="F793">
            <v>9.1254668164509806E-2</v>
          </cell>
          <cell r="G793">
            <v>0.27025459988980632</v>
          </cell>
          <cell r="H793">
            <v>0.37824885274321624</v>
          </cell>
          <cell r="I793">
            <v>0.47481229694955879</v>
          </cell>
          <cell r="J793">
            <v>-0.11090288103745255</v>
          </cell>
          <cell r="K793">
            <v>0.03</v>
          </cell>
          <cell r="L793">
            <v>0.27007552878843177</v>
          </cell>
          <cell r="M793">
            <v>-2.3144908019115382E-2</v>
          </cell>
          <cell r="N793">
            <v>0.14986396685910378</v>
          </cell>
          <cell r="O793">
            <v>0.13385281877731325</v>
          </cell>
          <cell r="P793">
            <v>0.716283214363583</v>
          </cell>
          <cell r="Q793">
            <v>0.30634392150454182</v>
          </cell>
          <cell r="R793">
            <v>-1.6578309112081434E-2</v>
          </cell>
          <cell r="S793">
            <v>0.2897656123924604</v>
          </cell>
        </row>
        <row r="794">
          <cell r="A794" t="str">
            <v>Leaves</v>
          </cell>
          <cell r="B794">
            <v>0.65408019754000024</v>
          </cell>
          <cell r="C794">
            <v>9.9999999999999978E-2</v>
          </cell>
          <cell r="D794">
            <v>0.58867217778600023</v>
          </cell>
          <cell r="E794">
            <v>0.53985249434967653</v>
          </cell>
          <cell r="F794">
            <v>7.7832836916060258E-2</v>
          </cell>
          <cell r="G794">
            <v>0.25006445404814664</v>
          </cell>
          <cell r="H794">
            <v>0.47941246698700196</v>
          </cell>
          <cell r="I794">
            <v>0.38170977639996168</v>
          </cell>
          <cell r="J794">
            <v>-0.11090288103745255</v>
          </cell>
          <cell r="K794">
            <v>0.03</v>
          </cell>
          <cell r="L794">
            <v>0.24966880595063626</v>
          </cell>
          <cell r="M794">
            <v>-3.3732993852452736E-2</v>
          </cell>
          <cell r="N794">
            <v>0.14986396685910378</v>
          </cell>
          <cell r="O794">
            <v>0.13385281877731325</v>
          </cell>
          <cell r="P794">
            <v>0.716283214363583</v>
          </cell>
          <cell r="Q794">
            <v>0.30052615464559135</v>
          </cell>
          <cell r="R794">
            <v>-2.4162377266741832E-2</v>
          </cell>
          <cell r="S794">
            <v>0.27636377737884954</v>
          </cell>
        </row>
        <row r="795">
          <cell r="A795" t="str">
            <v>Branches</v>
          </cell>
          <cell r="B795">
            <v>1.4495904960459998</v>
          </cell>
          <cell r="C795">
            <v>9.9999999999999978E-2</v>
          </cell>
          <cell r="D795">
            <v>1.3046314464413997</v>
          </cell>
          <cell r="E795">
            <v>0.66027508134239032</v>
          </cell>
          <cell r="F795">
            <v>9.3897375547115039E-2</v>
          </cell>
          <cell r="G795">
            <v>0.35634927015931134</v>
          </cell>
          <cell r="H795">
            <v>0.58241869256176371</v>
          </cell>
          <cell r="I795">
            <v>0.2307754669700279</v>
          </cell>
          <cell r="J795">
            <v>-0.11090288103745255</v>
          </cell>
          <cell r="K795">
            <v>0.03</v>
          </cell>
          <cell r="L795">
            <v>0.33452992364032996</v>
          </cell>
          <cell r="M795">
            <v>-9.0822865662918348E-2</v>
          </cell>
          <cell r="N795">
            <v>0.14986396685910378</v>
          </cell>
          <cell r="O795">
            <v>0.13385281877731325</v>
          </cell>
          <cell r="P795">
            <v>0.716283214363583</v>
          </cell>
          <cell r="Q795">
            <v>0.48283376713880022</v>
          </cell>
          <cell r="R795">
            <v>-6.5054894154747051E-2</v>
          </cell>
          <cell r="S795">
            <v>0.41777887298405314</v>
          </cell>
        </row>
        <row r="796">
          <cell r="A796" t="str">
            <v>Mixed Paper (general)</v>
          </cell>
          <cell r="B796">
            <v>2.3832448707931113</v>
          </cell>
          <cell r="C796">
            <v>9.9999999999999978E-2</v>
          </cell>
          <cell r="D796">
            <v>2.1449203837138002</v>
          </cell>
          <cell r="E796">
            <v>0.69940889076300361</v>
          </cell>
          <cell r="F796">
            <v>7.048356102723137E-2</v>
          </cell>
          <cell r="G796">
            <v>0.54840263400170108</v>
          </cell>
          <cell r="H796">
            <v>0.62848406979882754</v>
          </cell>
          <cell r="I796">
            <v>0.21949849155440776</v>
          </cell>
          <cell r="J796">
            <v>-0.11090288103745255</v>
          </cell>
          <cell r="K796">
            <v>0.03</v>
          </cell>
          <cell r="L796">
            <v>0.52311865414386738</v>
          </cell>
          <cell r="M796">
            <v>-0.16113040688426558</v>
          </cell>
          <cell r="N796">
            <v>0.14986396685910378</v>
          </cell>
          <cell r="O796">
            <v>0.13385281877731325</v>
          </cell>
          <cell r="P796">
            <v>0.716283214363583</v>
          </cell>
          <cell r="Q796">
            <v>0.76955262677005276</v>
          </cell>
          <cell r="R796">
            <v>-0.11541500577477375</v>
          </cell>
          <cell r="S796">
            <v>0.65413762099527906</v>
          </cell>
        </row>
        <row r="797">
          <cell r="A797" t="str">
            <v>Mixed Paper (primarily residential)</v>
          </cell>
          <cell r="B797">
            <v>2.2946736526735392</v>
          </cell>
          <cell r="C797">
            <v>9.9999999999999978E-2</v>
          </cell>
          <cell r="D797">
            <v>2.0652062874061854</v>
          </cell>
          <cell r="E797">
            <v>0.69572868288578416</v>
          </cell>
          <cell r="F797">
            <v>7.1337610560204587E-2</v>
          </cell>
          <cell r="G797">
            <v>0.53450683924907927</v>
          </cell>
          <cell r="H797">
            <v>0.62467295783929133</v>
          </cell>
          <cell r="I797">
            <v>0.22233523045843678</v>
          </cell>
          <cell r="J797">
            <v>-0.11090288103745255</v>
          </cell>
          <cell r="K797">
            <v>0.03</v>
          </cell>
          <cell r="L797">
            <v>0.5101867953940743</v>
          </cell>
          <cell r="M797">
            <v>-0.1542013576717382</v>
          </cell>
          <cell r="N797">
            <v>0.14986396685910378</v>
          </cell>
          <cell r="O797">
            <v>0.13385281877731325</v>
          </cell>
          <cell r="P797">
            <v>0.716283214363583</v>
          </cell>
          <cell r="Q797">
            <v>0.74648349143301806</v>
          </cell>
          <cell r="R797">
            <v>-0.11045184413234119</v>
          </cell>
          <cell r="S797">
            <v>0.63603164730067685</v>
          </cell>
        </row>
        <row r="798">
          <cell r="A798" t="str">
            <v>Mixed Paper (primarily from offices)</v>
          </cell>
          <cell r="B798">
            <v>2.2577848571899501</v>
          </cell>
          <cell r="C798">
            <v>9.9999999999999978E-2</v>
          </cell>
          <cell r="D798">
            <v>2.0320063714709553</v>
          </cell>
          <cell r="E798">
            <v>0.67568518097176877</v>
          </cell>
          <cell r="F798">
            <v>6.631733157194844E-2</v>
          </cell>
          <cell r="G798">
            <v>0.58250282037184942</v>
          </cell>
          <cell r="H798">
            <v>0.6094385894538743</v>
          </cell>
          <cell r="I798">
            <v>0.25123459719762065</v>
          </cell>
          <cell r="J798">
            <v>-0.11090288103745255</v>
          </cell>
          <cell r="K798">
            <v>0.03</v>
          </cell>
          <cell r="L798">
            <v>0.56723366915500462</v>
          </cell>
          <cell r="M798">
            <v>-0.1480222729603213</v>
          </cell>
          <cell r="N798">
            <v>0.14986396685910378</v>
          </cell>
          <cell r="O798">
            <v>0.13385281877731325</v>
          </cell>
          <cell r="P798">
            <v>0.716283214363583</v>
          </cell>
          <cell r="Q798">
            <v>0.78879413580171387</v>
          </cell>
          <cell r="R798">
            <v>-0.10602586947342262</v>
          </cell>
          <cell r="S798">
            <v>0.68276826632829124</v>
          </cell>
        </row>
        <row r="799">
          <cell r="A799" t="str">
            <v>Mixed Recyclables</v>
          </cell>
          <cell r="B799">
            <v>1.9734014132616131</v>
          </cell>
          <cell r="C799">
            <v>9.9999999999999978E-2</v>
          </cell>
          <cell r="D799">
            <v>1.7760612719354518</v>
          </cell>
          <cell r="E799">
            <v>0.59722591603557518</v>
          </cell>
          <cell r="F799">
            <v>6.2950536671236221E-2</v>
          </cell>
          <cell r="G799">
            <v>0.67060826848795296</v>
          </cell>
          <cell r="H799">
            <v>0.53551961137508119</v>
          </cell>
          <cell r="I799">
            <v>0.19491239569453589</v>
          </cell>
          <cell r="J799">
            <v>-0.11090288103745255</v>
          </cell>
          <cell r="K799">
            <v>0.03</v>
          </cell>
          <cell r="L799">
            <v>0.38464039712580389</v>
          </cell>
          <cell r="M799">
            <v>-0.1136855788490309</v>
          </cell>
          <cell r="N799">
            <v>0.14986396685910378</v>
          </cell>
          <cell r="O799">
            <v>0.13385281877731325</v>
          </cell>
          <cell r="P799">
            <v>0.716283214363583</v>
          </cell>
          <cell r="Q799">
            <v>0.63144185465691394</v>
          </cell>
          <cell r="R799">
            <v>-8.1431071844768416E-2</v>
          </cell>
          <cell r="S799">
            <v>0.55001078281214555</v>
          </cell>
        </row>
        <row r="800">
          <cell r="A800" t="str">
            <v>Mixed Organics</v>
          </cell>
          <cell r="B800">
            <v>1.2328155960009999</v>
          </cell>
          <cell r="C800">
            <v>9.9999999999999978E-2</v>
          </cell>
          <cell r="D800">
            <v>1.1095340364008999</v>
          </cell>
          <cell r="E800">
            <v>0.54476572991990202</v>
          </cell>
          <cell r="F800">
            <v>8.0916944704627319E-2</v>
          </cell>
          <cell r="G800">
            <v>0.46146423657626107</v>
          </cell>
          <cell r="H800">
            <v>0.48319587938902608</v>
          </cell>
          <cell r="I800">
            <v>0.37194522318113987</v>
          </cell>
          <cell r="J800">
            <v>-0.11090288103745255</v>
          </cell>
          <cell r="K800">
            <v>0.03</v>
          </cell>
          <cell r="L800">
            <v>0.45853987199578189</v>
          </cell>
          <cell r="M800">
            <v>-6.4081977420049382E-2</v>
          </cell>
          <cell r="N800">
            <v>0.14986396685910378</v>
          </cell>
          <cell r="O800">
            <v>0.13385281877731325</v>
          </cell>
          <cell r="P800">
            <v>0.716283214363583</v>
          </cell>
          <cell r="Q800">
            <v>0.55649187431789016</v>
          </cell>
          <cell r="R800">
            <v>-4.590084476920752E-2</v>
          </cell>
          <cell r="S800">
            <v>0.51059102954868263</v>
          </cell>
        </row>
        <row r="801">
          <cell r="A801" t="str">
            <v>Mixed MSW</v>
          </cell>
          <cell r="B801">
            <v>1.6199727500000001</v>
          </cell>
          <cell r="C801">
            <v>9.9999999999999978E-2</v>
          </cell>
          <cell r="D801">
            <v>1.457975475</v>
          </cell>
          <cell r="E801">
            <v>0.7190456010834031</v>
          </cell>
          <cell r="F801">
            <v>5.8656421173085185E-2</v>
          </cell>
          <cell r="G801">
            <v>0.36011666632459549</v>
          </cell>
          <cell r="H801">
            <v>0.65435729197454917</v>
          </cell>
          <cell r="I801">
            <v>0.21515011507865162</v>
          </cell>
          <cell r="J801">
            <v>-0.11090288103745255</v>
          </cell>
          <cell r="K801">
            <v>0.03</v>
          </cell>
          <cell r="L801">
            <v>0.34853732358677975</v>
          </cell>
          <cell r="M801">
            <v>-0.11403475092838083</v>
          </cell>
          <cell r="N801">
            <v>0.14986396685910378</v>
          </cell>
          <cell r="O801">
            <v>0.13385281877731325</v>
          </cell>
          <cell r="P801">
            <v>0.716283214363583</v>
          </cell>
          <cell r="Q801">
            <v>0.51635205360744119</v>
          </cell>
          <cell r="R801">
            <v>-8.1681177944131211E-2</v>
          </cell>
          <cell r="S801">
            <v>0.43467087566330997</v>
          </cell>
        </row>
        <row r="802">
          <cell r="A802" t="str">
            <v>Wood Flooring</v>
          </cell>
          <cell r="B802">
            <v>0.18143694800000035</v>
          </cell>
          <cell r="C802">
            <v>9.9999999999999978E-2</v>
          </cell>
          <cell r="D802">
            <v>0.16329325320000032</v>
          </cell>
          <cell r="E802">
            <v>0</v>
          </cell>
          <cell r="F802">
            <v>9.9999999999999978E-2</v>
          </cell>
          <cell r="G802">
            <v>0.16329325320000032</v>
          </cell>
          <cell r="H802">
            <v>0</v>
          </cell>
          <cell r="I802">
            <v>0.9</v>
          </cell>
          <cell r="J802">
            <v>-0.11090288103745255</v>
          </cell>
          <cell r="K802">
            <v>0.03</v>
          </cell>
          <cell r="L802">
            <v>0.16329325320000032</v>
          </cell>
          <cell r="M802">
            <v>0</v>
          </cell>
          <cell r="N802">
            <v>1</v>
          </cell>
          <cell r="O802">
            <v>0</v>
          </cell>
          <cell r="P802">
            <v>0</v>
          </cell>
          <cell r="Q802">
            <v>0.16329325320000032</v>
          </cell>
          <cell r="R802">
            <v>0</v>
          </cell>
          <cell r="S802">
            <v>0.16329325320000032</v>
          </cell>
        </row>
        <row r="803">
          <cell r="A803" t="str">
            <v>Drywall</v>
          </cell>
          <cell r="B803">
            <v>0</v>
          </cell>
          <cell r="C803">
            <v>9.9999999999999978E-2</v>
          </cell>
          <cell r="D803">
            <v>0</v>
          </cell>
          <cell r="E803">
            <v>0</v>
          </cell>
          <cell r="F803">
            <v>9.9999999999999978E-2</v>
          </cell>
          <cell r="G803">
            <v>0</v>
          </cell>
          <cell r="H803">
            <v>0</v>
          </cell>
          <cell r="I803">
            <v>0.9</v>
          </cell>
          <cell r="J803">
            <v>-0.11090288103745255</v>
          </cell>
          <cell r="K803">
            <v>0.03</v>
          </cell>
          <cell r="L803">
            <v>0</v>
          </cell>
          <cell r="M803">
            <v>0</v>
          </cell>
          <cell r="N803">
            <v>1</v>
          </cell>
          <cell r="O803">
            <v>0</v>
          </cell>
          <cell r="P803">
            <v>0</v>
          </cell>
          <cell r="Q803">
            <v>0</v>
          </cell>
          <cell r="R803">
            <v>0</v>
          </cell>
          <cell r="S803">
            <v>0</v>
          </cell>
        </row>
        <row r="830">
          <cell r="Z830" t="str">
            <v>National Average</v>
          </cell>
          <cell r="AA830">
            <v>0.11090288103745255</v>
          </cell>
        </row>
        <row r="831">
          <cell r="Z831" t="str">
            <v>Pacific</v>
          </cell>
          <cell r="AA831">
            <v>7.5875281375367018E-2</v>
          </cell>
        </row>
        <row r="833">
          <cell r="Z833" t="str">
            <v>Mountain</v>
          </cell>
          <cell r="AA833">
            <v>0.11535295101396988</v>
          </cell>
        </row>
        <row r="834">
          <cell r="Z834" t="str">
            <v>West North Central</v>
          </cell>
          <cell r="AA834">
            <v>0.14751568728252062</v>
          </cell>
        </row>
        <row r="835">
          <cell r="Z835" t="str">
            <v>West South Central</v>
          </cell>
          <cell r="AA835">
            <v>9.6632068441983035E-2</v>
          </cell>
        </row>
        <row r="836">
          <cell r="Z836" t="str">
            <v>East North Central</v>
          </cell>
          <cell r="AA836">
            <v>0.13306776455625988</v>
          </cell>
        </row>
        <row r="837">
          <cell r="Z837" t="str">
            <v>East South Central</v>
          </cell>
          <cell r="AA837">
            <v>0.11898457866498025</v>
          </cell>
        </row>
        <row r="838">
          <cell r="Z838" t="str">
            <v>New England</v>
          </cell>
          <cell r="AA838">
            <v>7.8364180248966908E-2</v>
          </cell>
        </row>
        <row r="839">
          <cell r="Z839" t="str">
            <v>Middle Atlantic</v>
          </cell>
          <cell r="AA839">
            <v>0.10173622401482413</v>
          </cell>
        </row>
        <row r="840">
          <cell r="Z840" t="str">
            <v>South Atlantic</v>
          </cell>
          <cell r="AA840">
            <v>0.11591847352919414</v>
          </cell>
        </row>
        <row r="977">
          <cell r="C977">
            <v>3</v>
          </cell>
          <cell r="D977">
            <v>4</v>
          </cell>
          <cell r="E977">
            <v>5</v>
          </cell>
          <cell r="F977">
            <v>6</v>
          </cell>
          <cell r="G977">
            <v>7</v>
          </cell>
          <cell r="H977">
            <v>8</v>
          </cell>
          <cell r="I977">
            <v>9</v>
          </cell>
          <cell r="J977">
            <v>10</v>
          </cell>
          <cell r="K977">
            <v>11</v>
          </cell>
          <cell r="L977">
            <v>12</v>
          </cell>
          <cell r="M977">
            <v>13</v>
          </cell>
          <cell r="N977">
            <v>14</v>
          </cell>
          <cell r="O977">
            <v>15</v>
          </cell>
          <cell r="P977">
            <v>16</v>
          </cell>
          <cell r="Q977">
            <v>17</v>
          </cell>
          <cell r="R977">
            <v>18</v>
          </cell>
          <cell r="S977">
            <v>19</v>
          </cell>
          <cell r="T977">
            <v>20</v>
          </cell>
          <cell r="U977">
            <v>21</v>
          </cell>
          <cell r="V977">
            <v>22</v>
          </cell>
        </row>
        <row r="984">
          <cell r="A984" t="str">
            <v>Aluminum Cans</v>
          </cell>
          <cell r="B984" t="str">
            <v>Aluminum Cans</v>
          </cell>
          <cell r="C984" t="str">
            <v>--</v>
          </cell>
          <cell r="D984" t="str">
            <v>--</v>
          </cell>
          <cell r="E984" t="str">
            <v>--</v>
          </cell>
          <cell r="F984" t="str">
            <v>--</v>
          </cell>
          <cell r="G984" t="str">
            <v>--</v>
          </cell>
          <cell r="H984" t="str">
            <v>--</v>
          </cell>
          <cell r="I984" t="str">
            <v>--</v>
          </cell>
          <cell r="J984" t="str">
            <v>--</v>
          </cell>
          <cell r="K984" t="str">
            <v>--</v>
          </cell>
          <cell r="L984" t="str">
            <v>--</v>
          </cell>
          <cell r="M984" t="str">
            <v>--</v>
          </cell>
          <cell r="N984" t="str">
            <v>--</v>
          </cell>
          <cell r="O984" t="str">
            <v>--</v>
          </cell>
          <cell r="P984" t="str">
            <v>--</v>
          </cell>
          <cell r="Q984" t="str">
            <v>--</v>
          </cell>
          <cell r="R984" t="str">
            <v>--</v>
          </cell>
          <cell r="S984" t="str">
            <v>--</v>
          </cell>
          <cell r="T984" t="str">
            <v>--</v>
          </cell>
          <cell r="U984" t="str">
            <v>--</v>
          </cell>
          <cell r="V984" t="str">
            <v>--</v>
          </cell>
        </row>
        <row r="985">
          <cell r="A985" t="str">
            <v>Steel Cans</v>
          </cell>
          <cell r="B985" t="str">
            <v>Steel Cans</v>
          </cell>
          <cell r="C985" t="str">
            <v>--</v>
          </cell>
          <cell r="D985" t="str">
            <v>--</v>
          </cell>
          <cell r="E985" t="str">
            <v>--</v>
          </cell>
          <cell r="F985" t="str">
            <v>--</v>
          </cell>
          <cell r="G985" t="str">
            <v>--</v>
          </cell>
          <cell r="H985" t="str">
            <v>--</v>
          </cell>
          <cell r="I985" t="str">
            <v>--</v>
          </cell>
          <cell r="J985" t="str">
            <v>--</v>
          </cell>
          <cell r="K985" t="str">
            <v>--</v>
          </cell>
          <cell r="L985" t="str">
            <v>--</v>
          </cell>
          <cell r="M985" t="str">
            <v>--</v>
          </cell>
          <cell r="N985" t="str">
            <v>--</v>
          </cell>
          <cell r="O985" t="str">
            <v>--</v>
          </cell>
          <cell r="P985" t="str">
            <v>--</v>
          </cell>
          <cell r="Q985" t="str">
            <v>--</v>
          </cell>
          <cell r="R985" t="str">
            <v>--</v>
          </cell>
          <cell r="S985" t="str">
            <v>--</v>
          </cell>
          <cell r="T985" t="str">
            <v>--</v>
          </cell>
          <cell r="U985" t="str">
            <v>--</v>
          </cell>
          <cell r="V985" t="str">
            <v>--</v>
          </cell>
        </row>
        <row r="986">
          <cell r="A986" t="str">
            <v>Copper Wire</v>
          </cell>
          <cell r="B986" t="str">
            <v>Copper Wire</v>
          </cell>
          <cell r="C986" t="str">
            <v>--</v>
          </cell>
          <cell r="D986" t="str">
            <v>--</v>
          </cell>
          <cell r="E986" t="str">
            <v>--</v>
          </cell>
          <cell r="F986" t="str">
            <v>--</v>
          </cell>
          <cell r="G986" t="str">
            <v>--</v>
          </cell>
          <cell r="H986" t="str">
            <v>--</v>
          </cell>
          <cell r="I986" t="str">
            <v>--</v>
          </cell>
          <cell r="J986" t="str">
            <v>--</v>
          </cell>
          <cell r="K986" t="str">
            <v>--</v>
          </cell>
          <cell r="L986" t="str">
            <v>--</v>
          </cell>
          <cell r="M986" t="str">
            <v>--</v>
          </cell>
          <cell r="N986" t="str">
            <v>--</v>
          </cell>
          <cell r="O986" t="str">
            <v>--</v>
          </cell>
          <cell r="P986" t="str">
            <v>--</v>
          </cell>
          <cell r="Q986" t="str">
            <v>--</v>
          </cell>
          <cell r="R986" t="str">
            <v>--</v>
          </cell>
          <cell r="S986" t="str">
            <v>--</v>
          </cell>
          <cell r="T986" t="str">
            <v>--</v>
          </cell>
          <cell r="U986" t="str">
            <v>--</v>
          </cell>
          <cell r="V986" t="str">
            <v>--</v>
          </cell>
        </row>
        <row r="987">
          <cell r="A987" t="str">
            <v>Glass</v>
          </cell>
          <cell r="B987" t="str">
            <v>Glass</v>
          </cell>
          <cell r="C987" t="str">
            <v>--</v>
          </cell>
          <cell r="D987" t="str">
            <v>--</v>
          </cell>
          <cell r="E987" t="str">
            <v>--</v>
          </cell>
          <cell r="F987" t="str">
            <v>--</v>
          </cell>
          <cell r="G987" t="str">
            <v>--</v>
          </cell>
          <cell r="H987" t="str">
            <v>--</v>
          </cell>
          <cell r="I987" t="str">
            <v>--</v>
          </cell>
          <cell r="J987" t="str">
            <v>--</v>
          </cell>
          <cell r="K987" t="str">
            <v>--</v>
          </cell>
          <cell r="L987" t="str">
            <v>--</v>
          </cell>
          <cell r="M987" t="str">
            <v>--</v>
          </cell>
          <cell r="N987" t="str">
            <v>--</v>
          </cell>
          <cell r="O987" t="str">
            <v>--</v>
          </cell>
          <cell r="P987" t="str">
            <v>--</v>
          </cell>
          <cell r="Q987" t="str">
            <v>--</v>
          </cell>
          <cell r="R987" t="str">
            <v>--</v>
          </cell>
          <cell r="S987" t="str">
            <v>--</v>
          </cell>
          <cell r="T987" t="str">
            <v>--</v>
          </cell>
          <cell r="U987" t="str">
            <v>--</v>
          </cell>
          <cell r="V987" t="str">
            <v>--</v>
          </cell>
        </row>
        <row r="988">
          <cell r="A988" t="str">
            <v>HDPE</v>
          </cell>
          <cell r="B988" t="str">
            <v>HDPE</v>
          </cell>
          <cell r="C988" t="str">
            <v>--</v>
          </cell>
          <cell r="D988" t="str">
            <v>--</v>
          </cell>
          <cell r="E988" t="str">
            <v>--</v>
          </cell>
          <cell r="F988" t="str">
            <v>--</v>
          </cell>
          <cell r="G988" t="str">
            <v>--</v>
          </cell>
          <cell r="H988" t="str">
            <v>--</v>
          </cell>
          <cell r="I988" t="str">
            <v>--</v>
          </cell>
          <cell r="J988" t="str">
            <v>--</v>
          </cell>
          <cell r="K988" t="str">
            <v>--</v>
          </cell>
          <cell r="L988" t="str">
            <v>--</v>
          </cell>
          <cell r="M988" t="str">
            <v>--</v>
          </cell>
          <cell r="N988" t="str">
            <v>--</v>
          </cell>
          <cell r="O988" t="str">
            <v>--</v>
          </cell>
          <cell r="P988" t="str">
            <v>--</v>
          </cell>
          <cell r="Q988" t="str">
            <v>--</v>
          </cell>
          <cell r="R988" t="str">
            <v>--</v>
          </cell>
          <cell r="S988" t="str">
            <v>--</v>
          </cell>
          <cell r="T988" t="str">
            <v>--</v>
          </cell>
          <cell r="U988" t="str">
            <v>--</v>
          </cell>
          <cell r="V988" t="str">
            <v>--</v>
          </cell>
        </row>
        <row r="989">
          <cell r="A989" t="str">
            <v>LDPE</v>
          </cell>
          <cell r="B989" t="str">
            <v>LDPE</v>
          </cell>
          <cell r="C989" t="str">
            <v>--</v>
          </cell>
          <cell r="D989" t="str">
            <v>--</v>
          </cell>
          <cell r="E989" t="str">
            <v>--</v>
          </cell>
          <cell r="F989" t="str">
            <v>--</v>
          </cell>
          <cell r="G989" t="str">
            <v>--</v>
          </cell>
          <cell r="H989" t="str">
            <v>--</v>
          </cell>
          <cell r="I989" t="str">
            <v>--</v>
          </cell>
          <cell r="J989" t="str">
            <v>--</v>
          </cell>
          <cell r="K989" t="str">
            <v>--</v>
          </cell>
          <cell r="L989" t="str">
            <v>--</v>
          </cell>
          <cell r="M989" t="str">
            <v>--</v>
          </cell>
          <cell r="N989" t="str">
            <v>--</v>
          </cell>
          <cell r="O989" t="str">
            <v>--</v>
          </cell>
          <cell r="P989" t="str">
            <v>--</v>
          </cell>
          <cell r="Q989" t="str">
            <v>--</v>
          </cell>
          <cell r="R989" t="str">
            <v>--</v>
          </cell>
          <cell r="S989" t="str">
            <v>--</v>
          </cell>
          <cell r="T989" t="str">
            <v>--</v>
          </cell>
          <cell r="U989" t="str">
            <v>--</v>
          </cell>
          <cell r="V989" t="str">
            <v>--</v>
          </cell>
        </row>
        <row r="990">
          <cell r="A990" t="str">
            <v>PET</v>
          </cell>
          <cell r="B990" t="str">
            <v>PET</v>
          </cell>
          <cell r="C990" t="str">
            <v>--</v>
          </cell>
          <cell r="D990" t="str">
            <v>--</v>
          </cell>
          <cell r="E990" t="str">
            <v>--</v>
          </cell>
          <cell r="F990" t="str">
            <v>--</v>
          </cell>
          <cell r="G990" t="str">
            <v>--</v>
          </cell>
          <cell r="H990" t="str">
            <v>--</v>
          </cell>
          <cell r="I990" t="str">
            <v>--</v>
          </cell>
          <cell r="J990" t="str">
            <v>--</v>
          </cell>
          <cell r="K990" t="str">
            <v>--</v>
          </cell>
          <cell r="L990" t="str">
            <v>--</v>
          </cell>
          <cell r="M990" t="str">
            <v>--</v>
          </cell>
          <cell r="N990" t="str">
            <v>--</v>
          </cell>
          <cell r="O990" t="str">
            <v>--</v>
          </cell>
          <cell r="P990" t="str">
            <v>--</v>
          </cell>
          <cell r="Q990" t="str">
            <v>--</v>
          </cell>
          <cell r="R990" t="str">
            <v>--</v>
          </cell>
          <cell r="S990" t="str">
            <v>--</v>
          </cell>
          <cell r="T990" t="str">
            <v>--</v>
          </cell>
          <cell r="U990" t="str">
            <v>--</v>
          </cell>
          <cell r="V990" t="str">
            <v>--</v>
          </cell>
        </row>
        <row r="991">
          <cell r="A991" t="str">
            <v>Corrugated Containers</v>
          </cell>
          <cell r="B991" t="str">
            <v>Corrugated Containers</v>
          </cell>
          <cell r="C991">
            <v>0.61476345188810322</v>
          </cell>
          <cell r="D991">
            <v>0.55331526965423472</v>
          </cell>
          <cell r="E991">
            <v>0.54423478422190452</v>
          </cell>
          <cell r="F991">
            <v>0.55298120143250762</v>
          </cell>
          <cell r="G991">
            <v>0.56183941976614793</v>
          </cell>
          <cell r="H991">
            <v>0.60215236857099652</v>
          </cell>
          <cell r="I991">
            <v>0.5365728188217157</v>
          </cell>
          <cell r="J991">
            <v>0.52790960554367328</v>
          </cell>
          <cell r="K991">
            <v>0.5048316511901445</v>
          </cell>
          <cell r="L991">
            <v>0.54295403135113929</v>
          </cell>
          <cell r="M991">
            <v>0.61340665363397207</v>
          </cell>
          <cell r="N991">
            <v>0.55772812167055175</v>
          </cell>
          <cell r="O991">
            <v>0.56063024891988056</v>
          </cell>
          <cell r="P991">
            <v>0.5759792782893457</v>
          </cell>
          <cell r="Q991">
            <v>0.57188171802458931</v>
          </cell>
          <cell r="R991">
            <v>0.65635159957313161</v>
          </cell>
          <cell r="S991">
            <v>0.59423010502593754</v>
          </cell>
          <cell r="T991">
            <v>0.60088642960595939</v>
          </cell>
          <cell r="U991">
            <v>0.62105134190916278</v>
          </cell>
          <cell r="V991">
            <v>0.6120722770260878</v>
          </cell>
        </row>
        <row r="992">
          <cell r="A992" t="str">
            <v>Magazines/Third-class Mail</v>
          </cell>
          <cell r="B992" t="str">
            <v>Magazines/Third-class Mail</v>
          </cell>
          <cell r="C992">
            <v>0.5948049515921997</v>
          </cell>
          <cell r="D992">
            <v>0.54929500083310701</v>
          </cell>
          <cell r="E992">
            <v>0.52081469918004963</v>
          </cell>
          <cell r="F992">
            <v>0.44786730707241384</v>
          </cell>
          <cell r="G992">
            <v>0.53654881762944973</v>
          </cell>
          <cell r="H992">
            <v>0.54820499840141235</v>
          </cell>
          <cell r="I992">
            <v>0.46285595975240446</v>
          </cell>
          <cell r="J992">
            <v>0.40061000398021723</v>
          </cell>
          <cell r="K992">
            <v>0.25816187685403502</v>
          </cell>
          <cell r="L992">
            <v>0.43387327137000015</v>
          </cell>
          <cell r="M992">
            <v>0.60779167370936216</v>
          </cell>
          <cell r="N992">
            <v>0.57924684961271344</v>
          </cell>
          <cell r="O992">
            <v>0.56539256168303442</v>
          </cell>
          <cell r="P992">
            <v>0.50722146089392273</v>
          </cell>
          <cell r="Q992">
            <v>0.57205916322106598</v>
          </cell>
          <cell r="R992">
            <v>0.6659614864811132</v>
          </cell>
          <cell r="S992">
            <v>0.62815767756627705</v>
          </cell>
          <cell r="T992">
            <v>0.61381018464132975</v>
          </cell>
          <cell r="U992">
            <v>0.53738505938727965</v>
          </cell>
          <cell r="V992">
            <v>0.62074435793919114</v>
          </cell>
        </row>
        <row r="993">
          <cell r="A993" t="str">
            <v>Newspaper</v>
          </cell>
          <cell r="B993" t="str">
            <v>Newspaper</v>
          </cell>
          <cell r="C993">
            <v>0.62221770682090261</v>
          </cell>
          <cell r="D993">
            <v>0.5863075825228492</v>
          </cell>
          <cell r="E993">
            <v>0.58708335592510208</v>
          </cell>
          <cell r="F993">
            <v>0.57369179778588875</v>
          </cell>
          <cell r="G993">
            <v>0.59254687177708976</v>
          </cell>
          <cell r="H993">
            <v>0.60597971040024401</v>
          </cell>
          <cell r="I993">
            <v>0.56009016872519091</v>
          </cell>
          <cell r="J993">
            <v>0.55327285681636429</v>
          </cell>
          <cell r="K993">
            <v>0.49436494697539807</v>
          </cell>
          <cell r="L993">
            <v>0.55989363969069439</v>
          </cell>
          <cell r="M993">
            <v>0.6228977181013855</v>
          </cell>
          <cell r="N993">
            <v>0.59457075505055945</v>
          </cell>
          <cell r="O993">
            <v>0.60836130644588038</v>
          </cell>
          <cell r="P993">
            <v>0.60473893986303784</v>
          </cell>
          <cell r="Q993">
            <v>0.60692088276544931</v>
          </cell>
          <cell r="R993">
            <v>0.66873383761308469</v>
          </cell>
          <cell r="S993">
            <v>0.63534955775369806</v>
          </cell>
          <cell r="T993">
            <v>0.65406834791418378</v>
          </cell>
          <cell r="U993">
            <v>0.65492267801119441</v>
          </cell>
          <cell r="V993">
            <v>0.65167714850728453</v>
          </cell>
        </row>
        <row r="994">
          <cell r="A994" t="str">
            <v>Office Paper</v>
          </cell>
          <cell r="B994" t="str">
            <v>Office Paper</v>
          </cell>
          <cell r="C994">
            <v>0.62035247655934689</v>
          </cell>
          <cell r="D994">
            <v>0.57842975430047994</v>
          </cell>
          <cell r="E994">
            <v>0.5783390975235071</v>
          </cell>
          <cell r="F994">
            <v>0.57299025000462422</v>
          </cell>
          <cell r="G994">
            <v>0.5862330883873319</v>
          </cell>
          <cell r="H994">
            <v>0.60528390651715147</v>
          </cell>
          <cell r="I994">
            <v>0.55522063869659355</v>
          </cell>
          <cell r="J994">
            <v>0.5499129680128011</v>
          </cell>
          <cell r="K994">
            <v>0.50266632049861182</v>
          </cell>
          <cell r="L994">
            <v>0.55779640778986828</v>
          </cell>
          <cell r="M994">
            <v>0.62040087666297772</v>
          </cell>
          <cell r="N994">
            <v>0.58546797343619461</v>
          </cell>
          <cell r="O994">
            <v>0.59813918919621878</v>
          </cell>
          <cell r="P994">
            <v>0.60165129844063669</v>
          </cell>
          <cell r="Q994">
            <v>0.59928075625936539</v>
          </cell>
          <cell r="R994">
            <v>0.66536811532029683</v>
          </cell>
          <cell r="S994">
            <v>0.62505506351805762</v>
          </cell>
          <cell r="T994">
            <v>0.64243123015469716</v>
          </cell>
          <cell r="U994">
            <v>0.65103589104380188</v>
          </cell>
          <cell r="V994">
            <v>0.6428573611187387</v>
          </cell>
        </row>
        <row r="995">
          <cell r="A995" t="str">
            <v>Phonebooks</v>
          </cell>
          <cell r="B995" t="str">
            <v>Phonebooks</v>
          </cell>
          <cell r="C995">
            <v>0.62221770682090261</v>
          </cell>
          <cell r="D995">
            <v>0.5863075825228492</v>
          </cell>
          <cell r="E995">
            <v>0.58708335592510208</v>
          </cell>
          <cell r="F995">
            <v>0.57369179778588875</v>
          </cell>
          <cell r="G995">
            <v>0.59254687177708976</v>
          </cell>
          <cell r="H995">
            <v>0.60597971040024401</v>
          </cell>
          <cell r="I995">
            <v>0.56009016872519091</v>
          </cell>
          <cell r="J995">
            <v>0.55327285681636429</v>
          </cell>
          <cell r="K995">
            <v>0.49436494697539807</v>
          </cell>
          <cell r="L995">
            <v>0.55989363969069439</v>
          </cell>
          <cell r="M995">
            <v>0.6228977181013855</v>
          </cell>
          <cell r="N995">
            <v>0.59457075505055945</v>
          </cell>
          <cell r="O995">
            <v>0.60836130644588038</v>
          </cell>
          <cell r="P995">
            <v>0.60473893986303784</v>
          </cell>
          <cell r="Q995">
            <v>0.60692088276544931</v>
          </cell>
          <cell r="R995">
            <v>0.66873383761308469</v>
          </cell>
          <cell r="S995">
            <v>0.63534955775369806</v>
          </cell>
          <cell r="T995">
            <v>0.65406834791418378</v>
          </cell>
          <cell r="U995">
            <v>0.65492267801119441</v>
          </cell>
          <cell r="V995">
            <v>0.65167714850728453</v>
          </cell>
        </row>
        <row r="996">
          <cell r="A996" t="str">
            <v>Textbooks</v>
          </cell>
          <cell r="B996" t="str">
            <v>Office Paper</v>
          </cell>
          <cell r="C996">
            <v>0.62035247655934689</v>
          </cell>
          <cell r="D996">
            <v>0.57842975430047994</v>
          </cell>
          <cell r="E996">
            <v>0.5783390975235071</v>
          </cell>
          <cell r="F996">
            <v>0.57299025000462422</v>
          </cell>
          <cell r="G996">
            <v>0.5862330883873319</v>
          </cell>
          <cell r="H996">
            <v>0.60528390651715147</v>
          </cell>
          <cell r="I996">
            <v>0.55522063869659355</v>
          </cell>
          <cell r="J996">
            <v>0.5499129680128011</v>
          </cell>
          <cell r="K996">
            <v>0.50266632049861182</v>
          </cell>
          <cell r="L996">
            <v>0.55779640778986828</v>
          </cell>
          <cell r="M996">
            <v>0.62040087666297772</v>
          </cell>
          <cell r="N996">
            <v>0.58546797343619461</v>
          </cell>
          <cell r="O996">
            <v>0.59813918919621878</v>
          </cell>
          <cell r="P996">
            <v>0.60165129844063669</v>
          </cell>
          <cell r="Q996">
            <v>0.59928075625936539</v>
          </cell>
          <cell r="R996">
            <v>0.66536811532029683</v>
          </cell>
          <cell r="S996">
            <v>0.62505506351805762</v>
          </cell>
          <cell r="T996">
            <v>0.64243123015469716</v>
          </cell>
          <cell r="U996">
            <v>0.65103589104380188</v>
          </cell>
          <cell r="V996">
            <v>0.6428573611187387</v>
          </cell>
        </row>
        <row r="997">
          <cell r="A997" t="str">
            <v>Dimensional Lumber</v>
          </cell>
          <cell r="B997" t="str">
            <v>Dimensional Lumber</v>
          </cell>
          <cell r="C997">
            <v>0.61865243815919935</v>
          </cell>
          <cell r="D997">
            <v>0.58712600026433648</v>
          </cell>
          <cell r="E997">
            <v>0.56722546305056409</v>
          </cell>
          <cell r="F997">
            <v>0.50249215937381153</v>
          </cell>
          <cell r="G997">
            <v>0.57678878295939606</v>
          </cell>
          <cell r="H997">
            <v>0.58587961424178547</v>
          </cell>
          <cell r="I997">
            <v>0.52485786638547605</v>
          </cell>
          <cell r="J997">
            <v>0.47826112893771544</v>
          </cell>
          <cell r="K997">
            <v>0.34651519327137137</v>
          </cell>
          <cell r="L997">
            <v>0.50007668955429785</v>
          </cell>
          <cell r="M997">
            <v>0.62671222636384316</v>
          </cell>
          <cell r="N997">
            <v>0.60916054001601705</v>
          </cell>
          <cell r="O997">
            <v>0.60339051172462077</v>
          </cell>
          <cell r="P997">
            <v>0.55431147499000244</v>
          </cell>
          <cell r="Q997">
            <v>0.60481448915521696</v>
          </cell>
          <cell r="R997">
            <v>0.68102325018906906</v>
          </cell>
          <cell r="S997">
            <v>0.6574009927760126</v>
          </cell>
          <cell r="T997">
            <v>0.65465963100970259</v>
          </cell>
          <cell r="U997">
            <v>0.59592903540108222</v>
          </cell>
          <cell r="V997">
            <v>0.65485154883517738</v>
          </cell>
        </row>
        <row r="998">
          <cell r="A998" t="str">
            <v>Medium-density Fiberboard</v>
          </cell>
          <cell r="B998" t="str">
            <v>Medium-density Fiberboard</v>
          </cell>
          <cell r="C998">
            <v>0.62470967607808547</v>
          </cell>
          <cell r="D998">
            <v>0.59927973384927458</v>
          </cell>
          <cell r="E998">
            <v>0.58656894744219246</v>
          </cell>
          <cell r="F998">
            <v>0.53137817882377869</v>
          </cell>
          <cell r="G998">
            <v>0.59235143357917641</v>
          </cell>
          <cell r="H998">
            <v>0.59815117625194902</v>
          </cell>
          <cell r="I998">
            <v>0.54929726909166476</v>
          </cell>
          <cell r="J998">
            <v>0.5149218109036795</v>
          </cell>
          <cell r="K998">
            <v>0.39706472506070428</v>
          </cell>
          <cell r="L998">
            <v>0.52971648280536365</v>
          </cell>
          <cell r="M998">
            <v>0.63025742627802916</v>
          </cell>
          <cell r="N998">
            <v>0.61687470398244726</v>
          </cell>
          <cell r="O998">
            <v>0.61805052048236886</v>
          </cell>
          <cell r="P998">
            <v>0.57751596272755112</v>
          </cell>
          <cell r="Q998">
            <v>0.6160986348975418</v>
          </cell>
          <cell r="R998">
            <v>0.68202640155814565</v>
          </cell>
          <cell r="S998">
            <v>0.66363735122268541</v>
          </cell>
          <cell r="T998">
            <v>0.6690979366629074</v>
          </cell>
          <cell r="U998">
            <v>0.62395305538501711</v>
          </cell>
          <cell r="V998">
            <v>0.66559103232194194</v>
          </cell>
        </row>
        <row r="999">
          <cell r="A999" t="str">
            <v>Food Waste</v>
          </cell>
          <cell r="B999" t="str">
            <v>Food Waste</v>
          </cell>
          <cell r="C999">
            <v>0.57934451302605239</v>
          </cell>
          <cell r="D999">
            <v>0.52877668866704175</v>
          </cell>
          <cell r="E999">
            <v>0.49804740151117877</v>
          </cell>
          <cell r="F999">
            <v>0.42402849291705336</v>
          </cell>
          <cell r="G999">
            <v>0.51578569694278531</v>
          </cell>
          <cell r="H999">
            <v>0.52560702706077667</v>
          </cell>
          <cell r="I999">
            <v>0.43096741971074848</v>
          </cell>
          <cell r="J999">
            <v>0.36424956405967635</v>
          </cell>
          <cell r="K999">
            <v>0.22196693917641336</v>
          </cell>
          <cell r="L999">
            <v>0.40157425445472994</v>
          </cell>
          <cell r="M999">
            <v>0.59464760806320316</v>
          </cell>
          <cell r="N999">
            <v>0.56212173246287489</v>
          </cell>
          <cell r="O999">
            <v>0.54617016258961526</v>
          </cell>
          <cell r="P999">
            <v>0.48538391373972373</v>
          </cell>
          <cell r="Q999">
            <v>0.55439703049271571</v>
          </cell>
          <cell r="R999">
            <v>0.65405248455216192</v>
          </cell>
          <cell r="S999">
            <v>0.61043220265739406</v>
          </cell>
          <cell r="T999">
            <v>0.59203932880689469</v>
          </cell>
          <cell r="U999">
            <v>0.50960136452269433</v>
          </cell>
          <cell r="V999">
            <v>0.60151370407032245</v>
          </cell>
        </row>
        <row r="1000">
          <cell r="A1000" t="str">
            <v>Food Waste (meat only)</v>
          </cell>
          <cell r="B1000" t="str">
            <v>Food Waste</v>
          </cell>
          <cell r="C1000">
            <v>0.57934451302605239</v>
          </cell>
          <cell r="D1000">
            <v>0.52877668866704175</v>
          </cell>
          <cell r="E1000">
            <v>0.49804740151117877</v>
          </cell>
          <cell r="F1000">
            <v>0.42402849291705336</v>
          </cell>
          <cell r="G1000">
            <v>0.51578569694278531</v>
          </cell>
          <cell r="H1000">
            <v>0.52560702706077667</v>
          </cell>
          <cell r="I1000">
            <v>0.43096741971074848</v>
          </cell>
          <cell r="J1000">
            <v>0.36424956405967635</v>
          </cell>
          <cell r="K1000">
            <v>0.22196693917641336</v>
          </cell>
          <cell r="L1000">
            <v>0.40157425445472994</v>
          </cell>
          <cell r="M1000">
            <v>0.59464760806320316</v>
          </cell>
          <cell r="N1000">
            <v>0.56212173246287489</v>
          </cell>
          <cell r="O1000">
            <v>0.54617016258961526</v>
          </cell>
          <cell r="P1000">
            <v>0.48538391373972373</v>
          </cell>
          <cell r="Q1000">
            <v>0.55439703049271571</v>
          </cell>
          <cell r="R1000">
            <v>0.65405248455216192</v>
          </cell>
          <cell r="S1000">
            <v>0.61043220265739406</v>
          </cell>
          <cell r="T1000">
            <v>0.59203932880689469</v>
          </cell>
          <cell r="U1000">
            <v>0.50960136452269433</v>
          </cell>
          <cell r="V1000">
            <v>0.60151370407032245</v>
          </cell>
        </row>
        <row r="1001">
          <cell r="A1001" t="str">
            <v>Food Waste (non-meat)</v>
          </cell>
          <cell r="B1001" t="str">
            <v>Food Waste</v>
          </cell>
          <cell r="C1001">
            <v>0.57934451302605239</v>
          </cell>
          <cell r="D1001">
            <v>0.52877668866704175</v>
          </cell>
          <cell r="E1001">
            <v>0.49804740151117877</v>
          </cell>
          <cell r="F1001">
            <v>0.42402849291705336</v>
          </cell>
          <cell r="G1001">
            <v>0.51578569694278531</v>
          </cell>
          <cell r="H1001">
            <v>0.52560702706077667</v>
          </cell>
          <cell r="I1001">
            <v>0.43096741971074848</v>
          </cell>
          <cell r="J1001">
            <v>0.36424956405967635</v>
          </cell>
          <cell r="K1001">
            <v>0.22196693917641336</v>
          </cell>
          <cell r="L1001">
            <v>0.40157425445472994</v>
          </cell>
          <cell r="M1001">
            <v>0.59464760806320316</v>
          </cell>
          <cell r="N1001">
            <v>0.56212173246287489</v>
          </cell>
          <cell r="O1001">
            <v>0.54617016258961526</v>
          </cell>
          <cell r="P1001">
            <v>0.48538391373972373</v>
          </cell>
          <cell r="Q1001">
            <v>0.55439703049271571</v>
          </cell>
          <cell r="R1001">
            <v>0.65405248455216192</v>
          </cell>
          <cell r="S1001">
            <v>0.61043220265739406</v>
          </cell>
          <cell r="T1001">
            <v>0.59203932880689469</v>
          </cell>
          <cell r="U1001">
            <v>0.50960136452269433</v>
          </cell>
          <cell r="V1001">
            <v>0.60151370407032245</v>
          </cell>
        </row>
        <row r="1002">
          <cell r="A1002" t="str">
            <v>Beef</v>
          </cell>
          <cell r="B1002" t="str">
            <v>Food Waste</v>
          </cell>
          <cell r="C1002">
            <v>0.57934451302605239</v>
          </cell>
          <cell r="D1002">
            <v>0.52877668866704175</v>
          </cell>
          <cell r="E1002">
            <v>0.49804740151117877</v>
          </cell>
          <cell r="F1002">
            <v>0.42402849291705336</v>
          </cell>
          <cell r="G1002">
            <v>0.51578569694278531</v>
          </cell>
          <cell r="H1002">
            <v>0.52560702706077667</v>
          </cell>
          <cell r="I1002">
            <v>0.43096741971074848</v>
          </cell>
          <cell r="J1002">
            <v>0.36424956405967635</v>
          </cell>
          <cell r="K1002">
            <v>0.22196693917641336</v>
          </cell>
          <cell r="L1002">
            <v>0.40157425445472994</v>
          </cell>
          <cell r="M1002">
            <v>0.59464760806320316</v>
          </cell>
          <cell r="N1002">
            <v>0.56212173246287489</v>
          </cell>
          <cell r="O1002">
            <v>0.54617016258961526</v>
          </cell>
          <cell r="P1002">
            <v>0.48538391373972373</v>
          </cell>
          <cell r="Q1002">
            <v>0.55439703049271571</v>
          </cell>
          <cell r="R1002">
            <v>0.65405248455216192</v>
          </cell>
          <cell r="S1002">
            <v>0.61043220265739406</v>
          </cell>
          <cell r="T1002">
            <v>0.59203932880689469</v>
          </cell>
          <cell r="U1002">
            <v>0.50960136452269433</v>
          </cell>
          <cell r="V1002">
            <v>0.60151370407032245</v>
          </cell>
        </row>
        <row r="1003">
          <cell r="A1003" t="str">
            <v>Poultry</v>
          </cell>
          <cell r="B1003" t="str">
            <v>Food Waste</v>
          </cell>
          <cell r="C1003">
            <v>0.57934451302605239</v>
          </cell>
          <cell r="D1003">
            <v>0.52877668866704175</v>
          </cell>
          <cell r="E1003">
            <v>0.49804740151117877</v>
          </cell>
          <cell r="F1003">
            <v>0.42402849291705336</v>
          </cell>
          <cell r="G1003">
            <v>0.51578569694278531</v>
          </cell>
          <cell r="H1003">
            <v>0.52560702706077667</v>
          </cell>
          <cell r="I1003">
            <v>0.43096741971074848</v>
          </cell>
          <cell r="J1003">
            <v>0.36424956405967635</v>
          </cell>
          <cell r="K1003">
            <v>0.22196693917641336</v>
          </cell>
          <cell r="L1003">
            <v>0.40157425445472994</v>
          </cell>
          <cell r="M1003">
            <v>0.59464760806320316</v>
          </cell>
          <cell r="N1003">
            <v>0.56212173246287489</v>
          </cell>
          <cell r="O1003">
            <v>0.54617016258961526</v>
          </cell>
          <cell r="P1003">
            <v>0.48538391373972373</v>
          </cell>
          <cell r="Q1003">
            <v>0.55439703049271571</v>
          </cell>
          <cell r="R1003">
            <v>0.65405248455216192</v>
          </cell>
          <cell r="S1003">
            <v>0.61043220265739406</v>
          </cell>
          <cell r="T1003">
            <v>0.59203932880689469</v>
          </cell>
          <cell r="U1003">
            <v>0.50960136452269433</v>
          </cell>
          <cell r="V1003">
            <v>0.60151370407032245</v>
          </cell>
        </row>
        <row r="1004">
          <cell r="A1004" t="str">
            <v>Grains</v>
          </cell>
          <cell r="B1004" t="str">
            <v>Food Waste</v>
          </cell>
          <cell r="C1004">
            <v>0.57934451302605239</v>
          </cell>
          <cell r="D1004">
            <v>0.52877668866704175</v>
          </cell>
          <cell r="E1004">
            <v>0.49804740151117877</v>
          </cell>
          <cell r="F1004">
            <v>0.42402849291705336</v>
          </cell>
          <cell r="G1004">
            <v>0.51578569694278531</v>
          </cell>
          <cell r="H1004">
            <v>0.52560702706077667</v>
          </cell>
          <cell r="I1004">
            <v>0.43096741971074848</v>
          </cell>
          <cell r="J1004">
            <v>0.36424956405967635</v>
          </cell>
          <cell r="K1004">
            <v>0.22196693917641336</v>
          </cell>
          <cell r="L1004">
            <v>0.40157425445472994</v>
          </cell>
          <cell r="M1004">
            <v>0.59464760806320316</v>
          </cell>
          <cell r="N1004">
            <v>0.56212173246287489</v>
          </cell>
          <cell r="O1004">
            <v>0.54617016258961526</v>
          </cell>
          <cell r="P1004">
            <v>0.48538391373972373</v>
          </cell>
          <cell r="Q1004">
            <v>0.55439703049271571</v>
          </cell>
          <cell r="R1004">
            <v>0.65405248455216192</v>
          </cell>
          <cell r="S1004">
            <v>0.61043220265739406</v>
          </cell>
          <cell r="T1004">
            <v>0.59203932880689469</v>
          </cell>
          <cell r="U1004">
            <v>0.50960136452269433</v>
          </cell>
          <cell r="V1004">
            <v>0.60151370407032245</v>
          </cell>
        </row>
        <row r="1005">
          <cell r="A1005" t="str">
            <v>Bread</v>
          </cell>
          <cell r="B1005" t="str">
            <v>Food Waste</v>
          </cell>
          <cell r="C1005">
            <v>0.57934451302605239</v>
          </cell>
          <cell r="D1005">
            <v>0.52877668866704175</v>
          </cell>
          <cell r="E1005">
            <v>0.49804740151117877</v>
          </cell>
          <cell r="F1005">
            <v>0.42402849291705336</v>
          </cell>
          <cell r="G1005">
            <v>0.51578569694278531</v>
          </cell>
          <cell r="H1005">
            <v>0.52560702706077667</v>
          </cell>
          <cell r="I1005">
            <v>0.43096741971074848</v>
          </cell>
          <cell r="J1005">
            <v>0.36424956405967635</v>
          </cell>
          <cell r="K1005">
            <v>0.22196693917641336</v>
          </cell>
          <cell r="L1005">
            <v>0.40157425445472994</v>
          </cell>
          <cell r="M1005">
            <v>0.59464760806320316</v>
          </cell>
          <cell r="N1005">
            <v>0.56212173246287489</v>
          </cell>
          <cell r="O1005">
            <v>0.54617016258961526</v>
          </cell>
          <cell r="P1005">
            <v>0.48538391373972373</v>
          </cell>
          <cell r="Q1005">
            <v>0.55439703049271571</v>
          </cell>
          <cell r="R1005">
            <v>0.65405248455216192</v>
          </cell>
          <cell r="S1005">
            <v>0.61043220265739406</v>
          </cell>
          <cell r="T1005">
            <v>0.59203932880689469</v>
          </cell>
          <cell r="U1005">
            <v>0.50960136452269433</v>
          </cell>
          <cell r="V1005">
            <v>0.60151370407032245</v>
          </cell>
        </row>
        <row r="1006">
          <cell r="A1006" t="str">
            <v>Fruits and Vegetables</v>
          </cell>
          <cell r="B1006" t="str">
            <v>Food Waste</v>
          </cell>
          <cell r="C1006">
            <v>0.57934451302605239</v>
          </cell>
          <cell r="D1006">
            <v>0.52877668866704175</v>
          </cell>
          <cell r="E1006">
            <v>0.49804740151117877</v>
          </cell>
          <cell r="F1006">
            <v>0.42402849291705336</v>
          </cell>
          <cell r="G1006">
            <v>0.51578569694278531</v>
          </cell>
          <cell r="H1006">
            <v>0.52560702706077667</v>
          </cell>
          <cell r="I1006">
            <v>0.43096741971074848</v>
          </cell>
          <cell r="J1006">
            <v>0.36424956405967635</v>
          </cell>
          <cell r="K1006">
            <v>0.22196693917641336</v>
          </cell>
          <cell r="L1006">
            <v>0.40157425445472994</v>
          </cell>
          <cell r="M1006">
            <v>0.59464760806320316</v>
          </cell>
          <cell r="N1006">
            <v>0.56212173246287489</v>
          </cell>
          <cell r="O1006">
            <v>0.54617016258961526</v>
          </cell>
          <cell r="P1006">
            <v>0.48538391373972373</v>
          </cell>
          <cell r="Q1006">
            <v>0.55439703049271571</v>
          </cell>
          <cell r="R1006">
            <v>0.65405248455216192</v>
          </cell>
          <cell r="S1006">
            <v>0.61043220265739406</v>
          </cell>
          <cell r="T1006">
            <v>0.59203932880689469</v>
          </cell>
          <cell r="U1006">
            <v>0.50960136452269433</v>
          </cell>
          <cell r="V1006">
            <v>0.60151370407032245</v>
          </cell>
        </row>
        <row r="1007">
          <cell r="A1007" t="str">
            <v>Dairy Products</v>
          </cell>
          <cell r="B1007" t="str">
            <v>Food Waste</v>
          </cell>
          <cell r="C1007">
            <v>0.57934451302605239</v>
          </cell>
          <cell r="D1007">
            <v>0.52877668866704175</v>
          </cell>
          <cell r="E1007">
            <v>0.49804740151117877</v>
          </cell>
          <cell r="F1007">
            <v>0.42402849291705336</v>
          </cell>
          <cell r="G1007">
            <v>0.51578569694278531</v>
          </cell>
          <cell r="H1007">
            <v>0.52560702706077667</v>
          </cell>
          <cell r="I1007">
            <v>0.43096741971074848</v>
          </cell>
          <cell r="J1007">
            <v>0.36424956405967635</v>
          </cell>
          <cell r="K1007">
            <v>0.22196693917641336</v>
          </cell>
          <cell r="L1007">
            <v>0.40157425445472994</v>
          </cell>
          <cell r="M1007">
            <v>0.59464760806320316</v>
          </cell>
          <cell r="N1007">
            <v>0.56212173246287489</v>
          </cell>
          <cell r="O1007">
            <v>0.54617016258961526</v>
          </cell>
          <cell r="P1007">
            <v>0.48538391373972373</v>
          </cell>
          <cell r="Q1007">
            <v>0.55439703049271571</v>
          </cell>
          <cell r="R1007">
            <v>0.65405248455216192</v>
          </cell>
          <cell r="S1007">
            <v>0.61043220265739406</v>
          </cell>
          <cell r="T1007">
            <v>0.59203932880689469</v>
          </cell>
          <cell r="U1007">
            <v>0.50960136452269433</v>
          </cell>
          <cell r="V1007">
            <v>0.60151370407032245</v>
          </cell>
        </row>
        <row r="1008">
          <cell r="A1008" t="str">
            <v>Yard Trimmings</v>
          </cell>
          <cell r="B1008" t="str">
            <v>Yard Trimmings</v>
          </cell>
          <cell r="C1008">
            <v>0.5353423141105923</v>
          </cell>
          <cell r="D1008">
            <v>0.47287391019053338</v>
          </cell>
          <cell r="E1008">
            <v>0.44303052142409333</v>
          </cell>
          <cell r="F1008">
            <v>0.39441261497892932</v>
          </cell>
          <cell r="G1008">
            <v>0.4652558286703779</v>
          </cell>
          <cell r="H1008">
            <v>0.47047531372077067</v>
          </cell>
          <cell r="I1008">
            <v>0.36634277498585976</v>
          </cell>
          <cell r="J1008">
            <v>0.30934185236583722</v>
          </cell>
          <cell r="K1008">
            <v>0.21452746134718442</v>
          </cell>
          <cell r="L1008">
            <v>0.34856037217214514</v>
          </cell>
          <cell r="M1008">
            <v>0.55281047612416367</v>
          </cell>
          <cell r="N1008">
            <v>0.50620995319531559</v>
          </cell>
          <cell r="O1008">
            <v>0.48927377551548301</v>
          </cell>
          <cell r="P1008">
            <v>0.44463438751289619</v>
          </cell>
          <cell r="Q1008">
            <v>0.50241173218643209</v>
          </cell>
          <cell r="R1008">
            <v>0.60793580646923961</v>
          </cell>
          <cell r="S1008">
            <v>0.54544068762139519</v>
          </cell>
          <cell r="T1008">
            <v>0.52206550985582845</v>
          </cell>
          <cell r="U1008">
            <v>0.45458221625879958</v>
          </cell>
          <cell r="V1008">
            <v>0.53924666619305661</v>
          </cell>
        </row>
        <row r="1009">
          <cell r="A1009" t="str">
            <v>Grass</v>
          </cell>
          <cell r="B1009" t="str">
            <v>Grass</v>
          </cell>
          <cell r="C1009">
            <v>0.48511417098237852</v>
          </cell>
          <cell r="D1009">
            <v>0.42553358233373445</v>
          </cell>
          <cell r="E1009">
            <v>0.39190232757199878</v>
          </cell>
          <cell r="F1009">
            <v>0.32794478953874612</v>
          </cell>
          <cell r="G1009">
            <v>0.41386837507689106</v>
          </cell>
          <cell r="H1009">
            <v>0.39202614030703636</v>
          </cell>
          <cell r="I1009">
            <v>0.27427576285768035</v>
          </cell>
          <cell r="J1009">
            <v>0.20340008875651983</v>
          </cell>
          <cell r="K1009">
            <v>9.2246366836759797E-2</v>
          </cell>
          <cell r="L1009">
            <v>0.25049299668988251</v>
          </cell>
          <cell r="M1009">
            <v>0.51218469148186796</v>
          </cell>
          <cell r="N1009">
            <v>0.47224844794128357</v>
          </cell>
          <cell r="O1009">
            <v>0.45132593418740646</v>
          </cell>
          <cell r="P1009">
            <v>0.38728411425218956</v>
          </cell>
          <cell r="Q1009">
            <v>0.4631401101276475</v>
          </cell>
          <cell r="R1009">
            <v>0.57139354072038728</v>
          </cell>
          <cell r="S1009">
            <v>0.50992065978849266</v>
          </cell>
          <cell r="T1009">
            <v>0.47698251631481448</v>
          </cell>
          <cell r="U1009">
            <v>0.37824885274321624</v>
          </cell>
          <cell r="V1009">
            <v>0.49551047830266221</v>
          </cell>
        </row>
        <row r="1010">
          <cell r="A1010" t="str">
            <v>Leaves</v>
          </cell>
          <cell r="B1010" t="str">
            <v>Leaves</v>
          </cell>
          <cell r="C1010">
            <v>0.56030718692389558</v>
          </cell>
          <cell r="D1010">
            <v>0.50568423647963634</v>
          </cell>
          <cell r="E1010">
            <v>0.47333282228169116</v>
          </cell>
          <cell r="F1010">
            <v>0.39953370419627549</v>
          </cell>
          <cell r="G1010">
            <v>0.49269734210479671</v>
          </cell>
          <cell r="H1010">
            <v>0.49837653526545045</v>
          </cell>
          <cell r="I1010">
            <v>0.39550708532781992</v>
          </cell>
          <cell r="J1010">
            <v>0.32550400641066313</v>
          </cell>
          <cell r="K1010">
            <v>0.18630734224518025</v>
          </cell>
          <cell r="L1010">
            <v>0.36638973557213061</v>
          </cell>
          <cell r="M1010">
            <v>0.57815915226631265</v>
          </cell>
          <cell r="N1010">
            <v>0.54250823044109042</v>
          </cell>
          <cell r="O1010">
            <v>0.52494173648851516</v>
          </cell>
          <cell r="P1010">
            <v>0.462034355379495</v>
          </cell>
          <cell r="Q1010">
            <v>0.53437119828546686</v>
          </cell>
          <cell r="R1010">
            <v>0.63845196742769816</v>
          </cell>
          <cell r="S1010">
            <v>0.58952414510609352</v>
          </cell>
          <cell r="T1010">
            <v>0.5673114596775386</v>
          </cell>
          <cell r="U1010">
            <v>0.47941246698700196</v>
          </cell>
          <cell r="V1010">
            <v>0.5791691280473692</v>
          </cell>
        </row>
        <row r="1011">
          <cell r="A1011" t="str">
            <v>Branches</v>
          </cell>
          <cell r="B1011" t="str">
            <v>Branches</v>
          </cell>
          <cell r="C1011">
            <v>0.61083372755371668</v>
          </cell>
          <cell r="D1011">
            <v>0.53474423961502826</v>
          </cell>
          <cell r="E1011">
            <v>0.5149846082706846</v>
          </cell>
          <cell r="F1011">
            <v>0.5222271766419494</v>
          </cell>
          <cell r="G1011">
            <v>0.54058922242293272</v>
          </cell>
          <cell r="H1011">
            <v>0.59947243900355951</v>
          </cell>
          <cell r="I1011">
            <v>0.52131248890025861</v>
          </cell>
          <cell r="J1011">
            <v>0.505063225539646</v>
          </cell>
          <cell r="K1011">
            <v>0.48730976947003785</v>
          </cell>
          <cell r="L1011">
            <v>0.52686575973668492</v>
          </cell>
          <cell r="M1011">
            <v>0.6087133692666058</v>
          </cell>
          <cell r="N1011">
            <v>0.53783468645760479</v>
          </cell>
          <cell r="O1011">
            <v>0.52950149719860384</v>
          </cell>
          <cell r="P1011">
            <v>0.54193496616771064</v>
          </cell>
          <cell r="Q1011">
            <v>0.54899551020496618</v>
          </cell>
          <cell r="R1011">
            <v>0.65050417700848584</v>
          </cell>
          <cell r="S1011">
            <v>0.57239728580250182</v>
          </cell>
          <cell r="T1011">
            <v>0.56698554711614635</v>
          </cell>
          <cell r="U1011">
            <v>0.58241869256176371</v>
          </cell>
          <cell r="V1011">
            <v>0.58679658011953273</v>
          </cell>
        </row>
        <row r="1012">
          <cell r="A1012" t="str">
            <v>Mixed Paper (general)</v>
          </cell>
          <cell r="B1012" t="str">
            <v>Mixed Paper (general)</v>
          </cell>
          <cell r="C1012">
            <v>0.61607359798255157</v>
          </cell>
          <cell r="D1012">
            <v>0.56593470016626102</v>
          </cell>
          <cell r="E1012">
            <v>0.55946569728764406</v>
          </cell>
          <cell r="F1012">
            <v>0.5535444427229349</v>
          </cell>
          <cell r="G1012">
            <v>0.57206469380207481</v>
          </cell>
          <cell r="H1012">
            <v>0.59938144858568021</v>
          </cell>
          <cell r="I1012">
            <v>0.54004919804798046</v>
          </cell>
          <cell r="J1012">
            <v>0.52821349021786823</v>
          </cell>
          <cell r="K1012">
            <v>0.48215299409341006</v>
          </cell>
          <cell r="L1012">
            <v>0.54126155184188718</v>
          </cell>
          <cell r="M1012">
            <v>0.6166341553179836</v>
          </cell>
          <cell r="N1012">
            <v>0.5738398222702551</v>
          </cell>
          <cell r="O1012">
            <v>0.57996847580244049</v>
          </cell>
          <cell r="P1012">
            <v>0.58251537570565615</v>
          </cell>
          <cell r="Q1012">
            <v>0.58578512082506906</v>
          </cell>
          <cell r="R1012">
            <v>0.66189543080479185</v>
          </cell>
          <cell r="S1012">
            <v>0.61297797118225117</v>
          </cell>
          <cell r="T1012">
            <v>0.62299295051251036</v>
          </cell>
          <cell r="U1012">
            <v>0.62848406979882754</v>
          </cell>
          <cell r="V1012">
            <v>0.62842822947315347</v>
          </cell>
        </row>
        <row r="1013">
          <cell r="A1013" t="str">
            <v>Mixed Paper (primarily residential)</v>
          </cell>
          <cell r="B1013" t="str">
            <v>Mixed Paper (primarily residential)</v>
          </cell>
          <cell r="C1013">
            <v>0.6152645439470309</v>
          </cell>
          <cell r="D1013">
            <v>0.56401750258237759</v>
          </cell>
          <cell r="E1013">
            <v>0.55652255107167892</v>
          </cell>
          <cell r="F1013">
            <v>0.55003451595787223</v>
          </cell>
          <cell r="G1013">
            <v>0.56978818712196055</v>
          </cell>
          <cell r="H1013">
            <v>0.59807633548722683</v>
          </cell>
          <cell r="I1013">
            <v>0.53722081817506684</v>
          </cell>
          <cell r="J1013">
            <v>0.52409366392572454</v>
          </cell>
          <cell r="K1013">
            <v>0.47745418549032731</v>
          </cell>
          <cell r="L1013">
            <v>0.53801999797254518</v>
          </cell>
          <cell r="M1013">
            <v>0.616007291693077</v>
          </cell>
          <cell r="N1013">
            <v>0.5722373793893597</v>
          </cell>
          <cell r="O1013">
            <v>0.57733587506586337</v>
          </cell>
          <cell r="P1013">
            <v>0.57931230153293334</v>
          </cell>
          <cell r="Q1013">
            <v>0.58379433578750339</v>
          </cell>
          <cell r="R1013">
            <v>0.66142281521772206</v>
          </cell>
          <cell r="S1013">
            <v>0.61139583059625324</v>
          </cell>
          <cell r="T1013">
            <v>0.62022691839721145</v>
          </cell>
          <cell r="U1013">
            <v>0.62467295783929133</v>
          </cell>
          <cell r="V1013">
            <v>0.62635851733104453</v>
          </cell>
        </row>
        <row r="1014">
          <cell r="A1014" t="str">
            <v>Mixed Paper (primarily from offices)</v>
          </cell>
          <cell r="B1014" t="str">
            <v>Mixed Paper (primarily from offices)</v>
          </cell>
          <cell r="C1014">
            <v>0.61126761469253843</v>
          </cell>
          <cell r="D1014">
            <v>0.56833986274661097</v>
          </cell>
          <cell r="E1014">
            <v>0.55776139271911718</v>
          </cell>
          <cell r="F1014">
            <v>0.52709286315448822</v>
          </cell>
          <cell r="G1014">
            <v>0.56845296199528428</v>
          </cell>
          <cell r="H1014">
            <v>0.58472504151362714</v>
          </cell>
          <cell r="I1014">
            <v>0.52205956458894698</v>
          </cell>
          <cell r="J1014">
            <v>0.49576930948636277</v>
          </cell>
          <cell r="K1014">
            <v>0.41300969888126593</v>
          </cell>
          <cell r="L1014">
            <v>0.51288237855595287</v>
          </cell>
          <cell r="M1014">
            <v>0.61603618915029146</v>
          </cell>
          <cell r="N1014">
            <v>0.58375296041047586</v>
          </cell>
          <cell r="O1014">
            <v>0.58662160090008442</v>
          </cell>
          <cell r="P1014">
            <v>0.56702136061495934</v>
          </cell>
          <cell r="Q1014">
            <v>0.58971545742011644</v>
          </cell>
          <cell r="R1014">
            <v>0.66583770483231786</v>
          </cell>
          <cell r="S1014">
            <v>0.62679260044029506</v>
          </cell>
          <cell r="T1014">
            <v>0.63249420847194027</v>
          </cell>
          <cell r="U1014">
            <v>0.6094385894538743</v>
          </cell>
          <cell r="V1014">
            <v>0.63520958112106363</v>
          </cell>
        </row>
        <row r="1015">
          <cell r="A1015" t="str">
            <v>Mixed Metals</v>
          </cell>
          <cell r="B1015" t="str">
            <v>Mixed Metals</v>
          </cell>
          <cell r="C1015" t="str">
            <v>--</v>
          </cell>
          <cell r="D1015" t="str">
            <v>--</v>
          </cell>
          <cell r="E1015" t="str">
            <v>--</v>
          </cell>
          <cell r="F1015" t="str">
            <v>--</v>
          </cell>
          <cell r="G1015" t="str">
            <v>--</v>
          </cell>
          <cell r="H1015" t="str">
            <v>--</v>
          </cell>
          <cell r="I1015" t="str">
            <v>--</v>
          </cell>
          <cell r="J1015" t="str">
            <v>--</v>
          </cell>
          <cell r="K1015" t="str">
            <v>--</v>
          </cell>
          <cell r="L1015" t="str">
            <v>--</v>
          </cell>
          <cell r="M1015" t="str">
            <v>--</v>
          </cell>
          <cell r="N1015" t="str">
            <v>--</v>
          </cell>
          <cell r="O1015" t="str">
            <v>--</v>
          </cell>
          <cell r="P1015" t="str">
            <v>--</v>
          </cell>
          <cell r="Q1015" t="str">
            <v>--</v>
          </cell>
          <cell r="R1015" t="str">
            <v>--</v>
          </cell>
          <cell r="S1015" t="str">
            <v>--</v>
          </cell>
          <cell r="T1015" t="str">
            <v>--</v>
          </cell>
          <cell r="U1015" t="str">
            <v>--</v>
          </cell>
          <cell r="V1015" t="str">
            <v>--</v>
          </cell>
        </row>
        <row r="1016">
          <cell r="A1016" t="str">
            <v>Mixed Plastics</v>
          </cell>
          <cell r="B1016" t="str">
            <v>Mixed Plastics</v>
          </cell>
          <cell r="C1016" t="str">
            <v>--</v>
          </cell>
          <cell r="D1016" t="str">
            <v>--</v>
          </cell>
          <cell r="E1016" t="str">
            <v>--</v>
          </cell>
          <cell r="F1016" t="str">
            <v>--</v>
          </cell>
          <cell r="G1016" t="str">
            <v>--</v>
          </cell>
          <cell r="H1016" t="str">
            <v>--</v>
          </cell>
          <cell r="I1016" t="str">
            <v>--</v>
          </cell>
          <cell r="J1016" t="str">
            <v>--</v>
          </cell>
          <cell r="K1016" t="str">
            <v>--</v>
          </cell>
          <cell r="L1016" t="str">
            <v>--</v>
          </cell>
          <cell r="M1016" t="str">
            <v>--</v>
          </cell>
          <cell r="N1016" t="str">
            <v>--</v>
          </cell>
          <cell r="O1016" t="str">
            <v>--</v>
          </cell>
          <cell r="P1016" t="str">
            <v>--</v>
          </cell>
          <cell r="Q1016" t="str">
            <v>--</v>
          </cell>
          <cell r="R1016" t="str">
            <v>--</v>
          </cell>
          <cell r="S1016" t="str">
            <v>--</v>
          </cell>
          <cell r="T1016" t="str">
            <v>--</v>
          </cell>
          <cell r="U1016" t="str">
            <v>--</v>
          </cell>
          <cell r="V1016" t="str">
            <v>--</v>
          </cell>
        </row>
        <row r="1017">
          <cell r="A1017" t="str">
            <v>Mixed Recyclables</v>
          </cell>
          <cell r="B1017" t="str">
            <v>Mixed Recyclables</v>
          </cell>
          <cell r="C1017">
            <v>0.53134106572685602</v>
          </cell>
          <cell r="D1017">
            <v>0.48545473361879021</v>
          </cell>
          <cell r="E1017">
            <v>0.47745950839909551</v>
          </cell>
          <cell r="F1017">
            <v>0.47146577710963516</v>
          </cell>
          <cell r="G1017">
            <v>0.48994706682419337</v>
          </cell>
          <cell r="H1017">
            <v>0.5162360261933181</v>
          </cell>
          <cell r="I1017">
            <v>0.46180247914013656</v>
          </cell>
          <cell r="J1017">
            <v>0.44883975396875536</v>
          </cell>
          <cell r="K1017">
            <v>0.40832849549914957</v>
          </cell>
          <cell r="L1017">
            <v>0.46201411014123644</v>
          </cell>
          <cell r="M1017">
            <v>0.53207631287969548</v>
          </cell>
          <cell r="N1017">
            <v>0.49274433224872805</v>
          </cell>
          <cell r="O1017">
            <v>0.49559590083393318</v>
          </cell>
          <cell r="P1017">
            <v>0.49692909650557887</v>
          </cell>
          <cell r="Q1017">
            <v>0.50220119948912589</v>
          </cell>
          <cell r="R1017">
            <v>0.57141506848975043</v>
          </cell>
          <cell r="S1017">
            <v>0.5265644532582161</v>
          </cell>
          <cell r="T1017">
            <v>0.5325142074400484</v>
          </cell>
          <cell r="U1017">
            <v>0.53551961137508119</v>
          </cell>
          <cell r="V1017">
            <v>0.53887544108494245</v>
          </cell>
        </row>
        <row r="1018">
          <cell r="A1018" t="str">
            <v>Mixed Organics</v>
          </cell>
          <cell r="B1018" t="str">
            <v>Mixed Organics</v>
          </cell>
          <cell r="C1018">
            <v>0.55822642148930335</v>
          </cell>
          <cell r="D1018">
            <v>0.5019471205517374</v>
          </cell>
          <cell r="E1018">
            <v>0.47164300494959688</v>
          </cell>
          <cell r="F1018">
            <v>0.40981486640170334</v>
          </cell>
          <cell r="G1018">
            <v>0.49153476381176742</v>
          </cell>
          <cell r="H1018">
            <v>0.49914751827284232</v>
          </cell>
          <cell r="I1018">
            <v>0.3999519432921238</v>
          </cell>
          <cell r="J1018">
            <v>0.33789756097338253</v>
          </cell>
          <cell r="K1018">
            <v>0.21839649093392627</v>
          </cell>
          <cell r="L1018">
            <v>0.37613116191944507</v>
          </cell>
          <cell r="M1018">
            <v>0.57456860283846067</v>
          </cell>
          <cell r="N1018">
            <v>0.53528784457415002</v>
          </cell>
          <cell r="O1018">
            <v>0.51886372927590041</v>
          </cell>
          <cell r="P1018">
            <v>0.46582688599684552</v>
          </cell>
          <cell r="Q1018">
            <v>0.52944758898170119</v>
          </cell>
          <cell r="R1018">
            <v>0.63191958544416382</v>
          </cell>
          <cell r="S1018">
            <v>0.5792406532014418</v>
          </cell>
          <cell r="T1018">
            <v>0.55845660907455585</v>
          </cell>
          <cell r="U1018">
            <v>0.48319587938902608</v>
          </cell>
          <cell r="V1018">
            <v>0.57162972013259461</v>
          </cell>
        </row>
        <row r="1019">
          <cell r="A1019" t="str">
            <v>Mixed MSW</v>
          </cell>
          <cell r="B1019" t="str">
            <v>Mixed MSW</v>
          </cell>
          <cell r="C1019">
            <v>0.62458057585072169</v>
          </cell>
          <cell r="D1019">
            <v>0.59581123408216086</v>
          </cell>
          <cell r="E1019">
            <v>0.59535015333470209</v>
          </cell>
          <cell r="F1019">
            <v>0.56884224751836443</v>
          </cell>
          <cell r="G1019">
            <v>0.59867869959228781</v>
          </cell>
          <cell r="H1019">
            <v>0.60619749253737931</v>
          </cell>
          <cell r="I1019">
            <v>0.56423782527549793</v>
          </cell>
          <cell r="J1019">
            <v>0.55233926226959162</v>
          </cell>
          <cell r="K1019">
            <v>0.47498898550917984</v>
          </cell>
          <cell r="L1019">
            <v>0.55881456535581486</v>
          </cell>
          <cell r="M1019">
            <v>0.62636775340666606</v>
          </cell>
          <cell r="N1019">
            <v>0.60624294032463566</v>
          </cell>
          <cell r="O1019">
            <v>0.61912450277889963</v>
          </cell>
          <cell r="P1019">
            <v>0.60383130015632613</v>
          </cell>
          <cell r="Q1019">
            <v>0.61532106109291329</v>
          </cell>
          <cell r="R1019">
            <v>0.67367023825588612</v>
          </cell>
          <cell r="S1019">
            <v>0.64884526846053414</v>
          </cell>
          <cell r="T1019">
            <v>0.66681743584579412</v>
          </cell>
          <cell r="U1019">
            <v>0.65435729197454917</v>
          </cell>
          <cell r="V1019">
            <v>0.66174802556634793</v>
          </cell>
        </row>
        <row r="1020">
          <cell r="A1020" t="str">
            <v>Carpet</v>
          </cell>
          <cell r="B1020" t="str">
            <v>Carpet</v>
          </cell>
          <cell r="C1020" t="str">
            <v>--</v>
          </cell>
          <cell r="D1020" t="str">
            <v>--</v>
          </cell>
          <cell r="E1020" t="str">
            <v>--</v>
          </cell>
          <cell r="F1020" t="str">
            <v>--</v>
          </cell>
          <cell r="G1020" t="str">
            <v>--</v>
          </cell>
          <cell r="H1020" t="str">
            <v>--</v>
          </cell>
          <cell r="I1020" t="str">
            <v>--</v>
          </cell>
          <cell r="J1020" t="str">
            <v>--</v>
          </cell>
          <cell r="K1020" t="str">
            <v>--</v>
          </cell>
          <cell r="L1020" t="str">
            <v>--</v>
          </cell>
          <cell r="M1020" t="str">
            <v>--</v>
          </cell>
          <cell r="N1020" t="str">
            <v>--</v>
          </cell>
          <cell r="O1020" t="str">
            <v>--</v>
          </cell>
          <cell r="P1020" t="str">
            <v>--</v>
          </cell>
          <cell r="Q1020" t="str">
            <v>--</v>
          </cell>
          <cell r="R1020" t="str">
            <v>--</v>
          </cell>
          <cell r="S1020" t="str">
            <v>--</v>
          </cell>
          <cell r="T1020" t="str">
            <v>--</v>
          </cell>
          <cell r="U1020" t="str">
            <v>--</v>
          </cell>
          <cell r="V1020" t="str">
            <v>--</v>
          </cell>
        </row>
        <row r="1021">
          <cell r="A1021" t="str">
            <v>Personal Computers</v>
          </cell>
          <cell r="B1021" t="str">
            <v>Personal Computers</v>
          </cell>
          <cell r="C1021" t="str">
            <v>--</v>
          </cell>
          <cell r="D1021" t="str">
            <v>--</v>
          </cell>
          <cell r="E1021" t="str">
            <v>--</v>
          </cell>
          <cell r="F1021" t="str">
            <v>--</v>
          </cell>
          <cell r="G1021" t="str">
            <v>--</v>
          </cell>
          <cell r="H1021" t="str">
            <v>--</v>
          </cell>
          <cell r="I1021" t="str">
            <v>--</v>
          </cell>
          <cell r="J1021" t="str">
            <v>--</v>
          </cell>
          <cell r="K1021" t="str">
            <v>--</v>
          </cell>
          <cell r="L1021" t="str">
            <v>--</v>
          </cell>
          <cell r="M1021" t="str">
            <v>--</v>
          </cell>
          <cell r="N1021" t="str">
            <v>--</v>
          </cell>
          <cell r="O1021" t="str">
            <v>--</v>
          </cell>
          <cell r="P1021" t="str">
            <v>--</v>
          </cell>
          <cell r="Q1021" t="str">
            <v>--</v>
          </cell>
          <cell r="R1021" t="str">
            <v>--</v>
          </cell>
          <cell r="S1021" t="str">
            <v>--</v>
          </cell>
          <cell r="T1021" t="str">
            <v>--</v>
          </cell>
          <cell r="U1021" t="str">
            <v>--</v>
          </cell>
          <cell r="V1021" t="str">
            <v>--</v>
          </cell>
        </row>
        <row r="1022">
          <cell r="A1022" t="str">
            <v>Clay Bricks</v>
          </cell>
          <cell r="B1022" t="str">
            <v>Clay Bricks</v>
          </cell>
          <cell r="C1022" t="str">
            <v>--</v>
          </cell>
          <cell r="D1022" t="str">
            <v>--</v>
          </cell>
          <cell r="E1022" t="str">
            <v>--</v>
          </cell>
          <cell r="F1022" t="str">
            <v>--</v>
          </cell>
          <cell r="G1022" t="str">
            <v>--</v>
          </cell>
          <cell r="H1022" t="str">
            <v>--</v>
          </cell>
          <cell r="I1022" t="str">
            <v>--</v>
          </cell>
          <cell r="J1022" t="str">
            <v>--</v>
          </cell>
          <cell r="K1022" t="str">
            <v>--</v>
          </cell>
          <cell r="L1022" t="str">
            <v>--</v>
          </cell>
          <cell r="M1022" t="str">
            <v>--</v>
          </cell>
          <cell r="N1022" t="str">
            <v>--</v>
          </cell>
          <cell r="O1022" t="str">
            <v>--</v>
          </cell>
          <cell r="P1022" t="str">
            <v>--</v>
          </cell>
          <cell r="Q1022" t="str">
            <v>--</v>
          </cell>
          <cell r="R1022" t="str">
            <v>--</v>
          </cell>
          <cell r="S1022" t="str">
            <v>--</v>
          </cell>
          <cell r="T1022" t="str">
            <v>--</v>
          </cell>
          <cell r="U1022" t="str">
            <v>--</v>
          </cell>
          <cell r="V1022" t="str">
            <v>--</v>
          </cell>
        </row>
        <row r="1023">
          <cell r="A1023" t="str">
            <v>Concrete</v>
          </cell>
          <cell r="B1023" t="str">
            <v>Concrete</v>
          </cell>
          <cell r="C1023" t="str">
            <v>--</v>
          </cell>
          <cell r="D1023" t="str">
            <v>--</v>
          </cell>
          <cell r="E1023" t="str">
            <v>--</v>
          </cell>
          <cell r="F1023" t="str">
            <v>--</v>
          </cell>
          <cell r="G1023" t="str">
            <v>--</v>
          </cell>
          <cell r="H1023" t="str">
            <v>--</v>
          </cell>
          <cell r="I1023" t="str">
            <v>--</v>
          </cell>
          <cell r="J1023" t="str">
            <v>--</v>
          </cell>
          <cell r="K1023" t="str">
            <v>--</v>
          </cell>
          <cell r="L1023" t="str">
            <v>--</v>
          </cell>
          <cell r="M1023" t="str">
            <v>--</v>
          </cell>
          <cell r="N1023" t="str">
            <v>--</v>
          </cell>
          <cell r="O1023" t="str">
            <v>--</v>
          </cell>
          <cell r="P1023" t="str">
            <v>--</v>
          </cell>
          <cell r="Q1023" t="str">
            <v>--</v>
          </cell>
          <cell r="R1023" t="str">
            <v>--</v>
          </cell>
          <cell r="S1023" t="str">
            <v>--</v>
          </cell>
          <cell r="T1023" t="str">
            <v>--</v>
          </cell>
          <cell r="U1023" t="str">
            <v>--</v>
          </cell>
          <cell r="V1023" t="str">
            <v>--</v>
          </cell>
        </row>
        <row r="1024">
          <cell r="A1024" t="str">
            <v>Fly Ash</v>
          </cell>
          <cell r="B1024" t="str">
            <v>Fly Ash</v>
          </cell>
          <cell r="C1024" t="str">
            <v>--</v>
          </cell>
          <cell r="D1024" t="str">
            <v>--</v>
          </cell>
          <cell r="E1024" t="str">
            <v>--</v>
          </cell>
          <cell r="F1024" t="str">
            <v>--</v>
          </cell>
          <cell r="G1024" t="str">
            <v>--</v>
          </cell>
          <cell r="H1024" t="str">
            <v>--</v>
          </cell>
          <cell r="I1024" t="str">
            <v>--</v>
          </cell>
          <cell r="J1024" t="str">
            <v>--</v>
          </cell>
          <cell r="K1024" t="str">
            <v>--</v>
          </cell>
          <cell r="L1024" t="str">
            <v>--</v>
          </cell>
          <cell r="M1024" t="str">
            <v>--</v>
          </cell>
          <cell r="N1024" t="str">
            <v>--</v>
          </cell>
          <cell r="O1024" t="str">
            <v>--</v>
          </cell>
          <cell r="P1024" t="str">
            <v>--</v>
          </cell>
          <cell r="Q1024" t="str">
            <v>--</v>
          </cell>
          <cell r="R1024" t="str">
            <v>--</v>
          </cell>
          <cell r="S1024" t="str">
            <v>--</v>
          </cell>
          <cell r="T1024" t="str">
            <v>--</v>
          </cell>
          <cell r="U1024" t="str">
            <v>--</v>
          </cell>
          <cell r="V1024" t="str">
            <v>--</v>
          </cell>
        </row>
        <row r="1025">
          <cell r="A1025" t="str">
            <v>Tires</v>
          </cell>
          <cell r="B1025" t="str">
            <v>Tires</v>
          </cell>
          <cell r="C1025" t="str">
            <v>--</v>
          </cell>
          <cell r="D1025" t="str">
            <v>--</v>
          </cell>
          <cell r="E1025" t="str">
            <v>--</v>
          </cell>
          <cell r="F1025" t="str">
            <v>--</v>
          </cell>
          <cell r="G1025" t="str">
            <v>--</v>
          </cell>
          <cell r="H1025" t="str">
            <v>--</v>
          </cell>
          <cell r="I1025" t="str">
            <v>--</v>
          </cell>
          <cell r="J1025" t="str">
            <v>--</v>
          </cell>
          <cell r="K1025" t="str">
            <v>--</v>
          </cell>
          <cell r="L1025" t="str">
            <v>--</v>
          </cell>
          <cell r="M1025" t="str">
            <v>--</v>
          </cell>
          <cell r="N1025" t="str">
            <v>--</v>
          </cell>
          <cell r="O1025" t="str">
            <v>--</v>
          </cell>
          <cell r="P1025" t="str">
            <v>--</v>
          </cell>
          <cell r="Q1025" t="str">
            <v>--</v>
          </cell>
          <cell r="R1025" t="str">
            <v>--</v>
          </cell>
          <cell r="S1025" t="str">
            <v>--</v>
          </cell>
          <cell r="T1025" t="str">
            <v>--</v>
          </cell>
          <cell r="U1025" t="str">
            <v>--</v>
          </cell>
          <cell r="V1025" t="str">
            <v>--</v>
          </cell>
        </row>
        <row r="1026">
          <cell r="A1026" t="str">
            <v>Asphalt Concrete</v>
          </cell>
          <cell r="B1026" t="str">
            <v>Asphalt Concrete</v>
          </cell>
          <cell r="C1026" t="str">
            <v>--</v>
          </cell>
          <cell r="D1026" t="str">
            <v>--</v>
          </cell>
          <cell r="E1026" t="str">
            <v>--</v>
          </cell>
          <cell r="F1026" t="str">
            <v>--</v>
          </cell>
          <cell r="G1026" t="str">
            <v>--</v>
          </cell>
          <cell r="H1026" t="str">
            <v>--</v>
          </cell>
          <cell r="I1026" t="str">
            <v>--</v>
          </cell>
          <cell r="J1026" t="str">
            <v>--</v>
          </cell>
          <cell r="K1026" t="str">
            <v>--</v>
          </cell>
          <cell r="L1026" t="str">
            <v>--</v>
          </cell>
          <cell r="M1026" t="str">
            <v>--</v>
          </cell>
          <cell r="N1026" t="str">
            <v>--</v>
          </cell>
          <cell r="O1026" t="str">
            <v>--</v>
          </cell>
          <cell r="P1026" t="str">
            <v>--</v>
          </cell>
          <cell r="Q1026" t="str">
            <v>--</v>
          </cell>
          <cell r="R1026" t="str">
            <v>--</v>
          </cell>
          <cell r="S1026" t="str">
            <v>--</v>
          </cell>
          <cell r="T1026" t="str">
            <v>--</v>
          </cell>
          <cell r="U1026" t="str">
            <v>--</v>
          </cell>
          <cell r="V1026" t="str">
            <v>--</v>
          </cell>
        </row>
        <row r="1027">
          <cell r="A1027" t="str">
            <v>Asphalt Shingles</v>
          </cell>
          <cell r="B1027" t="str">
            <v>Asphalt Shingles</v>
          </cell>
          <cell r="C1027" t="str">
            <v>--</v>
          </cell>
          <cell r="D1027" t="str">
            <v>--</v>
          </cell>
          <cell r="E1027" t="str">
            <v>--</v>
          </cell>
          <cell r="F1027" t="str">
            <v>--</v>
          </cell>
          <cell r="G1027" t="str">
            <v>--</v>
          </cell>
          <cell r="H1027" t="str">
            <v>--</v>
          </cell>
          <cell r="I1027" t="str">
            <v>--</v>
          </cell>
          <cell r="J1027" t="str">
            <v>--</v>
          </cell>
          <cell r="K1027" t="str">
            <v>--</v>
          </cell>
          <cell r="L1027" t="str">
            <v>--</v>
          </cell>
          <cell r="M1027" t="str">
            <v>--</v>
          </cell>
          <cell r="N1027" t="str">
            <v>--</v>
          </cell>
          <cell r="O1027" t="str">
            <v>--</v>
          </cell>
          <cell r="P1027" t="str">
            <v>--</v>
          </cell>
          <cell r="Q1027" t="str">
            <v>--</v>
          </cell>
          <cell r="R1027" t="str">
            <v>--</v>
          </cell>
          <cell r="S1027" t="str">
            <v>--</v>
          </cell>
          <cell r="T1027" t="str">
            <v>--</v>
          </cell>
          <cell r="U1027" t="str">
            <v>--</v>
          </cell>
          <cell r="V1027" t="str">
            <v>--</v>
          </cell>
        </row>
        <row r="1028">
          <cell r="A1028" t="str">
            <v>Drywall</v>
          </cell>
          <cell r="B1028" t="str">
            <v>Drywall</v>
          </cell>
          <cell r="C1028" t="str">
            <v>--</v>
          </cell>
          <cell r="D1028" t="str">
            <v>--</v>
          </cell>
          <cell r="E1028" t="str">
            <v>--</v>
          </cell>
          <cell r="F1028" t="str">
            <v>--</v>
          </cell>
          <cell r="G1028" t="str">
            <v>--</v>
          </cell>
          <cell r="H1028" t="str">
            <v>--</v>
          </cell>
          <cell r="I1028" t="str">
            <v>--</v>
          </cell>
          <cell r="J1028" t="str">
            <v>--</v>
          </cell>
          <cell r="K1028" t="str">
            <v>--</v>
          </cell>
          <cell r="L1028" t="str">
            <v>--</v>
          </cell>
          <cell r="M1028" t="str">
            <v>--</v>
          </cell>
          <cell r="N1028" t="str">
            <v>--</v>
          </cell>
          <cell r="O1028" t="str">
            <v>--</v>
          </cell>
          <cell r="P1028" t="str">
            <v>--</v>
          </cell>
          <cell r="Q1028" t="str">
            <v>--</v>
          </cell>
          <cell r="R1028" t="str">
            <v>--</v>
          </cell>
          <cell r="S1028" t="str">
            <v>--</v>
          </cell>
          <cell r="T1028" t="str">
            <v>--</v>
          </cell>
          <cell r="U1028" t="str">
            <v>--</v>
          </cell>
          <cell r="V1028" t="str">
            <v>--</v>
          </cell>
        </row>
        <row r="1029">
          <cell r="A1029" t="str">
            <v>Fiberglass Insulation</v>
          </cell>
          <cell r="B1029" t="str">
            <v>Fiberglass Insulation</v>
          </cell>
          <cell r="C1029" t="str">
            <v>--</v>
          </cell>
          <cell r="D1029" t="str">
            <v>--</v>
          </cell>
          <cell r="E1029" t="str">
            <v>--</v>
          </cell>
          <cell r="F1029" t="str">
            <v>--</v>
          </cell>
          <cell r="G1029" t="str">
            <v>--</v>
          </cell>
          <cell r="H1029" t="str">
            <v>--</v>
          </cell>
          <cell r="I1029" t="str">
            <v>--</v>
          </cell>
          <cell r="J1029" t="str">
            <v>--</v>
          </cell>
          <cell r="K1029" t="str">
            <v>--</v>
          </cell>
          <cell r="L1029" t="str">
            <v>--</v>
          </cell>
          <cell r="M1029" t="str">
            <v>--</v>
          </cell>
          <cell r="N1029" t="str">
            <v>--</v>
          </cell>
          <cell r="O1029" t="str">
            <v>--</v>
          </cell>
          <cell r="P1029" t="str">
            <v>--</v>
          </cell>
          <cell r="Q1029" t="str">
            <v>--</v>
          </cell>
          <cell r="R1029" t="str">
            <v>--</v>
          </cell>
          <cell r="S1029" t="str">
            <v>--</v>
          </cell>
          <cell r="T1029" t="str">
            <v>--</v>
          </cell>
          <cell r="U1029" t="str">
            <v>--</v>
          </cell>
          <cell r="V1029" t="str">
            <v>--</v>
          </cell>
        </row>
        <row r="1030">
          <cell r="A1030" t="str">
            <v>Vinyl Flooring</v>
          </cell>
          <cell r="B1030" t="str">
            <v>Vinyl Flooring</v>
          </cell>
          <cell r="C1030" t="str">
            <v>--</v>
          </cell>
          <cell r="D1030" t="str">
            <v>--</v>
          </cell>
          <cell r="E1030" t="str">
            <v>--</v>
          </cell>
          <cell r="F1030" t="str">
            <v>--</v>
          </cell>
          <cell r="G1030" t="str">
            <v>--</v>
          </cell>
          <cell r="H1030" t="str">
            <v>--</v>
          </cell>
          <cell r="I1030" t="str">
            <v>--</v>
          </cell>
          <cell r="J1030" t="str">
            <v>--</v>
          </cell>
          <cell r="K1030" t="str">
            <v>--</v>
          </cell>
          <cell r="L1030" t="str">
            <v>--</v>
          </cell>
          <cell r="M1030" t="str">
            <v>--</v>
          </cell>
          <cell r="N1030" t="str">
            <v>--</v>
          </cell>
          <cell r="O1030" t="str">
            <v>--</v>
          </cell>
          <cell r="P1030" t="str">
            <v>--</v>
          </cell>
          <cell r="Q1030" t="str">
            <v>--</v>
          </cell>
          <cell r="R1030" t="str">
            <v>--</v>
          </cell>
          <cell r="S1030" t="str">
            <v>--</v>
          </cell>
          <cell r="T1030" t="str">
            <v>--</v>
          </cell>
          <cell r="U1030" t="str">
            <v>--</v>
          </cell>
          <cell r="V1030" t="str">
            <v>--</v>
          </cell>
        </row>
        <row r="1031">
          <cell r="A1031" t="str">
            <v>Wood Flooring</v>
          </cell>
          <cell r="B1031" t="str">
            <v>Wood Flooring</v>
          </cell>
          <cell r="C1031" t="str">
            <v>--</v>
          </cell>
          <cell r="D1031" t="str">
            <v>--</v>
          </cell>
          <cell r="E1031" t="str">
            <v>--</v>
          </cell>
          <cell r="F1031" t="str">
            <v>--</v>
          </cell>
          <cell r="G1031" t="str">
            <v>--</v>
          </cell>
          <cell r="H1031" t="str">
            <v>--</v>
          </cell>
          <cell r="I1031" t="str">
            <v>--</v>
          </cell>
          <cell r="J1031" t="str">
            <v>--</v>
          </cell>
          <cell r="K1031" t="str">
            <v>--</v>
          </cell>
          <cell r="L1031" t="str">
            <v>--</v>
          </cell>
          <cell r="M1031" t="str">
            <v>--</v>
          </cell>
          <cell r="N1031" t="str">
            <v>--</v>
          </cell>
          <cell r="O1031" t="str">
            <v>--</v>
          </cell>
          <cell r="P1031" t="str">
            <v>--</v>
          </cell>
          <cell r="Q1031" t="str">
            <v>--</v>
          </cell>
          <cell r="R1031" t="str">
            <v>--</v>
          </cell>
          <cell r="S1031" t="str">
            <v>--</v>
          </cell>
          <cell r="T1031" t="str">
            <v>--</v>
          </cell>
          <cell r="U1031" t="str">
            <v>--</v>
          </cell>
          <cell r="V1031" t="str">
            <v>--</v>
          </cell>
        </row>
        <row r="1032">
          <cell r="A1032" t="str">
            <v>Aluminum Ingot</v>
          </cell>
          <cell r="B1032" t="str">
            <v>Aluminum Ingot</v>
          </cell>
          <cell r="C1032" t="str">
            <v>--</v>
          </cell>
          <cell r="D1032" t="str">
            <v>--</v>
          </cell>
          <cell r="E1032" t="str">
            <v>--</v>
          </cell>
          <cell r="F1032" t="str">
            <v>--</v>
          </cell>
          <cell r="G1032" t="str">
            <v>--</v>
          </cell>
          <cell r="H1032" t="str">
            <v>--</v>
          </cell>
          <cell r="I1032" t="str">
            <v>--</v>
          </cell>
          <cell r="J1032" t="str">
            <v>--</v>
          </cell>
          <cell r="K1032" t="str">
            <v>--</v>
          </cell>
          <cell r="L1032" t="str">
            <v>--</v>
          </cell>
          <cell r="M1032" t="str">
            <v>--</v>
          </cell>
          <cell r="N1032" t="str">
            <v>--</v>
          </cell>
          <cell r="O1032" t="str">
            <v>--</v>
          </cell>
          <cell r="P1032" t="str">
            <v>--</v>
          </cell>
          <cell r="Q1032" t="str">
            <v>--</v>
          </cell>
          <cell r="R1032" t="str">
            <v>--</v>
          </cell>
          <cell r="S1032" t="str">
            <v>--</v>
          </cell>
          <cell r="T1032" t="str">
            <v>--</v>
          </cell>
          <cell r="U1032" t="str">
            <v>--</v>
          </cell>
          <cell r="V1032" t="str">
            <v>--</v>
          </cell>
        </row>
        <row r="1033">
          <cell r="A1033" t="str">
            <v>PLA</v>
          </cell>
          <cell r="B1033" t="str">
            <v>PLA</v>
          </cell>
          <cell r="C1033" t="str">
            <v>--</v>
          </cell>
          <cell r="D1033" t="str">
            <v>--</v>
          </cell>
          <cell r="E1033" t="str">
            <v>--</v>
          </cell>
          <cell r="F1033" t="str">
            <v>--</v>
          </cell>
          <cell r="G1033" t="str">
            <v>--</v>
          </cell>
          <cell r="H1033" t="str">
            <v>--</v>
          </cell>
          <cell r="I1033" t="str">
            <v>--</v>
          </cell>
          <cell r="J1033" t="str">
            <v>--</v>
          </cell>
          <cell r="K1033" t="str">
            <v>--</v>
          </cell>
          <cell r="L1033" t="str">
            <v>--</v>
          </cell>
          <cell r="M1033" t="str">
            <v>--</v>
          </cell>
          <cell r="N1033" t="str">
            <v>--</v>
          </cell>
          <cell r="O1033" t="str">
            <v>--</v>
          </cell>
          <cell r="P1033" t="str">
            <v>--</v>
          </cell>
          <cell r="Q1033" t="str">
            <v>--</v>
          </cell>
          <cell r="R1033" t="str">
            <v>--</v>
          </cell>
          <cell r="S1033" t="str">
            <v>--</v>
          </cell>
          <cell r="T1033" t="str">
            <v>--</v>
          </cell>
          <cell r="U1033" t="str">
            <v>--</v>
          </cell>
          <cell r="V1033" t="str">
            <v>--</v>
          </cell>
        </row>
        <row r="1034">
          <cell r="A1034" t="str">
            <v>LLDPE</v>
          </cell>
          <cell r="B1034" t="str">
            <v>LLDPE</v>
          </cell>
          <cell r="C1034" t="str">
            <v>--</v>
          </cell>
          <cell r="D1034" t="str">
            <v>--</v>
          </cell>
          <cell r="E1034" t="str">
            <v>--</v>
          </cell>
          <cell r="F1034" t="str">
            <v>--</v>
          </cell>
          <cell r="G1034" t="str">
            <v>--</v>
          </cell>
          <cell r="H1034" t="str">
            <v>--</v>
          </cell>
          <cell r="I1034" t="str">
            <v>--</v>
          </cell>
          <cell r="J1034" t="str">
            <v>--</v>
          </cell>
          <cell r="K1034" t="str">
            <v>--</v>
          </cell>
          <cell r="L1034" t="str">
            <v>--</v>
          </cell>
          <cell r="M1034" t="str">
            <v>--</v>
          </cell>
          <cell r="N1034" t="str">
            <v>--</v>
          </cell>
          <cell r="O1034" t="str">
            <v>--</v>
          </cell>
          <cell r="P1034" t="str">
            <v>--</v>
          </cell>
          <cell r="Q1034" t="str">
            <v>--</v>
          </cell>
          <cell r="R1034" t="str">
            <v>--</v>
          </cell>
          <cell r="S1034" t="str">
            <v>--</v>
          </cell>
          <cell r="T1034" t="str">
            <v>--</v>
          </cell>
          <cell r="U1034" t="str">
            <v>--</v>
          </cell>
          <cell r="V1034" t="str">
            <v>--</v>
          </cell>
        </row>
        <row r="1035">
          <cell r="A1035" t="str">
            <v>PP</v>
          </cell>
          <cell r="B1035" t="str">
            <v>PP</v>
          </cell>
          <cell r="C1035" t="str">
            <v>--</v>
          </cell>
          <cell r="D1035" t="str">
            <v>--</v>
          </cell>
          <cell r="E1035" t="str">
            <v>--</v>
          </cell>
          <cell r="F1035" t="str">
            <v>--</v>
          </cell>
          <cell r="G1035" t="str">
            <v>--</v>
          </cell>
          <cell r="H1035" t="str">
            <v>--</v>
          </cell>
          <cell r="I1035" t="str">
            <v>--</v>
          </cell>
          <cell r="J1035" t="str">
            <v>--</v>
          </cell>
          <cell r="K1035" t="str">
            <v>--</v>
          </cell>
          <cell r="L1035" t="str">
            <v>--</v>
          </cell>
          <cell r="M1035" t="str">
            <v>--</v>
          </cell>
          <cell r="N1035" t="str">
            <v>--</v>
          </cell>
          <cell r="O1035" t="str">
            <v>--</v>
          </cell>
          <cell r="P1035" t="str">
            <v>--</v>
          </cell>
          <cell r="Q1035" t="str">
            <v>--</v>
          </cell>
          <cell r="R1035" t="str">
            <v>--</v>
          </cell>
          <cell r="S1035" t="str">
            <v>--</v>
          </cell>
          <cell r="T1035" t="str">
            <v>--</v>
          </cell>
          <cell r="U1035" t="str">
            <v>--</v>
          </cell>
          <cell r="V1035" t="str">
            <v>--</v>
          </cell>
        </row>
        <row r="1036">
          <cell r="A1036" t="str">
            <v>PS</v>
          </cell>
          <cell r="B1036" t="str">
            <v>PS</v>
          </cell>
          <cell r="C1036" t="str">
            <v>--</v>
          </cell>
          <cell r="D1036" t="str">
            <v>--</v>
          </cell>
          <cell r="E1036" t="str">
            <v>--</v>
          </cell>
          <cell r="F1036" t="str">
            <v>--</v>
          </cell>
          <cell r="G1036" t="str">
            <v>--</v>
          </cell>
          <cell r="H1036" t="str">
            <v>--</v>
          </cell>
          <cell r="I1036" t="str">
            <v>--</v>
          </cell>
          <cell r="J1036" t="str">
            <v>--</v>
          </cell>
          <cell r="K1036" t="str">
            <v>--</v>
          </cell>
          <cell r="L1036" t="str">
            <v>--</v>
          </cell>
          <cell r="M1036" t="str">
            <v>--</v>
          </cell>
          <cell r="N1036" t="str">
            <v>--</v>
          </cell>
          <cell r="O1036" t="str">
            <v>--</v>
          </cell>
          <cell r="P1036" t="str">
            <v>--</v>
          </cell>
          <cell r="Q1036" t="str">
            <v>--</v>
          </cell>
          <cell r="R1036" t="str">
            <v>--</v>
          </cell>
          <cell r="S1036" t="str">
            <v>--</v>
          </cell>
          <cell r="T1036" t="str">
            <v>--</v>
          </cell>
          <cell r="U1036" t="str">
            <v>--</v>
          </cell>
          <cell r="V1036" t="str">
            <v>--</v>
          </cell>
        </row>
        <row r="1037">
          <cell r="A1037" t="str">
            <v>PVC</v>
          </cell>
          <cell r="B1037" t="str">
            <v>PVC</v>
          </cell>
          <cell r="C1037" t="str">
            <v>--</v>
          </cell>
          <cell r="D1037" t="str">
            <v>--</v>
          </cell>
          <cell r="E1037" t="str">
            <v>--</v>
          </cell>
          <cell r="F1037" t="str">
            <v>--</v>
          </cell>
          <cell r="G1037" t="str">
            <v>--</v>
          </cell>
          <cell r="H1037" t="str">
            <v>--</v>
          </cell>
          <cell r="I1037" t="str">
            <v>--</v>
          </cell>
          <cell r="J1037" t="str">
            <v>--</v>
          </cell>
          <cell r="K1037" t="str">
            <v>--</v>
          </cell>
          <cell r="L1037" t="str">
            <v>--</v>
          </cell>
          <cell r="M1037" t="str">
            <v>--</v>
          </cell>
          <cell r="N1037" t="str">
            <v>--</v>
          </cell>
          <cell r="O1037" t="str">
            <v>--</v>
          </cell>
          <cell r="P1037" t="str">
            <v>--</v>
          </cell>
          <cell r="Q1037" t="str">
            <v>--</v>
          </cell>
          <cell r="R1037" t="str">
            <v>--</v>
          </cell>
          <cell r="S1037" t="str">
            <v>--</v>
          </cell>
          <cell r="T1037" t="str">
            <v>--</v>
          </cell>
          <cell r="U1037" t="str">
            <v>--</v>
          </cell>
          <cell r="V1037" t="str">
            <v>--</v>
          </cell>
        </row>
      </sheetData>
      <sheetData sheetId="4" refreshError="1">
        <row r="6">
          <cell r="H6" t="str">
            <v>Exhibit 6-2</v>
          </cell>
          <cell r="T6" t="str">
            <v>Exhibit 6-5</v>
          </cell>
        </row>
        <row r="7">
          <cell r="H7" t="str">
            <v>Avoided Utility GHG Emissions from Combustion at Mass Burn and RDF Facilities</v>
          </cell>
          <cell r="T7" t="str">
            <v>Avoided GHG Emissions Due to Increased Steel Recovery from MSW at WTE Facilities</v>
          </cell>
        </row>
        <row r="8">
          <cell r="H8" t="str">
            <v>National Average</v>
          </cell>
          <cell r="I8">
            <v>2</v>
          </cell>
          <cell r="J8">
            <v>3</v>
          </cell>
          <cell r="K8">
            <v>4</v>
          </cell>
          <cell r="L8">
            <v>5</v>
          </cell>
          <cell r="M8">
            <v>6</v>
          </cell>
          <cell r="N8">
            <v>7</v>
          </cell>
          <cell r="O8">
            <v>8</v>
          </cell>
          <cell r="P8">
            <v>9</v>
          </cell>
          <cell r="Q8">
            <v>10</v>
          </cell>
          <cell r="R8">
            <v>11</v>
          </cell>
        </row>
        <row r="9">
          <cell r="B9" t="str">
            <v xml:space="preserve">(b) </v>
          </cell>
          <cell r="D9" t="str">
            <v>(c)</v>
          </cell>
          <cell r="E9" t="str">
            <v xml:space="preserve">(d) </v>
          </cell>
          <cell r="F9" t="str">
            <v xml:space="preserve">(e)                  </v>
          </cell>
          <cell r="H9" t="str">
            <v>(a)</v>
          </cell>
          <cell r="I9" t="str">
            <v xml:space="preserve">(b) </v>
          </cell>
          <cell r="K9" t="str">
            <v>(c)</v>
          </cell>
          <cell r="L9" t="str">
            <v xml:space="preserve">(d) </v>
          </cell>
          <cell r="M9" t="str">
            <v xml:space="preserve">(e)                  </v>
          </cell>
          <cell r="N9" t="str">
            <v>(f)</v>
          </cell>
          <cell r="O9" t="str">
            <v xml:space="preserve">(g) </v>
          </cell>
          <cell r="Q9" t="str">
            <v xml:space="preserve">(h)                  </v>
          </cell>
          <cell r="T9" t="str">
            <v>(a)</v>
          </cell>
          <cell r="U9" t="str">
            <v xml:space="preserve">(b) </v>
          </cell>
          <cell r="V9" t="str">
            <v>(c)</v>
          </cell>
          <cell r="W9" t="str">
            <v xml:space="preserve">(d) </v>
          </cell>
        </row>
        <row r="10">
          <cell r="C10" t="str">
            <v>Emissions</v>
          </cell>
          <cell r="H10" t="str">
            <v>(a)</v>
          </cell>
          <cell r="I10" t="str">
            <v>(b)</v>
          </cell>
          <cell r="K10" t="str">
            <v>(c)</v>
          </cell>
          <cell r="L10" t="str">
            <v>(d)</v>
          </cell>
          <cell r="M10" t="str">
            <v>(e)</v>
          </cell>
          <cell r="N10" t="str">
            <v>(f)</v>
          </cell>
          <cell r="O10" t="str">
            <v>(g)</v>
          </cell>
          <cell r="Q10" t="str">
            <v>(h)</v>
          </cell>
          <cell r="T10" t="str">
            <v>(a)</v>
          </cell>
          <cell r="U10" t="str">
            <v>(b)</v>
          </cell>
          <cell r="V10" t="str">
            <v>(c)</v>
          </cell>
          <cell r="W10" t="str">
            <v>(d)*</v>
          </cell>
        </row>
        <row r="11">
          <cell r="B11" t="str">
            <v>Combustion CO2 Emissions From Non-Biomass Per Ton Combusted</v>
          </cell>
          <cell r="C11" t="str">
            <v>Combustion N2O Per Ton Combusted (in Tons)</v>
          </cell>
          <cell r="D11" t="str">
            <v xml:space="preserve">  Combustion N2O Emissions Per Ton Combusted</v>
          </cell>
          <cell r="E11" t="str">
            <v xml:space="preserve"> Transportation CO2 Emissions Per Ton Combusted</v>
          </cell>
          <cell r="F11" t="str">
            <v xml:space="preserve"> (e = b + c + d) Gross GHG Emissions Per Ton Combusted</v>
          </cell>
          <cell r="H11" t="str">
            <v>Material Combusted</v>
          </cell>
          <cell r="I11" t="str">
            <v>Energy Content (Btu Per Pound)</v>
          </cell>
          <cell r="K11" t="str">
            <v>Energy Content (Million Btu Per Ton)</v>
          </cell>
          <cell r="L11" t="str">
            <v>Mass Burn Combustion System Efficiency (Percent)</v>
          </cell>
          <cell r="M11" t="str">
            <v>RDF Combustion System Efficiency (Percent)</v>
          </cell>
          <cell r="N11" t="str">
            <v>Emission Factor for Utility-Generated Electricity (MTCO2E/
Million Btu of Electricity Delivered)</v>
          </cell>
          <cell r="O11" t="str">
            <v>(g = c * d * f) Avoided Utility CO2 Per Ton Combusted at Mass Burn Facilities (MTCO2E)</v>
          </cell>
          <cell r="Q11" t="str">
            <v>(h = c * e * f)
Avoided Utility CO2 Per Ton Combusted at RDF Facilities (MTCO2E)</v>
          </cell>
          <cell r="T11" t="str">
            <v>Material Combusted</v>
          </cell>
          <cell r="U11" t="str">
            <v>Tons of Steel Recovered Per Ton of Waste Combusted (Tons)</v>
          </cell>
          <cell r="V11" t="str">
            <v>Avoided CO2 Emissions Per Ton of Steel Recovered (MTCO2E/Ton)</v>
          </cell>
          <cell r="W11" t="str">
            <v>Avoided CO2 Emissions Per Ton of Waste Combusted (MTCO2E/Ton)</v>
          </cell>
        </row>
        <row r="12">
          <cell r="B12">
            <v>0</v>
          </cell>
          <cell r="C12">
            <v>0</v>
          </cell>
          <cell r="D12">
            <v>0</v>
          </cell>
          <cell r="E12">
            <v>8.9994096820590931E-3</v>
          </cell>
          <cell r="F12">
            <v>8.9994096820590931E-3</v>
          </cell>
          <cell r="H12" t="str">
            <v>Aluminum Cans</v>
          </cell>
          <cell r="I12">
            <v>-335</v>
          </cell>
          <cell r="J12" t="str">
            <v>a</v>
          </cell>
          <cell r="K12">
            <v>-0.67</v>
          </cell>
          <cell r="L12">
            <v>0.17827700000000002</v>
          </cell>
          <cell r="M12">
            <v>0.16268131666666663</v>
          </cell>
          <cell r="N12">
            <v>0.2210498547016852</v>
          </cell>
          <cell r="O12">
            <v>-2.6403430314257067E-2</v>
          </cell>
          <cell r="P12" t="str">
            <v>*</v>
          </cell>
          <cell r="Q12">
            <v>-2.4093656545936485E-2</v>
          </cell>
          <cell r="R12" t="str">
            <v>*</v>
          </cell>
          <cell r="T12" t="str">
            <v>Aluminum Cans</v>
          </cell>
          <cell r="U12">
            <v>0</v>
          </cell>
          <cell r="V12">
            <v>0</v>
          </cell>
          <cell r="W12">
            <v>0</v>
          </cell>
        </row>
        <row r="13">
          <cell r="B13">
            <v>0</v>
          </cell>
          <cell r="C13">
            <v>0</v>
          </cell>
          <cell r="D13">
            <v>0</v>
          </cell>
          <cell r="E13">
            <v>8.9994096820590931E-3</v>
          </cell>
          <cell r="F13">
            <v>8.9994096820590931E-3</v>
          </cell>
          <cell r="H13" t="str">
            <v>Steel Cans</v>
          </cell>
          <cell r="I13">
            <v>-210</v>
          </cell>
          <cell r="J13" t="str">
            <v>a</v>
          </cell>
          <cell r="K13">
            <v>-0.42</v>
          </cell>
          <cell r="L13">
            <v>0.17827700000000002</v>
          </cell>
          <cell r="M13">
            <v>0.16268131666666663</v>
          </cell>
          <cell r="N13">
            <v>0.2210498547016852</v>
          </cell>
          <cell r="O13">
            <v>-1.6551404077593979E-2</v>
          </cell>
          <cell r="P13" t="str">
            <v>*</v>
          </cell>
          <cell r="Q13">
            <v>-1.5103486192975109E-2</v>
          </cell>
          <cell r="R13" t="str">
            <v>*</v>
          </cell>
          <cell r="T13" t="str">
            <v>Steel Cans</v>
          </cell>
          <cell r="U13">
            <v>0.88200000000000001</v>
          </cell>
          <cell r="V13">
            <v>1.8122705074770458</v>
          </cell>
          <cell r="W13">
            <v>1.5984225875947544</v>
          </cell>
        </row>
        <row r="14">
          <cell r="B14">
            <v>0</v>
          </cell>
          <cell r="C14">
            <v>0</v>
          </cell>
          <cell r="D14">
            <v>0</v>
          </cell>
          <cell r="E14">
            <v>8.9994096820590931E-3</v>
          </cell>
          <cell r="F14">
            <v>8.9994096820590931E-3</v>
          </cell>
          <cell r="H14" t="str">
            <v>Copper Wire</v>
          </cell>
          <cell r="I14">
            <v>-272.5</v>
          </cell>
          <cell r="K14">
            <v>-0.54500000000000004</v>
          </cell>
          <cell r="L14">
            <v>0.17827700000000002</v>
          </cell>
          <cell r="M14">
            <v>0.16268131666666663</v>
          </cell>
          <cell r="N14">
            <v>0.2210498547016852</v>
          </cell>
          <cell r="O14">
            <v>-2.1477417195925524E-2</v>
          </cell>
          <cell r="P14" t="str">
            <v>*</v>
          </cell>
          <cell r="Q14">
            <v>-1.9598571369455798E-2</v>
          </cell>
          <cell r="R14" t="str">
            <v>*</v>
          </cell>
          <cell r="T14" t="str">
            <v>Copper Wire</v>
          </cell>
          <cell r="U14">
            <v>0</v>
          </cell>
          <cell r="V14">
            <v>0</v>
          </cell>
          <cell r="W14">
            <v>0</v>
          </cell>
        </row>
        <row r="15">
          <cell r="B15">
            <v>0</v>
          </cell>
          <cell r="C15">
            <v>0</v>
          </cell>
          <cell r="D15">
            <v>0</v>
          </cell>
          <cell r="E15">
            <v>8.9994096820590931E-3</v>
          </cell>
          <cell r="F15">
            <v>8.9994096820590931E-3</v>
          </cell>
          <cell r="H15" t="str">
            <v>Glass</v>
          </cell>
          <cell r="I15">
            <v>-235</v>
          </cell>
          <cell r="J15" t="str">
            <v>a</v>
          </cell>
          <cell r="K15">
            <v>-0.47</v>
          </cell>
          <cell r="L15">
            <v>0.17827700000000002</v>
          </cell>
          <cell r="M15">
            <v>0.16268131666666663</v>
          </cell>
          <cell r="N15">
            <v>0.2210498547016852</v>
          </cell>
          <cell r="O15">
            <v>-1.8521809324926596E-2</v>
          </cell>
          <cell r="P15" t="str">
            <v>*</v>
          </cell>
          <cell r="Q15">
            <v>-1.6901520263567383E-2</v>
          </cell>
          <cell r="R15" t="str">
            <v>*</v>
          </cell>
          <cell r="T15" t="str">
            <v>Glass</v>
          </cell>
          <cell r="U15">
            <v>0</v>
          </cell>
          <cell r="V15">
            <v>0</v>
          </cell>
          <cell r="W15">
            <v>0</v>
          </cell>
        </row>
        <row r="16">
          <cell r="B16">
            <v>2.7941576703256823</v>
          </cell>
          <cell r="C16">
            <v>0</v>
          </cell>
          <cell r="D16">
            <v>0</v>
          </cell>
          <cell r="E16">
            <v>8.9994096820590931E-3</v>
          </cell>
          <cell r="F16">
            <v>2.8031570800077414</v>
          </cell>
          <cell r="H16" t="str">
            <v>HDPE</v>
          </cell>
          <cell r="I16">
            <v>19985</v>
          </cell>
          <cell r="J16" t="str">
            <v>n</v>
          </cell>
          <cell r="K16">
            <v>39.97</v>
          </cell>
          <cell r="L16">
            <v>0.17827700000000002</v>
          </cell>
          <cell r="M16">
            <v>0.16268131666666663</v>
          </cell>
          <cell r="N16">
            <v>0.2210498547016852</v>
          </cell>
          <cell r="O16">
            <v>1.5751419547176937</v>
          </cell>
          <cell r="Q16">
            <v>1.4373484360314646</v>
          </cell>
          <cell r="T16" t="str">
            <v>HDPE</v>
          </cell>
          <cell r="U16">
            <v>0</v>
          </cell>
          <cell r="V16">
            <v>0</v>
          </cell>
          <cell r="W16">
            <v>0</v>
          </cell>
        </row>
        <row r="17">
          <cell r="B17">
            <v>2.7941576703256823</v>
          </cell>
          <cell r="C17">
            <v>0</v>
          </cell>
          <cell r="D17">
            <v>0</v>
          </cell>
          <cell r="E17">
            <v>8.9994096820590931E-3</v>
          </cell>
          <cell r="F17">
            <v>2.8031570800077414</v>
          </cell>
          <cell r="H17" t="str">
            <v>LDPE</v>
          </cell>
          <cell r="I17">
            <v>19877</v>
          </cell>
          <cell r="J17" t="str">
            <v>n</v>
          </cell>
          <cell r="K17">
            <v>39.753999999999998</v>
          </cell>
          <cell r="L17">
            <v>0.17827700000000002</v>
          </cell>
          <cell r="M17">
            <v>0.16268131666666663</v>
          </cell>
          <cell r="N17">
            <v>0.2210498547016852</v>
          </cell>
          <cell r="O17">
            <v>1.566629804049217</v>
          </cell>
          <cell r="Q17">
            <v>1.4295809288465058</v>
          </cell>
          <cell r="T17" t="str">
            <v>LDPE</v>
          </cell>
          <cell r="U17">
            <v>0</v>
          </cell>
          <cell r="V17">
            <v>0</v>
          </cell>
          <cell r="W17">
            <v>0</v>
          </cell>
        </row>
        <row r="18">
          <cell r="B18">
            <v>2.0374066346124766</v>
          </cell>
          <cell r="C18">
            <v>0</v>
          </cell>
          <cell r="D18">
            <v>0</v>
          </cell>
          <cell r="E18">
            <v>8.9994096820590931E-3</v>
          </cell>
          <cell r="F18">
            <v>2.0464060442945358</v>
          </cell>
          <cell r="H18" t="str">
            <v>PET</v>
          </cell>
          <cell r="I18">
            <v>10600</v>
          </cell>
          <cell r="J18" t="str">
            <v>n</v>
          </cell>
          <cell r="K18">
            <v>21.2</v>
          </cell>
          <cell r="L18">
            <v>0.17827700000000002</v>
          </cell>
          <cell r="M18">
            <v>0.16268131666666663</v>
          </cell>
          <cell r="N18">
            <v>0.2210498547016852</v>
          </cell>
          <cell r="O18">
            <v>0.83545182486902958</v>
          </cell>
          <cell r="Q18">
            <v>0.76236644593112457</v>
          </cell>
          <cell r="T18" t="str">
            <v>PET</v>
          </cell>
          <cell r="U18">
            <v>0</v>
          </cell>
          <cell r="V18">
            <v>0</v>
          </cell>
          <cell r="W18">
            <v>0</v>
          </cell>
        </row>
        <row r="19">
          <cell r="B19">
            <v>0</v>
          </cell>
          <cell r="C19">
            <v>1.2304250559284119E-4</v>
          </cell>
          <cell r="D19">
            <v>3.6666666666666667E-2</v>
          </cell>
          <cell r="E19">
            <v>8.9994096820590931E-3</v>
          </cell>
          <cell r="F19">
            <v>4.5666076348725756E-2</v>
          </cell>
          <cell r="H19" t="str">
            <v>Corrugated Containers</v>
          </cell>
          <cell r="I19">
            <v>7043</v>
          </cell>
          <cell r="J19" t="str">
            <v>b</v>
          </cell>
          <cell r="K19">
            <v>14.086</v>
          </cell>
          <cell r="L19">
            <v>0.17827700000000002</v>
          </cell>
          <cell r="M19">
            <v>0.16268131666666663</v>
          </cell>
          <cell r="N19">
            <v>0.2210498547016852</v>
          </cell>
          <cell r="O19">
            <v>0.55510256627854482</v>
          </cell>
          <cell r="Q19">
            <v>0.50654215836725569</v>
          </cell>
          <cell r="T19" t="str">
            <v>Corrugated Containers</v>
          </cell>
          <cell r="U19">
            <v>0</v>
          </cell>
          <cell r="V19">
            <v>0</v>
          </cell>
          <cell r="W19">
            <v>0</v>
          </cell>
        </row>
        <row r="20">
          <cell r="B20">
            <v>0</v>
          </cell>
          <cell r="C20">
            <v>1.2304250559284119E-4</v>
          </cell>
          <cell r="D20">
            <v>3.6666666666666667E-2</v>
          </cell>
          <cell r="E20">
            <v>8.9994096820590931E-3</v>
          </cell>
          <cell r="F20">
            <v>4.5666076348725756E-2</v>
          </cell>
          <cell r="H20" t="str">
            <v>Magazines/Third-class Mail</v>
          </cell>
          <cell r="I20">
            <v>5258</v>
          </cell>
          <cell r="J20" t="str">
            <v>d</v>
          </cell>
          <cell r="K20">
            <v>10.516</v>
          </cell>
          <cell r="L20">
            <v>0.17827700000000002</v>
          </cell>
          <cell r="M20">
            <v>0.16268131666666663</v>
          </cell>
          <cell r="N20">
            <v>0.2210498547016852</v>
          </cell>
          <cell r="O20">
            <v>0.41441563161899597</v>
          </cell>
          <cell r="Q20">
            <v>0.37816252572696724</v>
          </cell>
          <cell r="T20" t="str">
            <v>Magazines/Third-class Mail</v>
          </cell>
          <cell r="U20">
            <v>0</v>
          </cell>
          <cell r="V20">
            <v>0</v>
          </cell>
          <cell r="W20">
            <v>0</v>
          </cell>
        </row>
        <row r="21">
          <cell r="B21">
            <v>0</v>
          </cell>
          <cell r="C21">
            <v>1.2304250559284119E-4</v>
          </cell>
          <cell r="D21">
            <v>3.6666666666666667E-2</v>
          </cell>
          <cell r="E21">
            <v>8.9994096820590931E-3</v>
          </cell>
          <cell r="F21">
            <v>4.5666076348725756E-2</v>
          </cell>
          <cell r="H21" t="str">
            <v>Newspaper</v>
          </cell>
          <cell r="I21">
            <v>7950</v>
          </cell>
          <cell r="J21" t="str">
            <v>b</v>
          </cell>
          <cell r="K21">
            <v>15.9</v>
          </cell>
          <cell r="L21">
            <v>0.17827700000000002</v>
          </cell>
          <cell r="M21">
            <v>0.16268131666666663</v>
          </cell>
          <cell r="N21">
            <v>0.2210498547016852</v>
          </cell>
          <cell r="O21">
            <v>0.62658886865177221</v>
          </cell>
          <cell r="Q21">
            <v>0.57177483444834343</v>
          </cell>
          <cell r="T21" t="str">
            <v>Newspaper</v>
          </cell>
          <cell r="U21">
            <v>0</v>
          </cell>
          <cell r="V21">
            <v>0</v>
          </cell>
          <cell r="W21">
            <v>0</v>
          </cell>
        </row>
        <row r="22">
          <cell r="B22">
            <v>0</v>
          </cell>
          <cell r="C22">
            <v>1.2304250559284119E-4</v>
          </cell>
          <cell r="D22">
            <v>3.6666666666666667E-2</v>
          </cell>
          <cell r="E22">
            <v>8.9994096820590931E-3</v>
          </cell>
          <cell r="F22">
            <v>4.5666076348725756E-2</v>
          </cell>
          <cell r="H22" t="str">
            <v>Office Paper</v>
          </cell>
          <cell r="I22">
            <v>6800</v>
          </cell>
          <cell r="J22" t="str">
            <v>b,f</v>
          </cell>
          <cell r="K22">
            <v>13.6</v>
          </cell>
          <cell r="L22">
            <v>0.17827700000000002</v>
          </cell>
          <cell r="M22">
            <v>0.16268131666666663</v>
          </cell>
          <cell r="N22">
            <v>0.2210498547016852</v>
          </cell>
          <cell r="O22">
            <v>0.53595022727447172</v>
          </cell>
          <cell r="Q22">
            <v>0.48906526720109877</v>
          </cell>
          <cell r="T22" t="str">
            <v>Office Paper</v>
          </cell>
          <cell r="U22">
            <v>0</v>
          </cell>
          <cell r="V22">
            <v>0</v>
          </cell>
          <cell r="W22">
            <v>0</v>
          </cell>
        </row>
        <row r="23">
          <cell r="B23">
            <v>0</v>
          </cell>
          <cell r="C23">
            <v>1.2304250559284119E-4</v>
          </cell>
          <cell r="D23">
            <v>3.6666666666666667E-2</v>
          </cell>
          <cell r="E23">
            <v>8.9994096820590931E-3</v>
          </cell>
          <cell r="F23">
            <v>4.5666076348725756E-2</v>
          </cell>
          <cell r="H23" t="str">
            <v>Phonebooks</v>
          </cell>
          <cell r="I23">
            <v>7950</v>
          </cell>
          <cell r="J23" t="str">
            <v>g</v>
          </cell>
          <cell r="K23">
            <v>15.9</v>
          </cell>
          <cell r="L23">
            <v>0.17827700000000002</v>
          </cell>
          <cell r="M23">
            <v>0.16268131666666663</v>
          </cell>
          <cell r="N23">
            <v>0.2210498547016852</v>
          </cell>
          <cell r="O23">
            <v>0.62658886865177221</v>
          </cell>
          <cell r="Q23">
            <v>0.57177483444834343</v>
          </cell>
          <cell r="T23" t="str">
            <v>Phonebooks</v>
          </cell>
          <cell r="U23">
            <v>0</v>
          </cell>
          <cell r="V23">
            <v>0</v>
          </cell>
          <cell r="W23">
            <v>0</v>
          </cell>
        </row>
        <row r="24">
          <cell r="B24">
            <v>0</v>
          </cell>
          <cell r="C24">
            <v>1.2304250559284119E-4</v>
          </cell>
          <cell r="D24">
            <v>3.6666666666666667E-2</v>
          </cell>
          <cell r="E24">
            <v>8.9994096820590931E-3</v>
          </cell>
          <cell r="F24">
            <v>4.5666076348725756E-2</v>
          </cell>
          <cell r="H24" t="str">
            <v>Textbooks</v>
          </cell>
          <cell r="I24">
            <v>6800</v>
          </cell>
          <cell r="J24" t="str">
            <v>h</v>
          </cell>
          <cell r="K24">
            <v>13.6</v>
          </cell>
          <cell r="L24">
            <v>0.17827700000000002</v>
          </cell>
          <cell r="M24">
            <v>0.16268131666666663</v>
          </cell>
          <cell r="N24">
            <v>0.2210498547016852</v>
          </cell>
          <cell r="O24">
            <v>0.53595022727447172</v>
          </cell>
          <cell r="Q24">
            <v>0.48906526720109877</v>
          </cell>
          <cell r="T24" t="str">
            <v>Textbooks</v>
          </cell>
          <cell r="U24">
            <v>0</v>
          </cell>
          <cell r="V24">
            <v>0</v>
          </cell>
          <cell r="W24">
            <v>0</v>
          </cell>
        </row>
        <row r="25">
          <cell r="B25">
            <v>0</v>
          </cell>
          <cell r="C25">
            <v>1.2304250559284119E-4</v>
          </cell>
          <cell r="D25">
            <v>3.6666666666666667E-2</v>
          </cell>
          <cell r="E25">
            <v>8.9994096820590931E-3</v>
          </cell>
          <cell r="F25">
            <v>4.5666076348725756E-2</v>
          </cell>
          <cell r="H25" t="str">
            <v>Dimensional Lumber</v>
          </cell>
          <cell r="I25">
            <v>8300</v>
          </cell>
          <cell r="J25" t="str">
            <v>i</v>
          </cell>
          <cell r="K25">
            <v>16.600000000000001</v>
          </cell>
          <cell r="L25">
            <v>0.17827700000000002</v>
          </cell>
          <cell r="M25">
            <v>0.16268131666666663</v>
          </cell>
          <cell r="N25">
            <v>0.2210498547016852</v>
          </cell>
          <cell r="O25">
            <v>0.65417454211442894</v>
          </cell>
          <cell r="Q25">
            <v>0.59694731143663526</v>
          </cell>
          <cell r="T25" t="str">
            <v>Dimensional Lumber</v>
          </cell>
          <cell r="U25">
            <v>0</v>
          </cell>
          <cell r="V25">
            <v>0</v>
          </cell>
          <cell r="W25">
            <v>0</v>
          </cell>
        </row>
        <row r="26">
          <cell r="B26">
            <v>0</v>
          </cell>
          <cell r="C26">
            <v>1.2304250559284119E-4</v>
          </cell>
          <cell r="D26">
            <v>3.6666666666666667E-2</v>
          </cell>
          <cell r="E26">
            <v>8.9994096820590931E-3</v>
          </cell>
          <cell r="F26">
            <v>4.5666076348725756E-2</v>
          </cell>
          <cell r="H26" t="str">
            <v>Medium-density Fiberboard</v>
          </cell>
          <cell r="I26">
            <v>8300</v>
          </cell>
          <cell r="J26" t="str">
            <v>i</v>
          </cell>
          <cell r="K26">
            <v>16.600000000000001</v>
          </cell>
          <cell r="L26">
            <v>0.17827700000000002</v>
          </cell>
          <cell r="M26">
            <v>0.16268131666666663</v>
          </cell>
          <cell r="N26">
            <v>0.2210498547016852</v>
          </cell>
          <cell r="O26">
            <v>0.65417454211442894</v>
          </cell>
          <cell r="Q26">
            <v>0.59694731143663526</v>
          </cell>
          <cell r="T26" t="str">
            <v>Medium-density Fiberboard</v>
          </cell>
          <cell r="U26">
            <v>0</v>
          </cell>
          <cell r="V26">
            <v>0</v>
          </cell>
          <cell r="W26">
            <v>0</v>
          </cell>
        </row>
        <row r="27">
          <cell r="B27">
            <v>0</v>
          </cell>
          <cell r="C27">
            <v>1.2304250559284119E-4</v>
          </cell>
          <cell r="D27">
            <v>3.6666666666666667E-2</v>
          </cell>
          <cell r="E27">
            <v>8.9994096820590931E-3</v>
          </cell>
          <cell r="F27">
            <v>4.5666076348725756E-2</v>
          </cell>
          <cell r="H27" t="str">
            <v>Food Waste</v>
          </cell>
          <cell r="I27">
            <v>2370</v>
          </cell>
          <cell r="J27" t="str">
            <v>b</v>
          </cell>
          <cell r="K27">
            <v>4.74</v>
          </cell>
          <cell r="L27">
            <v>0.17827700000000002</v>
          </cell>
          <cell r="M27">
            <v>0.16268131666666663</v>
          </cell>
          <cell r="N27">
            <v>0.2210498547016852</v>
          </cell>
          <cell r="O27">
            <v>0.1867944174471321</v>
          </cell>
          <cell r="Q27">
            <v>0.17045362989214768</v>
          </cell>
          <cell r="T27" t="str">
            <v>Food Waste</v>
          </cell>
          <cell r="U27">
            <v>0</v>
          </cell>
          <cell r="V27">
            <v>0</v>
          </cell>
          <cell r="W27">
            <v>0</v>
          </cell>
        </row>
        <row r="28">
          <cell r="B28">
            <v>0</v>
          </cell>
          <cell r="C28">
            <v>1.2304250559284119E-4</v>
          </cell>
          <cell r="D28">
            <v>3.6666666666666667E-2</v>
          </cell>
          <cell r="E28">
            <v>8.9994096820590931E-3</v>
          </cell>
          <cell r="F28">
            <v>4.5666076348725756E-2</v>
          </cell>
          <cell r="H28" t="str">
            <v>Food Waste (non-meat)</v>
          </cell>
          <cell r="I28">
            <v>2370</v>
          </cell>
          <cell r="J28" t="str">
            <v>b</v>
          </cell>
          <cell r="K28">
            <v>4.74</v>
          </cell>
          <cell r="L28">
            <v>0.17827700000000002</v>
          </cell>
          <cell r="M28">
            <v>0.16268131666666663</v>
          </cell>
          <cell r="N28">
            <v>0.2210498547016852</v>
          </cell>
          <cell r="O28">
            <v>0.1867944174471321</v>
          </cell>
          <cell r="Q28">
            <v>0.17045362989214768</v>
          </cell>
          <cell r="T28" t="str">
            <v>Yard Trimmings</v>
          </cell>
          <cell r="U28">
            <v>0</v>
          </cell>
          <cell r="V28">
            <v>0</v>
          </cell>
          <cell r="W28">
            <v>0</v>
          </cell>
        </row>
        <row r="29">
          <cell r="B29">
            <v>0.31981459674311946</v>
          </cell>
          <cell r="C29">
            <v>1.2304250559284119E-4</v>
          </cell>
          <cell r="D29">
            <v>3.6666666666666667E-2</v>
          </cell>
          <cell r="E29">
            <v>8.9994096820590931E-3</v>
          </cell>
          <cell r="F29">
            <v>0.36548067309184523</v>
          </cell>
          <cell r="H29" t="str">
            <v>Food Waste (meat only)</v>
          </cell>
          <cell r="I29">
            <v>2370</v>
          </cell>
          <cell r="J29" t="str">
            <v>b</v>
          </cell>
          <cell r="K29">
            <v>4.74</v>
          </cell>
          <cell r="L29">
            <v>0.17827700000000002</v>
          </cell>
          <cell r="M29">
            <v>0.16268131666666663</v>
          </cell>
          <cell r="N29">
            <v>0.2210498547016852</v>
          </cell>
          <cell r="O29">
            <v>0.1867944174471321</v>
          </cell>
          <cell r="Q29">
            <v>0.17045362989214768</v>
          </cell>
          <cell r="T29" t="str">
            <v>Mixed MSW</v>
          </cell>
          <cell r="U29">
            <v>2.0378434461412541E-2</v>
          </cell>
          <cell r="V29">
            <v>1.8122705074770458</v>
          </cell>
          <cell r="W29">
            <v>3.6931235762971824E-2</v>
          </cell>
        </row>
        <row r="30">
          <cell r="B30">
            <v>1.6660509722096217</v>
          </cell>
          <cell r="C30">
            <v>0</v>
          </cell>
          <cell r="D30">
            <v>0</v>
          </cell>
          <cell r="E30">
            <v>8.9994096820590931E-3</v>
          </cell>
          <cell r="F30">
            <v>1.6750503818916809</v>
          </cell>
          <cell r="H30" t="str">
            <v>Beef</v>
          </cell>
          <cell r="I30">
            <v>2370</v>
          </cell>
          <cell r="J30" t="str">
            <v>b</v>
          </cell>
          <cell r="K30">
            <v>4.74</v>
          </cell>
          <cell r="L30">
            <v>0.17827700000000002</v>
          </cell>
          <cell r="M30">
            <v>0.16268131666666663</v>
          </cell>
          <cell r="N30">
            <v>0.2210498547016852</v>
          </cell>
          <cell r="O30">
            <v>0.1867944174471321</v>
          </cell>
          <cell r="Q30">
            <v>0.17045362989214768</v>
          </cell>
          <cell r="T30" t="str">
            <v>Carpet</v>
          </cell>
          <cell r="U30">
            <v>0</v>
          </cell>
          <cell r="V30">
            <v>0</v>
          </cell>
          <cell r="W30">
            <v>0</v>
          </cell>
        </row>
        <row r="31">
          <cell r="B31">
            <v>0.38120418475452611</v>
          </cell>
          <cell r="C31">
            <v>0</v>
          </cell>
          <cell r="D31">
            <v>0</v>
          </cell>
          <cell r="E31">
            <v>8.9994096820590931E-3</v>
          </cell>
          <cell r="F31">
            <v>0.3902035944365852</v>
          </cell>
          <cell r="H31" t="str">
            <v>Poultry</v>
          </cell>
          <cell r="I31">
            <v>2370</v>
          </cell>
          <cell r="J31" t="str">
            <v>b</v>
          </cell>
          <cell r="K31">
            <v>4.74</v>
          </cell>
          <cell r="L31">
            <v>0.17827700000000002</v>
          </cell>
          <cell r="M31">
            <v>0.16268131666666663</v>
          </cell>
          <cell r="N31">
            <v>0.2210498547016852</v>
          </cell>
          <cell r="O31">
            <v>0.1867944174471321</v>
          </cell>
          <cell r="Q31">
            <v>0.17045362989214768</v>
          </cell>
          <cell r="T31" t="str">
            <v>Personal Computers</v>
          </cell>
          <cell r="U31">
            <v>0.25225199999999998</v>
          </cell>
          <cell r="V31">
            <v>1.8122705074770458</v>
          </cell>
          <cell r="W31">
            <v>0.4571488600520997</v>
          </cell>
        </row>
        <row r="32">
          <cell r="B32">
            <v>2.1976090014064695</v>
          </cell>
          <cell r="C32">
            <v>0</v>
          </cell>
          <cell r="D32">
            <v>0</v>
          </cell>
          <cell r="E32">
            <v>8.9994096820590931E-3</v>
          </cell>
          <cell r="F32">
            <v>2.2066084110885287</v>
          </cell>
          <cell r="H32" t="str">
            <v>Grains</v>
          </cell>
          <cell r="I32">
            <v>2370</v>
          </cell>
          <cell r="J32" t="str">
            <v>b</v>
          </cell>
          <cell r="K32">
            <v>4.74</v>
          </cell>
          <cell r="L32">
            <v>0.17827700000000002</v>
          </cell>
          <cell r="M32">
            <v>0.16268131666666663</v>
          </cell>
          <cell r="N32">
            <v>0.2210498547016852</v>
          </cell>
          <cell r="O32">
            <v>0.1867944174471321</v>
          </cell>
          <cell r="Q32">
            <v>0.17045362989214768</v>
          </cell>
          <cell r="T32" t="str">
            <v>Tires</v>
          </cell>
          <cell r="U32">
            <v>5.7395273077541907E-2</v>
          </cell>
          <cell r="V32">
            <v>1.7962488443281652</v>
          </cell>
          <cell r="W32">
            <v>0.10309619293543411</v>
          </cell>
        </row>
        <row r="33">
          <cell r="B33" t="str">
            <v>NA</v>
          </cell>
          <cell r="C33" t="str">
            <v>NA</v>
          </cell>
          <cell r="D33" t="str">
            <v>NA</v>
          </cell>
          <cell r="E33" t="str">
            <v>NA</v>
          </cell>
          <cell r="F33" t="str">
            <v>NA</v>
          </cell>
          <cell r="H33" t="str">
            <v>Bread</v>
          </cell>
          <cell r="I33">
            <v>2370</v>
          </cell>
          <cell r="J33" t="str">
            <v>b</v>
          </cell>
          <cell r="K33">
            <v>4.74</v>
          </cell>
          <cell r="L33">
            <v>0.17827700000000002</v>
          </cell>
          <cell r="M33">
            <v>0.16268131666666663</v>
          </cell>
          <cell r="N33">
            <v>0.2210498547016852</v>
          </cell>
          <cell r="O33">
            <v>0.1867944174471321</v>
          </cell>
          <cell r="Q33">
            <v>0.17045362989214768</v>
          </cell>
          <cell r="T33" t="str">
            <v>Asphalt Concrete</v>
          </cell>
          <cell r="U33">
            <v>0</v>
          </cell>
          <cell r="V33">
            <v>0</v>
          </cell>
          <cell r="W33">
            <v>0</v>
          </cell>
        </row>
        <row r="34">
          <cell r="B34">
            <v>1.0686719999999996</v>
          </cell>
          <cell r="C34">
            <v>1.2304250559284119E-4</v>
          </cell>
          <cell r="D34">
            <v>3.6666666666666667E-2</v>
          </cell>
          <cell r="E34">
            <v>8.9994096820590931E-3</v>
          </cell>
          <cell r="F34">
            <v>1.1143380763487254</v>
          </cell>
          <cell r="H34" t="str">
            <v>Fruits and Vegetables</v>
          </cell>
          <cell r="I34">
            <v>2370</v>
          </cell>
          <cell r="J34" t="str">
            <v>b</v>
          </cell>
          <cell r="K34">
            <v>4.74</v>
          </cell>
          <cell r="L34">
            <v>0.17827700000000002</v>
          </cell>
          <cell r="M34">
            <v>0.16268131666666663</v>
          </cell>
          <cell r="N34">
            <v>0.2210498547016852</v>
          </cell>
          <cell r="O34">
            <v>0.1867944174471321</v>
          </cell>
          <cell r="Q34">
            <v>0.17045362989214768</v>
          </cell>
          <cell r="T34" t="str">
            <v>Paper Felt Shingle</v>
          </cell>
          <cell r="U34">
            <v>0</v>
          </cell>
          <cell r="V34">
            <v>0</v>
          </cell>
          <cell r="W34">
            <v>0</v>
          </cell>
        </row>
        <row r="35">
          <cell r="B35">
            <v>0.65307733333333318</v>
          </cell>
          <cell r="C35">
            <v>1.2304250559284119E-4</v>
          </cell>
          <cell r="D35">
            <v>3.6666666666666667E-2</v>
          </cell>
          <cell r="E35">
            <v>8.9994096820590931E-3</v>
          </cell>
          <cell r="F35">
            <v>0.69874340968205895</v>
          </cell>
          <cell r="H35" t="str">
            <v>Dairy Products</v>
          </cell>
          <cell r="I35">
            <v>2370</v>
          </cell>
          <cell r="J35" t="str">
            <v>b</v>
          </cell>
          <cell r="K35">
            <v>4.74</v>
          </cell>
          <cell r="L35">
            <v>0.17827700000000002</v>
          </cell>
          <cell r="M35">
            <v>0.16268131666666663</v>
          </cell>
          <cell r="N35">
            <v>0.2210498547016852</v>
          </cell>
          <cell r="O35">
            <v>0.1867944174471321</v>
          </cell>
          <cell r="Q35">
            <v>0.17045362989214768</v>
          </cell>
          <cell r="T35" t="str">
            <v>Asphalt Shingles</v>
          </cell>
          <cell r="U35">
            <v>0</v>
          </cell>
          <cell r="V35">
            <v>0</v>
          </cell>
          <cell r="W35">
            <v>0</v>
          </cell>
        </row>
        <row r="36">
          <cell r="B36" t="str">
            <v>NA</v>
          </cell>
          <cell r="C36" t="str">
            <v>NA</v>
          </cell>
          <cell r="D36" t="str">
            <v>NA</v>
          </cell>
          <cell r="E36" t="str">
            <v>NA</v>
          </cell>
          <cell r="F36" t="str">
            <v>NA</v>
          </cell>
          <cell r="H36" t="str">
            <v>Yard Trimmings</v>
          </cell>
          <cell r="I36">
            <v>2800</v>
          </cell>
          <cell r="J36" t="str">
            <v>j</v>
          </cell>
          <cell r="K36">
            <v>5.6</v>
          </cell>
          <cell r="L36">
            <v>0.17827700000000002</v>
          </cell>
          <cell r="M36">
            <v>0.16268131666666663</v>
          </cell>
          <cell r="N36">
            <v>0.2210498547016852</v>
          </cell>
          <cell r="O36">
            <v>0.22068538770125307</v>
          </cell>
          <cell r="Q36">
            <v>0.20137981590633477</v>
          </cell>
          <cell r="T36" t="str">
            <v>Drywall</v>
          </cell>
          <cell r="U36">
            <v>0</v>
          </cell>
          <cell r="V36">
            <v>0</v>
          </cell>
          <cell r="W36">
            <v>0</v>
          </cell>
        </row>
        <row r="37">
          <cell r="B37" t="str">
            <v>NA</v>
          </cell>
          <cell r="C37" t="str">
            <v>NA</v>
          </cell>
          <cell r="D37" t="str">
            <v>NA</v>
          </cell>
          <cell r="E37" t="str">
            <v>NA</v>
          </cell>
          <cell r="F37" t="str">
            <v>NA</v>
          </cell>
          <cell r="H37" t="str">
            <v>Mixed MSW</v>
          </cell>
          <cell r="I37">
            <v>5000</v>
          </cell>
          <cell r="J37" t="str">
            <v>k</v>
          </cell>
          <cell r="K37">
            <v>10</v>
          </cell>
          <cell r="L37">
            <v>0.17827700000000002</v>
          </cell>
          <cell r="M37">
            <v>0.16268131666666663</v>
          </cell>
          <cell r="N37">
            <v>0.2210498547016852</v>
          </cell>
          <cell r="O37">
            <v>0.39408104946652339</v>
          </cell>
          <cell r="Q37">
            <v>0.35960681411845496</v>
          </cell>
          <cell r="T37" t="str">
            <v>Fiberglass Insulation</v>
          </cell>
          <cell r="U37">
            <v>0</v>
          </cell>
          <cell r="V37">
            <v>0</v>
          </cell>
          <cell r="W37">
            <v>0</v>
          </cell>
        </row>
        <row r="38">
          <cell r="B38">
            <v>0.28088693153464978</v>
          </cell>
          <cell r="C38">
            <v>0</v>
          </cell>
          <cell r="D38">
            <v>0</v>
          </cell>
          <cell r="E38">
            <v>8.9994096820590931E-3</v>
          </cell>
          <cell r="F38">
            <v>0.28988634121670886</v>
          </cell>
          <cell r="H38" t="str">
            <v>Carpet</v>
          </cell>
          <cell r="I38">
            <v>7600</v>
          </cell>
          <cell r="J38" t="str">
            <v>l</v>
          </cell>
          <cell r="K38">
            <v>15.2</v>
          </cell>
          <cell r="L38">
            <v>0.17827700000000002</v>
          </cell>
          <cell r="M38">
            <v>0.16268131666666663</v>
          </cell>
          <cell r="N38">
            <v>0.2210498547016852</v>
          </cell>
          <cell r="O38">
            <v>0.59900319518911549</v>
          </cell>
          <cell r="Q38">
            <v>0.54660235746005148</v>
          </cell>
          <cell r="T38" t="str">
            <v>Vinyl Flooring</v>
          </cell>
          <cell r="U38">
            <v>0</v>
          </cell>
          <cell r="V38">
            <v>0</v>
          </cell>
          <cell r="W38">
            <v>0</v>
          </cell>
        </row>
        <row r="39">
          <cell r="B39">
            <v>0</v>
          </cell>
          <cell r="C39">
            <v>1.2304250559284119E-4</v>
          </cell>
          <cell r="D39">
            <v>3.6666666666666667E-2</v>
          </cell>
          <cell r="E39">
            <v>4.7173521395104175E-2</v>
          </cell>
          <cell r="F39">
            <v>8.3840188061770848E-2</v>
          </cell>
          <cell r="H39" t="str">
            <v>Personal Computers</v>
          </cell>
          <cell r="I39">
            <v>1533.3333333333335</v>
          </cell>
          <cell r="J39" t="str">
            <v>m</v>
          </cell>
          <cell r="K39">
            <v>3.0666666666666669</v>
          </cell>
          <cell r="L39">
            <v>0.17827700000000002</v>
          </cell>
          <cell r="M39">
            <v>0.16268131666666663</v>
          </cell>
          <cell r="N39">
            <v>0.2210498547016852</v>
          </cell>
          <cell r="O39">
            <v>0.12085152183640052</v>
          </cell>
          <cell r="Q39">
            <v>0.1102794229963262</v>
          </cell>
          <cell r="T39" t="str">
            <v>Wood Flooring</v>
          </cell>
          <cell r="U39">
            <v>0</v>
          </cell>
          <cell r="V39">
            <v>0</v>
          </cell>
          <cell r="W39">
            <v>0</v>
          </cell>
        </row>
        <row r="40">
          <cell r="B40">
            <v>0</v>
          </cell>
          <cell r="D40">
            <v>0</v>
          </cell>
          <cell r="E40">
            <v>8.9994096820590931E-3</v>
          </cell>
          <cell r="F40">
            <v>8.9994096820590931E-3</v>
          </cell>
          <cell r="H40" t="str">
            <v>Tires</v>
          </cell>
          <cell r="I40">
            <v>13888.888888888887</v>
          </cell>
          <cell r="K40">
            <v>27.777777777777775</v>
          </cell>
          <cell r="L40" t="str">
            <v>NA</v>
          </cell>
          <cell r="M40" t="str">
            <v>NA</v>
          </cell>
          <cell r="N40" t="str">
            <v>NA</v>
          </cell>
          <cell r="O40">
            <v>1.5659939377631629</v>
          </cell>
          <cell r="Q40">
            <v>1.5659939377631629</v>
          </cell>
          <cell r="T40" t="str">
            <v>Aluminum Ingot</v>
          </cell>
          <cell r="U40">
            <v>0</v>
          </cell>
          <cell r="V40">
            <v>0</v>
          </cell>
          <cell r="W40">
            <v>0</v>
          </cell>
        </row>
        <row r="41">
          <cell r="B41">
            <v>0</v>
          </cell>
          <cell r="D41">
            <v>0</v>
          </cell>
          <cell r="E41">
            <v>8.9994096820590931E-3</v>
          </cell>
          <cell r="F41">
            <v>8.9994096820590931E-3</v>
          </cell>
          <cell r="H41" t="str">
            <v>Asphalt Concrete</v>
          </cell>
          <cell r="I41" t="str">
            <v>NA</v>
          </cell>
          <cell r="K41" t="str">
            <v>NA</v>
          </cell>
          <cell r="L41" t="str">
            <v>NA</v>
          </cell>
          <cell r="M41" t="str">
            <v>NA</v>
          </cell>
          <cell r="N41" t="str">
            <v>NA</v>
          </cell>
          <cell r="O41" t="str">
            <v>NA</v>
          </cell>
          <cell r="P41" t="str">
            <v>*</v>
          </cell>
          <cell r="Q41" t="str">
            <v>NA</v>
          </cell>
          <cell r="R41" t="str">
            <v>*</v>
          </cell>
          <cell r="T41" t="str">
            <v>PLA</v>
          </cell>
          <cell r="U41">
            <v>0</v>
          </cell>
          <cell r="V41">
            <v>0</v>
          </cell>
          <cell r="W41">
            <v>0</v>
          </cell>
        </row>
        <row r="42">
          <cell r="B42">
            <v>2.7941576703256823</v>
          </cell>
          <cell r="D42">
            <v>0</v>
          </cell>
          <cell r="E42">
            <v>8.9994096820590931E-3</v>
          </cell>
          <cell r="F42">
            <v>2.8031570800077414</v>
          </cell>
          <cell r="H42" t="str">
            <v>Paper Felt Shingle</v>
          </cell>
          <cell r="I42">
            <v>7199.9999999999991</v>
          </cell>
          <cell r="K42">
            <v>14.399999999999999</v>
          </cell>
          <cell r="L42" t="str">
            <v>NA</v>
          </cell>
          <cell r="M42" t="str">
            <v>NA</v>
          </cell>
          <cell r="N42" t="str">
            <v>NA</v>
          </cell>
          <cell r="O42">
            <v>1.7236799999999992</v>
          </cell>
          <cell r="P42" t="str">
            <v>*</v>
          </cell>
          <cell r="Q42">
            <v>1.7236799999999992</v>
          </cell>
          <cell r="R42" t="str">
            <v>*</v>
          </cell>
          <cell r="T42" t="str">
            <v>LLDPE</v>
          </cell>
          <cell r="U42">
            <v>0</v>
          </cell>
          <cell r="V42">
            <v>0</v>
          </cell>
          <cell r="W42">
            <v>0</v>
          </cell>
        </row>
        <row r="43">
          <cell r="B43">
            <v>2.7941576703256823</v>
          </cell>
          <cell r="D43">
            <v>0</v>
          </cell>
          <cell r="E43">
            <v>8.9994096820590931E-3</v>
          </cell>
          <cell r="F43">
            <v>2.8031570800077414</v>
          </cell>
          <cell r="H43" t="str">
            <v>Asphalt Shingles</v>
          </cell>
          <cell r="I43">
            <v>4399.9999999999991</v>
          </cell>
          <cell r="K43">
            <v>8.7999999999999989</v>
          </cell>
          <cell r="L43" t="str">
            <v>NA</v>
          </cell>
          <cell r="M43" t="str">
            <v>NA</v>
          </cell>
          <cell r="N43" t="str">
            <v>NA</v>
          </cell>
          <cell r="O43">
            <v>1.0533599999999996</v>
          </cell>
          <cell r="P43" t="str">
            <v>*</v>
          </cell>
          <cell r="Q43">
            <v>1.0533599999999996</v>
          </cell>
          <cell r="R43" t="str">
            <v>*</v>
          </cell>
          <cell r="T43" t="str">
            <v>PP</v>
          </cell>
          <cell r="U43">
            <v>0</v>
          </cell>
          <cell r="V43">
            <v>0</v>
          </cell>
          <cell r="W43">
            <v>0</v>
          </cell>
        </row>
        <row r="44">
          <cell r="B44">
            <v>3.0090928757353503</v>
          </cell>
          <cell r="D44">
            <v>0</v>
          </cell>
          <cell r="E44">
            <v>8.9994096820590931E-3</v>
          </cell>
          <cell r="F44">
            <v>3.0180922854174095</v>
          </cell>
          <cell r="H44" t="str">
            <v>Drywall</v>
          </cell>
          <cell r="I44" t="str">
            <v>NA</v>
          </cell>
          <cell r="K44" t="str">
            <v>NA</v>
          </cell>
          <cell r="L44" t="str">
            <v>NA</v>
          </cell>
          <cell r="M44" t="str">
            <v>NA</v>
          </cell>
          <cell r="N44" t="str">
            <v>NA</v>
          </cell>
          <cell r="O44" t="str">
            <v>NA</v>
          </cell>
          <cell r="Q44" t="str">
            <v>NA</v>
          </cell>
          <cell r="T44" t="str">
            <v>PS</v>
          </cell>
          <cell r="U44">
            <v>0</v>
          </cell>
          <cell r="V44">
            <v>0</v>
          </cell>
          <cell r="W44">
            <v>0</v>
          </cell>
        </row>
        <row r="45">
          <cell r="B45">
            <v>1.2527246852692282</v>
          </cell>
          <cell r="D45">
            <v>0</v>
          </cell>
          <cell r="E45">
            <v>8.9994096820590931E-3</v>
          </cell>
          <cell r="F45">
            <v>1.2617240949512873</v>
          </cell>
          <cell r="H45" t="str">
            <v>Fiberglass Insulation</v>
          </cell>
          <cell r="I45" t="str">
            <v>NA</v>
          </cell>
          <cell r="K45" t="str">
            <v>NA</v>
          </cell>
          <cell r="L45" t="str">
            <v>NA</v>
          </cell>
          <cell r="M45" t="str">
            <v>NA</v>
          </cell>
          <cell r="N45" t="str">
            <v>NA</v>
          </cell>
          <cell r="O45" t="str">
            <v>NA</v>
          </cell>
          <cell r="Q45" t="str">
            <v>NA</v>
          </cell>
          <cell r="T45" t="str">
            <v>PVC</v>
          </cell>
          <cell r="U45">
            <v>0</v>
          </cell>
          <cell r="V45">
            <v>0</v>
          </cell>
          <cell r="W45">
            <v>0</v>
          </cell>
        </row>
        <row r="46">
          <cell r="H46" t="str">
            <v>Vinyl Flooring</v>
          </cell>
          <cell r="I46">
            <v>7875</v>
          </cell>
          <cell r="K46">
            <v>15.75</v>
          </cell>
          <cell r="L46">
            <v>0.17827700000000002</v>
          </cell>
          <cell r="M46">
            <v>0.16268131666666663</v>
          </cell>
          <cell r="N46">
            <v>0.2210498547016852</v>
          </cell>
          <cell r="O46">
            <v>0.62067765290977428</v>
          </cell>
          <cell r="P46">
            <v>0.5663807322365666</v>
          </cell>
          <cell r="Q46">
            <v>0.5663807322365666</v>
          </cell>
        </row>
        <row r="47">
          <cell r="H47" t="str">
            <v>Wood Flooring</v>
          </cell>
          <cell r="I47">
            <v>8993.4575501382224</v>
          </cell>
          <cell r="K47">
            <v>17.986915100276445</v>
          </cell>
          <cell r="L47">
            <v>0.21532527051987507</v>
          </cell>
          <cell r="M47">
            <v>0.16268131666666663</v>
          </cell>
          <cell r="N47">
            <v>0.2210498547016852</v>
          </cell>
          <cell r="O47">
            <v>0.85613434563468405</v>
          </cell>
          <cell r="P47">
            <v>0.6468217235029543</v>
          </cell>
          <cell r="Q47">
            <v>0.6468217235029543</v>
          </cell>
        </row>
        <row r="48">
          <cell r="H48" t="str">
            <v>Aluminum Ingot</v>
          </cell>
          <cell r="I48">
            <v>-335</v>
          </cell>
          <cell r="J48" t="str">
            <v>a</v>
          </cell>
          <cell r="K48">
            <v>-0.67</v>
          </cell>
          <cell r="L48">
            <v>0.17827700000000002</v>
          </cell>
          <cell r="M48">
            <v>0.16268131666666663</v>
          </cell>
          <cell r="N48">
            <v>0.2210498547016852</v>
          </cell>
          <cell r="O48">
            <v>-2.6403430314257067E-2</v>
          </cell>
          <cell r="P48" t="str">
            <v>*</v>
          </cell>
          <cell r="Q48">
            <v>-2.4093656545936485E-2</v>
          </cell>
          <cell r="R48" t="str">
            <v>*</v>
          </cell>
          <cell r="T48" t="str">
            <v>Note that totals may not add due to rounding, and more digits may be displayed than are significant.</v>
          </cell>
        </row>
        <row r="49">
          <cell r="H49" t="str">
            <v>PLA</v>
          </cell>
          <cell r="I49">
            <v>8368</v>
          </cell>
          <cell r="K49">
            <v>16.736000000000001</v>
          </cell>
          <cell r="L49">
            <v>0.17827700000000002</v>
          </cell>
          <cell r="M49">
            <v>0.16268131666666663</v>
          </cell>
          <cell r="N49">
            <v>0.2210498547016852</v>
          </cell>
          <cell r="O49">
            <v>0.65953404438717356</v>
          </cell>
          <cell r="P49" t="str">
            <v>*</v>
          </cell>
          <cell r="Q49">
            <v>0.60183796410864621</v>
          </cell>
          <cell r="R49" t="str">
            <v>*</v>
          </cell>
          <cell r="T49" t="str">
            <v>*The value in column "d" is a national average and is weighted to reflect 98 percent recovery at the</v>
          </cell>
        </row>
        <row r="50">
          <cell r="H50" t="str">
            <v>LLDPE</v>
          </cell>
          <cell r="I50">
            <v>19946</v>
          </cell>
          <cell r="K50">
            <v>39.892000000000003</v>
          </cell>
          <cell r="L50">
            <v>0.17827700000000002</v>
          </cell>
          <cell r="M50">
            <v>0.16268131666666663</v>
          </cell>
          <cell r="N50">
            <v>0.2210498547016852</v>
          </cell>
          <cell r="O50">
            <v>1.5720681225318551</v>
          </cell>
          <cell r="Q50">
            <v>1.4345435028813407</v>
          </cell>
          <cell r="T50" t="str">
            <v>90 percent of facilities that recover ferrous metals.</v>
          </cell>
        </row>
        <row r="51">
          <cell r="H51" t="str">
            <v>PP</v>
          </cell>
          <cell r="I51">
            <v>19948</v>
          </cell>
          <cell r="K51">
            <v>39.896000000000001</v>
          </cell>
          <cell r="L51">
            <v>0.17827700000000002</v>
          </cell>
          <cell r="M51">
            <v>0.16268131666666663</v>
          </cell>
          <cell r="N51">
            <v>0.2210498547016852</v>
          </cell>
          <cell r="O51">
            <v>1.5722257549516416</v>
          </cell>
          <cell r="Q51">
            <v>1.434687345606988</v>
          </cell>
        </row>
        <row r="52">
          <cell r="H52" t="str">
            <v>PS</v>
          </cell>
          <cell r="I52">
            <v>18000</v>
          </cell>
          <cell r="K52">
            <v>36</v>
          </cell>
          <cell r="L52">
            <v>0.17827700000000002</v>
          </cell>
          <cell r="M52">
            <v>0.16268131666666663</v>
          </cell>
          <cell r="N52">
            <v>0.2210498547016852</v>
          </cell>
          <cell r="O52">
            <v>1.4186917780794841</v>
          </cell>
          <cell r="Q52">
            <v>1.2945845308264381</v>
          </cell>
        </row>
        <row r="53">
          <cell r="A53" t="str">
            <v xml:space="preserve">The values for phone books and textbooks are proxies, based on newspaper and office paper, respectively. </v>
          </cell>
          <cell r="H53" t="str">
            <v>PVC</v>
          </cell>
          <cell r="I53">
            <v>7875</v>
          </cell>
          <cell r="K53">
            <v>15.75</v>
          </cell>
          <cell r="L53">
            <v>0.17827700000000002</v>
          </cell>
          <cell r="M53">
            <v>0.16268131666666663</v>
          </cell>
          <cell r="N53">
            <v>0.2210498547016852</v>
          </cell>
          <cell r="O53">
            <v>0.62067765290977428</v>
          </cell>
          <cell r="Q53">
            <v>0.5663807322365666</v>
          </cell>
        </row>
        <row r="55">
          <cell r="H55" t="str">
            <v>Note that totals may not add due to rounding, and more digits may be displayed than are significant.</v>
          </cell>
        </row>
        <row r="56">
          <cell r="H56" t="str">
            <v xml:space="preserve">* The amount of energy absorbed by 1 ton of steel, aluminum cans, or glass in an MSW combustor would, if not absorbed, </v>
          </cell>
        </row>
        <row r="57">
          <cell r="H57" t="str">
            <v>result in less than 0.01 MTCO2 Eof avoided utility CO2.</v>
          </cell>
        </row>
        <row r="58">
          <cell r="H58" t="str">
            <v>** Mixed MSW represents the entire waste stream as disposed of.</v>
          </cell>
          <cell r="Q58" t="e">
            <v>#VALUE!</v>
          </cell>
        </row>
        <row r="60">
          <cell r="H60" t="str">
            <v>a  We developed these estimates based on data on the specific heat of aluminum, steel, and glass and calculated the energy required to raise the temperature</v>
          </cell>
        </row>
        <row r="61">
          <cell r="H61" t="str">
            <v xml:space="preserve">   of aluminum, steel, and glass from ambient temperature to the temperature found in a combustor (about 750° Celsius).  We obtained the </v>
          </cell>
        </row>
        <row r="62">
          <cell r="H62" t="str">
            <v xml:space="preserve">   specific heat data from Incropera, Frank P.and David P. DeWitt, Introduction to Heat Transfer, Second Edition (New York:  John Wiley &amp; Sons) 1990, pp. A3-A4.</v>
          </cell>
        </row>
        <row r="63">
          <cell r="H63" t="str">
            <v>b  MSW Fact Book.</v>
          </cell>
        </row>
        <row r="64">
          <cell r="H64" t="str">
            <v>c  Gaines and Stodolsky.</v>
          </cell>
        </row>
        <row r="65">
          <cell r="H65" t="str">
            <v>d  For PET plastic, we converted the value of 9,900 Btu/pound dry weight, to 9,702 Btu/pound wet weight, to account for a moisture content of 2 percent.</v>
          </cell>
        </row>
        <row r="66">
          <cell r="H66" t="str">
            <v>e  We used Franklin Associates, Ltd.'s value for magazines as a proxy for the value for coated paper.</v>
          </cell>
        </row>
        <row r="67">
          <cell r="H67" t="str">
            <v>f  We used the MSW Fact Book's value for mixed paper as a proxy for the value for office paper.</v>
          </cell>
        </row>
        <row r="68">
          <cell r="H68" t="str">
            <v xml:space="preserve">g. We used newspapers as a proxy for phonebooks. </v>
          </cell>
        </row>
        <row r="69">
          <cell r="H69" t="str">
            <v>h We used office paper as a proxy for textbooks.</v>
          </cell>
        </row>
        <row r="70">
          <cell r="H70" t="str">
            <v>i  We used the higher end of the Btu factor for Basswood from the USFS.  Basswood is a relatively soft wood so its high end Btu content should be most</v>
          </cell>
        </row>
        <row r="71">
          <cell r="H71" t="str">
            <v xml:space="preserve">   similar to an average factor for all wood types.  Fons, W. L.; Clements, H. B.; Elliott, E. R.; George, P. M. 1962.  Project Fire Model.  Summary Progress</v>
          </cell>
        </row>
        <row r="72">
          <cell r="H72" t="str">
            <v xml:space="preserve">   Report-II. Period May 1, 1960, to April 30, 1962. Macon, GA: U.S. Department of Agriculture, Forest Service, Southeastern Forest Experiment Station, Southern </v>
          </cell>
        </row>
        <row r="73">
          <cell r="H73" t="str">
            <v xml:space="preserve">   Forest Fire Laboratory. 58 p. [16824]</v>
          </cell>
        </row>
        <row r="74">
          <cell r="H74" t="str">
            <v>j  Procter and Redfern, Ltd. and ORTECH International.</v>
          </cell>
        </row>
        <row r="75">
          <cell r="H75" t="str">
            <v>k  Telephone conversation among IWSA, American Ref-Fuel, and ICF Consulting, October 28, 1997.</v>
          </cell>
        </row>
        <row r="76">
          <cell r="H76" t="str">
            <v xml:space="preserve">l  Realff, M. (2010b). “The role of using carpet as a fuel in carpet recovery system development.” Delivered to ICF International via email on September 9, 2010. </v>
          </cell>
        </row>
        <row r="77">
          <cell r="H77" t="str">
            <v>m  Franklin Associates, Ltd., 2002, "Energy and Greenhouse Gas Factors for Personal Computers."</v>
          </cell>
        </row>
        <row r="78">
          <cell r="H78" t="str">
            <v>n Franklin Associates, Ltd., 2011, "Cradle-to-gate Life Cycle Inventory of Nine Plastic Resins and Four Polyurethane Precursors." Energy contents provided by this report represent the higher heating value (HHV) of each resin.</v>
          </cell>
        </row>
        <row r="81">
          <cell r="H81" t="str">
            <v>Exhibit 6-2</v>
          </cell>
        </row>
        <row r="82">
          <cell r="H82" t="str">
            <v xml:space="preserve">Avoided Utility GHG Emissions from Combustion at Mass Burn and RDF Facilities-  Pacific </v>
          </cell>
        </row>
        <row r="83">
          <cell r="H83" t="str">
            <v xml:space="preserve">Pacific </v>
          </cell>
        </row>
        <row r="84">
          <cell r="H84" t="str">
            <v>(a)</v>
          </cell>
          <cell r="I84" t="str">
            <v xml:space="preserve">(b) </v>
          </cell>
          <cell r="K84" t="str">
            <v>(c)</v>
          </cell>
          <cell r="L84" t="str">
            <v xml:space="preserve">(d) </v>
          </cell>
          <cell r="M84" t="str">
            <v xml:space="preserve">(e)                  </v>
          </cell>
          <cell r="N84" t="str">
            <v>(f)</v>
          </cell>
          <cell r="O84" t="str">
            <v xml:space="preserve">(g) </v>
          </cell>
          <cell r="Q84" t="str">
            <v xml:space="preserve">(h)                  </v>
          </cell>
        </row>
        <row r="85">
          <cell r="H85" t="str">
            <v>Material Combusted</v>
          </cell>
          <cell r="I85" t="str">
            <v>Energy Content (Btu Per Pound)</v>
          </cell>
          <cell r="K85" t="str">
            <v>Energy Content (Million Btu Per Ton)</v>
          </cell>
          <cell r="L85" t="str">
            <v>Mass Burn Combustion System Efficiency (Percent)</v>
          </cell>
          <cell r="M85" t="str">
            <v>RDF Combustion System Efficiency (Percent)</v>
          </cell>
          <cell r="N85" t="str">
            <v>Emission Factor for Utility-Generated Electricity (MTCO2E/
Million Btu of Electricity Delivered)</v>
          </cell>
          <cell r="O85" t="str">
            <v>(g = c * d * f) Avoided Utility CO2 Per Ton Combusted at Mass Burn Facilities (MTCO2E)</v>
          </cell>
          <cell r="Q85" t="str">
            <v>(h = c * e * f)
Avoided Utility CO2 Per Ton Combusted at RDF Facilities (MTCO2E)</v>
          </cell>
        </row>
        <row r="86">
          <cell r="H86" t="str">
            <v>Aluminum Cans</v>
          </cell>
          <cell r="I86">
            <v>-335</v>
          </cell>
          <cell r="J86" t="str">
            <v>a</v>
          </cell>
          <cell r="K86">
            <v>-0.67</v>
          </cell>
          <cell r="L86">
            <v>0.17827700000000002</v>
          </cell>
          <cell r="M86">
            <v>0.16268131666666663</v>
          </cell>
          <cell r="N86">
            <v>0.15123340139207281</v>
          </cell>
          <cell r="O86">
            <v>-1.8064162856982962E-2</v>
          </cell>
          <cell r="P86" t="str">
            <v>*</v>
          </cell>
          <cell r="Q86">
            <v>-1.6483908737835402E-2</v>
          </cell>
          <cell r="R86" t="str">
            <v>*</v>
          </cell>
        </row>
        <row r="87">
          <cell r="H87" t="str">
            <v>Steel Cans</v>
          </cell>
          <cell r="I87">
            <v>-210</v>
          </cell>
          <cell r="J87" t="str">
            <v>a</v>
          </cell>
          <cell r="K87">
            <v>-0.42</v>
          </cell>
          <cell r="L87">
            <v>0.17827700000000002</v>
          </cell>
          <cell r="M87">
            <v>0.16268131666666663</v>
          </cell>
          <cell r="N87">
            <v>0.15123340139207281</v>
          </cell>
          <cell r="O87">
            <v>-1.1323803581989316E-2</v>
          </cell>
          <cell r="P87" t="str">
            <v>*</v>
          </cell>
          <cell r="Q87">
            <v>-1.0333196522225177E-2</v>
          </cell>
          <cell r="R87" t="str">
            <v>*</v>
          </cell>
        </row>
        <row r="88">
          <cell r="H88" t="str">
            <v>Copper Wire</v>
          </cell>
          <cell r="I88">
            <v>-272.5</v>
          </cell>
          <cell r="K88">
            <v>-0.54500000000000004</v>
          </cell>
          <cell r="L88">
            <v>0.17827700000000002</v>
          </cell>
          <cell r="M88">
            <v>0.16268131666666663</v>
          </cell>
          <cell r="N88">
            <v>0.15123340139207281</v>
          </cell>
          <cell r="O88">
            <v>-1.469398321948614E-2</v>
          </cell>
          <cell r="P88" t="str">
            <v>*</v>
          </cell>
          <cell r="Q88">
            <v>-1.3408552630030291E-2</v>
          </cell>
          <cell r="R88" t="str">
            <v>*</v>
          </cell>
        </row>
        <row r="89">
          <cell r="H89" t="str">
            <v>Glass</v>
          </cell>
          <cell r="I89">
            <v>-235</v>
          </cell>
          <cell r="J89" t="str">
            <v>a</v>
          </cell>
          <cell r="K89">
            <v>-0.47</v>
          </cell>
          <cell r="L89">
            <v>0.17827700000000002</v>
          </cell>
          <cell r="M89">
            <v>0.16268131666666663</v>
          </cell>
          <cell r="N89">
            <v>0.15123340139207281</v>
          </cell>
          <cell r="O89">
            <v>-1.2671875436988046E-2</v>
          </cell>
          <cell r="P89" t="str">
            <v>*</v>
          </cell>
          <cell r="Q89">
            <v>-1.1563338965347222E-2</v>
          </cell>
          <cell r="R89" t="str">
            <v>*</v>
          </cell>
        </row>
        <row r="90">
          <cell r="H90" t="str">
            <v>HDPE</v>
          </cell>
          <cell r="I90">
            <v>19985</v>
          </cell>
          <cell r="J90" t="str">
            <v>n</v>
          </cell>
          <cell r="K90">
            <v>39.97</v>
          </cell>
          <cell r="L90">
            <v>0.17827700000000002</v>
          </cell>
          <cell r="M90">
            <v>0.16268131666666663</v>
          </cell>
          <cell r="N90">
            <v>0.15123340139207281</v>
          </cell>
          <cell r="O90">
            <v>1.0776486408859833</v>
          </cell>
          <cell r="Q90">
            <v>0.98337586903176277</v>
          </cell>
        </row>
        <row r="91">
          <cell r="H91" t="str">
            <v>LDPE</v>
          </cell>
          <cell r="I91">
            <v>19877</v>
          </cell>
          <cell r="J91" t="str">
            <v>n</v>
          </cell>
          <cell r="K91">
            <v>39.753999999999998</v>
          </cell>
          <cell r="L91">
            <v>0.17827700000000002</v>
          </cell>
          <cell r="M91">
            <v>0.16268131666666663</v>
          </cell>
          <cell r="N91">
            <v>0.15123340139207281</v>
          </cell>
          <cell r="O91">
            <v>1.071824970472389</v>
          </cell>
          <cell r="Q91">
            <v>0.97806165367747544</v>
          </cell>
        </row>
        <row r="92">
          <cell r="H92" t="str">
            <v>PET</v>
          </cell>
          <cell r="I92">
            <v>10600</v>
          </cell>
          <cell r="J92" t="str">
            <v>n</v>
          </cell>
          <cell r="K92">
            <v>21.2</v>
          </cell>
          <cell r="L92">
            <v>0.17827700000000002</v>
          </cell>
          <cell r="M92">
            <v>0.16268131666666663</v>
          </cell>
          <cell r="N92">
            <v>0.15123340139207281</v>
          </cell>
          <cell r="O92">
            <v>0.57158246651946076</v>
          </cell>
          <cell r="Q92">
            <v>0.52158039588374705</v>
          </cell>
        </row>
        <row r="93">
          <cell r="H93" t="str">
            <v>Corrugated Containers</v>
          </cell>
          <cell r="I93">
            <v>7043</v>
          </cell>
          <cell r="J93" t="str">
            <v>b</v>
          </cell>
          <cell r="K93">
            <v>14.086</v>
          </cell>
          <cell r="L93">
            <v>0.17827700000000002</v>
          </cell>
          <cell r="M93">
            <v>0.16268131666666663</v>
          </cell>
          <cell r="N93">
            <v>0.15123340139207281</v>
          </cell>
          <cell r="O93">
            <v>0.3797788029902418</v>
          </cell>
          <cell r="Q93">
            <v>0.34655572907634252</v>
          </cell>
        </row>
        <row r="94">
          <cell r="H94" t="str">
            <v>Magazines/Third-class Mail</v>
          </cell>
          <cell r="I94">
            <v>5258</v>
          </cell>
          <cell r="J94" t="str">
            <v>d</v>
          </cell>
          <cell r="K94">
            <v>10.516</v>
          </cell>
          <cell r="L94">
            <v>0.17827700000000002</v>
          </cell>
          <cell r="M94">
            <v>0.16268131666666663</v>
          </cell>
          <cell r="N94">
            <v>0.15123340139207281</v>
          </cell>
          <cell r="O94">
            <v>0.28352647254333257</v>
          </cell>
          <cell r="Q94">
            <v>0.25872355863742846</v>
          </cell>
        </row>
        <row r="95">
          <cell r="H95" t="str">
            <v>Newspaper</v>
          </cell>
          <cell r="I95">
            <v>7950</v>
          </cell>
          <cell r="J95" t="str">
            <v>b</v>
          </cell>
          <cell r="K95">
            <v>15.9</v>
          </cell>
          <cell r="L95">
            <v>0.17827700000000002</v>
          </cell>
          <cell r="M95">
            <v>0.16268131666666663</v>
          </cell>
          <cell r="N95">
            <v>0.15123340139207281</v>
          </cell>
          <cell r="O95">
            <v>0.42868684988959566</v>
          </cell>
          <cell r="Q95">
            <v>0.39118529691281029</v>
          </cell>
        </row>
        <row r="96">
          <cell r="H96" t="str">
            <v>Office Paper</v>
          </cell>
          <cell r="I96">
            <v>6800</v>
          </cell>
          <cell r="J96" t="str">
            <v>b,f</v>
          </cell>
          <cell r="K96">
            <v>13.6</v>
          </cell>
          <cell r="L96">
            <v>0.17827700000000002</v>
          </cell>
          <cell r="M96">
            <v>0.16268131666666663</v>
          </cell>
          <cell r="N96">
            <v>0.15123340139207281</v>
          </cell>
          <cell r="O96">
            <v>0.36667554455965412</v>
          </cell>
          <cell r="Q96">
            <v>0.33459874452919619</v>
          </cell>
        </row>
        <row r="97">
          <cell r="H97" t="str">
            <v>Phonebooks</v>
          </cell>
          <cell r="I97">
            <v>7950</v>
          </cell>
          <cell r="J97" t="str">
            <v>g</v>
          </cell>
          <cell r="K97">
            <v>15.9</v>
          </cell>
          <cell r="L97">
            <v>0.17827700000000002</v>
          </cell>
          <cell r="M97">
            <v>0.16268131666666663</v>
          </cell>
          <cell r="N97">
            <v>0.15123340139207281</v>
          </cell>
          <cell r="O97">
            <v>0.42868684988959566</v>
          </cell>
          <cell r="Q97">
            <v>0.39118529691281029</v>
          </cell>
        </row>
        <row r="98">
          <cell r="H98" t="str">
            <v>Textbooks</v>
          </cell>
          <cell r="I98">
            <v>6800</v>
          </cell>
          <cell r="J98" t="str">
            <v>h</v>
          </cell>
          <cell r="K98">
            <v>13.6</v>
          </cell>
          <cell r="L98">
            <v>0.17827700000000002</v>
          </cell>
          <cell r="M98">
            <v>0.16268131666666663</v>
          </cell>
          <cell r="N98">
            <v>0.15123340139207281</v>
          </cell>
          <cell r="O98">
            <v>0.36667554455965412</v>
          </cell>
          <cell r="Q98">
            <v>0.33459874452919619</v>
          </cell>
        </row>
        <row r="99">
          <cell r="H99" t="str">
            <v>Dimensional Lumber</v>
          </cell>
          <cell r="I99">
            <v>8300</v>
          </cell>
          <cell r="J99" t="str">
            <v>i</v>
          </cell>
          <cell r="K99">
            <v>16.600000000000001</v>
          </cell>
          <cell r="L99">
            <v>0.17827700000000002</v>
          </cell>
          <cell r="M99">
            <v>0.16268131666666663</v>
          </cell>
          <cell r="N99">
            <v>0.15123340139207281</v>
          </cell>
          <cell r="O99">
            <v>0.44755985585957786</v>
          </cell>
          <cell r="Q99">
            <v>0.40840729111651897</v>
          </cell>
        </row>
        <row r="100">
          <cell r="H100" t="str">
            <v>Medium-density Fiberboard</v>
          </cell>
          <cell r="I100">
            <v>8300</v>
          </cell>
          <cell r="J100" t="str">
            <v>i</v>
          </cell>
          <cell r="K100">
            <v>16.600000000000001</v>
          </cell>
          <cell r="L100">
            <v>0.17827700000000002</v>
          </cell>
          <cell r="M100">
            <v>0.16268131666666663</v>
          </cell>
          <cell r="N100">
            <v>0.15123340139207281</v>
          </cell>
          <cell r="O100">
            <v>0.44755985585957786</v>
          </cell>
          <cell r="Q100">
            <v>0.40840729111651897</v>
          </cell>
        </row>
        <row r="101">
          <cell r="H101" t="str">
            <v>Food Waste</v>
          </cell>
          <cell r="I101">
            <v>2370</v>
          </cell>
          <cell r="J101" t="str">
            <v>b</v>
          </cell>
          <cell r="K101">
            <v>4.74</v>
          </cell>
          <cell r="L101">
            <v>0.17827700000000002</v>
          </cell>
          <cell r="M101">
            <v>0.16268131666666663</v>
          </cell>
          <cell r="N101">
            <v>0.15123340139207281</v>
          </cell>
          <cell r="O101">
            <v>0.12779721185387946</v>
          </cell>
          <cell r="Q101">
            <v>0.11661750360796987</v>
          </cell>
        </row>
        <row r="102">
          <cell r="H102" t="str">
            <v>Food Waste (non-meat)</v>
          </cell>
          <cell r="I102">
            <v>2370</v>
          </cell>
          <cell r="J102" t="str">
            <v>b</v>
          </cell>
          <cell r="K102">
            <v>4.74</v>
          </cell>
          <cell r="L102">
            <v>0.17827700000000002</v>
          </cell>
          <cell r="M102">
            <v>0.16268131666666663</v>
          </cell>
          <cell r="N102">
            <v>0.15123340139207281</v>
          </cell>
          <cell r="O102">
            <v>0.12779721185387946</v>
          </cell>
          <cell r="Q102">
            <v>0.11661750360796987</v>
          </cell>
        </row>
        <row r="103">
          <cell r="H103" t="str">
            <v>Food Waste (meat only)</v>
          </cell>
          <cell r="I103">
            <v>2370</v>
          </cell>
          <cell r="J103" t="str">
            <v>b</v>
          </cell>
          <cell r="K103">
            <v>4.74</v>
          </cell>
          <cell r="L103">
            <v>0.17827700000000002</v>
          </cell>
          <cell r="M103">
            <v>0.16268131666666663</v>
          </cell>
          <cell r="N103">
            <v>0.15123340139207281</v>
          </cell>
          <cell r="O103">
            <v>0.12779721185387946</v>
          </cell>
          <cell r="Q103">
            <v>0.11661750360796987</v>
          </cell>
        </row>
        <row r="104">
          <cell r="H104" t="str">
            <v>Beef</v>
          </cell>
          <cell r="I104">
            <v>2370</v>
          </cell>
          <cell r="J104" t="str">
            <v>b</v>
          </cell>
          <cell r="K104">
            <v>4.74</v>
          </cell>
          <cell r="L104">
            <v>0.17827700000000002</v>
          </cell>
          <cell r="M104">
            <v>0.16268131666666663</v>
          </cell>
          <cell r="N104">
            <v>0.15123340139207281</v>
          </cell>
          <cell r="O104">
            <v>0.12779721185387946</v>
          </cell>
          <cell r="Q104">
            <v>0.11661750360796987</v>
          </cell>
        </row>
        <row r="105">
          <cell r="H105" t="str">
            <v>Poultry</v>
          </cell>
          <cell r="I105">
            <v>2370</v>
          </cell>
          <cell r="J105" t="str">
            <v>b</v>
          </cell>
          <cell r="K105">
            <v>4.74</v>
          </cell>
          <cell r="L105">
            <v>0.17827700000000002</v>
          </cell>
          <cell r="M105">
            <v>0.16268131666666663</v>
          </cell>
          <cell r="N105">
            <v>0.15123340139207281</v>
          </cell>
          <cell r="O105">
            <v>0.12779721185387946</v>
          </cell>
          <cell r="Q105">
            <v>0.11661750360796987</v>
          </cell>
        </row>
        <row r="106">
          <cell r="H106" t="str">
            <v>Grains</v>
          </cell>
          <cell r="I106">
            <v>2370</v>
          </cell>
          <cell r="J106" t="str">
            <v>b</v>
          </cell>
          <cell r="K106">
            <v>4.74</v>
          </cell>
          <cell r="L106">
            <v>0.17827700000000002</v>
          </cell>
          <cell r="M106">
            <v>0.16268131666666663</v>
          </cell>
          <cell r="N106">
            <v>0.15123340139207281</v>
          </cell>
          <cell r="O106">
            <v>0.12779721185387946</v>
          </cell>
          <cell r="Q106">
            <v>0.11661750360796987</v>
          </cell>
        </row>
        <row r="107">
          <cell r="H107" t="str">
            <v>Bread</v>
          </cell>
          <cell r="I107">
            <v>2370</v>
          </cell>
          <cell r="J107" t="str">
            <v>b</v>
          </cell>
          <cell r="K107">
            <v>4.74</v>
          </cell>
          <cell r="L107">
            <v>0.17827700000000002</v>
          </cell>
          <cell r="M107">
            <v>0.16268131666666663</v>
          </cell>
          <cell r="N107">
            <v>0.15123340139207281</v>
          </cell>
          <cell r="O107">
            <v>0.12779721185387946</v>
          </cell>
          <cell r="Q107">
            <v>0.11661750360796987</v>
          </cell>
        </row>
        <row r="108">
          <cell r="H108" t="str">
            <v>Fruits and Vegetables</v>
          </cell>
          <cell r="I108">
            <v>2370</v>
          </cell>
          <cell r="J108" t="str">
            <v>b</v>
          </cell>
          <cell r="K108">
            <v>4.74</v>
          </cell>
          <cell r="L108">
            <v>0.17827700000000002</v>
          </cell>
          <cell r="M108">
            <v>0.16268131666666663</v>
          </cell>
          <cell r="N108">
            <v>0.15123340139207281</v>
          </cell>
          <cell r="O108">
            <v>0.12779721185387946</v>
          </cell>
          <cell r="Q108">
            <v>0.11661750360796987</v>
          </cell>
        </row>
        <row r="109">
          <cell r="H109" t="str">
            <v>Dairy Products</v>
          </cell>
          <cell r="I109">
            <v>2370</v>
          </cell>
          <cell r="J109" t="str">
            <v>b</v>
          </cell>
          <cell r="K109">
            <v>4.74</v>
          </cell>
          <cell r="L109">
            <v>0.17827700000000002</v>
          </cell>
          <cell r="M109">
            <v>0.16268131666666663</v>
          </cell>
          <cell r="N109">
            <v>0.15123340139207281</v>
          </cell>
          <cell r="O109">
            <v>0.12779721185387946</v>
          </cell>
          <cell r="Q109">
            <v>0.11661750360796987</v>
          </cell>
        </row>
        <row r="110">
          <cell r="H110" t="str">
            <v>Yard Trimmings</v>
          </cell>
          <cell r="I110">
            <v>2800</v>
          </cell>
          <cell r="J110" t="str">
            <v>j</v>
          </cell>
          <cell r="K110">
            <v>5.6</v>
          </cell>
          <cell r="L110">
            <v>0.17827700000000002</v>
          </cell>
          <cell r="M110">
            <v>0.16268131666666663</v>
          </cell>
          <cell r="N110">
            <v>0.15123340139207281</v>
          </cell>
          <cell r="O110">
            <v>0.15098404775985755</v>
          </cell>
          <cell r="Q110">
            <v>0.13777595362966902</v>
          </cell>
        </row>
        <row r="111">
          <cell r="H111" t="str">
            <v>Mixed MSW</v>
          </cell>
          <cell r="I111">
            <v>5000</v>
          </cell>
          <cell r="J111" t="str">
            <v>k</v>
          </cell>
          <cell r="K111">
            <v>10</v>
          </cell>
          <cell r="L111">
            <v>0.17827700000000002</v>
          </cell>
          <cell r="M111">
            <v>0.16268131666666663</v>
          </cell>
          <cell r="N111">
            <v>0.15123340139207281</v>
          </cell>
          <cell r="O111">
            <v>0.26961437099974567</v>
          </cell>
          <cell r="Q111">
            <v>0.24602848862440899</v>
          </cell>
        </row>
        <row r="112">
          <cell r="H112" t="str">
            <v>Carpet</v>
          </cell>
          <cell r="I112">
            <v>7600</v>
          </cell>
          <cell r="J112" t="str">
            <v>l</v>
          </cell>
          <cell r="K112">
            <v>15.2</v>
          </cell>
          <cell r="L112">
            <v>0.17827700000000002</v>
          </cell>
          <cell r="M112">
            <v>0.16268131666666663</v>
          </cell>
          <cell r="N112">
            <v>0.15123340139207281</v>
          </cell>
          <cell r="O112">
            <v>0.4098138439196134</v>
          </cell>
          <cell r="Q112">
            <v>0.37396330270910161</v>
          </cell>
        </row>
        <row r="113">
          <cell r="H113" t="str">
            <v>Personal Computers</v>
          </cell>
          <cell r="I113">
            <v>1533.3333333333335</v>
          </cell>
          <cell r="J113" t="str">
            <v>m</v>
          </cell>
          <cell r="K113">
            <v>3.0666666666666669</v>
          </cell>
          <cell r="L113">
            <v>0.17827700000000002</v>
          </cell>
          <cell r="M113">
            <v>0.16268131666666663</v>
          </cell>
          <cell r="N113">
            <v>0.15123340139207281</v>
          </cell>
          <cell r="O113">
            <v>8.2681740439922019E-2</v>
          </cell>
          <cell r="Q113">
            <v>7.5448736511485426E-2</v>
          </cell>
        </row>
        <row r="114">
          <cell r="H114" t="str">
            <v>Tires</v>
          </cell>
          <cell r="I114">
            <v>13888.888888888887</v>
          </cell>
          <cell r="K114">
            <v>27.777777777777775</v>
          </cell>
          <cell r="L114" t="str">
            <v>NA</v>
          </cell>
          <cell r="M114" t="str">
            <v>NA</v>
          </cell>
          <cell r="N114" t="str">
            <v>NA</v>
          </cell>
          <cell r="O114">
            <v>1.5659939377631629</v>
          </cell>
          <cell r="Q114">
            <v>1.5659939377631629</v>
          </cell>
        </row>
        <row r="115">
          <cell r="H115" t="str">
            <v>Asphalt Concrete</v>
          </cell>
          <cell r="I115" t="str">
            <v>NA</v>
          </cell>
          <cell r="K115" t="str">
            <v>NA</v>
          </cell>
          <cell r="L115" t="str">
            <v>NA</v>
          </cell>
          <cell r="M115" t="str">
            <v>NA</v>
          </cell>
          <cell r="N115" t="str">
            <v>NA</v>
          </cell>
          <cell r="O115" t="str">
            <v>NA</v>
          </cell>
          <cell r="P115" t="str">
            <v>*</v>
          </cell>
          <cell r="Q115" t="str">
            <v>NA</v>
          </cell>
          <cell r="R115" t="str">
            <v>*</v>
          </cell>
        </row>
        <row r="116">
          <cell r="H116" t="str">
            <v>Paper Felt Shingle</v>
          </cell>
          <cell r="I116">
            <v>7199.9999999999991</v>
          </cell>
          <cell r="K116">
            <v>14.399999999999999</v>
          </cell>
          <cell r="L116" t="str">
            <v>NA</v>
          </cell>
          <cell r="M116" t="str">
            <v>NA</v>
          </cell>
          <cell r="N116" t="str">
            <v>NA</v>
          </cell>
          <cell r="O116">
            <v>1.7236799999999992</v>
          </cell>
          <cell r="P116" t="str">
            <v>*</v>
          </cell>
          <cell r="Q116">
            <v>1.7236799999999992</v>
          </cell>
          <cell r="R116" t="str">
            <v>*</v>
          </cell>
        </row>
        <row r="117">
          <cell r="H117" t="str">
            <v>Asphalt Shingles</v>
          </cell>
          <cell r="I117">
            <v>4399.9999999999991</v>
          </cell>
          <cell r="K117">
            <v>8.7999999999999989</v>
          </cell>
          <cell r="L117" t="str">
            <v>NA</v>
          </cell>
          <cell r="M117" t="str">
            <v>NA</v>
          </cell>
          <cell r="N117" t="str">
            <v>NA</v>
          </cell>
          <cell r="O117">
            <v>1.0533599999999996</v>
          </cell>
          <cell r="P117" t="str">
            <v>*</v>
          </cell>
          <cell r="Q117">
            <v>1.0533599999999996</v>
          </cell>
          <cell r="R117" t="str">
            <v>*</v>
          </cell>
        </row>
        <row r="118">
          <cell r="H118" t="str">
            <v>Drywall</v>
          </cell>
          <cell r="I118" t="str">
            <v>NA</v>
          </cell>
          <cell r="K118" t="str">
            <v>NA</v>
          </cell>
          <cell r="L118" t="str">
            <v>NA</v>
          </cell>
          <cell r="M118" t="str">
            <v>NA</v>
          </cell>
          <cell r="N118" t="str">
            <v>NA</v>
          </cell>
          <cell r="O118" t="str">
            <v>NA</v>
          </cell>
          <cell r="Q118" t="str">
            <v>NA</v>
          </cell>
        </row>
        <row r="119">
          <cell r="H119" t="str">
            <v>Fiberglass Insulation</v>
          </cell>
          <cell r="I119" t="str">
            <v>NA</v>
          </cell>
          <cell r="K119" t="str">
            <v>NA</v>
          </cell>
          <cell r="L119" t="str">
            <v>NA</v>
          </cell>
          <cell r="M119" t="str">
            <v>NA</v>
          </cell>
          <cell r="N119" t="str">
            <v>NA</v>
          </cell>
          <cell r="O119" t="str">
            <v>NA</v>
          </cell>
          <cell r="Q119" t="str">
            <v>NA</v>
          </cell>
        </row>
        <row r="120">
          <cell r="H120" t="str">
            <v>Vinyl Flooring</v>
          </cell>
          <cell r="I120">
            <v>7875</v>
          </cell>
          <cell r="K120">
            <v>15.75</v>
          </cell>
          <cell r="L120">
            <v>0.17827700000000002</v>
          </cell>
          <cell r="M120">
            <v>0.16268131666666663</v>
          </cell>
          <cell r="N120">
            <v>0.15123340139207281</v>
          </cell>
          <cell r="O120">
            <v>0.42464263432459942</v>
          </cell>
          <cell r="P120">
            <v>0.38749486958344415</v>
          </cell>
          <cell r="Q120">
            <v>0.38749486958344415</v>
          </cell>
        </row>
        <row r="121">
          <cell r="H121" t="str">
            <v>Wood Flooring</v>
          </cell>
          <cell r="I121">
            <v>8993.4575501382224</v>
          </cell>
          <cell r="K121">
            <v>17.986915100276445</v>
          </cell>
          <cell r="L121">
            <v>0.21532527051987507</v>
          </cell>
          <cell r="M121">
            <v>0.16268131666666663</v>
          </cell>
          <cell r="N121">
            <v>0.15123340139207281</v>
          </cell>
          <cell r="O121">
            <v>0.58573261363886653</v>
          </cell>
          <cell r="P121">
            <v>0.44252935371365737</v>
          </cell>
          <cell r="Q121">
            <v>0.44252935371365737</v>
          </cell>
        </row>
        <row r="122">
          <cell r="H122" t="str">
            <v>Aluminum Ingot</v>
          </cell>
          <cell r="I122">
            <v>-335</v>
          </cell>
          <cell r="J122" t="str">
            <v>a</v>
          </cell>
          <cell r="K122">
            <v>-0.67</v>
          </cell>
          <cell r="L122">
            <v>0.17827700000000002</v>
          </cell>
          <cell r="M122">
            <v>0.16268131666666663</v>
          </cell>
          <cell r="N122">
            <v>0.15123340139207281</v>
          </cell>
          <cell r="O122">
            <v>-1.8064162856982962E-2</v>
          </cell>
          <cell r="P122" t="str">
            <v>*</v>
          </cell>
          <cell r="Q122">
            <v>-1.6483908737835402E-2</v>
          </cell>
          <cell r="R122" t="str">
            <v>*</v>
          </cell>
        </row>
        <row r="123">
          <cell r="H123" t="str">
            <v>PLA</v>
          </cell>
          <cell r="I123">
            <v>8368</v>
          </cell>
          <cell r="K123">
            <v>16.736000000000001</v>
          </cell>
          <cell r="L123">
            <v>0.17827700000000002</v>
          </cell>
          <cell r="M123">
            <v>0.16268131666666663</v>
          </cell>
          <cell r="N123">
            <v>0.15123340139207281</v>
          </cell>
          <cell r="O123">
            <v>0.45122661130517439</v>
          </cell>
          <cell r="P123" t="str">
            <v>*</v>
          </cell>
          <cell r="Q123">
            <v>0.41175327856181088</v>
          </cell>
          <cell r="R123" t="str">
            <v>*</v>
          </cell>
        </row>
        <row r="124">
          <cell r="H124" t="str">
            <v>LLDPE</v>
          </cell>
          <cell r="I124">
            <v>19946</v>
          </cell>
          <cell r="K124">
            <v>39.892000000000003</v>
          </cell>
          <cell r="L124">
            <v>0.17827700000000002</v>
          </cell>
          <cell r="M124">
            <v>0.16268131666666663</v>
          </cell>
          <cell r="N124">
            <v>0.15123340139207281</v>
          </cell>
          <cell r="O124">
            <v>1.0755456487921855</v>
          </cell>
          <cell r="Q124">
            <v>0.98145684682049239</v>
          </cell>
        </row>
        <row r="125">
          <cell r="H125" t="str">
            <v>PP</v>
          </cell>
          <cell r="I125">
            <v>19948</v>
          </cell>
          <cell r="K125">
            <v>39.896000000000001</v>
          </cell>
          <cell r="L125">
            <v>0.17827700000000002</v>
          </cell>
          <cell r="M125">
            <v>0.16268131666666663</v>
          </cell>
          <cell r="N125">
            <v>0.15123340139207281</v>
          </cell>
          <cell r="O125">
            <v>1.0756534945405853</v>
          </cell>
          <cell r="Q125">
            <v>0.98155525821594203</v>
          </cell>
        </row>
        <row r="126">
          <cell r="H126" t="str">
            <v>PS</v>
          </cell>
          <cell r="I126">
            <v>18000</v>
          </cell>
          <cell r="K126">
            <v>36</v>
          </cell>
          <cell r="L126">
            <v>0.17827700000000002</v>
          </cell>
          <cell r="M126">
            <v>0.16268131666666663</v>
          </cell>
          <cell r="N126">
            <v>0.15123340139207281</v>
          </cell>
          <cell r="O126">
            <v>0.97061173559908442</v>
          </cell>
          <cell r="Q126">
            <v>0.88570255904787243</v>
          </cell>
        </row>
        <row r="127">
          <cell r="H127" t="str">
            <v>PVC</v>
          </cell>
          <cell r="I127">
            <v>7875</v>
          </cell>
          <cell r="K127">
            <v>15.75</v>
          </cell>
          <cell r="L127">
            <v>0.17827700000000002</v>
          </cell>
          <cell r="M127">
            <v>0.16268131666666663</v>
          </cell>
          <cell r="N127">
            <v>0.15123340139207281</v>
          </cell>
          <cell r="O127">
            <v>0.42464263432459942</v>
          </cell>
          <cell r="Q127">
            <v>0.38749486958344415</v>
          </cell>
        </row>
        <row r="129">
          <cell r="H129" t="str">
            <v>Exhibit 6-2</v>
          </cell>
        </row>
        <row r="130">
          <cell r="H130" t="str">
            <v>Avoided Utility GHG Emissions from Combustion at Mass Burn and RDF Facilities- Mountain</v>
          </cell>
        </row>
        <row r="131">
          <cell r="H131" t="str">
            <v>Mountain</v>
          </cell>
        </row>
        <row r="132">
          <cell r="H132" t="str">
            <v>(a)</v>
          </cell>
          <cell r="I132" t="str">
            <v xml:space="preserve">(b) </v>
          </cell>
          <cell r="K132" t="str">
            <v>(c)</v>
          </cell>
          <cell r="L132" t="str">
            <v xml:space="preserve">(d) </v>
          </cell>
          <cell r="M132" t="str">
            <v xml:space="preserve">(e)                  </v>
          </cell>
          <cell r="N132" t="str">
            <v>(f)</v>
          </cell>
          <cell r="O132" t="str">
            <v xml:space="preserve">(g) </v>
          </cell>
          <cell r="Q132" t="str">
            <v xml:space="preserve">(h)                  </v>
          </cell>
        </row>
        <row r="133">
          <cell r="H133" t="str">
            <v>Material Combusted</v>
          </cell>
          <cell r="I133" t="str">
            <v>Energy Content (Btu Per Pound)</v>
          </cell>
          <cell r="K133" t="str">
            <v>Energy Content (Million Btu Per Ton)</v>
          </cell>
          <cell r="L133" t="str">
            <v>Mass Burn Combustion System Efficiency (Percent)</v>
          </cell>
          <cell r="M133" t="str">
            <v>RDF Combustion System Efficiency (Percent)</v>
          </cell>
          <cell r="N133" t="str">
            <v>Emission Factor for Utility-Generated Electricity (MTCO2E/
Million Btu of Electricity Delivered)</v>
          </cell>
          <cell r="O133" t="str">
            <v>(g = c * d * f) Avoided Utility CO2 Per Ton Combusted at Mass Burn Facilities (MTCO2E)</v>
          </cell>
          <cell r="Q133" t="str">
            <v>(h = c * e * f)
Avoided Utility CO2 Per Ton Combusted at RDF Facilities (MTCO2E)</v>
          </cell>
        </row>
        <row r="134">
          <cell r="H134" t="str">
            <v>Aluminum Cans</v>
          </cell>
          <cell r="I134">
            <v>-335</v>
          </cell>
          <cell r="J134" t="str">
            <v>a</v>
          </cell>
          <cell r="K134">
            <v>-0.67</v>
          </cell>
          <cell r="L134">
            <v>0.17827700000000002</v>
          </cell>
          <cell r="M134">
            <v>0.16268131666666663</v>
          </cell>
          <cell r="N134">
            <v>0.2299196632451557</v>
          </cell>
          <cell r="O134">
            <v>-2.7462889828918941E-2</v>
          </cell>
          <cell r="P134" t="str">
            <v>*</v>
          </cell>
          <cell r="Q134">
            <v>-2.5060434474666615E-2</v>
          </cell>
          <cell r="R134" t="str">
            <v>*</v>
          </cell>
        </row>
        <row r="135">
          <cell r="H135" t="str">
            <v>Steel Cans</v>
          </cell>
          <cell r="I135">
            <v>-210</v>
          </cell>
          <cell r="J135" t="str">
            <v>a</v>
          </cell>
          <cell r="K135">
            <v>-0.42</v>
          </cell>
          <cell r="L135">
            <v>0.17827700000000002</v>
          </cell>
          <cell r="M135">
            <v>0.16268131666666663</v>
          </cell>
          <cell r="N135">
            <v>0.2299196632451557</v>
          </cell>
          <cell r="O135">
            <v>-1.7215542877829781E-2</v>
          </cell>
          <cell r="P135" t="str">
            <v>*</v>
          </cell>
          <cell r="Q135">
            <v>-1.5709526088596982E-2</v>
          </cell>
          <cell r="R135" t="str">
            <v>*</v>
          </cell>
        </row>
        <row r="136">
          <cell r="H136" t="str">
            <v>Copper Wire</v>
          </cell>
          <cell r="I136">
            <v>-272.5</v>
          </cell>
          <cell r="K136">
            <v>-0.54500000000000004</v>
          </cell>
          <cell r="L136">
            <v>0.17827700000000002</v>
          </cell>
          <cell r="M136">
            <v>0.16268131666666663</v>
          </cell>
          <cell r="N136">
            <v>0.2299196632451557</v>
          </cell>
          <cell r="O136">
            <v>-2.2339216353374363E-2</v>
          </cell>
          <cell r="P136" t="str">
            <v>*</v>
          </cell>
          <cell r="Q136">
            <v>-2.0384980281631798E-2</v>
          </cell>
          <cell r="R136" t="str">
            <v>*</v>
          </cell>
        </row>
        <row r="137">
          <cell r="H137" t="str">
            <v>Glass</v>
          </cell>
          <cell r="I137">
            <v>-235</v>
          </cell>
          <cell r="J137" t="str">
            <v>a</v>
          </cell>
          <cell r="K137">
            <v>-0.47</v>
          </cell>
          <cell r="L137">
            <v>0.17827700000000002</v>
          </cell>
          <cell r="M137">
            <v>0.16268131666666663</v>
          </cell>
          <cell r="N137">
            <v>0.2299196632451557</v>
          </cell>
          <cell r="O137">
            <v>-1.9265012268047613E-2</v>
          </cell>
          <cell r="P137" t="str">
            <v>*</v>
          </cell>
          <cell r="Q137">
            <v>-1.7579707765810908E-2</v>
          </cell>
          <cell r="R137" t="str">
            <v>*</v>
          </cell>
        </row>
        <row r="138">
          <cell r="H138" t="str">
            <v>HDPE</v>
          </cell>
          <cell r="I138">
            <v>19985</v>
          </cell>
          <cell r="J138" t="str">
            <v>n</v>
          </cell>
          <cell r="K138">
            <v>39.97</v>
          </cell>
          <cell r="L138">
            <v>0.17827700000000002</v>
          </cell>
          <cell r="M138">
            <v>0.16268131666666663</v>
          </cell>
          <cell r="N138">
            <v>0.2299196632451557</v>
          </cell>
          <cell r="O138">
            <v>1.6383458305401342</v>
          </cell>
          <cell r="Q138">
            <v>1.4950232327648127</v>
          </cell>
        </row>
        <row r="139">
          <cell r="H139" t="str">
            <v>LDPE</v>
          </cell>
          <cell r="I139">
            <v>19877</v>
          </cell>
          <cell r="J139" t="str">
            <v>n</v>
          </cell>
          <cell r="K139">
            <v>39.753999999999998</v>
          </cell>
          <cell r="L139">
            <v>0.17827700000000002</v>
          </cell>
          <cell r="M139">
            <v>0.16268131666666663</v>
          </cell>
          <cell r="N139">
            <v>0.2299196632451557</v>
          </cell>
          <cell r="O139">
            <v>1.6294921227743933</v>
          </cell>
          <cell r="Q139">
            <v>1.4869440479192484</v>
          </cell>
        </row>
        <row r="140">
          <cell r="H140" t="str">
            <v>PET</v>
          </cell>
          <cell r="I140">
            <v>10600</v>
          </cell>
          <cell r="J140" t="str">
            <v>n</v>
          </cell>
          <cell r="K140">
            <v>21.2</v>
          </cell>
          <cell r="L140">
            <v>0.17827700000000002</v>
          </cell>
          <cell r="M140">
            <v>0.16268131666666663</v>
          </cell>
          <cell r="N140">
            <v>0.2299196632451557</v>
          </cell>
          <cell r="O140">
            <v>0.8689750214523605</v>
          </cell>
          <cell r="Q140">
            <v>0.79295703113870475</v>
          </cell>
        </row>
        <row r="141">
          <cell r="H141" t="str">
            <v>Corrugated Containers</v>
          </cell>
          <cell r="I141">
            <v>7043</v>
          </cell>
          <cell r="J141" t="str">
            <v>b</v>
          </cell>
          <cell r="K141">
            <v>14.086</v>
          </cell>
          <cell r="L141">
            <v>0.17827700000000002</v>
          </cell>
          <cell r="M141">
            <v>0.16268131666666663</v>
          </cell>
          <cell r="N141">
            <v>0.2299196632451557</v>
          </cell>
          <cell r="O141">
            <v>0.57737651661216749</v>
          </cell>
          <cell r="Q141">
            <v>0.52686758210470741</v>
          </cell>
        </row>
        <row r="142">
          <cell r="H142" t="str">
            <v>Magazines/Third-class Mail</v>
          </cell>
          <cell r="I142">
            <v>5258</v>
          </cell>
          <cell r="J142" t="str">
            <v>d</v>
          </cell>
          <cell r="K142">
            <v>10.516</v>
          </cell>
          <cell r="L142">
            <v>0.17827700000000002</v>
          </cell>
          <cell r="M142">
            <v>0.16268131666666663</v>
          </cell>
          <cell r="N142">
            <v>0.2299196632451557</v>
          </cell>
          <cell r="O142">
            <v>0.43104440215061429</v>
          </cell>
          <cell r="Q142">
            <v>0.39333661035163298</v>
          </cell>
        </row>
        <row r="143">
          <cell r="H143" t="str">
            <v>Newspaper</v>
          </cell>
          <cell r="I143">
            <v>7950</v>
          </cell>
          <cell r="J143" t="str">
            <v>b</v>
          </cell>
          <cell r="K143">
            <v>15.9</v>
          </cell>
          <cell r="L143">
            <v>0.17827700000000002</v>
          </cell>
          <cell r="M143">
            <v>0.16268131666666663</v>
          </cell>
          <cell r="N143">
            <v>0.2299196632451557</v>
          </cell>
          <cell r="O143">
            <v>0.65173126608927046</v>
          </cell>
          <cell r="Q143">
            <v>0.59471777335402853</v>
          </cell>
        </row>
        <row r="144">
          <cell r="H144" t="str">
            <v>Office Paper</v>
          </cell>
          <cell r="I144">
            <v>6800</v>
          </cell>
          <cell r="J144" t="str">
            <v>b,f</v>
          </cell>
          <cell r="K144">
            <v>13.6</v>
          </cell>
          <cell r="L144">
            <v>0.17827700000000002</v>
          </cell>
          <cell r="M144">
            <v>0.16268131666666663</v>
          </cell>
          <cell r="N144">
            <v>0.2299196632451557</v>
          </cell>
          <cell r="O144">
            <v>0.55745567413925012</v>
          </cell>
          <cell r="Q144">
            <v>0.50868941620218799</v>
          </cell>
        </row>
        <row r="145">
          <cell r="H145" t="str">
            <v>Phonebooks</v>
          </cell>
          <cell r="I145">
            <v>7950</v>
          </cell>
          <cell r="J145" t="str">
            <v>g</v>
          </cell>
          <cell r="K145">
            <v>15.9</v>
          </cell>
          <cell r="L145">
            <v>0.17827700000000002</v>
          </cell>
          <cell r="M145">
            <v>0.16268131666666663</v>
          </cell>
          <cell r="N145">
            <v>0.2299196632451557</v>
          </cell>
          <cell r="O145">
            <v>0.65173126608927046</v>
          </cell>
          <cell r="Q145">
            <v>0.59471777335402853</v>
          </cell>
        </row>
        <row r="146">
          <cell r="H146" t="str">
            <v>Textbooks</v>
          </cell>
          <cell r="I146">
            <v>6800</v>
          </cell>
          <cell r="J146" t="str">
            <v>h</v>
          </cell>
          <cell r="K146">
            <v>13.6</v>
          </cell>
          <cell r="L146">
            <v>0.17827700000000002</v>
          </cell>
          <cell r="M146">
            <v>0.16268131666666663</v>
          </cell>
          <cell r="N146">
            <v>0.2299196632451557</v>
          </cell>
          <cell r="O146">
            <v>0.55745567413925012</v>
          </cell>
          <cell r="Q146">
            <v>0.50868941620218799</v>
          </cell>
        </row>
        <row r="147">
          <cell r="H147" t="str">
            <v>Dimensional Lumber</v>
          </cell>
          <cell r="I147">
            <v>8300</v>
          </cell>
          <cell r="J147" t="str">
            <v>i</v>
          </cell>
          <cell r="K147">
            <v>16.600000000000001</v>
          </cell>
          <cell r="L147">
            <v>0.17827700000000002</v>
          </cell>
          <cell r="M147">
            <v>0.16268131666666663</v>
          </cell>
          <cell r="N147">
            <v>0.2299196632451557</v>
          </cell>
          <cell r="O147">
            <v>0.68042383755232005</v>
          </cell>
          <cell r="Q147">
            <v>0.62090031683502356</v>
          </cell>
        </row>
        <row r="148">
          <cell r="H148" t="str">
            <v>Medium-density Fiberboard</v>
          </cell>
          <cell r="I148">
            <v>8300</v>
          </cell>
          <cell r="J148" t="str">
            <v>i</v>
          </cell>
          <cell r="K148">
            <v>16.600000000000001</v>
          </cell>
          <cell r="L148">
            <v>0.17827700000000002</v>
          </cell>
          <cell r="M148">
            <v>0.16268131666666663</v>
          </cell>
          <cell r="N148">
            <v>0.2299196632451557</v>
          </cell>
          <cell r="O148">
            <v>0.68042383755232005</v>
          </cell>
          <cell r="Q148">
            <v>0.62090031683502356</v>
          </cell>
        </row>
        <row r="149">
          <cell r="H149" t="str">
            <v>Food Waste</v>
          </cell>
          <cell r="I149">
            <v>2370</v>
          </cell>
          <cell r="J149" t="str">
            <v>b</v>
          </cell>
          <cell r="K149">
            <v>4.74</v>
          </cell>
          <cell r="L149">
            <v>0.17827700000000002</v>
          </cell>
          <cell r="M149">
            <v>0.16268131666666663</v>
          </cell>
          <cell r="N149">
            <v>0.2299196632451557</v>
          </cell>
          <cell r="O149">
            <v>0.19428969819265043</v>
          </cell>
          <cell r="Q149">
            <v>0.17729322299988023</v>
          </cell>
        </row>
        <row r="150">
          <cell r="H150" t="str">
            <v>Food Waste (non-meat)</v>
          </cell>
          <cell r="I150">
            <v>2370</v>
          </cell>
          <cell r="J150" t="str">
            <v>b</v>
          </cell>
          <cell r="K150">
            <v>4.74</v>
          </cell>
          <cell r="L150">
            <v>0.17827700000000002</v>
          </cell>
          <cell r="M150">
            <v>0.16268131666666663</v>
          </cell>
          <cell r="N150">
            <v>0.2299196632451557</v>
          </cell>
          <cell r="O150">
            <v>0.19428969819265043</v>
          </cell>
          <cell r="Q150">
            <v>0.17729322299988023</v>
          </cell>
        </row>
        <row r="151">
          <cell r="H151" t="str">
            <v>Food Waste (meat only)</v>
          </cell>
          <cell r="I151">
            <v>2370</v>
          </cell>
          <cell r="J151" t="str">
            <v>b</v>
          </cell>
          <cell r="K151">
            <v>4.74</v>
          </cell>
          <cell r="L151">
            <v>0.17827700000000002</v>
          </cell>
          <cell r="M151">
            <v>0.16268131666666663</v>
          </cell>
          <cell r="N151">
            <v>0.2299196632451557</v>
          </cell>
          <cell r="O151">
            <v>0.19428969819265043</v>
          </cell>
          <cell r="Q151">
            <v>0.17729322299988023</v>
          </cell>
        </row>
        <row r="152">
          <cell r="H152" t="str">
            <v>Beef</v>
          </cell>
          <cell r="I152">
            <v>2370</v>
          </cell>
          <cell r="J152" t="str">
            <v>b</v>
          </cell>
          <cell r="K152">
            <v>4.74</v>
          </cell>
          <cell r="L152">
            <v>0.17827700000000002</v>
          </cell>
          <cell r="M152">
            <v>0.16268131666666663</v>
          </cell>
          <cell r="N152">
            <v>0.2299196632451557</v>
          </cell>
          <cell r="O152">
            <v>0.19428969819265043</v>
          </cell>
          <cell r="Q152">
            <v>0.17729322299988023</v>
          </cell>
        </row>
        <row r="153">
          <cell r="H153" t="str">
            <v>Poultry</v>
          </cell>
          <cell r="I153">
            <v>2370</v>
          </cell>
          <cell r="J153" t="str">
            <v>b</v>
          </cell>
          <cell r="K153">
            <v>4.74</v>
          </cell>
          <cell r="L153">
            <v>0.17827700000000002</v>
          </cell>
          <cell r="M153">
            <v>0.16268131666666663</v>
          </cell>
          <cell r="N153">
            <v>0.2299196632451557</v>
          </cell>
          <cell r="O153">
            <v>0.19428969819265043</v>
          </cell>
          <cell r="Q153">
            <v>0.17729322299988023</v>
          </cell>
        </row>
        <row r="154">
          <cell r="H154" t="str">
            <v>Grains</v>
          </cell>
          <cell r="I154">
            <v>2370</v>
          </cell>
          <cell r="J154" t="str">
            <v>b</v>
          </cell>
          <cell r="K154">
            <v>4.74</v>
          </cell>
          <cell r="L154">
            <v>0.17827700000000002</v>
          </cell>
          <cell r="M154">
            <v>0.16268131666666663</v>
          </cell>
          <cell r="N154">
            <v>0.2299196632451557</v>
          </cell>
          <cell r="O154">
            <v>0.19428969819265043</v>
          </cell>
          <cell r="Q154">
            <v>0.17729322299988023</v>
          </cell>
        </row>
        <row r="155">
          <cell r="H155" t="str">
            <v>Bread</v>
          </cell>
          <cell r="I155">
            <v>2370</v>
          </cell>
          <cell r="J155" t="str">
            <v>b</v>
          </cell>
          <cell r="K155">
            <v>4.74</v>
          </cell>
          <cell r="L155">
            <v>0.17827700000000002</v>
          </cell>
          <cell r="M155">
            <v>0.16268131666666663</v>
          </cell>
          <cell r="N155">
            <v>0.2299196632451557</v>
          </cell>
          <cell r="O155">
            <v>0.19428969819265043</v>
          </cell>
          <cell r="Q155">
            <v>0.17729322299988023</v>
          </cell>
        </row>
        <row r="156">
          <cell r="H156" t="str">
            <v>Fruits and Vegetables</v>
          </cell>
          <cell r="I156">
            <v>2370</v>
          </cell>
          <cell r="J156" t="str">
            <v>b</v>
          </cell>
          <cell r="K156">
            <v>4.74</v>
          </cell>
          <cell r="L156">
            <v>0.17827700000000002</v>
          </cell>
          <cell r="M156">
            <v>0.16268131666666663</v>
          </cell>
          <cell r="N156">
            <v>0.2299196632451557</v>
          </cell>
          <cell r="O156">
            <v>0.19428969819265043</v>
          </cell>
          <cell r="Q156">
            <v>0.17729322299988023</v>
          </cell>
        </row>
        <row r="157">
          <cell r="H157" t="str">
            <v>Dairy Products</v>
          </cell>
          <cell r="I157">
            <v>2370</v>
          </cell>
          <cell r="J157" t="str">
            <v>b</v>
          </cell>
          <cell r="K157">
            <v>4.74</v>
          </cell>
          <cell r="L157">
            <v>0.17827700000000002</v>
          </cell>
          <cell r="M157">
            <v>0.16268131666666663</v>
          </cell>
          <cell r="N157">
            <v>0.2299196632451557</v>
          </cell>
          <cell r="O157">
            <v>0.19428969819265043</v>
          </cell>
          <cell r="Q157">
            <v>0.17729322299988023</v>
          </cell>
        </row>
        <row r="158">
          <cell r="H158" t="str">
            <v>Yard Trimmings</v>
          </cell>
          <cell r="I158">
            <v>2800</v>
          </cell>
          <cell r="J158" t="str">
            <v>j</v>
          </cell>
          <cell r="K158">
            <v>5.6</v>
          </cell>
          <cell r="L158">
            <v>0.17827700000000002</v>
          </cell>
          <cell r="M158">
            <v>0.16268131666666663</v>
          </cell>
          <cell r="N158">
            <v>0.2299196632451557</v>
          </cell>
          <cell r="O158">
            <v>0.2295405717043971</v>
          </cell>
          <cell r="Q158">
            <v>0.20946034784795972</v>
          </cell>
        </row>
        <row r="159">
          <cell r="H159" t="str">
            <v>Mixed MSW</v>
          </cell>
          <cell r="I159">
            <v>5000</v>
          </cell>
          <cell r="J159" t="str">
            <v>k</v>
          </cell>
          <cell r="K159">
            <v>10</v>
          </cell>
          <cell r="L159">
            <v>0.17827700000000002</v>
          </cell>
          <cell r="M159">
            <v>0.16268131666666663</v>
          </cell>
          <cell r="N159">
            <v>0.2299196632451557</v>
          </cell>
          <cell r="O159">
            <v>0.40989387804356625</v>
          </cell>
          <cell r="Q159">
            <v>0.37403633544278525</v>
          </cell>
        </row>
        <row r="160">
          <cell r="H160" t="str">
            <v>Carpet</v>
          </cell>
          <cell r="I160">
            <v>7600</v>
          </cell>
          <cell r="J160" t="str">
            <v>l</v>
          </cell>
          <cell r="K160">
            <v>15.2</v>
          </cell>
          <cell r="L160">
            <v>0.17827700000000002</v>
          </cell>
          <cell r="M160">
            <v>0.16268131666666663</v>
          </cell>
          <cell r="N160">
            <v>0.2299196632451557</v>
          </cell>
          <cell r="O160">
            <v>0.62303869462622075</v>
          </cell>
          <cell r="Q160">
            <v>0.56853522987303362</v>
          </cell>
        </row>
        <row r="161">
          <cell r="H161" t="str">
            <v>Personal Computers</v>
          </cell>
          <cell r="I161">
            <v>1533.3333333333335</v>
          </cell>
          <cell r="J161" t="str">
            <v>m</v>
          </cell>
          <cell r="K161">
            <v>3.0666666666666669</v>
          </cell>
          <cell r="L161">
            <v>0.17827700000000002</v>
          </cell>
          <cell r="M161">
            <v>0.16268131666666663</v>
          </cell>
          <cell r="N161">
            <v>0.2299196632451557</v>
          </cell>
          <cell r="O161">
            <v>0.12570078926669367</v>
          </cell>
          <cell r="Q161">
            <v>0.11470447620245415</v>
          </cell>
        </row>
        <row r="162">
          <cell r="H162" t="str">
            <v>Tires</v>
          </cell>
          <cell r="I162">
            <v>13888.888888888887</v>
          </cell>
          <cell r="K162">
            <v>27.777777777777775</v>
          </cell>
          <cell r="L162" t="str">
            <v>NA</v>
          </cell>
          <cell r="M162" t="str">
            <v>NA</v>
          </cell>
          <cell r="N162" t="str">
            <v>NA</v>
          </cell>
          <cell r="O162">
            <v>1.5659939377631629</v>
          </cell>
          <cell r="Q162">
            <v>1.5659939377631629</v>
          </cell>
        </row>
        <row r="163">
          <cell r="H163" t="str">
            <v>Asphalt Concrete</v>
          </cell>
          <cell r="I163" t="str">
            <v>NA</v>
          </cell>
          <cell r="K163" t="str">
            <v>NA</v>
          </cell>
          <cell r="L163" t="str">
            <v>NA</v>
          </cell>
          <cell r="M163" t="str">
            <v>NA</v>
          </cell>
          <cell r="N163" t="str">
            <v>NA</v>
          </cell>
          <cell r="O163" t="str">
            <v>NA</v>
          </cell>
          <cell r="P163" t="str">
            <v>*</v>
          </cell>
          <cell r="Q163" t="str">
            <v>NA</v>
          </cell>
          <cell r="R163" t="str">
            <v>*</v>
          </cell>
        </row>
        <row r="164">
          <cell r="H164" t="str">
            <v>Paper Felt Shingle</v>
          </cell>
          <cell r="I164">
            <v>7199.9999999999991</v>
          </cell>
          <cell r="K164">
            <v>14.399999999999999</v>
          </cell>
          <cell r="L164" t="str">
            <v>NA</v>
          </cell>
          <cell r="M164" t="str">
            <v>NA</v>
          </cell>
          <cell r="N164" t="str">
            <v>NA</v>
          </cell>
          <cell r="O164">
            <v>1.7236799999999992</v>
          </cell>
          <cell r="P164" t="str">
            <v>*</v>
          </cell>
          <cell r="Q164">
            <v>1.7236799999999992</v>
          </cell>
          <cell r="R164" t="str">
            <v>*</v>
          </cell>
        </row>
        <row r="165">
          <cell r="H165" t="str">
            <v>Asphalt Shingles</v>
          </cell>
          <cell r="I165">
            <v>4399.9999999999991</v>
          </cell>
          <cell r="K165">
            <v>8.7999999999999989</v>
          </cell>
          <cell r="L165" t="str">
            <v>NA</v>
          </cell>
          <cell r="M165" t="str">
            <v>NA</v>
          </cell>
          <cell r="N165" t="str">
            <v>NA</v>
          </cell>
          <cell r="O165">
            <v>1.0533599999999996</v>
          </cell>
          <cell r="P165" t="str">
            <v>*</v>
          </cell>
          <cell r="Q165">
            <v>1.0533599999999996</v>
          </cell>
          <cell r="R165" t="str">
            <v>*</v>
          </cell>
        </row>
        <row r="166">
          <cell r="H166" t="str">
            <v>Drywall</v>
          </cell>
          <cell r="I166" t="str">
            <v>NA</v>
          </cell>
          <cell r="K166" t="str">
            <v>NA</v>
          </cell>
          <cell r="L166" t="str">
            <v>NA</v>
          </cell>
          <cell r="M166" t="str">
            <v>NA</v>
          </cell>
          <cell r="N166" t="str">
            <v>NA</v>
          </cell>
          <cell r="O166" t="str">
            <v>NA</v>
          </cell>
          <cell r="Q166" t="str">
            <v>NA</v>
          </cell>
        </row>
        <row r="167">
          <cell r="H167" t="str">
            <v>Fiberglass Insulation</v>
          </cell>
          <cell r="I167" t="str">
            <v>NA</v>
          </cell>
          <cell r="K167" t="str">
            <v>NA</v>
          </cell>
          <cell r="L167" t="str">
            <v>NA</v>
          </cell>
          <cell r="M167" t="str">
            <v>NA</v>
          </cell>
          <cell r="N167" t="str">
            <v>NA</v>
          </cell>
          <cell r="O167" t="str">
            <v>NA</v>
          </cell>
          <cell r="Q167" t="str">
            <v>NA</v>
          </cell>
        </row>
        <row r="168">
          <cell r="H168" t="str">
            <v>Vinyl Flooring</v>
          </cell>
          <cell r="I168">
            <v>7875</v>
          </cell>
          <cell r="K168">
            <v>15.75</v>
          </cell>
          <cell r="L168">
            <v>0.17827700000000002</v>
          </cell>
          <cell r="M168">
            <v>0.16268131666666663</v>
          </cell>
          <cell r="N168">
            <v>0.2299196632451557</v>
          </cell>
          <cell r="O168">
            <v>0.64558285791861691</v>
          </cell>
          <cell r="P168">
            <v>0.58910722832238671</v>
          </cell>
          <cell r="Q168">
            <v>0.58910722832238671</v>
          </cell>
        </row>
        <row r="169">
          <cell r="H169" t="str">
            <v>Wood Flooring</v>
          </cell>
          <cell r="I169">
            <v>8993.4575501382224</v>
          </cell>
          <cell r="K169">
            <v>17.986915100276445</v>
          </cell>
          <cell r="L169">
            <v>0.21532527051987507</v>
          </cell>
          <cell r="M169">
            <v>0.16268131666666663</v>
          </cell>
          <cell r="N169">
            <v>0.2299196632451557</v>
          </cell>
          <cell r="O169">
            <v>0.89048744549768588</v>
          </cell>
          <cell r="P169">
            <v>0.67277598100279001</v>
          </cell>
          <cell r="Q169">
            <v>0.67277598100279001</v>
          </cell>
        </row>
        <row r="170">
          <cell r="H170" t="str">
            <v>Aluminum Ingot</v>
          </cell>
          <cell r="I170">
            <v>-335</v>
          </cell>
          <cell r="J170" t="str">
            <v>a</v>
          </cell>
          <cell r="K170">
            <v>-0.67</v>
          </cell>
          <cell r="L170">
            <v>0.17827700000000002</v>
          </cell>
          <cell r="M170">
            <v>0.16268131666666663</v>
          </cell>
          <cell r="N170">
            <v>0.2299196632451557</v>
          </cell>
          <cell r="O170">
            <v>-2.7462889828918941E-2</v>
          </cell>
          <cell r="P170" t="str">
            <v>*</v>
          </cell>
          <cell r="Q170">
            <v>-2.5060434474666615E-2</v>
          </cell>
          <cell r="R170" t="str">
            <v>*</v>
          </cell>
        </row>
        <row r="171">
          <cell r="H171" t="str">
            <v>PLA</v>
          </cell>
          <cell r="I171">
            <v>8368</v>
          </cell>
          <cell r="K171">
            <v>16.736000000000001</v>
          </cell>
          <cell r="L171">
            <v>0.17827700000000002</v>
          </cell>
          <cell r="M171">
            <v>0.16268131666666663</v>
          </cell>
          <cell r="N171">
            <v>0.2299196632451557</v>
          </cell>
          <cell r="O171">
            <v>0.68599839429371257</v>
          </cell>
          <cell r="P171" t="str">
            <v>*</v>
          </cell>
          <cell r="Q171">
            <v>0.62598721099704546</v>
          </cell>
          <cell r="R171" t="str">
            <v>*</v>
          </cell>
        </row>
        <row r="172">
          <cell r="H172" t="str">
            <v>LLDPE</v>
          </cell>
          <cell r="I172">
            <v>19946</v>
          </cell>
          <cell r="K172">
            <v>39.892000000000003</v>
          </cell>
          <cell r="L172">
            <v>0.17827700000000002</v>
          </cell>
          <cell r="M172">
            <v>0.16268131666666663</v>
          </cell>
          <cell r="N172">
            <v>0.2299196632451557</v>
          </cell>
          <cell r="O172">
            <v>1.6351486582913948</v>
          </cell>
          <cell r="Q172">
            <v>1.4921057493483592</v>
          </cell>
        </row>
        <row r="173">
          <cell r="H173" t="str">
            <v>PP</v>
          </cell>
          <cell r="I173">
            <v>19948</v>
          </cell>
          <cell r="K173">
            <v>39.896000000000001</v>
          </cell>
          <cell r="L173">
            <v>0.17827700000000002</v>
          </cell>
          <cell r="M173">
            <v>0.16268131666666663</v>
          </cell>
          <cell r="N173">
            <v>0.2299196632451557</v>
          </cell>
          <cell r="O173">
            <v>1.6353126158426119</v>
          </cell>
          <cell r="Q173">
            <v>1.492255363882536</v>
          </cell>
        </row>
        <row r="174">
          <cell r="H174" t="str">
            <v>PS</v>
          </cell>
          <cell r="I174">
            <v>18000</v>
          </cell>
          <cell r="K174">
            <v>36</v>
          </cell>
          <cell r="L174">
            <v>0.17827700000000002</v>
          </cell>
          <cell r="M174">
            <v>0.16268131666666663</v>
          </cell>
          <cell r="N174">
            <v>0.2299196632451557</v>
          </cell>
          <cell r="O174">
            <v>1.4756179609568385</v>
          </cell>
          <cell r="Q174">
            <v>1.346530807594027</v>
          </cell>
        </row>
        <row r="175">
          <cell r="H175" t="str">
            <v>PVC</v>
          </cell>
          <cell r="I175">
            <v>7875</v>
          </cell>
          <cell r="K175">
            <v>15.75</v>
          </cell>
          <cell r="L175">
            <v>0.17827700000000002</v>
          </cell>
          <cell r="M175">
            <v>0.16268131666666663</v>
          </cell>
          <cell r="N175">
            <v>0.2299196632451557</v>
          </cell>
          <cell r="O175">
            <v>0.64558285791861691</v>
          </cell>
          <cell r="Q175">
            <v>0.58910722832238671</v>
          </cell>
        </row>
        <row r="177">
          <cell r="H177" t="str">
            <v>Exhibit 6-2</v>
          </cell>
        </row>
        <row r="178">
          <cell r="H178" t="str">
            <v>Avoided Utility GHG Emissions from Combustion at Mass Burn and RDF Facilities- West-North Central</v>
          </cell>
        </row>
        <row r="179">
          <cell r="H179" t="str">
            <v>West North Central</v>
          </cell>
        </row>
        <row r="180">
          <cell r="H180" t="str">
            <v>(a)</v>
          </cell>
          <cell r="I180" t="str">
            <v xml:space="preserve">(b) </v>
          </cell>
          <cell r="K180" t="str">
            <v>(c)</v>
          </cell>
          <cell r="L180" t="str">
            <v xml:space="preserve">(d) </v>
          </cell>
          <cell r="M180" t="str">
            <v xml:space="preserve">(e)                  </v>
          </cell>
          <cell r="N180" t="str">
            <v>(f)</v>
          </cell>
          <cell r="O180" t="str">
            <v xml:space="preserve">(g) </v>
          </cell>
          <cell r="Q180" t="str">
            <v xml:space="preserve">(h)                  </v>
          </cell>
        </row>
        <row r="181">
          <cell r="H181" t="str">
            <v>Material Combusted</v>
          </cell>
          <cell r="I181" t="str">
            <v>Energy Content (Btu Per Pound)</v>
          </cell>
          <cell r="K181" t="str">
            <v>Energy Content (Million Btu Per Ton)</v>
          </cell>
          <cell r="L181" t="str">
            <v>Mass Burn Combustion System Efficiency (Percent)</v>
          </cell>
          <cell r="M181" t="str">
            <v>RDF Combustion System Efficiency (Percent)</v>
          </cell>
          <cell r="N181" t="str">
            <v>Emission Factor for Utility-Generated Electricity (MTCO2E/
Million Btu of Electricity Delivered)</v>
          </cell>
          <cell r="O181" t="str">
            <v>(g = c * d * f) Avoided Utility CO2 Per Ton Combusted at Mass Burn Facilities (MTCO2E)</v>
          </cell>
          <cell r="Q181" t="str">
            <v>(h = c * e * f)
Avoided Utility CO2 Per Ton Combusted at RDF Facilities (MTCO2E)</v>
          </cell>
        </row>
        <row r="182">
          <cell r="H182" t="str">
            <v>Aluminum Cans</v>
          </cell>
          <cell r="I182">
            <v>-335</v>
          </cell>
          <cell r="J182" t="str">
            <v>a</v>
          </cell>
          <cell r="K182">
            <v>-0.67</v>
          </cell>
          <cell r="L182">
            <v>0.17827700000000002</v>
          </cell>
          <cell r="M182">
            <v>0.16268131666666663</v>
          </cell>
          <cell r="N182">
            <v>0.29402591650444498</v>
          </cell>
          <cell r="O182">
            <v>-3.5120099072164172E-2</v>
          </cell>
          <cell r="P182" t="str">
            <v>*</v>
          </cell>
          <cell r="Q182">
            <v>-3.2047790564814556E-2</v>
          </cell>
          <cell r="R182" t="str">
            <v>*</v>
          </cell>
        </row>
        <row r="183">
          <cell r="H183" t="str">
            <v>Steel Cans</v>
          </cell>
          <cell r="I183">
            <v>-210</v>
          </cell>
          <cell r="J183" t="str">
            <v>a</v>
          </cell>
          <cell r="K183">
            <v>-0.42</v>
          </cell>
          <cell r="L183">
            <v>0.17827700000000002</v>
          </cell>
          <cell r="M183">
            <v>0.16268131666666663</v>
          </cell>
          <cell r="N183">
            <v>0.29402591650444498</v>
          </cell>
          <cell r="O183">
            <v>-2.2015584492998435E-2</v>
          </cell>
          <cell r="P183" t="str">
            <v>*</v>
          </cell>
          <cell r="Q183">
            <v>-2.0089659757047931E-2</v>
          </cell>
          <cell r="R183" t="str">
            <v>*</v>
          </cell>
        </row>
        <row r="184">
          <cell r="H184" t="str">
            <v>Copper Wire</v>
          </cell>
          <cell r="I184">
            <v>-272.5</v>
          </cell>
          <cell r="K184">
            <v>-0.54500000000000004</v>
          </cell>
          <cell r="L184">
            <v>0.17827700000000002</v>
          </cell>
          <cell r="M184">
            <v>0.16268131666666663</v>
          </cell>
          <cell r="N184">
            <v>0.29402591650444498</v>
          </cell>
          <cell r="O184">
            <v>-2.8567841782581305E-2</v>
          </cell>
          <cell r="P184" t="str">
            <v>*</v>
          </cell>
          <cell r="Q184">
            <v>-2.6068725160931241E-2</v>
          </cell>
          <cell r="R184" t="str">
            <v>*</v>
          </cell>
        </row>
        <row r="185">
          <cell r="H185" t="str">
            <v>Glass</v>
          </cell>
          <cell r="I185">
            <v>-235</v>
          </cell>
          <cell r="J185" t="str">
            <v>a</v>
          </cell>
          <cell r="K185">
            <v>-0.47</v>
          </cell>
          <cell r="L185">
            <v>0.17827700000000002</v>
          </cell>
          <cell r="M185">
            <v>0.16268131666666663</v>
          </cell>
          <cell r="N185">
            <v>0.29402591650444498</v>
          </cell>
          <cell r="O185">
            <v>-2.4636487408831582E-2</v>
          </cell>
          <cell r="P185" t="str">
            <v>*</v>
          </cell>
          <cell r="Q185">
            <v>-2.2481285918601254E-2</v>
          </cell>
          <cell r="R185" t="str">
            <v>*</v>
          </cell>
        </row>
        <row r="186">
          <cell r="H186" t="str">
            <v>HDPE</v>
          </cell>
          <cell r="I186">
            <v>19985</v>
          </cell>
          <cell r="J186" t="str">
            <v>n</v>
          </cell>
          <cell r="K186">
            <v>39.97</v>
          </cell>
          <cell r="L186">
            <v>0.17827700000000002</v>
          </cell>
          <cell r="M186">
            <v>0.16268131666666663</v>
          </cell>
          <cell r="N186">
            <v>0.29402591650444498</v>
          </cell>
          <cell r="O186">
            <v>2.0951497909170178</v>
          </cell>
          <cell r="Q186">
            <v>1.9118659535457279</v>
          </cell>
        </row>
        <row r="187">
          <cell r="H187" t="str">
            <v>LDPE</v>
          </cell>
          <cell r="I187">
            <v>19877</v>
          </cell>
          <cell r="J187" t="str">
            <v>n</v>
          </cell>
          <cell r="K187">
            <v>39.753999999999998</v>
          </cell>
          <cell r="L187">
            <v>0.17827700000000002</v>
          </cell>
          <cell r="M187">
            <v>0.16268131666666663</v>
          </cell>
          <cell r="N187">
            <v>0.29402591650444498</v>
          </cell>
          <cell r="O187">
            <v>2.0838274903206186</v>
          </cell>
          <cell r="Q187">
            <v>1.9015341285278173</v>
          </cell>
        </row>
        <row r="188">
          <cell r="H188" t="str">
            <v>PET</v>
          </cell>
          <cell r="I188">
            <v>10600</v>
          </cell>
          <cell r="J188" t="str">
            <v>n</v>
          </cell>
          <cell r="K188">
            <v>21.2</v>
          </cell>
          <cell r="L188">
            <v>0.17827700000000002</v>
          </cell>
          <cell r="M188">
            <v>0.16268131666666663</v>
          </cell>
          <cell r="N188">
            <v>0.29402591650444498</v>
          </cell>
          <cell r="O188">
            <v>1.1112628363132544</v>
          </cell>
          <cell r="Q188">
            <v>1.0140494924986097</v>
          </cell>
        </row>
        <row r="189">
          <cell r="H189" t="str">
            <v>Corrugated Containers</v>
          </cell>
          <cell r="I189">
            <v>7043</v>
          </cell>
          <cell r="J189" t="str">
            <v>b</v>
          </cell>
          <cell r="K189">
            <v>14.086</v>
          </cell>
          <cell r="L189">
            <v>0.17827700000000002</v>
          </cell>
          <cell r="M189">
            <v>0.16268131666666663</v>
          </cell>
          <cell r="N189">
            <v>0.29402591650444498</v>
          </cell>
          <cell r="O189">
            <v>0.73836076944851425</v>
          </cell>
          <cell r="Q189">
            <v>0.67376892223280271</v>
          </cell>
        </row>
        <row r="190">
          <cell r="H190" t="str">
            <v>Magazines/Third-class Mail</v>
          </cell>
          <cell r="I190">
            <v>5258</v>
          </cell>
          <cell r="J190" t="str">
            <v>d</v>
          </cell>
          <cell r="K190">
            <v>10.516</v>
          </cell>
          <cell r="L190">
            <v>0.17827700000000002</v>
          </cell>
          <cell r="M190">
            <v>0.16268131666666663</v>
          </cell>
          <cell r="N190">
            <v>0.29402591650444498</v>
          </cell>
          <cell r="O190">
            <v>0.55122830125802758</v>
          </cell>
          <cell r="Q190">
            <v>0.50300681429789529</v>
          </cell>
        </row>
        <row r="191">
          <cell r="H191" t="str">
            <v>Newspaper</v>
          </cell>
          <cell r="I191">
            <v>7950</v>
          </cell>
          <cell r="J191" t="str">
            <v>b</v>
          </cell>
          <cell r="K191">
            <v>15.9</v>
          </cell>
          <cell r="L191">
            <v>0.17827700000000002</v>
          </cell>
          <cell r="M191">
            <v>0.16268131666666663</v>
          </cell>
          <cell r="N191">
            <v>0.29402591650444498</v>
          </cell>
          <cell r="O191">
            <v>0.83344712723494085</v>
          </cell>
          <cell r="Q191">
            <v>0.76053711937395729</v>
          </cell>
        </row>
        <row r="192">
          <cell r="H192" t="str">
            <v>Office Paper</v>
          </cell>
          <cell r="I192">
            <v>6800</v>
          </cell>
          <cell r="J192" t="str">
            <v>b,f</v>
          </cell>
          <cell r="K192">
            <v>13.6</v>
          </cell>
          <cell r="L192">
            <v>0.17827700000000002</v>
          </cell>
          <cell r="M192">
            <v>0.16268131666666663</v>
          </cell>
          <cell r="N192">
            <v>0.29402591650444498</v>
          </cell>
          <cell r="O192">
            <v>0.71288559310661603</v>
          </cell>
          <cell r="Q192">
            <v>0.65052231594250431</v>
          </cell>
        </row>
        <row r="193">
          <cell r="H193" t="str">
            <v>Phonebooks</v>
          </cell>
          <cell r="I193">
            <v>7950</v>
          </cell>
          <cell r="J193" t="str">
            <v>g</v>
          </cell>
          <cell r="K193">
            <v>15.9</v>
          </cell>
          <cell r="L193">
            <v>0.17827700000000002</v>
          </cell>
          <cell r="M193">
            <v>0.16268131666666663</v>
          </cell>
          <cell r="N193">
            <v>0.29402591650444498</v>
          </cell>
          <cell r="O193">
            <v>0.83344712723494085</v>
          </cell>
          <cell r="Q193">
            <v>0.76053711937395729</v>
          </cell>
        </row>
        <row r="194">
          <cell r="H194" t="str">
            <v>Textbooks</v>
          </cell>
          <cell r="I194">
            <v>6800</v>
          </cell>
          <cell r="J194" t="str">
            <v>h</v>
          </cell>
          <cell r="K194">
            <v>13.6</v>
          </cell>
          <cell r="L194">
            <v>0.17827700000000002</v>
          </cell>
          <cell r="M194">
            <v>0.16268131666666663</v>
          </cell>
          <cell r="N194">
            <v>0.29402591650444498</v>
          </cell>
          <cell r="O194">
            <v>0.71288559310661603</v>
          </cell>
          <cell r="Q194">
            <v>0.65052231594250431</v>
          </cell>
        </row>
        <row r="195">
          <cell r="H195" t="str">
            <v>Dimensional Lumber</v>
          </cell>
          <cell r="I195">
            <v>8300</v>
          </cell>
          <cell r="J195" t="str">
            <v>i</v>
          </cell>
          <cell r="K195">
            <v>16.600000000000001</v>
          </cell>
          <cell r="L195">
            <v>0.17827700000000002</v>
          </cell>
          <cell r="M195">
            <v>0.16268131666666663</v>
          </cell>
          <cell r="N195">
            <v>0.29402591650444498</v>
          </cell>
          <cell r="O195">
            <v>0.87013976805660498</v>
          </cell>
          <cell r="Q195">
            <v>0.79401988563570391</v>
          </cell>
        </row>
        <row r="196">
          <cell r="H196" t="str">
            <v>Medium-density Fiberboard</v>
          </cell>
          <cell r="I196">
            <v>8300</v>
          </cell>
          <cell r="J196" t="str">
            <v>i</v>
          </cell>
          <cell r="K196">
            <v>16.600000000000001</v>
          </cell>
          <cell r="L196">
            <v>0.17827700000000002</v>
          </cell>
          <cell r="M196">
            <v>0.16268131666666663</v>
          </cell>
          <cell r="N196">
            <v>0.29402591650444498</v>
          </cell>
          <cell r="O196">
            <v>0.87013976805660498</v>
          </cell>
          <cell r="Q196">
            <v>0.79401988563570391</v>
          </cell>
        </row>
        <row r="197">
          <cell r="H197" t="str">
            <v>Food Waste</v>
          </cell>
          <cell r="I197">
            <v>2370</v>
          </cell>
          <cell r="J197" t="str">
            <v>b</v>
          </cell>
          <cell r="K197">
            <v>4.74</v>
          </cell>
          <cell r="L197">
            <v>0.17827700000000002</v>
          </cell>
          <cell r="M197">
            <v>0.16268131666666663</v>
          </cell>
          <cell r="N197">
            <v>0.29402591650444498</v>
          </cell>
          <cell r="O197">
            <v>0.24846159642098237</v>
          </cell>
          <cell r="Q197">
            <v>0.2267261601152552</v>
          </cell>
        </row>
        <row r="198">
          <cell r="H198" t="str">
            <v>Food Waste (non-meat)</v>
          </cell>
          <cell r="I198">
            <v>2370</v>
          </cell>
          <cell r="J198" t="str">
            <v>b</v>
          </cell>
          <cell r="K198">
            <v>4.74</v>
          </cell>
          <cell r="L198">
            <v>0.17827700000000002</v>
          </cell>
          <cell r="M198">
            <v>0.16268131666666663</v>
          </cell>
          <cell r="N198">
            <v>0.29402591650444498</v>
          </cell>
          <cell r="O198">
            <v>0.24846159642098237</v>
          </cell>
          <cell r="Q198">
            <v>0.2267261601152552</v>
          </cell>
        </row>
        <row r="199">
          <cell r="H199" t="str">
            <v>Food Waste (meat only)</v>
          </cell>
          <cell r="I199">
            <v>2370</v>
          </cell>
          <cell r="J199" t="str">
            <v>b</v>
          </cell>
          <cell r="K199">
            <v>4.74</v>
          </cell>
          <cell r="L199">
            <v>0.17827700000000002</v>
          </cell>
          <cell r="M199">
            <v>0.16268131666666663</v>
          </cell>
          <cell r="N199">
            <v>0.29402591650444498</v>
          </cell>
          <cell r="O199">
            <v>0.24846159642098237</v>
          </cell>
          <cell r="Q199">
            <v>0.2267261601152552</v>
          </cell>
        </row>
        <row r="200">
          <cell r="H200" t="str">
            <v>Beef</v>
          </cell>
          <cell r="I200">
            <v>2370</v>
          </cell>
          <cell r="J200" t="str">
            <v>b</v>
          </cell>
          <cell r="K200">
            <v>4.74</v>
          </cell>
          <cell r="L200">
            <v>0.17827700000000002</v>
          </cell>
          <cell r="M200">
            <v>0.16268131666666663</v>
          </cell>
          <cell r="N200">
            <v>0.29402591650444498</v>
          </cell>
          <cell r="O200">
            <v>0.24846159642098237</v>
          </cell>
          <cell r="Q200">
            <v>0.2267261601152552</v>
          </cell>
        </row>
        <row r="201">
          <cell r="H201" t="str">
            <v>Poultry</v>
          </cell>
          <cell r="I201">
            <v>2370</v>
          </cell>
          <cell r="J201" t="str">
            <v>b</v>
          </cell>
          <cell r="K201">
            <v>4.74</v>
          </cell>
          <cell r="L201">
            <v>0.17827700000000002</v>
          </cell>
          <cell r="M201">
            <v>0.16268131666666663</v>
          </cell>
          <cell r="N201">
            <v>0.29402591650444498</v>
          </cell>
          <cell r="O201">
            <v>0.24846159642098237</v>
          </cell>
          <cell r="Q201">
            <v>0.2267261601152552</v>
          </cell>
        </row>
        <row r="202">
          <cell r="H202" t="str">
            <v>Grains</v>
          </cell>
          <cell r="I202">
            <v>2370</v>
          </cell>
          <cell r="J202" t="str">
            <v>b</v>
          </cell>
          <cell r="K202">
            <v>4.74</v>
          </cell>
          <cell r="L202">
            <v>0.17827700000000002</v>
          </cell>
          <cell r="M202">
            <v>0.16268131666666663</v>
          </cell>
          <cell r="N202">
            <v>0.29402591650444498</v>
          </cell>
          <cell r="O202">
            <v>0.24846159642098237</v>
          </cell>
          <cell r="Q202">
            <v>0.2267261601152552</v>
          </cell>
        </row>
        <row r="203">
          <cell r="H203" t="str">
            <v>Bread</v>
          </cell>
          <cell r="I203">
            <v>2370</v>
          </cell>
          <cell r="J203" t="str">
            <v>b</v>
          </cell>
          <cell r="K203">
            <v>4.74</v>
          </cell>
          <cell r="L203">
            <v>0.17827700000000002</v>
          </cell>
          <cell r="M203">
            <v>0.16268131666666663</v>
          </cell>
          <cell r="N203">
            <v>0.29402591650444498</v>
          </cell>
          <cell r="O203">
            <v>0.24846159642098237</v>
          </cell>
          <cell r="Q203">
            <v>0.2267261601152552</v>
          </cell>
        </row>
        <row r="204">
          <cell r="H204" t="str">
            <v>Fruits and Vegetables</v>
          </cell>
          <cell r="I204">
            <v>2370</v>
          </cell>
          <cell r="J204" t="str">
            <v>b</v>
          </cell>
          <cell r="K204">
            <v>4.74</v>
          </cell>
          <cell r="L204">
            <v>0.17827700000000002</v>
          </cell>
          <cell r="M204">
            <v>0.16268131666666663</v>
          </cell>
          <cell r="N204">
            <v>0.29402591650444498</v>
          </cell>
          <cell r="O204">
            <v>0.24846159642098237</v>
          </cell>
          <cell r="Q204">
            <v>0.2267261601152552</v>
          </cell>
        </row>
        <row r="205">
          <cell r="H205" t="str">
            <v>Dairy Products</v>
          </cell>
          <cell r="I205">
            <v>2370</v>
          </cell>
          <cell r="J205" t="str">
            <v>b</v>
          </cell>
          <cell r="K205">
            <v>4.74</v>
          </cell>
          <cell r="L205">
            <v>0.17827700000000002</v>
          </cell>
          <cell r="M205">
            <v>0.16268131666666663</v>
          </cell>
          <cell r="N205">
            <v>0.29402591650444498</v>
          </cell>
          <cell r="O205">
            <v>0.24846159642098237</v>
          </cell>
          <cell r="Q205">
            <v>0.2267261601152552</v>
          </cell>
        </row>
        <row r="206">
          <cell r="H206" t="str">
            <v>Yard Trimmings</v>
          </cell>
          <cell r="I206">
            <v>2800</v>
          </cell>
          <cell r="J206" t="str">
            <v>j</v>
          </cell>
          <cell r="K206">
            <v>5.6</v>
          </cell>
          <cell r="L206">
            <v>0.17827700000000002</v>
          </cell>
          <cell r="M206">
            <v>0.16268131666666663</v>
          </cell>
          <cell r="N206">
            <v>0.29402591650444498</v>
          </cell>
          <cell r="O206">
            <v>0.29354112657331244</v>
          </cell>
          <cell r="Q206">
            <v>0.26786213009397236</v>
          </cell>
        </row>
        <row r="207">
          <cell r="H207" t="str">
            <v>Mixed MSW</v>
          </cell>
          <cell r="I207">
            <v>5000</v>
          </cell>
          <cell r="J207" t="str">
            <v>k</v>
          </cell>
          <cell r="K207">
            <v>10</v>
          </cell>
          <cell r="L207">
            <v>0.17827700000000002</v>
          </cell>
          <cell r="M207">
            <v>0.16268131666666663</v>
          </cell>
          <cell r="N207">
            <v>0.29402591650444498</v>
          </cell>
          <cell r="O207">
            <v>0.52418058316662941</v>
          </cell>
          <cell r="Q207">
            <v>0.47832523231066498</v>
          </cell>
        </row>
        <row r="208">
          <cell r="H208" t="str">
            <v>Carpet</v>
          </cell>
          <cell r="I208">
            <v>7600</v>
          </cell>
          <cell r="J208" t="str">
            <v>l</v>
          </cell>
          <cell r="K208">
            <v>15.2</v>
          </cell>
          <cell r="L208">
            <v>0.17827700000000002</v>
          </cell>
          <cell r="M208">
            <v>0.16268131666666663</v>
          </cell>
          <cell r="N208">
            <v>0.29402591650444498</v>
          </cell>
          <cell r="O208">
            <v>0.79675448641327673</v>
          </cell>
          <cell r="Q208">
            <v>0.72705435311221067</v>
          </cell>
        </row>
        <row r="209">
          <cell r="H209" t="str">
            <v>Personal Computers</v>
          </cell>
          <cell r="I209">
            <v>1533.3333333333335</v>
          </cell>
          <cell r="J209" t="str">
            <v>m</v>
          </cell>
          <cell r="K209">
            <v>3.0666666666666669</v>
          </cell>
          <cell r="L209">
            <v>0.17827700000000002</v>
          </cell>
          <cell r="M209">
            <v>0.16268131666666663</v>
          </cell>
          <cell r="N209">
            <v>0.29402591650444498</v>
          </cell>
          <cell r="O209">
            <v>0.16074871217109971</v>
          </cell>
          <cell r="Q209">
            <v>0.1466864045752706</v>
          </cell>
        </row>
        <row r="210">
          <cell r="H210" t="str">
            <v>Tires</v>
          </cell>
          <cell r="I210">
            <v>13888.888888888887</v>
          </cell>
          <cell r="K210">
            <v>27.777777777777775</v>
          </cell>
          <cell r="L210" t="str">
            <v>NA</v>
          </cell>
          <cell r="M210" t="str">
            <v>NA</v>
          </cell>
          <cell r="N210" t="str">
            <v>NA</v>
          </cell>
          <cell r="O210">
            <v>1.5659939377631629</v>
          </cell>
          <cell r="Q210">
            <v>1.5659939377631629</v>
          </cell>
        </row>
        <row r="211">
          <cell r="H211" t="str">
            <v>Asphalt Concrete</v>
          </cell>
          <cell r="I211" t="str">
            <v>NA</v>
          </cell>
          <cell r="K211" t="str">
            <v>NA</v>
          </cell>
          <cell r="L211" t="str">
            <v>NA</v>
          </cell>
          <cell r="M211" t="str">
            <v>NA</v>
          </cell>
          <cell r="N211" t="str">
            <v>NA</v>
          </cell>
          <cell r="O211" t="str">
            <v>NA</v>
          </cell>
          <cell r="P211" t="str">
            <v>*</v>
          </cell>
          <cell r="Q211" t="str">
            <v>NA</v>
          </cell>
          <cell r="R211" t="str">
            <v>*</v>
          </cell>
        </row>
        <row r="212">
          <cell r="H212" t="str">
            <v>Paper Felt Shingle</v>
          </cell>
          <cell r="I212">
            <v>7199.9999999999991</v>
          </cell>
          <cell r="K212">
            <v>14.399999999999999</v>
          </cell>
          <cell r="L212" t="str">
            <v>NA</v>
          </cell>
          <cell r="M212" t="str">
            <v>NA</v>
          </cell>
          <cell r="N212" t="str">
            <v>NA</v>
          </cell>
          <cell r="O212">
            <v>1.7236799999999992</v>
          </cell>
          <cell r="P212" t="str">
            <v>*</v>
          </cell>
          <cell r="Q212">
            <v>1.7236799999999992</v>
          </cell>
          <cell r="R212" t="str">
            <v>*</v>
          </cell>
        </row>
        <row r="213">
          <cell r="H213" t="str">
            <v>Asphalt Shingles</v>
          </cell>
          <cell r="I213">
            <v>4399.9999999999991</v>
          </cell>
          <cell r="K213">
            <v>8.7999999999999989</v>
          </cell>
          <cell r="L213" t="str">
            <v>NA</v>
          </cell>
          <cell r="M213" t="str">
            <v>NA</v>
          </cell>
          <cell r="N213" t="str">
            <v>NA</v>
          </cell>
          <cell r="O213">
            <v>1.0533599999999996</v>
          </cell>
          <cell r="P213" t="str">
            <v>*</v>
          </cell>
          <cell r="Q213">
            <v>1.0533599999999996</v>
          </cell>
          <cell r="R213" t="str">
            <v>*</v>
          </cell>
        </row>
        <row r="214">
          <cell r="H214" t="str">
            <v>Drywall</v>
          </cell>
          <cell r="I214" t="str">
            <v>NA</v>
          </cell>
          <cell r="K214" t="str">
            <v>NA</v>
          </cell>
          <cell r="L214" t="str">
            <v>NA</v>
          </cell>
          <cell r="M214" t="str">
            <v>NA</v>
          </cell>
          <cell r="N214" t="str">
            <v>NA</v>
          </cell>
          <cell r="O214" t="str">
            <v>NA</v>
          </cell>
          <cell r="Q214" t="str">
            <v>NA</v>
          </cell>
        </row>
        <row r="215">
          <cell r="H215" t="str">
            <v>Fiberglass Insulation</v>
          </cell>
          <cell r="I215" t="str">
            <v>NA</v>
          </cell>
          <cell r="K215" t="str">
            <v>NA</v>
          </cell>
          <cell r="L215" t="str">
            <v>NA</v>
          </cell>
          <cell r="M215" t="str">
            <v>NA</v>
          </cell>
          <cell r="N215" t="str">
            <v>NA</v>
          </cell>
          <cell r="O215" t="str">
            <v>NA</v>
          </cell>
          <cell r="Q215" t="str">
            <v>NA</v>
          </cell>
        </row>
        <row r="216">
          <cell r="H216" t="str">
            <v>Vinyl Flooring</v>
          </cell>
          <cell r="I216">
            <v>7875</v>
          </cell>
          <cell r="K216">
            <v>15.75</v>
          </cell>
          <cell r="L216">
            <v>0.17827700000000002</v>
          </cell>
          <cell r="M216">
            <v>0.16268131666666663</v>
          </cell>
          <cell r="N216">
            <v>0.29402591650444498</v>
          </cell>
          <cell r="O216">
            <v>0.82558441848744135</v>
          </cell>
          <cell r="P216">
            <v>0.75336224088929726</v>
          </cell>
          <cell r="Q216">
            <v>0.75336224088929726</v>
          </cell>
        </row>
        <row r="217">
          <cell r="H217" t="str">
            <v>Wood Flooring</v>
          </cell>
          <cell r="I217">
            <v>8993.4575501382224</v>
          </cell>
          <cell r="K217">
            <v>17.986915100276445</v>
          </cell>
          <cell r="L217">
            <v>0.21532527051987507</v>
          </cell>
          <cell r="M217">
            <v>0.16268131666666663</v>
          </cell>
          <cell r="N217">
            <v>0.29402591650444498</v>
          </cell>
          <cell r="O217">
            <v>1.1387733593667555</v>
          </cell>
          <cell r="P217">
            <v>0.86035953438919388</v>
          </cell>
          <cell r="Q217">
            <v>0.86035953438919388</v>
          </cell>
        </row>
        <row r="218">
          <cell r="H218" t="str">
            <v>Aluminum Ingot</v>
          </cell>
          <cell r="I218">
            <v>-335</v>
          </cell>
          <cell r="J218" t="str">
            <v>a</v>
          </cell>
          <cell r="K218">
            <v>-0.67</v>
          </cell>
          <cell r="L218">
            <v>0.17827700000000002</v>
          </cell>
          <cell r="M218">
            <v>0.16268131666666663</v>
          </cell>
          <cell r="N218">
            <v>0.29402591650444498</v>
          </cell>
          <cell r="O218">
            <v>-3.5120099072164172E-2</v>
          </cell>
          <cell r="P218" t="str">
            <v>*</v>
          </cell>
          <cell r="Q218">
            <v>-3.2047790564814556E-2</v>
          </cell>
          <cell r="R218" t="str">
            <v>*</v>
          </cell>
        </row>
        <row r="219">
          <cell r="H219" t="str">
            <v>PLA</v>
          </cell>
          <cell r="I219">
            <v>8368</v>
          </cell>
          <cell r="K219">
            <v>16.736000000000001</v>
          </cell>
          <cell r="L219">
            <v>0.17827700000000002</v>
          </cell>
          <cell r="M219">
            <v>0.16268131666666663</v>
          </cell>
          <cell r="N219">
            <v>0.29402591650444498</v>
          </cell>
          <cell r="O219">
            <v>0.87726862398767103</v>
          </cell>
          <cell r="P219" t="str">
            <v>*</v>
          </cell>
          <cell r="Q219">
            <v>0.80052510879512884</v>
          </cell>
          <cell r="R219" t="str">
            <v>*</v>
          </cell>
        </row>
        <row r="220">
          <cell r="H220" t="str">
            <v>LLDPE</v>
          </cell>
          <cell r="I220">
            <v>19946</v>
          </cell>
          <cell r="K220">
            <v>39.892000000000003</v>
          </cell>
          <cell r="L220">
            <v>0.17827700000000002</v>
          </cell>
          <cell r="M220">
            <v>0.16268131666666663</v>
          </cell>
          <cell r="N220">
            <v>0.29402591650444498</v>
          </cell>
          <cell r="O220">
            <v>2.0910611823683185</v>
          </cell>
          <cell r="Q220">
            <v>1.908135016733705</v>
          </cell>
        </row>
        <row r="221">
          <cell r="H221" t="str">
            <v>PP</v>
          </cell>
          <cell r="I221">
            <v>19948</v>
          </cell>
          <cell r="K221">
            <v>39.896000000000001</v>
          </cell>
          <cell r="L221">
            <v>0.17827700000000002</v>
          </cell>
          <cell r="M221">
            <v>0.16268131666666663</v>
          </cell>
          <cell r="N221">
            <v>0.29402591650444498</v>
          </cell>
          <cell r="O221">
            <v>2.0912708546015848</v>
          </cell>
          <cell r="Q221">
            <v>1.9083263468266289</v>
          </cell>
        </row>
        <row r="222">
          <cell r="H222" t="str">
            <v>PS</v>
          </cell>
          <cell r="I222">
            <v>18000</v>
          </cell>
          <cell r="K222">
            <v>36</v>
          </cell>
          <cell r="L222">
            <v>0.17827700000000002</v>
          </cell>
          <cell r="M222">
            <v>0.16268131666666663</v>
          </cell>
          <cell r="N222">
            <v>0.29402591650444498</v>
          </cell>
          <cell r="O222">
            <v>1.887050099399866</v>
          </cell>
          <cell r="Q222">
            <v>1.7219708363183941</v>
          </cell>
        </row>
        <row r="223">
          <cell r="H223" t="str">
            <v>PVC</v>
          </cell>
          <cell r="I223">
            <v>7875</v>
          </cell>
          <cell r="K223">
            <v>15.75</v>
          </cell>
          <cell r="L223">
            <v>0.17827700000000002</v>
          </cell>
          <cell r="M223">
            <v>0.16268131666666663</v>
          </cell>
          <cell r="N223">
            <v>0.29402591650444498</v>
          </cell>
          <cell r="O223">
            <v>0.82558441848744135</v>
          </cell>
          <cell r="Q223">
            <v>0.75336224088929726</v>
          </cell>
        </row>
        <row r="226">
          <cell r="H226" t="str">
            <v>Exhibit 6-2</v>
          </cell>
        </row>
        <row r="227">
          <cell r="H227" t="str">
            <v>Avoided Utility GHG Emissions from Combustion at Mass Burn and RDF Facilities- West-South Central</v>
          </cell>
        </row>
        <row r="228">
          <cell r="H228" t="str">
            <v>West South Central</v>
          </cell>
        </row>
        <row r="229">
          <cell r="H229" t="str">
            <v>(a)</v>
          </cell>
          <cell r="I229" t="str">
            <v xml:space="preserve">(b) </v>
          </cell>
          <cell r="K229" t="str">
            <v>(c)</v>
          </cell>
          <cell r="L229" t="str">
            <v xml:space="preserve">(d) </v>
          </cell>
          <cell r="M229" t="str">
            <v xml:space="preserve">(e)                  </v>
          </cell>
          <cell r="N229" t="str">
            <v>(f)</v>
          </cell>
          <cell r="O229" t="str">
            <v xml:space="preserve">(g) </v>
          </cell>
          <cell r="Q229" t="str">
            <v xml:space="preserve">(h)                  </v>
          </cell>
        </row>
        <row r="230">
          <cell r="H230" t="str">
            <v>Material Combusted</v>
          </cell>
          <cell r="I230" t="str">
            <v>Energy Content (Btu Per Pound)</v>
          </cell>
          <cell r="K230" t="str">
            <v>Energy Content (Million Btu Per Ton)</v>
          </cell>
          <cell r="L230" t="str">
            <v>Mass Burn Combustion System Efficiency (Percent)</v>
          </cell>
          <cell r="M230" t="str">
            <v>RDF Combustion System Efficiency (Percent)</v>
          </cell>
          <cell r="N230" t="str">
            <v>Emission Factor for Utility-Generated Electricity (MTCO2E/
Million Btu of Electricity Delivered)</v>
          </cell>
          <cell r="O230" t="str">
            <v>(g = c * d * f) Avoided Utility CO2 Per Ton Combusted at Mass Burn Facilities (MTCO2E)</v>
          </cell>
          <cell r="Q230" t="str">
            <v>(h = c * e * f)
Avoided Utility CO2 Per Ton Combusted at RDF Facilities (MTCO2E)</v>
          </cell>
        </row>
        <row r="231">
          <cell r="H231" t="str">
            <v>Aluminum Cans</v>
          </cell>
          <cell r="I231">
            <v>-335</v>
          </cell>
          <cell r="J231" t="str">
            <v>a</v>
          </cell>
          <cell r="K231">
            <v>-0.67</v>
          </cell>
          <cell r="L231">
            <v>0.17827700000000002</v>
          </cell>
          <cell r="M231">
            <v>0.16268131666666663</v>
          </cell>
          <cell r="N231">
            <v>0.19260549851189246</v>
          </cell>
          <cell r="O231">
            <v>-2.3005877406997121E-2</v>
          </cell>
          <cell r="P231" t="str">
            <v>*</v>
          </cell>
          <cell r="Q231">
            <v>-2.0993321783753426E-2</v>
          </cell>
          <cell r="R231" t="str">
            <v>*</v>
          </cell>
        </row>
        <row r="232">
          <cell r="H232" t="str">
            <v>Steel Cans</v>
          </cell>
          <cell r="I232">
            <v>-210</v>
          </cell>
          <cell r="J232" t="str">
            <v>a</v>
          </cell>
          <cell r="K232">
            <v>-0.42</v>
          </cell>
          <cell r="L232">
            <v>0.17827700000000002</v>
          </cell>
          <cell r="M232">
            <v>0.16268131666666663</v>
          </cell>
          <cell r="N232">
            <v>0.19260549851189246</v>
          </cell>
          <cell r="O232">
            <v>-1.4421594792445954E-2</v>
          </cell>
          <cell r="P232" t="str">
            <v>*</v>
          </cell>
          <cell r="Q232">
            <v>-1.3159992759964835E-2</v>
          </cell>
          <cell r="R232" t="str">
            <v>*</v>
          </cell>
        </row>
        <row r="233">
          <cell r="H233" t="str">
            <v>Copper Wire</v>
          </cell>
          <cell r="I233">
            <v>-272.5</v>
          </cell>
          <cell r="K233">
            <v>-0.54500000000000004</v>
          </cell>
          <cell r="L233">
            <v>0.17827700000000002</v>
          </cell>
          <cell r="M233">
            <v>0.16268131666666663</v>
          </cell>
          <cell r="N233">
            <v>0.19260549851189246</v>
          </cell>
          <cell r="O233">
            <v>-1.8713736099721538E-2</v>
          </cell>
          <cell r="P233" t="str">
            <v>*</v>
          </cell>
          <cell r="Q233">
            <v>-1.7076657271859131E-2</v>
          </cell>
          <cell r="R233" t="str">
            <v>*</v>
          </cell>
        </row>
        <row r="234">
          <cell r="H234" t="str">
            <v>Glass</v>
          </cell>
          <cell r="I234">
            <v>-235</v>
          </cell>
          <cell r="J234" t="str">
            <v>a</v>
          </cell>
          <cell r="K234">
            <v>-0.47</v>
          </cell>
          <cell r="L234">
            <v>0.17827700000000002</v>
          </cell>
          <cell r="M234">
            <v>0.16268131666666663</v>
          </cell>
          <cell r="N234">
            <v>0.19260549851189246</v>
          </cell>
          <cell r="O234">
            <v>-1.6138451315356187E-2</v>
          </cell>
          <cell r="P234" t="str">
            <v>*</v>
          </cell>
          <cell r="Q234">
            <v>-1.4726658564722552E-2</v>
          </cell>
          <cell r="R234" t="str">
            <v>*</v>
          </cell>
        </row>
        <row r="235">
          <cell r="H235" t="str">
            <v>HDPE</v>
          </cell>
          <cell r="I235">
            <v>19985</v>
          </cell>
          <cell r="J235" t="str">
            <v>n</v>
          </cell>
          <cell r="K235">
            <v>39.97</v>
          </cell>
          <cell r="L235">
            <v>0.17827700000000002</v>
          </cell>
          <cell r="M235">
            <v>0.16268131666666663</v>
          </cell>
          <cell r="N235">
            <v>0.19260549851189246</v>
          </cell>
          <cell r="O235">
            <v>1.37245510441444</v>
          </cell>
          <cell r="Q235">
            <v>1.25239264432332</v>
          </cell>
        </row>
        <row r="236">
          <cell r="H236" t="str">
            <v>LDPE</v>
          </cell>
          <cell r="I236">
            <v>19877</v>
          </cell>
          <cell r="J236" t="str">
            <v>n</v>
          </cell>
          <cell r="K236">
            <v>39.753999999999998</v>
          </cell>
          <cell r="L236">
            <v>0.17827700000000002</v>
          </cell>
          <cell r="M236">
            <v>0.16268131666666663</v>
          </cell>
          <cell r="N236">
            <v>0.19260549851189246</v>
          </cell>
          <cell r="O236">
            <v>1.3650382842354678</v>
          </cell>
          <cell r="Q236">
            <v>1.2456246480467665</v>
          </cell>
        </row>
        <row r="237">
          <cell r="H237" t="str">
            <v>PET</v>
          </cell>
          <cell r="I237">
            <v>10600</v>
          </cell>
          <cell r="J237" t="str">
            <v>n</v>
          </cell>
          <cell r="K237">
            <v>21.2</v>
          </cell>
          <cell r="L237">
            <v>0.17827700000000002</v>
          </cell>
          <cell r="M237">
            <v>0.16268131666666663</v>
          </cell>
          <cell r="N237">
            <v>0.19260549851189246</v>
          </cell>
          <cell r="O237">
            <v>0.72794716571393869</v>
          </cell>
          <cell r="Q237">
            <v>0.66426630121727259</v>
          </cell>
        </row>
        <row r="238">
          <cell r="H238" t="str">
            <v>Corrugated Containers</v>
          </cell>
          <cell r="I238">
            <v>7043</v>
          </cell>
          <cell r="J238" t="str">
            <v>b</v>
          </cell>
          <cell r="K238">
            <v>14.086</v>
          </cell>
          <cell r="L238">
            <v>0.17827700000000002</v>
          </cell>
          <cell r="M238">
            <v>0.16268131666666663</v>
          </cell>
          <cell r="N238">
            <v>0.19260549851189246</v>
          </cell>
          <cell r="O238">
            <v>0.48367281963427083</v>
          </cell>
          <cell r="Q238">
            <v>0.44136109051634442</v>
          </cell>
        </row>
        <row r="239">
          <cell r="H239" t="str">
            <v>Magazines/Third-class Mail</v>
          </cell>
          <cell r="I239">
            <v>5258</v>
          </cell>
          <cell r="J239" t="str">
            <v>d</v>
          </cell>
          <cell r="K239">
            <v>10.516</v>
          </cell>
          <cell r="L239">
            <v>0.17827700000000002</v>
          </cell>
          <cell r="M239">
            <v>0.16268131666666663</v>
          </cell>
          <cell r="N239">
            <v>0.19260549851189246</v>
          </cell>
          <cell r="O239">
            <v>0.36108926389848017</v>
          </cell>
          <cell r="Q239">
            <v>0.32950115205664332</v>
          </cell>
        </row>
        <row r="240">
          <cell r="H240" t="str">
            <v>Newspaper</v>
          </cell>
          <cell r="I240">
            <v>7950</v>
          </cell>
          <cell r="J240" t="str">
            <v>b</v>
          </cell>
          <cell r="K240">
            <v>15.9</v>
          </cell>
          <cell r="L240">
            <v>0.17827700000000002</v>
          </cell>
          <cell r="M240">
            <v>0.16268131666666663</v>
          </cell>
          <cell r="N240">
            <v>0.19260549851189246</v>
          </cell>
          <cell r="O240">
            <v>0.54596037428545408</v>
          </cell>
          <cell r="Q240">
            <v>0.49819972591295442</v>
          </cell>
        </row>
        <row r="241">
          <cell r="H241" t="str">
            <v>Office Paper</v>
          </cell>
          <cell r="I241">
            <v>6800</v>
          </cell>
          <cell r="J241" t="str">
            <v>b,f</v>
          </cell>
          <cell r="K241">
            <v>13.6</v>
          </cell>
          <cell r="L241">
            <v>0.17827700000000002</v>
          </cell>
          <cell r="M241">
            <v>0.16268131666666663</v>
          </cell>
          <cell r="N241">
            <v>0.19260549851189246</v>
          </cell>
          <cell r="O241">
            <v>0.46698497423158331</v>
          </cell>
          <cell r="Q241">
            <v>0.42613309889409934</v>
          </cell>
        </row>
        <row r="242">
          <cell r="H242" t="str">
            <v>Phonebooks</v>
          </cell>
          <cell r="I242">
            <v>7950</v>
          </cell>
          <cell r="J242" t="str">
            <v>g</v>
          </cell>
          <cell r="K242">
            <v>15.9</v>
          </cell>
          <cell r="L242">
            <v>0.17827700000000002</v>
          </cell>
          <cell r="M242">
            <v>0.16268131666666663</v>
          </cell>
          <cell r="N242">
            <v>0.19260549851189246</v>
          </cell>
          <cell r="O242">
            <v>0.54596037428545408</v>
          </cell>
          <cell r="Q242">
            <v>0.49819972591295442</v>
          </cell>
        </row>
        <row r="243">
          <cell r="H243" t="str">
            <v>Textbooks</v>
          </cell>
          <cell r="I243">
            <v>6800</v>
          </cell>
          <cell r="J243" t="str">
            <v>h</v>
          </cell>
          <cell r="K243">
            <v>13.6</v>
          </cell>
          <cell r="L243">
            <v>0.17827700000000002</v>
          </cell>
          <cell r="M243">
            <v>0.16268131666666663</v>
          </cell>
          <cell r="N243">
            <v>0.19260549851189246</v>
          </cell>
          <cell r="O243">
            <v>0.46698497423158331</v>
          </cell>
          <cell r="Q243">
            <v>0.42613309889409934</v>
          </cell>
        </row>
        <row r="244">
          <cell r="H244" t="str">
            <v>Dimensional Lumber</v>
          </cell>
          <cell r="I244">
            <v>8300</v>
          </cell>
          <cell r="J244" t="str">
            <v>i</v>
          </cell>
          <cell r="K244">
            <v>16.600000000000001</v>
          </cell>
          <cell r="L244">
            <v>0.17827700000000002</v>
          </cell>
          <cell r="M244">
            <v>0.16268131666666663</v>
          </cell>
          <cell r="N244">
            <v>0.19260549851189246</v>
          </cell>
          <cell r="O244">
            <v>0.56999636560619737</v>
          </cell>
          <cell r="Q244">
            <v>0.52013304717956255</v>
          </cell>
        </row>
        <row r="245">
          <cell r="H245" t="str">
            <v>Medium-density Fiberboard</v>
          </cell>
          <cell r="I245">
            <v>8300</v>
          </cell>
          <cell r="J245" t="str">
            <v>i</v>
          </cell>
          <cell r="K245">
            <v>16.600000000000001</v>
          </cell>
          <cell r="L245">
            <v>0.17827700000000002</v>
          </cell>
          <cell r="M245">
            <v>0.16268131666666663</v>
          </cell>
          <cell r="N245">
            <v>0.19260549851189246</v>
          </cell>
          <cell r="O245">
            <v>0.56999636560619737</v>
          </cell>
          <cell r="Q245">
            <v>0.52013304717956255</v>
          </cell>
        </row>
        <row r="246">
          <cell r="H246" t="str">
            <v>Food Waste</v>
          </cell>
          <cell r="I246">
            <v>2370</v>
          </cell>
          <cell r="J246" t="str">
            <v>b</v>
          </cell>
          <cell r="K246">
            <v>4.74</v>
          </cell>
          <cell r="L246">
            <v>0.17827700000000002</v>
          </cell>
          <cell r="M246">
            <v>0.16268131666666663</v>
          </cell>
          <cell r="N246">
            <v>0.19260549851189246</v>
          </cell>
          <cell r="O246">
            <v>0.16275799837189009</v>
          </cell>
          <cell r="Q246">
            <v>0.1485199182910317</v>
          </cell>
        </row>
        <row r="247">
          <cell r="H247" t="str">
            <v>Food Waste (non-meat)</v>
          </cell>
          <cell r="I247">
            <v>2370</v>
          </cell>
          <cell r="J247" t="str">
            <v>b</v>
          </cell>
          <cell r="K247">
            <v>4.74</v>
          </cell>
          <cell r="L247">
            <v>0.17827700000000002</v>
          </cell>
          <cell r="M247">
            <v>0.16268131666666663</v>
          </cell>
          <cell r="N247">
            <v>0.19260549851189246</v>
          </cell>
          <cell r="O247">
            <v>0.16275799837189009</v>
          </cell>
          <cell r="Q247">
            <v>0.1485199182910317</v>
          </cell>
        </row>
        <row r="248">
          <cell r="H248" t="str">
            <v>Food Waste (meat only)</v>
          </cell>
          <cell r="I248">
            <v>2370</v>
          </cell>
          <cell r="J248" t="str">
            <v>b</v>
          </cell>
          <cell r="K248">
            <v>4.74</v>
          </cell>
          <cell r="L248">
            <v>0.17827700000000002</v>
          </cell>
          <cell r="M248">
            <v>0.16268131666666663</v>
          </cell>
          <cell r="N248">
            <v>0.19260549851189246</v>
          </cell>
          <cell r="O248">
            <v>0.16275799837189009</v>
          </cell>
          <cell r="Q248">
            <v>0.1485199182910317</v>
          </cell>
        </row>
        <row r="249">
          <cell r="H249" t="str">
            <v>Beef</v>
          </cell>
          <cell r="I249">
            <v>2370</v>
          </cell>
          <cell r="J249" t="str">
            <v>b</v>
          </cell>
          <cell r="K249">
            <v>4.74</v>
          </cell>
          <cell r="L249">
            <v>0.17827700000000002</v>
          </cell>
          <cell r="M249">
            <v>0.16268131666666663</v>
          </cell>
          <cell r="N249">
            <v>0.19260549851189246</v>
          </cell>
          <cell r="O249">
            <v>0.16275799837189009</v>
          </cell>
          <cell r="Q249">
            <v>0.1485199182910317</v>
          </cell>
        </row>
        <row r="250">
          <cell r="H250" t="str">
            <v>Poultry</v>
          </cell>
          <cell r="I250">
            <v>2370</v>
          </cell>
          <cell r="J250" t="str">
            <v>b</v>
          </cell>
          <cell r="K250">
            <v>4.74</v>
          </cell>
          <cell r="L250">
            <v>0.17827700000000002</v>
          </cell>
          <cell r="M250">
            <v>0.16268131666666663</v>
          </cell>
          <cell r="N250">
            <v>0.19260549851189246</v>
          </cell>
          <cell r="O250">
            <v>0.16275799837189009</v>
          </cell>
          <cell r="Q250">
            <v>0.1485199182910317</v>
          </cell>
        </row>
        <row r="251">
          <cell r="H251" t="str">
            <v>Grains</v>
          </cell>
          <cell r="I251">
            <v>2370</v>
          </cell>
          <cell r="J251" t="str">
            <v>b</v>
          </cell>
          <cell r="K251">
            <v>4.74</v>
          </cell>
          <cell r="L251">
            <v>0.17827700000000002</v>
          </cell>
          <cell r="M251">
            <v>0.16268131666666663</v>
          </cell>
          <cell r="N251">
            <v>0.19260549851189246</v>
          </cell>
          <cell r="O251">
            <v>0.16275799837189009</v>
          </cell>
          <cell r="Q251">
            <v>0.1485199182910317</v>
          </cell>
        </row>
        <row r="252">
          <cell r="H252" t="str">
            <v>Bread</v>
          </cell>
          <cell r="I252">
            <v>2370</v>
          </cell>
          <cell r="J252" t="str">
            <v>b</v>
          </cell>
          <cell r="K252">
            <v>4.74</v>
          </cell>
          <cell r="L252">
            <v>0.17827700000000002</v>
          </cell>
          <cell r="M252">
            <v>0.16268131666666663</v>
          </cell>
          <cell r="N252">
            <v>0.19260549851189246</v>
          </cell>
          <cell r="O252">
            <v>0.16275799837189009</v>
          </cell>
          <cell r="Q252">
            <v>0.1485199182910317</v>
          </cell>
        </row>
        <row r="253">
          <cell r="H253" t="str">
            <v>Fruits and Vegetables</v>
          </cell>
          <cell r="I253">
            <v>2370</v>
          </cell>
          <cell r="J253" t="str">
            <v>b</v>
          </cell>
          <cell r="K253">
            <v>4.74</v>
          </cell>
          <cell r="L253">
            <v>0.17827700000000002</v>
          </cell>
          <cell r="M253">
            <v>0.16268131666666663</v>
          </cell>
          <cell r="N253">
            <v>0.19260549851189246</v>
          </cell>
          <cell r="O253">
            <v>0.16275799837189009</v>
          </cell>
          <cell r="Q253">
            <v>0.1485199182910317</v>
          </cell>
        </row>
        <row r="254">
          <cell r="H254" t="str">
            <v>Dairy Products</v>
          </cell>
          <cell r="I254">
            <v>2370</v>
          </cell>
          <cell r="J254" t="str">
            <v>b</v>
          </cell>
          <cell r="K254">
            <v>4.74</v>
          </cell>
          <cell r="L254">
            <v>0.17827700000000002</v>
          </cell>
          <cell r="M254">
            <v>0.16268131666666663</v>
          </cell>
          <cell r="N254">
            <v>0.19260549851189246</v>
          </cell>
          <cell r="O254">
            <v>0.16275799837189009</v>
          </cell>
          <cell r="Q254">
            <v>0.1485199182910317</v>
          </cell>
        </row>
        <row r="255">
          <cell r="H255" t="str">
            <v>Yard Trimmings</v>
          </cell>
          <cell r="I255">
            <v>2800</v>
          </cell>
          <cell r="J255" t="str">
            <v>j</v>
          </cell>
          <cell r="K255">
            <v>5.6</v>
          </cell>
          <cell r="L255">
            <v>0.17827700000000002</v>
          </cell>
          <cell r="M255">
            <v>0.16268131666666663</v>
          </cell>
          <cell r="N255">
            <v>0.19260549851189246</v>
          </cell>
          <cell r="O255">
            <v>0.19228793056594604</v>
          </cell>
          <cell r="Q255">
            <v>0.17546657013286443</v>
          </cell>
        </row>
        <row r="256">
          <cell r="H256" t="str">
            <v>Mixed MSW</v>
          </cell>
          <cell r="I256">
            <v>5000</v>
          </cell>
          <cell r="J256" t="str">
            <v>k</v>
          </cell>
          <cell r="K256">
            <v>10</v>
          </cell>
          <cell r="L256">
            <v>0.17827700000000002</v>
          </cell>
          <cell r="M256">
            <v>0.16268131666666663</v>
          </cell>
          <cell r="N256">
            <v>0.19260549851189246</v>
          </cell>
          <cell r="O256">
            <v>0.34337130458204657</v>
          </cell>
          <cell r="Q256">
            <v>0.31333316095154368</v>
          </cell>
        </row>
        <row r="257">
          <cell r="H257" t="str">
            <v>Carpet</v>
          </cell>
          <cell r="I257">
            <v>7600</v>
          </cell>
          <cell r="J257" t="str">
            <v>l</v>
          </cell>
          <cell r="K257">
            <v>15.2</v>
          </cell>
          <cell r="L257">
            <v>0.17827700000000002</v>
          </cell>
          <cell r="M257">
            <v>0.16268131666666663</v>
          </cell>
          <cell r="N257">
            <v>0.19260549851189246</v>
          </cell>
          <cell r="O257">
            <v>0.52192438296471078</v>
          </cell>
          <cell r="Q257">
            <v>0.47626640464634634</v>
          </cell>
        </row>
        <row r="258">
          <cell r="H258" t="str">
            <v>Personal Computers</v>
          </cell>
          <cell r="I258">
            <v>1533.3333333333335</v>
          </cell>
          <cell r="J258" t="str">
            <v>m</v>
          </cell>
          <cell r="K258">
            <v>3.0666666666666669</v>
          </cell>
          <cell r="L258">
            <v>0.17827700000000002</v>
          </cell>
          <cell r="M258">
            <v>0.16268131666666663</v>
          </cell>
          <cell r="N258">
            <v>0.19260549851189246</v>
          </cell>
          <cell r="O258">
            <v>0.10530053340516096</v>
          </cell>
          <cell r="Q258">
            <v>9.6088836025140067E-2</v>
          </cell>
        </row>
        <row r="259">
          <cell r="H259" t="str">
            <v>Tires</v>
          </cell>
          <cell r="I259">
            <v>13888.888888888887</v>
          </cell>
          <cell r="K259">
            <v>27.777777777777775</v>
          </cell>
          <cell r="L259" t="str">
            <v>NA</v>
          </cell>
          <cell r="M259" t="str">
            <v>NA</v>
          </cell>
          <cell r="N259" t="str">
            <v>NA</v>
          </cell>
          <cell r="O259">
            <v>1.5659939377631629</v>
          </cell>
          <cell r="Q259">
            <v>1.5659939377631629</v>
          </cell>
        </row>
        <row r="260">
          <cell r="H260" t="str">
            <v>Asphalt Concrete</v>
          </cell>
          <cell r="I260" t="str">
            <v>NA</v>
          </cell>
          <cell r="K260" t="str">
            <v>NA</v>
          </cell>
          <cell r="L260" t="str">
            <v>NA</v>
          </cell>
          <cell r="M260" t="str">
            <v>NA</v>
          </cell>
          <cell r="N260" t="str">
            <v>NA</v>
          </cell>
          <cell r="O260" t="str">
            <v>NA</v>
          </cell>
          <cell r="P260" t="str">
            <v>*</v>
          </cell>
          <cell r="Q260" t="str">
            <v>NA</v>
          </cell>
          <cell r="R260" t="str">
            <v>*</v>
          </cell>
        </row>
        <row r="261">
          <cell r="H261" t="str">
            <v>Paper Felt Shingle</v>
          </cell>
          <cell r="I261">
            <v>7199.9999999999991</v>
          </cell>
          <cell r="K261">
            <v>14.399999999999999</v>
          </cell>
          <cell r="L261" t="str">
            <v>NA</v>
          </cell>
          <cell r="M261" t="str">
            <v>NA</v>
          </cell>
          <cell r="N261" t="str">
            <v>NA</v>
          </cell>
          <cell r="O261">
            <v>1.7236799999999992</v>
          </cell>
          <cell r="P261" t="str">
            <v>*</v>
          </cell>
          <cell r="Q261">
            <v>1.7236799999999992</v>
          </cell>
          <cell r="R261" t="str">
            <v>*</v>
          </cell>
        </row>
        <row r="262">
          <cell r="H262" t="str">
            <v>Asphalt Shingles</v>
          </cell>
          <cell r="I262">
            <v>4399.9999999999991</v>
          </cell>
          <cell r="K262">
            <v>8.7999999999999989</v>
          </cell>
          <cell r="L262" t="str">
            <v>NA</v>
          </cell>
          <cell r="M262" t="str">
            <v>NA</v>
          </cell>
          <cell r="N262" t="str">
            <v>NA</v>
          </cell>
          <cell r="O262">
            <v>1.0533599999999996</v>
          </cell>
          <cell r="P262" t="str">
            <v>*</v>
          </cell>
          <cell r="Q262">
            <v>1.0533599999999996</v>
          </cell>
          <cell r="R262" t="str">
            <v>*</v>
          </cell>
        </row>
        <row r="263">
          <cell r="H263" t="str">
            <v>Drywall</v>
          </cell>
          <cell r="I263" t="str">
            <v>NA</v>
          </cell>
          <cell r="K263" t="str">
            <v>NA</v>
          </cell>
          <cell r="L263" t="str">
            <v>NA</v>
          </cell>
          <cell r="M263" t="str">
            <v>NA</v>
          </cell>
          <cell r="N263" t="str">
            <v>NA</v>
          </cell>
          <cell r="O263" t="str">
            <v>NA</v>
          </cell>
          <cell r="Q263" t="str">
            <v>NA</v>
          </cell>
        </row>
        <row r="264">
          <cell r="H264" t="str">
            <v>Fiberglass Insulation</v>
          </cell>
          <cell r="I264" t="str">
            <v>NA</v>
          </cell>
          <cell r="K264" t="str">
            <v>NA</v>
          </cell>
          <cell r="L264" t="str">
            <v>NA</v>
          </cell>
          <cell r="M264" t="str">
            <v>NA</v>
          </cell>
          <cell r="N264" t="str">
            <v>NA</v>
          </cell>
          <cell r="O264" t="str">
            <v>NA</v>
          </cell>
          <cell r="Q264" t="str">
            <v>NA</v>
          </cell>
        </row>
        <row r="265">
          <cell r="H265" t="str">
            <v>Vinyl Flooring</v>
          </cell>
          <cell r="I265">
            <v>7875</v>
          </cell>
          <cell r="K265">
            <v>15.75</v>
          </cell>
          <cell r="L265">
            <v>0.17827700000000002</v>
          </cell>
          <cell r="M265">
            <v>0.16268131666666663</v>
          </cell>
          <cell r="N265">
            <v>0.19260549851189246</v>
          </cell>
          <cell r="O265">
            <v>0.54080980471672335</v>
          </cell>
          <cell r="P265">
            <v>0.49349972849868123</v>
          </cell>
          <cell r="Q265">
            <v>0.49349972849868123</v>
          </cell>
        </row>
        <row r="266">
          <cell r="H266" t="str">
            <v>Wood Flooring</v>
          </cell>
          <cell r="I266">
            <v>8993.4575501382224</v>
          </cell>
          <cell r="K266">
            <v>17.986915100276445</v>
          </cell>
          <cell r="L266">
            <v>0.21532527051987507</v>
          </cell>
          <cell r="M266">
            <v>0.16268131666666663</v>
          </cell>
          <cell r="N266">
            <v>0.19260549851189246</v>
          </cell>
          <cell r="O266">
            <v>0.74596829143658361</v>
          </cell>
          <cell r="P266">
            <v>0.56358969641366707</v>
          </cell>
          <cell r="Q266">
            <v>0.56358969641366707</v>
          </cell>
        </row>
        <row r="267">
          <cell r="H267" t="str">
            <v>Aluminum Ingot</v>
          </cell>
          <cell r="I267">
            <v>-335</v>
          </cell>
          <cell r="J267" t="str">
            <v>a</v>
          </cell>
          <cell r="K267">
            <v>-0.67</v>
          </cell>
          <cell r="L267">
            <v>0.17827700000000002</v>
          </cell>
          <cell r="M267">
            <v>0.16268131666666663</v>
          </cell>
          <cell r="N267">
            <v>0.19260549851189246</v>
          </cell>
          <cell r="O267">
            <v>-2.3005877406997121E-2</v>
          </cell>
          <cell r="P267" t="str">
            <v>*</v>
          </cell>
          <cell r="Q267">
            <v>-2.0993321783753426E-2</v>
          </cell>
          <cell r="R267" t="str">
            <v>*</v>
          </cell>
        </row>
        <row r="268">
          <cell r="H268" t="str">
            <v>PLA</v>
          </cell>
          <cell r="I268">
            <v>8368</v>
          </cell>
          <cell r="K268">
            <v>16.736000000000001</v>
          </cell>
          <cell r="L268">
            <v>0.17827700000000002</v>
          </cell>
          <cell r="M268">
            <v>0.16268131666666663</v>
          </cell>
          <cell r="N268">
            <v>0.19260549851189246</v>
          </cell>
          <cell r="O268">
            <v>0.57466621534851314</v>
          </cell>
          <cell r="P268" t="str">
            <v>*</v>
          </cell>
          <cell r="Q268">
            <v>0.52439437816850343</v>
          </cell>
          <cell r="R268" t="str">
            <v>*</v>
          </cell>
        </row>
        <row r="269">
          <cell r="H269" t="str">
            <v>LLDPE</v>
          </cell>
          <cell r="I269">
            <v>19946</v>
          </cell>
          <cell r="K269">
            <v>39.892000000000003</v>
          </cell>
          <cell r="L269">
            <v>0.17827700000000002</v>
          </cell>
          <cell r="M269">
            <v>0.16268131666666663</v>
          </cell>
          <cell r="N269">
            <v>0.19260549851189246</v>
          </cell>
          <cell r="O269">
            <v>1.3697768082387003</v>
          </cell>
          <cell r="Q269">
            <v>1.2499486456678981</v>
          </cell>
        </row>
        <row r="270">
          <cell r="H270" t="str">
            <v>PP</v>
          </cell>
          <cell r="I270">
            <v>19948</v>
          </cell>
          <cell r="K270">
            <v>39.896000000000001</v>
          </cell>
          <cell r="L270">
            <v>0.17827700000000002</v>
          </cell>
          <cell r="M270">
            <v>0.16268131666666663</v>
          </cell>
          <cell r="N270">
            <v>0.19260549851189246</v>
          </cell>
          <cell r="O270">
            <v>1.3699141567605329</v>
          </cell>
          <cell r="Q270">
            <v>1.2500739789322786</v>
          </cell>
        </row>
        <row r="271">
          <cell r="H271" t="str">
            <v>PS</v>
          </cell>
          <cell r="I271">
            <v>18000</v>
          </cell>
          <cell r="K271">
            <v>36</v>
          </cell>
          <cell r="L271">
            <v>0.17827700000000002</v>
          </cell>
          <cell r="M271">
            <v>0.16268131666666663</v>
          </cell>
          <cell r="N271">
            <v>0.19260549851189246</v>
          </cell>
          <cell r="O271">
            <v>1.2361366964953675</v>
          </cell>
          <cell r="Q271">
            <v>1.1279993794255572</v>
          </cell>
        </row>
        <row r="272">
          <cell r="H272" t="str">
            <v>PVC</v>
          </cell>
          <cell r="I272">
            <v>7875</v>
          </cell>
          <cell r="K272">
            <v>15.75</v>
          </cell>
          <cell r="L272">
            <v>0.17827700000000002</v>
          </cell>
          <cell r="M272">
            <v>0.16268131666666663</v>
          </cell>
          <cell r="N272">
            <v>0.19260549851189246</v>
          </cell>
          <cell r="O272">
            <v>0.54080980471672335</v>
          </cell>
          <cell r="Q272">
            <v>0.49349972849868123</v>
          </cell>
        </row>
        <row r="277">
          <cell r="H277" t="str">
            <v>(a)</v>
          </cell>
          <cell r="I277" t="str">
            <v xml:space="preserve">(b) </v>
          </cell>
          <cell r="K277" t="str">
            <v>(c)</v>
          </cell>
          <cell r="L277" t="str">
            <v xml:space="preserve">(d) </v>
          </cell>
          <cell r="M277" t="str">
            <v xml:space="preserve">(e)                  </v>
          </cell>
          <cell r="N277" t="str">
            <v>(f)</v>
          </cell>
          <cell r="O277" t="str">
            <v xml:space="preserve">(g) </v>
          </cell>
          <cell r="Q277" t="str">
            <v xml:space="preserve">(h)                  </v>
          </cell>
        </row>
        <row r="278">
          <cell r="H278" t="str">
            <v>Material Combusted</v>
          </cell>
          <cell r="I278" t="str">
            <v>Energy Content (Btu Per Pound)</v>
          </cell>
          <cell r="K278" t="str">
            <v>Energy Content (Million Btu Per Ton)</v>
          </cell>
          <cell r="L278" t="str">
            <v>Mass Burn Combustion System Efficiency (Percent)</v>
          </cell>
          <cell r="M278" t="str">
            <v>RDF Combustion System Efficiency (Percent)</v>
          </cell>
          <cell r="N278" t="str">
            <v>Emission Factor for Utility-Generated Electricity (MTCO2E/
Million Btu of Electricity Delivered)</v>
          </cell>
          <cell r="O278" t="str">
            <v>(g = c * d * f) Avoided Utility CO2 Per Ton Combusted at Mass Burn Facilities (MTCO2E)</v>
          </cell>
          <cell r="Q278" t="str">
            <v>(h = c * e * f)
Avoided Utility CO2 Per Ton Combusted at RDF Facilities (MTCO2E)</v>
          </cell>
        </row>
        <row r="279">
          <cell r="H279" t="str">
            <v>Aluminum Cans</v>
          </cell>
          <cell r="I279">
            <v>-335</v>
          </cell>
          <cell r="J279" t="str">
            <v>a</v>
          </cell>
          <cell r="K279">
            <v>-0.67</v>
          </cell>
          <cell r="L279">
            <v>0.17827700000000002</v>
          </cell>
          <cell r="M279">
            <v>0.16268131666666663</v>
          </cell>
          <cell r="N279">
            <v>0.26522854722507894</v>
          </cell>
          <cell r="O279">
            <v>-3.1680380308142422E-2</v>
          </cell>
          <cell r="P279" t="str">
            <v>*</v>
          </cell>
          <cell r="Q279">
            <v>-2.8908978617709219E-2</v>
          </cell>
          <cell r="R279" t="str">
            <v>*</v>
          </cell>
        </row>
        <row r="280">
          <cell r="H280" t="str">
            <v>Steel Cans</v>
          </cell>
          <cell r="I280">
            <v>-210</v>
          </cell>
          <cell r="J280" t="str">
            <v>a</v>
          </cell>
          <cell r="K280">
            <v>-0.42</v>
          </cell>
          <cell r="L280">
            <v>0.17827700000000002</v>
          </cell>
          <cell r="M280">
            <v>0.16268131666666663</v>
          </cell>
          <cell r="N280">
            <v>0.26522854722507894</v>
          </cell>
          <cell r="O280">
            <v>-1.9859342879731068E-2</v>
          </cell>
          <cell r="P280" t="str">
            <v>*</v>
          </cell>
          <cell r="Q280">
            <v>-1.8122046297668466E-2</v>
          </cell>
          <cell r="R280" t="str">
            <v>*</v>
          </cell>
        </row>
        <row r="281">
          <cell r="H281" t="str">
            <v>Copper Wire</v>
          </cell>
          <cell r="I281">
            <v>-272.5</v>
          </cell>
          <cell r="K281">
            <v>-0.54500000000000004</v>
          </cell>
          <cell r="L281">
            <v>0.17827700000000002</v>
          </cell>
          <cell r="M281">
            <v>0.16268131666666663</v>
          </cell>
          <cell r="N281">
            <v>0.26522854722507894</v>
          </cell>
          <cell r="O281">
            <v>-2.5769861593936745E-2</v>
          </cell>
          <cell r="P281" t="str">
            <v>*</v>
          </cell>
          <cell r="Q281">
            <v>-2.3515512457688841E-2</v>
          </cell>
          <cell r="R281" t="str">
            <v>*</v>
          </cell>
        </row>
        <row r="282">
          <cell r="H282" t="str">
            <v>Glass</v>
          </cell>
          <cell r="I282">
            <v>-235</v>
          </cell>
          <cell r="J282" t="str">
            <v>a</v>
          </cell>
          <cell r="K282">
            <v>-0.47</v>
          </cell>
          <cell r="L282">
            <v>0.17827700000000002</v>
          </cell>
          <cell r="M282">
            <v>0.16268131666666663</v>
          </cell>
          <cell r="N282">
            <v>0.26522854722507894</v>
          </cell>
          <cell r="O282">
            <v>-2.2223550365413337E-2</v>
          </cell>
          <cell r="P282" t="str">
            <v>*</v>
          </cell>
          <cell r="Q282">
            <v>-2.0279432761676614E-2</v>
          </cell>
          <cell r="R282" t="str">
            <v>*</v>
          </cell>
        </row>
        <row r="283">
          <cell r="H283" t="str">
            <v>HDPE</v>
          </cell>
          <cell r="I283">
            <v>19985</v>
          </cell>
          <cell r="J283" t="str">
            <v>n</v>
          </cell>
          <cell r="K283">
            <v>39.97</v>
          </cell>
          <cell r="L283">
            <v>0.17827700000000002</v>
          </cell>
          <cell r="M283">
            <v>0.16268131666666663</v>
          </cell>
          <cell r="N283">
            <v>0.26522854722507894</v>
          </cell>
          <cell r="O283">
            <v>1.8899474640544067</v>
          </cell>
          <cell r="Q283">
            <v>1.7246147393281155</v>
          </cell>
        </row>
        <row r="284">
          <cell r="H284" t="str">
            <v>LDPE</v>
          </cell>
          <cell r="I284">
            <v>19877</v>
          </cell>
          <cell r="J284" t="str">
            <v>n</v>
          </cell>
          <cell r="K284">
            <v>39.753999999999998</v>
          </cell>
          <cell r="L284">
            <v>0.17827700000000002</v>
          </cell>
          <cell r="M284">
            <v>0.16268131666666663</v>
          </cell>
          <cell r="N284">
            <v>0.26522854722507894</v>
          </cell>
          <cell r="O284">
            <v>1.8797340877162594</v>
          </cell>
          <cell r="Q284">
            <v>1.7152948298036004</v>
          </cell>
        </row>
        <row r="285">
          <cell r="H285" t="str">
            <v>PET</v>
          </cell>
          <cell r="I285">
            <v>10600</v>
          </cell>
          <cell r="J285" t="str">
            <v>n</v>
          </cell>
          <cell r="K285">
            <v>21.2</v>
          </cell>
          <cell r="L285">
            <v>0.17827700000000002</v>
          </cell>
          <cell r="M285">
            <v>0.16268131666666663</v>
          </cell>
          <cell r="N285">
            <v>0.26522854722507894</v>
          </cell>
          <cell r="O285">
            <v>1.0024239739292826</v>
          </cell>
          <cell r="Q285">
            <v>0.91473186073945589</v>
          </cell>
        </row>
        <row r="286">
          <cell r="H286" t="str">
            <v>Corrugated Containers</v>
          </cell>
          <cell r="I286">
            <v>7043</v>
          </cell>
          <cell r="J286" t="str">
            <v>b</v>
          </cell>
          <cell r="K286">
            <v>14.086</v>
          </cell>
          <cell r="L286">
            <v>0.17827700000000002</v>
          </cell>
          <cell r="M286">
            <v>0.16268131666666663</v>
          </cell>
          <cell r="N286">
            <v>0.26522854722507894</v>
          </cell>
          <cell r="O286">
            <v>0.66604453286640919</v>
          </cell>
          <cell r="Q286">
            <v>0.60777891464037626</v>
          </cell>
        </row>
        <row r="287">
          <cell r="H287" t="str">
            <v>Magazines/Third-class Mail</v>
          </cell>
          <cell r="I287">
            <v>5258</v>
          </cell>
          <cell r="J287" t="str">
            <v>d</v>
          </cell>
          <cell r="K287">
            <v>10.516</v>
          </cell>
          <cell r="L287">
            <v>0.17827700000000002</v>
          </cell>
          <cell r="M287">
            <v>0.16268131666666663</v>
          </cell>
          <cell r="N287">
            <v>0.26522854722507894</v>
          </cell>
          <cell r="O287">
            <v>0.49724011838869508</v>
          </cell>
          <cell r="Q287">
            <v>0.45374152111019422</v>
          </cell>
        </row>
        <row r="288">
          <cell r="H288" t="str">
            <v>Newspaper</v>
          </cell>
          <cell r="I288">
            <v>7950</v>
          </cell>
          <cell r="J288" t="str">
            <v>b</v>
          </cell>
          <cell r="K288">
            <v>15.9</v>
          </cell>
          <cell r="L288">
            <v>0.17827700000000002</v>
          </cell>
          <cell r="M288">
            <v>0.16268131666666663</v>
          </cell>
          <cell r="N288">
            <v>0.26522854722507894</v>
          </cell>
          <cell r="O288">
            <v>0.75181798044696191</v>
          </cell>
          <cell r="Q288">
            <v>0.68604889555459192</v>
          </cell>
        </row>
        <row r="289">
          <cell r="H289" t="str">
            <v>Office Paper</v>
          </cell>
          <cell r="I289">
            <v>6800</v>
          </cell>
          <cell r="J289" t="str">
            <v>b,f</v>
          </cell>
          <cell r="K289">
            <v>13.6</v>
          </cell>
          <cell r="L289">
            <v>0.17827700000000002</v>
          </cell>
          <cell r="M289">
            <v>0.16268131666666663</v>
          </cell>
          <cell r="N289">
            <v>0.26522854722507894</v>
          </cell>
          <cell r="O289">
            <v>0.64306443610557751</v>
          </cell>
          <cell r="Q289">
            <v>0.58680911821021697</v>
          </cell>
        </row>
        <row r="290">
          <cell r="H290" t="str">
            <v>Phonebooks</v>
          </cell>
          <cell r="I290">
            <v>7950</v>
          </cell>
          <cell r="J290" t="str">
            <v>g</v>
          </cell>
          <cell r="K290">
            <v>15.9</v>
          </cell>
          <cell r="L290">
            <v>0.17827700000000002</v>
          </cell>
          <cell r="M290">
            <v>0.16268131666666663</v>
          </cell>
          <cell r="N290">
            <v>0.26522854722507894</v>
          </cell>
          <cell r="O290">
            <v>0.75181798044696191</v>
          </cell>
          <cell r="Q290">
            <v>0.68604889555459192</v>
          </cell>
        </row>
        <row r="291">
          <cell r="H291" t="str">
            <v>Textbooks</v>
          </cell>
          <cell r="I291">
            <v>6800</v>
          </cell>
          <cell r="J291" t="str">
            <v>h</v>
          </cell>
          <cell r="K291">
            <v>13.6</v>
          </cell>
          <cell r="L291">
            <v>0.17827700000000002</v>
          </cell>
          <cell r="M291">
            <v>0.16268131666666663</v>
          </cell>
          <cell r="N291">
            <v>0.26522854722507894</v>
          </cell>
          <cell r="O291">
            <v>0.64306443610557751</v>
          </cell>
          <cell r="Q291">
            <v>0.58680911821021697</v>
          </cell>
        </row>
        <row r="292">
          <cell r="H292" t="str">
            <v>Dimensional Lumber</v>
          </cell>
          <cell r="I292">
            <v>8300</v>
          </cell>
          <cell r="J292" t="str">
            <v>i</v>
          </cell>
          <cell r="K292">
            <v>16.600000000000001</v>
          </cell>
          <cell r="L292">
            <v>0.17827700000000002</v>
          </cell>
          <cell r="M292">
            <v>0.16268131666666663</v>
          </cell>
          <cell r="N292">
            <v>0.26522854722507894</v>
          </cell>
          <cell r="O292">
            <v>0.78491688524651382</v>
          </cell>
          <cell r="Q292">
            <v>0.71625230605070611</v>
          </cell>
        </row>
        <row r="293">
          <cell r="H293" t="str">
            <v>Medium-density Fiberboard</v>
          </cell>
          <cell r="I293">
            <v>8300</v>
          </cell>
          <cell r="J293" t="str">
            <v>i</v>
          </cell>
          <cell r="K293">
            <v>16.600000000000001</v>
          </cell>
          <cell r="L293">
            <v>0.17827700000000002</v>
          </cell>
          <cell r="M293">
            <v>0.16268131666666663</v>
          </cell>
          <cell r="N293">
            <v>0.26522854722507894</v>
          </cell>
          <cell r="O293">
            <v>0.78491688524651382</v>
          </cell>
          <cell r="Q293">
            <v>0.71625230605070611</v>
          </cell>
        </row>
        <row r="294">
          <cell r="H294" t="str">
            <v>Food Waste</v>
          </cell>
          <cell r="I294">
            <v>2370</v>
          </cell>
          <cell r="J294" t="str">
            <v>b</v>
          </cell>
          <cell r="K294">
            <v>4.74</v>
          </cell>
          <cell r="L294">
            <v>0.17827700000000002</v>
          </cell>
          <cell r="M294">
            <v>0.16268131666666663</v>
          </cell>
          <cell r="N294">
            <v>0.26522854722507894</v>
          </cell>
          <cell r="O294">
            <v>0.22412686964267922</v>
          </cell>
          <cell r="Q294">
            <v>0.20452023678797268</v>
          </cell>
        </row>
        <row r="295">
          <cell r="H295" t="str">
            <v>Food Waste (non-meat)</v>
          </cell>
          <cell r="I295">
            <v>2370</v>
          </cell>
          <cell r="J295" t="str">
            <v>b</v>
          </cell>
          <cell r="K295">
            <v>4.74</v>
          </cell>
          <cell r="L295">
            <v>0.17827700000000002</v>
          </cell>
          <cell r="M295">
            <v>0.16268131666666663</v>
          </cell>
          <cell r="N295">
            <v>0.26522854722507894</v>
          </cell>
          <cell r="O295">
            <v>0.22412686964267922</v>
          </cell>
          <cell r="Q295">
            <v>0.20452023678797268</v>
          </cell>
        </row>
        <row r="296">
          <cell r="H296" t="str">
            <v>Food Waste (meat only)</v>
          </cell>
          <cell r="I296">
            <v>2370</v>
          </cell>
          <cell r="J296" t="str">
            <v>b</v>
          </cell>
          <cell r="K296">
            <v>4.74</v>
          </cell>
          <cell r="L296">
            <v>0.17827700000000002</v>
          </cell>
          <cell r="M296">
            <v>0.16268131666666663</v>
          </cell>
          <cell r="N296">
            <v>0.26522854722507894</v>
          </cell>
          <cell r="O296">
            <v>0.22412686964267922</v>
          </cell>
          <cell r="Q296">
            <v>0.20452023678797268</v>
          </cell>
        </row>
        <row r="297">
          <cell r="H297" t="str">
            <v>Beef</v>
          </cell>
          <cell r="I297">
            <v>2370</v>
          </cell>
          <cell r="J297" t="str">
            <v>b</v>
          </cell>
          <cell r="K297">
            <v>4.74</v>
          </cell>
          <cell r="L297">
            <v>0.17827700000000002</v>
          </cell>
          <cell r="M297">
            <v>0.16268131666666663</v>
          </cell>
          <cell r="N297">
            <v>0.26522854722507894</v>
          </cell>
          <cell r="O297">
            <v>0.22412686964267922</v>
          </cell>
          <cell r="Q297">
            <v>0.20452023678797268</v>
          </cell>
        </row>
        <row r="298">
          <cell r="H298" t="str">
            <v>Poultry</v>
          </cell>
          <cell r="I298">
            <v>2370</v>
          </cell>
          <cell r="J298" t="str">
            <v>b</v>
          </cell>
          <cell r="K298">
            <v>4.74</v>
          </cell>
          <cell r="L298">
            <v>0.17827700000000002</v>
          </cell>
          <cell r="M298">
            <v>0.16268131666666663</v>
          </cell>
          <cell r="N298">
            <v>0.26522854722507894</v>
          </cell>
          <cell r="O298">
            <v>0.22412686964267922</v>
          </cell>
          <cell r="Q298">
            <v>0.20452023678797268</v>
          </cell>
        </row>
        <row r="299">
          <cell r="H299" t="str">
            <v>Grains</v>
          </cell>
          <cell r="I299">
            <v>2370</v>
          </cell>
          <cell r="J299" t="str">
            <v>b</v>
          </cell>
          <cell r="K299">
            <v>4.74</v>
          </cell>
          <cell r="L299">
            <v>0.17827700000000002</v>
          </cell>
          <cell r="M299">
            <v>0.16268131666666663</v>
          </cell>
          <cell r="N299">
            <v>0.26522854722507894</v>
          </cell>
          <cell r="O299">
            <v>0.22412686964267922</v>
          </cell>
          <cell r="Q299">
            <v>0.20452023678797268</v>
          </cell>
        </row>
        <row r="300">
          <cell r="H300" t="str">
            <v>Bread</v>
          </cell>
          <cell r="I300">
            <v>2370</v>
          </cell>
          <cell r="J300" t="str">
            <v>b</v>
          </cell>
          <cell r="K300">
            <v>4.74</v>
          </cell>
          <cell r="L300">
            <v>0.17827700000000002</v>
          </cell>
          <cell r="M300">
            <v>0.16268131666666663</v>
          </cell>
          <cell r="N300">
            <v>0.26522854722507894</v>
          </cell>
          <cell r="O300">
            <v>0.22412686964267922</v>
          </cell>
          <cell r="Q300">
            <v>0.20452023678797268</v>
          </cell>
        </row>
        <row r="301">
          <cell r="H301" t="str">
            <v>Fruits and Vegetables</v>
          </cell>
          <cell r="I301">
            <v>2370</v>
          </cell>
          <cell r="J301" t="str">
            <v>b</v>
          </cell>
          <cell r="K301">
            <v>4.74</v>
          </cell>
          <cell r="L301">
            <v>0.17827700000000002</v>
          </cell>
          <cell r="M301">
            <v>0.16268131666666663</v>
          </cell>
          <cell r="N301">
            <v>0.26522854722507894</v>
          </cell>
          <cell r="O301">
            <v>0.22412686964267922</v>
          </cell>
          <cell r="Q301">
            <v>0.20452023678797268</v>
          </cell>
        </row>
        <row r="302">
          <cell r="H302" t="str">
            <v>Dairy Products</v>
          </cell>
          <cell r="I302">
            <v>2370</v>
          </cell>
          <cell r="J302" t="str">
            <v>b</v>
          </cell>
          <cell r="K302">
            <v>4.74</v>
          </cell>
          <cell r="L302">
            <v>0.17827700000000002</v>
          </cell>
          <cell r="M302">
            <v>0.16268131666666663</v>
          </cell>
          <cell r="N302">
            <v>0.26522854722507894</v>
          </cell>
          <cell r="O302">
            <v>0.22412686964267922</v>
          </cell>
          <cell r="Q302">
            <v>0.20452023678797268</v>
          </cell>
        </row>
        <row r="303">
          <cell r="H303" t="str">
            <v>Yard Trimmings</v>
          </cell>
          <cell r="I303">
            <v>2800</v>
          </cell>
          <cell r="J303" t="str">
            <v>j</v>
          </cell>
          <cell r="K303">
            <v>5.6</v>
          </cell>
          <cell r="L303">
            <v>0.17827700000000002</v>
          </cell>
          <cell r="M303">
            <v>0.16268131666666663</v>
          </cell>
          <cell r="N303">
            <v>0.26522854722507894</v>
          </cell>
          <cell r="O303">
            <v>0.26479123839641422</v>
          </cell>
          <cell r="Q303">
            <v>0.24162728396891284</v>
          </cell>
        </row>
        <row r="304">
          <cell r="H304" t="str">
            <v>Mixed MSW</v>
          </cell>
          <cell r="I304">
            <v>5000</v>
          </cell>
          <cell r="J304" t="str">
            <v>k</v>
          </cell>
          <cell r="K304">
            <v>10</v>
          </cell>
          <cell r="L304">
            <v>0.17827700000000002</v>
          </cell>
          <cell r="M304">
            <v>0.16268131666666663</v>
          </cell>
          <cell r="N304">
            <v>0.26522854722507894</v>
          </cell>
          <cell r="O304">
            <v>0.47284149713645401</v>
          </cell>
          <cell r="Q304">
            <v>0.43147729280163011</v>
          </cell>
        </row>
        <row r="305">
          <cell r="H305" t="str">
            <v>Carpet</v>
          </cell>
          <cell r="I305">
            <v>7600</v>
          </cell>
          <cell r="J305" t="str">
            <v>l</v>
          </cell>
          <cell r="K305">
            <v>15.2</v>
          </cell>
          <cell r="L305">
            <v>0.17827700000000002</v>
          </cell>
          <cell r="M305">
            <v>0.16268131666666663</v>
          </cell>
          <cell r="N305">
            <v>0.26522854722507894</v>
          </cell>
          <cell r="O305">
            <v>0.71871907564741011</v>
          </cell>
          <cell r="Q305">
            <v>0.65584548505847773</v>
          </cell>
        </row>
        <row r="306">
          <cell r="H306" t="str">
            <v>Personal Computers</v>
          </cell>
          <cell r="I306">
            <v>1533.3333333333335</v>
          </cell>
          <cell r="J306" t="str">
            <v>m</v>
          </cell>
          <cell r="K306">
            <v>3.0666666666666669</v>
          </cell>
          <cell r="L306">
            <v>0.17827700000000002</v>
          </cell>
          <cell r="M306">
            <v>0.16268131666666663</v>
          </cell>
          <cell r="N306">
            <v>0.26522854722507894</v>
          </cell>
          <cell r="O306">
            <v>0.14500472578851259</v>
          </cell>
          <cell r="Q306">
            <v>0.13231970312583324</v>
          </cell>
        </row>
        <row r="307">
          <cell r="H307" t="str">
            <v>Tires</v>
          </cell>
          <cell r="I307">
            <v>13888.888888888887</v>
          </cell>
          <cell r="K307">
            <v>27.777777777777775</v>
          </cell>
          <cell r="L307" t="str">
            <v>NA</v>
          </cell>
          <cell r="M307" t="str">
            <v>NA</v>
          </cell>
          <cell r="N307" t="str">
            <v>NA</v>
          </cell>
          <cell r="O307">
            <v>1.5659939377631629</v>
          </cell>
          <cell r="Q307">
            <v>1.5659939377631629</v>
          </cell>
        </row>
        <row r="308">
          <cell r="H308" t="str">
            <v>Asphalt Concrete</v>
          </cell>
          <cell r="I308" t="str">
            <v>NA</v>
          </cell>
          <cell r="K308" t="str">
            <v>NA</v>
          </cell>
          <cell r="L308" t="str">
            <v>NA</v>
          </cell>
          <cell r="M308" t="str">
            <v>NA</v>
          </cell>
          <cell r="N308" t="str">
            <v>NA</v>
          </cell>
          <cell r="O308" t="str">
            <v>NA</v>
          </cell>
          <cell r="P308" t="str">
            <v>*</v>
          </cell>
          <cell r="Q308" t="str">
            <v>NA</v>
          </cell>
          <cell r="R308" t="str">
            <v>*</v>
          </cell>
        </row>
        <row r="309">
          <cell r="H309" t="str">
            <v>Paper Felt Shingle</v>
          </cell>
          <cell r="I309">
            <v>7199.9999999999991</v>
          </cell>
          <cell r="K309">
            <v>14.399999999999999</v>
          </cell>
          <cell r="L309" t="str">
            <v>NA</v>
          </cell>
          <cell r="M309" t="str">
            <v>NA</v>
          </cell>
          <cell r="N309" t="str">
            <v>NA</v>
          </cell>
          <cell r="O309">
            <v>1.7236799999999992</v>
          </cell>
          <cell r="P309" t="str">
            <v>*</v>
          </cell>
          <cell r="Q309">
            <v>1.7236799999999992</v>
          </cell>
          <cell r="R309" t="str">
            <v>*</v>
          </cell>
        </row>
        <row r="310">
          <cell r="H310" t="str">
            <v>Asphalt Shingles</v>
          </cell>
          <cell r="I310">
            <v>4399.9999999999991</v>
          </cell>
          <cell r="K310">
            <v>8.7999999999999989</v>
          </cell>
          <cell r="L310" t="str">
            <v>NA</v>
          </cell>
          <cell r="M310" t="str">
            <v>NA</v>
          </cell>
          <cell r="N310" t="str">
            <v>NA</v>
          </cell>
          <cell r="O310">
            <v>1.0533599999999996</v>
          </cell>
          <cell r="P310" t="str">
            <v>*</v>
          </cell>
          <cell r="Q310">
            <v>1.0533599999999996</v>
          </cell>
          <cell r="R310" t="str">
            <v>*</v>
          </cell>
        </row>
        <row r="311">
          <cell r="H311" t="str">
            <v>Drywall</v>
          </cell>
          <cell r="I311" t="str">
            <v>NA</v>
          </cell>
          <cell r="K311" t="str">
            <v>NA</v>
          </cell>
          <cell r="L311" t="str">
            <v>NA</v>
          </cell>
          <cell r="M311" t="str">
            <v>NA</v>
          </cell>
          <cell r="N311" t="str">
            <v>NA</v>
          </cell>
          <cell r="O311" t="str">
            <v>NA</v>
          </cell>
          <cell r="Q311" t="str">
            <v>NA</v>
          </cell>
        </row>
        <row r="312">
          <cell r="H312" t="str">
            <v>Fiberglass Insulation</v>
          </cell>
          <cell r="I312" t="str">
            <v>NA</v>
          </cell>
          <cell r="K312" t="str">
            <v>NA</v>
          </cell>
          <cell r="L312" t="str">
            <v>NA</v>
          </cell>
          <cell r="M312" t="str">
            <v>NA</v>
          </cell>
          <cell r="N312" t="str">
            <v>NA</v>
          </cell>
          <cell r="O312" t="str">
            <v>NA</v>
          </cell>
          <cell r="Q312" t="str">
            <v>NA</v>
          </cell>
        </row>
        <row r="313">
          <cell r="H313" t="str">
            <v>Vinyl Flooring</v>
          </cell>
          <cell r="I313">
            <v>7875</v>
          </cell>
          <cell r="K313">
            <v>15.75</v>
          </cell>
          <cell r="L313">
            <v>0.17827700000000002</v>
          </cell>
          <cell r="M313">
            <v>0.16268131666666663</v>
          </cell>
          <cell r="N313">
            <v>0.26522854722507894</v>
          </cell>
          <cell r="O313">
            <v>0.74472535798991513</v>
          </cell>
          <cell r="P313">
            <v>0.67957673616256742</v>
          </cell>
          <cell r="Q313">
            <v>0.67957673616256742</v>
          </cell>
        </row>
        <row r="314">
          <cell r="H314" t="str">
            <v>Wood Flooring</v>
          </cell>
          <cell r="I314">
            <v>8993.4575501382224</v>
          </cell>
          <cell r="K314">
            <v>17.986915100276445</v>
          </cell>
          <cell r="L314">
            <v>0.21532527051987507</v>
          </cell>
          <cell r="M314">
            <v>0.16268131666666663</v>
          </cell>
          <cell r="N314">
            <v>0.26522854722507894</v>
          </cell>
          <cell r="O314">
            <v>1.0272400722842445</v>
          </cell>
          <cell r="P314">
            <v>0.77609454333200423</v>
          </cell>
          <cell r="Q314">
            <v>0.77609454333200423</v>
          </cell>
        </row>
        <row r="315">
          <cell r="H315" t="str">
            <v>Aluminum Ingot</v>
          </cell>
          <cell r="I315">
            <v>-335</v>
          </cell>
          <cell r="J315" t="str">
            <v>a</v>
          </cell>
          <cell r="K315">
            <v>-0.67</v>
          </cell>
          <cell r="L315">
            <v>0.17827700000000002</v>
          </cell>
          <cell r="M315">
            <v>0.16268131666666663</v>
          </cell>
          <cell r="N315">
            <v>0.26522854722507894</v>
          </cell>
          <cell r="O315">
            <v>-3.1680380308142422E-2</v>
          </cell>
          <cell r="P315" t="str">
            <v>*</v>
          </cell>
          <cell r="Q315">
            <v>-2.8908978617709219E-2</v>
          </cell>
          <cell r="R315" t="str">
            <v>*</v>
          </cell>
        </row>
        <row r="316">
          <cell r="H316" t="str">
            <v>PLA</v>
          </cell>
          <cell r="I316">
            <v>8368</v>
          </cell>
          <cell r="K316">
            <v>16.736000000000001</v>
          </cell>
          <cell r="L316">
            <v>0.17827700000000002</v>
          </cell>
          <cell r="M316">
            <v>0.16268131666666663</v>
          </cell>
          <cell r="N316">
            <v>0.26522854722507894</v>
          </cell>
          <cell r="O316">
            <v>0.79134752960756949</v>
          </cell>
          <cell r="P316" t="str">
            <v>*</v>
          </cell>
          <cell r="Q316">
            <v>0.72212039723280819</v>
          </cell>
          <cell r="R316" t="str">
            <v>*</v>
          </cell>
        </row>
        <row r="317">
          <cell r="H317" t="str">
            <v>LLDPE</v>
          </cell>
          <cell r="I317">
            <v>19946</v>
          </cell>
          <cell r="K317">
            <v>39.892000000000003</v>
          </cell>
          <cell r="L317">
            <v>0.17827700000000002</v>
          </cell>
          <cell r="M317">
            <v>0.16268131666666663</v>
          </cell>
          <cell r="N317">
            <v>0.26522854722507894</v>
          </cell>
          <cell r="O317">
            <v>1.8862593003767425</v>
          </cell>
          <cell r="Q317">
            <v>1.721249216444263</v>
          </cell>
        </row>
        <row r="318">
          <cell r="H318" t="str">
            <v>PP</v>
          </cell>
          <cell r="I318">
            <v>19948</v>
          </cell>
          <cell r="K318">
            <v>39.896000000000001</v>
          </cell>
          <cell r="L318">
            <v>0.17827700000000002</v>
          </cell>
          <cell r="M318">
            <v>0.16268131666666663</v>
          </cell>
          <cell r="N318">
            <v>0.26522854722507894</v>
          </cell>
          <cell r="O318">
            <v>1.8864484369755969</v>
          </cell>
          <cell r="Q318">
            <v>1.7214218073613834</v>
          </cell>
        </row>
        <row r="319">
          <cell r="H319" t="str">
            <v>PS</v>
          </cell>
          <cell r="I319">
            <v>18000</v>
          </cell>
          <cell r="K319">
            <v>36</v>
          </cell>
          <cell r="L319">
            <v>0.17827700000000002</v>
          </cell>
          <cell r="M319">
            <v>0.16268131666666663</v>
          </cell>
          <cell r="N319">
            <v>0.26522854722507894</v>
          </cell>
          <cell r="O319">
            <v>1.7022293896912344</v>
          </cell>
          <cell r="Q319">
            <v>1.5533182540858685</v>
          </cell>
        </row>
        <row r="320">
          <cell r="H320" t="str">
            <v>PVC</v>
          </cell>
          <cell r="I320">
            <v>7875</v>
          </cell>
          <cell r="K320">
            <v>15.75</v>
          </cell>
          <cell r="L320">
            <v>0.17827700000000002</v>
          </cell>
          <cell r="M320">
            <v>0.16268131666666663</v>
          </cell>
          <cell r="N320">
            <v>0.26522854722507894</v>
          </cell>
          <cell r="O320">
            <v>0.74472535798991513</v>
          </cell>
          <cell r="Q320">
            <v>0.67957673616256742</v>
          </cell>
        </row>
        <row r="322">
          <cell r="H322" t="str">
            <v>Exhibit 6-2</v>
          </cell>
        </row>
        <row r="323">
          <cell r="H323" t="str">
            <v>Avoided Utility GHG Emissions from Combustion at Mass Burn and RDF Facilities- East-South Central</v>
          </cell>
        </row>
        <row r="324">
          <cell r="H324" t="str">
            <v>East South Central</v>
          </cell>
        </row>
        <row r="325">
          <cell r="H325" t="str">
            <v>(a)</v>
          </cell>
          <cell r="I325" t="str">
            <v xml:space="preserve">(b) </v>
          </cell>
          <cell r="K325" t="str">
            <v>(c)</v>
          </cell>
          <cell r="L325" t="str">
            <v xml:space="preserve">(d) </v>
          </cell>
          <cell r="M325" t="str">
            <v xml:space="preserve">(e)                  </v>
          </cell>
          <cell r="N325" t="str">
            <v>(f)</v>
          </cell>
          <cell r="O325" t="str">
            <v xml:space="preserve">(g) </v>
          </cell>
          <cell r="Q325" t="str">
            <v xml:space="preserve">(h)                  </v>
          </cell>
        </row>
        <row r="326">
          <cell r="H326" t="str">
            <v>Material Combusted</v>
          </cell>
          <cell r="I326" t="str">
            <v>Energy Content (Btu Per Pound)</v>
          </cell>
          <cell r="K326" t="str">
            <v>Energy Content (Million Btu Per Ton)</v>
          </cell>
          <cell r="L326" t="str">
            <v>Mass Burn Combustion System Efficiency (Percent)</v>
          </cell>
          <cell r="M326" t="str">
            <v>RDF Combustion System Efficiency (Percent)</v>
          </cell>
          <cell r="N326" t="str">
            <v>Emission Factor for Utility-Generated Electricity (MTCO2E/
Million Btu of Electricity Delivered)</v>
          </cell>
          <cell r="O326" t="str">
            <v>(g = c * d * f) Avoided Utility CO2 Per Ton Combusted at Mass Burn Facilities (MTCO2E)</v>
          </cell>
          <cell r="Q326" t="str">
            <v>(h = c * e * f)
Avoided Utility CO2 Per Ton Combusted at RDF Facilities (MTCO2E)</v>
          </cell>
        </row>
        <row r="327">
          <cell r="H327" t="str">
            <v>Aluminum Cans</v>
          </cell>
          <cell r="I327">
            <v>-335</v>
          </cell>
          <cell r="J327" t="str">
            <v>a</v>
          </cell>
          <cell r="K327">
            <v>-0.67</v>
          </cell>
          <cell r="L327">
            <v>0.17827700000000002</v>
          </cell>
          <cell r="M327">
            <v>0.16268131666666663</v>
          </cell>
          <cell r="N327">
            <v>0.23715816559132435</v>
          </cell>
          <cell r="O327">
            <v>-2.8327497012373439E-2</v>
          </cell>
          <cell r="P327" t="str">
            <v>*</v>
          </cell>
          <cell r="Q327">
            <v>-2.5849405766554159E-2</v>
          </cell>
          <cell r="R327" t="str">
            <v>*</v>
          </cell>
        </row>
        <row r="328">
          <cell r="H328" t="str">
            <v>Steel Cans</v>
          </cell>
          <cell r="I328">
            <v>-210</v>
          </cell>
          <cell r="J328" t="str">
            <v>a</v>
          </cell>
          <cell r="K328">
            <v>-0.42</v>
          </cell>
          <cell r="L328">
            <v>0.17827700000000002</v>
          </cell>
          <cell r="M328">
            <v>0.16268131666666663</v>
          </cell>
          <cell r="N328">
            <v>0.23715816559132435</v>
          </cell>
          <cell r="O328">
            <v>-1.7757535440592304E-2</v>
          </cell>
          <cell r="P328" t="str">
            <v>*</v>
          </cell>
          <cell r="Q328">
            <v>-1.6204105107392161E-2</v>
          </cell>
          <cell r="R328" t="str">
            <v>*</v>
          </cell>
        </row>
        <row r="329">
          <cell r="H329" t="str">
            <v>Copper Wire</v>
          </cell>
          <cell r="I329">
            <v>-272.5</v>
          </cell>
          <cell r="K329">
            <v>-0.54500000000000004</v>
          </cell>
          <cell r="L329">
            <v>0.17827700000000002</v>
          </cell>
          <cell r="M329">
            <v>0.16268131666666663</v>
          </cell>
          <cell r="N329">
            <v>0.23715816559132435</v>
          </cell>
          <cell r="O329">
            <v>-2.3042516226482873E-2</v>
          </cell>
          <cell r="P329" t="str">
            <v>*</v>
          </cell>
          <cell r="Q329">
            <v>-2.102675543697316E-2</v>
          </cell>
          <cell r="R329" t="str">
            <v>*</v>
          </cell>
        </row>
        <row r="330">
          <cell r="H330" t="str">
            <v>Glass</v>
          </cell>
          <cell r="I330">
            <v>-235</v>
          </cell>
          <cell r="J330" t="str">
            <v>a</v>
          </cell>
          <cell r="K330">
            <v>-0.47</v>
          </cell>
          <cell r="L330">
            <v>0.17827700000000002</v>
          </cell>
          <cell r="M330">
            <v>0.16268131666666663</v>
          </cell>
          <cell r="N330">
            <v>0.23715816559132435</v>
          </cell>
          <cell r="O330">
            <v>-1.9871527754948531E-2</v>
          </cell>
          <cell r="P330" t="str">
            <v>*</v>
          </cell>
          <cell r="Q330">
            <v>-1.813316523922456E-2</v>
          </cell>
          <cell r="R330" t="str">
            <v>*</v>
          </cell>
        </row>
        <row r="331">
          <cell r="H331" t="str">
            <v>HDPE</v>
          </cell>
          <cell r="I331">
            <v>19985</v>
          </cell>
          <cell r="J331" t="str">
            <v>n</v>
          </cell>
          <cell r="K331">
            <v>39.97</v>
          </cell>
          <cell r="L331">
            <v>0.17827700000000002</v>
          </cell>
          <cell r="M331">
            <v>0.16268131666666663</v>
          </cell>
          <cell r="N331">
            <v>0.23715816559132435</v>
          </cell>
          <cell r="O331">
            <v>1.6899254560963677</v>
          </cell>
          <cell r="Q331">
            <v>1.5420906693868206</v>
          </cell>
        </row>
        <row r="332">
          <cell r="H332" t="str">
            <v>LDPE</v>
          </cell>
          <cell r="I332">
            <v>19877</v>
          </cell>
          <cell r="J332" t="str">
            <v>n</v>
          </cell>
          <cell r="K332">
            <v>39.753999999999998</v>
          </cell>
          <cell r="L332">
            <v>0.17827700000000002</v>
          </cell>
          <cell r="M332">
            <v>0.16268131666666663</v>
          </cell>
          <cell r="N332">
            <v>0.23715816559132435</v>
          </cell>
          <cell r="O332">
            <v>1.6807930092983487</v>
          </cell>
          <cell r="Q332">
            <v>1.5337571296173045</v>
          </cell>
        </row>
        <row r="333">
          <cell r="H333" t="str">
            <v>PET</v>
          </cell>
          <cell r="I333">
            <v>10600</v>
          </cell>
          <cell r="J333" t="str">
            <v>n</v>
          </cell>
          <cell r="K333">
            <v>21.2</v>
          </cell>
          <cell r="L333">
            <v>0.17827700000000002</v>
          </cell>
          <cell r="M333">
            <v>0.16268131666666663</v>
          </cell>
          <cell r="N333">
            <v>0.23715816559132435</v>
          </cell>
          <cell r="O333">
            <v>0.89633274128704021</v>
          </cell>
          <cell r="Q333">
            <v>0.81792149589693763</v>
          </cell>
        </row>
        <row r="334">
          <cell r="H334" t="str">
            <v>Corrugated Containers</v>
          </cell>
          <cell r="I334">
            <v>7043</v>
          </cell>
          <cell r="J334" t="str">
            <v>b</v>
          </cell>
          <cell r="K334">
            <v>14.086</v>
          </cell>
          <cell r="L334">
            <v>0.17827700000000002</v>
          </cell>
          <cell r="M334">
            <v>0.16268131666666663</v>
          </cell>
          <cell r="N334">
            <v>0.23715816559132435</v>
          </cell>
          <cell r="O334">
            <v>0.59555391480043629</v>
          </cell>
          <cell r="Q334">
            <v>0.54345482033982373</v>
          </cell>
        </row>
        <row r="335">
          <cell r="H335" t="str">
            <v>Magazines/Third-class Mail</v>
          </cell>
          <cell r="I335">
            <v>5258</v>
          </cell>
          <cell r="J335" t="str">
            <v>d</v>
          </cell>
          <cell r="K335">
            <v>10.516</v>
          </cell>
          <cell r="L335">
            <v>0.17827700000000002</v>
          </cell>
          <cell r="M335">
            <v>0.16268131666666663</v>
          </cell>
          <cell r="N335">
            <v>0.23715816559132435</v>
          </cell>
          <cell r="O335">
            <v>0.44461486355540164</v>
          </cell>
          <cell r="Q335">
            <v>0.40571992692699038</v>
          </cell>
        </row>
        <row r="336">
          <cell r="H336" t="str">
            <v>Newspaper</v>
          </cell>
          <cell r="I336">
            <v>7950</v>
          </cell>
          <cell r="J336" t="str">
            <v>b</v>
          </cell>
          <cell r="K336">
            <v>15.9</v>
          </cell>
          <cell r="L336">
            <v>0.17827700000000002</v>
          </cell>
          <cell r="M336">
            <v>0.16268131666666663</v>
          </cell>
          <cell r="N336">
            <v>0.23715816559132435</v>
          </cell>
          <cell r="O336">
            <v>0.67224955596528013</v>
          </cell>
          <cell r="Q336">
            <v>0.61344112192270317</v>
          </cell>
        </row>
        <row r="337">
          <cell r="H337" t="str">
            <v>Office Paper</v>
          </cell>
          <cell r="I337">
            <v>6800</v>
          </cell>
          <cell r="J337" t="str">
            <v>b,f</v>
          </cell>
          <cell r="K337">
            <v>13.6</v>
          </cell>
          <cell r="L337">
            <v>0.17827700000000002</v>
          </cell>
          <cell r="M337">
            <v>0.16268131666666663</v>
          </cell>
          <cell r="N337">
            <v>0.23715816559132435</v>
          </cell>
          <cell r="O337">
            <v>0.57500590950489372</v>
          </cell>
          <cell r="Q337">
            <v>0.5247043558584128</v>
          </cell>
        </row>
        <row r="338">
          <cell r="H338" t="str">
            <v>Phonebooks</v>
          </cell>
          <cell r="I338">
            <v>7950</v>
          </cell>
          <cell r="J338" t="str">
            <v>g</v>
          </cell>
          <cell r="K338">
            <v>15.9</v>
          </cell>
          <cell r="L338">
            <v>0.17827700000000002</v>
          </cell>
          <cell r="M338">
            <v>0.16268131666666663</v>
          </cell>
          <cell r="N338">
            <v>0.23715816559132435</v>
          </cell>
          <cell r="O338">
            <v>0.67224955596528013</v>
          </cell>
          <cell r="Q338">
            <v>0.61344112192270317</v>
          </cell>
        </row>
        <row r="339">
          <cell r="H339" t="str">
            <v>Textbooks</v>
          </cell>
          <cell r="I339">
            <v>6800</v>
          </cell>
          <cell r="J339" t="str">
            <v>h</v>
          </cell>
          <cell r="K339">
            <v>13.6</v>
          </cell>
          <cell r="L339">
            <v>0.17827700000000002</v>
          </cell>
          <cell r="M339">
            <v>0.16268131666666663</v>
          </cell>
          <cell r="N339">
            <v>0.23715816559132435</v>
          </cell>
          <cell r="O339">
            <v>0.57500590950489372</v>
          </cell>
          <cell r="Q339">
            <v>0.5247043558584128</v>
          </cell>
        </row>
        <row r="340">
          <cell r="H340" t="str">
            <v>Dimensional Lumber</v>
          </cell>
          <cell r="I340">
            <v>8300</v>
          </cell>
          <cell r="J340" t="str">
            <v>i</v>
          </cell>
          <cell r="K340">
            <v>16.600000000000001</v>
          </cell>
          <cell r="L340">
            <v>0.17827700000000002</v>
          </cell>
          <cell r="M340">
            <v>0.16268131666666663</v>
          </cell>
          <cell r="N340">
            <v>0.23715816559132435</v>
          </cell>
          <cell r="O340">
            <v>0.70184544836626739</v>
          </cell>
          <cell r="Q340">
            <v>0.64044796376835689</v>
          </cell>
        </row>
        <row r="341">
          <cell r="H341" t="str">
            <v>Medium-density Fiberboard</v>
          </cell>
          <cell r="I341">
            <v>8300</v>
          </cell>
          <cell r="J341" t="str">
            <v>i</v>
          </cell>
          <cell r="K341">
            <v>16.600000000000001</v>
          </cell>
          <cell r="L341">
            <v>0.17827700000000002</v>
          </cell>
          <cell r="M341">
            <v>0.16268131666666663</v>
          </cell>
          <cell r="N341">
            <v>0.23715816559132435</v>
          </cell>
          <cell r="O341">
            <v>0.70184544836626739</v>
          </cell>
          <cell r="Q341">
            <v>0.64044796376835689</v>
          </cell>
        </row>
        <row r="342">
          <cell r="H342" t="str">
            <v>Food Waste</v>
          </cell>
          <cell r="I342">
            <v>2370</v>
          </cell>
          <cell r="J342" t="str">
            <v>b</v>
          </cell>
          <cell r="K342">
            <v>4.74</v>
          </cell>
          <cell r="L342">
            <v>0.17827700000000002</v>
          </cell>
          <cell r="M342">
            <v>0.16268131666666663</v>
          </cell>
          <cell r="N342">
            <v>0.23715816559132435</v>
          </cell>
          <cell r="O342">
            <v>0.20040647140097032</v>
          </cell>
          <cell r="Q342">
            <v>0.18287490049771155</v>
          </cell>
        </row>
        <row r="343">
          <cell r="H343" t="str">
            <v>Food Waste (non-meat)</v>
          </cell>
          <cell r="I343">
            <v>2370</v>
          </cell>
          <cell r="J343" t="str">
            <v>b</v>
          </cell>
          <cell r="K343">
            <v>4.74</v>
          </cell>
          <cell r="L343">
            <v>0.17827700000000002</v>
          </cell>
          <cell r="M343">
            <v>0.16268131666666663</v>
          </cell>
          <cell r="N343">
            <v>0.23715816559132435</v>
          </cell>
          <cell r="O343">
            <v>0.20040647140097032</v>
          </cell>
          <cell r="Q343">
            <v>0.18287490049771155</v>
          </cell>
        </row>
        <row r="344">
          <cell r="H344" t="str">
            <v>Food Waste (meat only)</v>
          </cell>
          <cell r="I344">
            <v>2370</v>
          </cell>
          <cell r="J344" t="str">
            <v>b</v>
          </cell>
          <cell r="K344">
            <v>4.74</v>
          </cell>
          <cell r="L344">
            <v>0.17827700000000002</v>
          </cell>
          <cell r="M344">
            <v>0.16268131666666663</v>
          </cell>
          <cell r="N344">
            <v>0.23715816559132435</v>
          </cell>
          <cell r="O344">
            <v>0.20040647140097032</v>
          </cell>
          <cell r="Q344">
            <v>0.18287490049771155</v>
          </cell>
        </row>
        <row r="345">
          <cell r="H345" t="str">
            <v>Beef</v>
          </cell>
          <cell r="I345">
            <v>2370</v>
          </cell>
          <cell r="J345" t="str">
            <v>b</v>
          </cell>
          <cell r="K345">
            <v>4.74</v>
          </cell>
          <cell r="L345">
            <v>0.17827700000000002</v>
          </cell>
          <cell r="M345">
            <v>0.16268131666666663</v>
          </cell>
          <cell r="N345">
            <v>0.23715816559132435</v>
          </cell>
          <cell r="O345">
            <v>0.20040647140097032</v>
          </cell>
          <cell r="Q345">
            <v>0.18287490049771155</v>
          </cell>
        </row>
        <row r="346">
          <cell r="H346" t="str">
            <v>Poultry</v>
          </cell>
          <cell r="I346">
            <v>2370</v>
          </cell>
          <cell r="J346" t="str">
            <v>b</v>
          </cell>
          <cell r="K346">
            <v>4.74</v>
          </cell>
          <cell r="L346">
            <v>0.17827700000000002</v>
          </cell>
          <cell r="M346">
            <v>0.16268131666666663</v>
          </cell>
          <cell r="N346">
            <v>0.23715816559132435</v>
          </cell>
          <cell r="O346">
            <v>0.20040647140097032</v>
          </cell>
          <cell r="Q346">
            <v>0.18287490049771155</v>
          </cell>
        </row>
        <row r="347">
          <cell r="H347" t="str">
            <v>Grains</v>
          </cell>
          <cell r="I347">
            <v>2370</v>
          </cell>
          <cell r="J347" t="str">
            <v>b</v>
          </cell>
          <cell r="K347">
            <v>4.74</v>
          </cell>
          <cell r="L347">
            <v>0.17827700000000002</v>
          </cell>
          <cell r="M347">
            <v>0.16268131666666663</v>
          </cell>
          <cell r="N347">
            <v>0.23715816559132435</v>
          </cell>
          <cell r="O347">
            <v>0.20040647140097032</v>
          </cell>
          <cell r="Q347">
            <v>0.18287490049771155</v>
          </cell>
        </row>
        <row r="348">
          <cell r="H348" t="str">
            <v>Bread</v>
          </cell>
          <cell r="I348">
            <v>2370</v>
          </cell>
          <cell r="J348" t="str">
            <v>b</v>
          </cell>
          <cell r="K348">
            <v>4.74</v>
          </cell>
          <cell r="L348">
            <v>0.17827700000000002</v>
          </cell>
          <cell r="M348">
            <v>0.16268131666666663</v>
          </cell>
          <cell r="N348">
            <v>0.23715816559132435</v>
          </cell>
          <cell r="O348">
            <v>0.20040647140097032</v>
          </cell>
          <cell r="Q348">
            <v>0.18287490049771155</v>
          </cell>
        </row>
        <row r="349">
          <cell r="H349" t="str">
            <v>Fruits and Vegetables</v>
          </cell>
          <cell r="I349">
            <v>2370</v>
          </cell>
          <cell r="J349" t="str">
            <v>b</v>
          </cell>
          <cell r="K349">
            <v>4.74</v>
          </cell>
          <cell r="L349">
            <v>0.17827700000000002</v>
          </cell>
          <cell r="M349">
            <v>0.16268131666666663</v>
          </cell>
          <cell r="N349">
            <v>0.23715816559132435</v>
          </cell>
          <cell r="O349">
            <v>0.20040647140097032</v>
          </cell>
          <cell r="Q349">
            <v>0.18287490049771155</v>
          </cell>
        </row>
        <row r="350">
          <cell r="H350" t="str">
            <v>Dairy Products</v>
          </cell>
          <cell r="I350">
            <v>2370</v>
          </cell>
          <cell r="J350" t="str">
            <v>b</v>
          </cell>
          <cell r="K350">
            <v>4.74</v>
          </cell>
          <cell r="L350">
            <v>0.17827700000000002</v>
          </cell>
          <cell r="M350">
            <v>0.16268131666666663</v>
          </cell>
          <cell r="N350">
            <v>0.23715816559132435</v>
          </cell>
          <cell r="O350">
            <v>0.20040647140097032</v>
          </cell>
          <cell r="Q350">
            <v>0.18287490049771155</v>
          </cell>
        </row>
        <row r="351">
          <cell r="H351" t="str">
            <v>Yard Trimmings</v>
          </cell>
          <cell r="I351">
            <v>2800</v>
          </cell>
          <cell r="J351" t="str">
            <v>j</v>
          </cell>
          <cell r="K351">
            <v>5.6</v>
          </cell>
          <cell r="L351">
            <v>0.17827700000000002</v>
          </cell>
          <cell r="M351">
            <v>0.16268131666666663</v>
          </cell>
          <cell r="N351">
            <v>0.23715816559132435</v>
          </cell>
          <cell r="O351">
            <v>0.23676713920789738</v>
          </cell>
          <cell r="Q351">
            <v>0.21605473476522877</v>
          </cell>
        </row>
        <row r="352">
          <cell r="H352" t="str">
            <v>Mixed MSW</v>
          </cell>
          <cell r="I352">
            <v>5000</v>
          </cell>
          <cell r="J352" t="str">
            <v>k</v>
          </cell>
          <cell r="K352">
            <v>10</v>
          </cell>
          <cell r="L352">
            <v>0.17827700000000002</v>
          </cell>
          <cell r="M352">
            <v>0.16268131666666663</v>
          </cell>
          <cell r="N352">
            <v>0.23715816559132435</v>
          </cell>
          <cell r="O352">
            <v>0.42279846287124534</v>
          </cell>
          <cell r="Q352">
            <v>0.38581202636647999</v>
          </cell>
        </row>
        <row r="353">
          <cell r="H353" t="str">
            <v>Carpet</v>
          </cell>
          <cell r="I353">
            <v>7600</v>
          </cell>
          <cell r="J353" t="str">
            <v>l</v>
          </cell>
          <cell r="K353">
            <v>15.2</v>
          </cell>
          <cell r="L353">
            <v>0.17827700000000002</v>
          </cell>
          <cell r="M353">
            <v>0.16268131666666663</v>
          </cell>
          <cell r="N353">
            <v>0.23715816559132435</v>
          </cell>
          <cell r="O353">
            <v>0.64265366356429299</v>
          </cell>
          <cell r="Q353">
            <v>0.58643428007704956</v>
          </cell>
        </row>
        <row r="354">
          <cell r="H354" t="str">
            <v>Personal Computers</v>
          </cell>
          <cell r="I354">
            <v>1533.3333333333335</v>
          </cell>
          <cell r="J354" t="str">
            <v>m</v>
          </cell>
          <cell r="K354">
            <v>3.0666666666666669</v>
          </cell>
          <cell r="L354">
            <v>0.17827700000000002</v>
          </cell>
          <cell r="M354">
            <v>0.16268131666666663</v>
          </cell>
          <cell r="N354">
            <v>0.23715816559132435</v>
          </cell>
          <cell r="O354">
            <v>0.12965819528051525</v>
          </cell>
          <cell r="Q354">
            <v>0.11831568808572054</v>
          </cell>
        </row>
        <row r="355">
          <cell r="H355" t="str">
            <v>Tires</v>
          </cell>
          <cell r="I355">
            <v>13888.888888888887</v>
          </cell>
          <cell r="K355">
            <v>27.777777777777775</v>
          </cell>
          <cell r="L355" t="str">
            <v>NA</v>
          </cell>
          <cell r="M355" t="str">
            <v>NA</v>
          </cell>
          <cell r="N355" t="str">
            <v>NA</v>
          </cell>
          <cell r="O355">
            <v>1.5659939377631629</v>
          </cell>
          <cell r="Q355">
            <v>1.5659939377631629</v>
          </cell>
        </row>
        <row r="356">
          <cell r="H356" t="str">
            <v>Asphalt Concrete</v>
          </cell>
          <cell r="I356" t="str">
            <v>NA</v>
          </cell>
          <cell r="K356" t="str">
            <v>NA</v>
          </cell>
          <cell r="L356" t="str">
            <v>NA</v>
          </cell>
          <cell r="M356" t="str">
            <v>NA</v>
          </cell>
          <cell r="N356" t="str">
            <v>NA</v>
          </cell>
          <cell r="O356" t="str">
            <v>NA</v>
          </cell>
          <cell r="P356" t="str">
            <v>*</v>
          </cell>
          <cell r="Q356" t="str">
            <v>NA</v>
          </cell>
          <cell r="R356" t="str">
            <v>*</v>
          </cell>
        </row>
        <row r="357">
          <cell r="H357" t="str">
            <v>Paper Felt Shingle</v>
          </cell>
          <cell r="I357">
            <v>7199.9999999999991</v>
          </cell>
          <cell r="K357">
            <v>14.399999999999999</v>
          </cell>
          <cell r="L357" t="str">
            <v>NA</v>
          </cell>
          <cell r="M357" t="str">
            <v>NA</v>
          </cell>
          <cell r="N357" t="str">
            <v>NA</v>
          </cell>
          <cell r="O357">
            <v>1.7236799999999992</v>
          </cell>
          <cell r="P357" t="str">
            <v>*</v>
          </cell>
          <cell r="Q357">
            <v>1.7236799999999992</v>
          </cell>
          <cell r="R357" t="str">
            <v>*</v>
          </cell>
        </row>
        <row r="358">
          <cell r="H358" t="str">
            <v>Asphalt Shingles</v>
          </cell>
          <cell r="I358">
            <v>4399.9999999999991</v>
          </cell>
          <cell r="K358">
            <v>8.7999999999999989</v>
          </cell>
          <cell r="L358" t="str">
            <v>NA</v>
          </cell>
          <cell r="M358" t="str">
            <v>NA</v>
          </cell>
          <cell r="N358" t="str">
            <v>NA</v>
          </cell>
          <cell r="O358">
            <v>1.0533599999999996</v>
          </cell>
          <cell r="P358" t="str">
            <v>*</v>
          </cell>
          <cell r="Q358">
            <v>1.0533599999999996</v>
          </cell>
          <cell r="R358" t="str">
            <v>*</v>
          </cell>
        </row>
        <row r="359">
          <cell r="H359" t="str">
            <v>Drywall</v>
          </cell>
          <cell r="I359" t="str">
            <v>NA</v>
          </cell>
          <cell r="K359" t="str">
            <v>NA</v>
          </cell>
          <cell r="L359" t="str">
            <v>NA</v>
          </cell>
          <cell r="M359" t="str">
            <v>NA</v>
          </cell>
          <cell r="N359" t="str">
            <v>NA</v>
          </cell>
          <cell r="O359" t="str">
            <v>NA</v>
          </cell>
          <cell r="Q359" t="str">
            <v>NA</v>
          </cell>
        </row>
        <row r="360">
          <cell r="H360" t="str">
            <v>Fiberglass Insulation</v>
          </cell>
          <cell r="I360" t="str">
            <v>NA</v>
          </cell>
          <cell r="K360" t="str">
            <v>NA</v>
          </cell>
          <cell r="L360" t="str">
            <v>NA</v>
          </cell>
          <cell r="M360" t="str">
            <v>NA</v>
          </cell>
          <cell r="N360" t="str">
            <v>NA</v>
          </cell>
          <cell r="O360" t="str">
            <v>NA</v>
          </cell>
          <cell r="Q360" t="str">
            <v>NA</v>
          </cell>
        </row>
        <row r="361">
          <cell r="H361" t="str">
            <v>Vinyl Flooring</v>
          </cell>
          <cell r="I361">
            <v>7875</v>
          </cell>
          <cell r="K361">
            <v>15.75</v>
          </cell>
          <cell r="L361">
            <v>0.17827700000000002</v>
          </cell>
          <cell r="M361">
            <v>0.16268131666666663</v>
          </cell>
          <cell r="N361">
            <v>0.23715816559132435</v>
          </cell>
          <cell r="O361">
            <v>0.66590757902221143</v>
          </cell>
          <cell r="P361">
            <v>0.60765394152720598</v>
          </cell>
          <cell r="Q361">
            <v>0.60765394152720598</v>
          </cell>
        </row>
        <row r="362">
          <cell r="H362" t="str">
            <v>Wood Flooring</v>
          </cell>
          <cell r="I362">
            <v>8993.4575501382224</v>
          </cell>
          <cell r="K362">
            <v>17.986915100276445</v>
          </cell>
          <cell r="L362">
            <v>0.21532527051987507</v>
          </cell>
          <cell r="M362">
            <v>0.16268131666666663</v>
          </cell>
          <cell r="N362">
            <v>0.23715816559132435</v>
          </cell>
          <cell r="O362">
            <v>0.91852243551328883</v>
          </cell>
          <cell r="P362">
            <v>0.69395681629194927</v>
          </cell>
          <cell r="Q362">
            <v>0.69395681629194927</v>
          </cell>
        </row>
        <row r="363">
          <cell r="H363" t="str">
            <v>Aluminum Ingot</v>
          </cell>
          <cell r="I363">
            <v>-335</v>
          </cell>
          <cell r="J363" t="str">
            <v>a</v>
          </cell>
          <cell r="K363">
            <v>-0.67</v>
          </cell>
          <cell r="L363">
            <v>0.17827700000000002</v>
          </cell>
          <cell r="M363">
            <v>0.16268131666666663</v>
          </cell>
          <cell r="N363">
            <v>0.23715816559132435</v>
          </cell>
          <cell r="O363">
            <v>-2.8327497012373439E-2</v>
          </cell>
          <cell r="P363" t="str">
            <v>*</v>
          </cell>
          <cell r="Q363">
            <v>-2.5849405766554159E-2</v>
          </cell>
          <cell r="R363" t="str">
            <v>*</v>
          </cell>
        </row>
        <row r="364">
          <cell r="H364" t="str">
            <v>PLA</v>
          </cell>
          <cell r="I364">
            <v>8368</v>
          </cell>
          <cell r="K364">
            <v>16.736000000000001</v>
          </cell>
          <cell r="L364">
            <v>0.17827700000000002</v>
          </cell>
          <cell r="M364">
            <v>0.16268131666666663</v>
          </cell>
          <cell r="N364">
            <v>0.23715816559132435</v>
          </cell>
          <cell r="O364">
            <v>0.70759550746131628</v>
          </cell>
          <cell r="P364" t="str">
            <v>*</v>
          </cell>
          <cell r="Q364">
            <v>0.64569500732694096</v>
          </cell>
          <cell r="R364" t="str">
            <v>*</v>
          </cell>
        </row>
        <row r="365">
          <cell r="H365" t="str">
            <v>LLDPE</v>
          </cell>
          <cell r="I365">
            <v>19946</v>
          </cell>
          <cell r="K365">
            <v>39.892000000000003</v>
          </cell>
          <cell r="L365">
            <v>0.17827700000000002</v>
          </cell>
          <cell r="M365">
            <v>0.16268131666666663</v>
          </cell>
          <cell r="N365">
            <v>0.23715816559132435</v>
          </cell>
          <cell r="O365">
            <v>1.6866276280859722</v>
          </cell>
          <cell r="Q365">
            <v>1.5390813355811621</v>
          </cell>
        </row>
        <row r="366">
          <cell r="H366" t="str">
            <v>PP</v>
          </cell>
          <cell r="I366">
            <v>19948</v>
          </cell>
          <cell r="K366">
            <v>39.896000000000001</v>
          </cell>
          <cell r="L366">
            <v>0.17827700000000002</v>
          </cell>
          <cell r="M366">
            <v>0.16268131666666663</v>
          </cell>
          <cell r="N366">
            <v>0.23715816559132435</v>
          </cell>
          <cell r="O366">
            <v>1.6867967474711205</v>
          </cell>
          <cell r="Q366">
            <v>1.5392356603917086</v>
          </cell>
        </row>
        <row r="367">
          <cell r="H367" t="str">
            <v>PS</v>
          </cell>
          <cell r="I367">
            <v>18000</v>
          </cell>
          <cell r="K367">
            <v>36</v>
          </cell>
          <cell r="L367">
            <v>0.17827700000000002</v>
          </cell>
          <cell r="M367">
            <v>0.16268131666666663</v>
          </cell>
          <cell r="N367">
            <v>0.23715816559132435</v>
          </cell>
          <cell r="O367">
            <v>1.5220744663364834</v>
          </cell>
          <cell r="Q367">
            <v>1.388923294919328</v>
          </cell>
        </row>
        <row r="368">
          <cell r="H368" t="str">
            <v>PVC</v>
          </cell>
          <cell r="I368">
            <v>7875</v>
          </cell>
          <cell r="K368">
            <v>15.75</v>
          </cell>
          <cell r="L368">
            <v>0.17827700000000002</v>
          </cell>
          <cell r="M368">
            <v>0.16268131666666663</v>
          </cell>
          <cell r="N368">
            <v>0.23715816559132435</v>
          </cell>
          <cell r="O368">
            <v>0.66590757902221143</v>
          </cell>
          <cell r="Q368">
            <v>0.60765394152720598</v>
          </cell>
        </row>
        <row r="370">
          <cell r="H370" t="str">
            <v>Exhibit 6-2</v>
          </cell>
        </row>
        <row r="371">
          <cell r="H371" t="str">
            <v>Avoided Utility GHG Emissions from Combustion at Mass Burn and RDF Facilities- New England</v>
          </cell>
        </row>
        <row r="372">
          <cell r="H372" t="str">
            <v>New England</v>
          </cell>
        </row>
        <row r="373">
          <cell r="H373" t="str">
            <v>(a)</v>
          </cell>
          <cell r="I373" t="str">
            <v xml:space="preserve">(b) </v>
          </cell>
          <cell r="K373" t="str">
            <v>(c)</v>
          </cell>
          <cell r="L373" t="str">
            <v xml:space="preserve">(d) </v>
          </cell>
          <cell r="M373" t="str">
            <v xml:space="preserve">(e)                  </v>
          </cell>
          <cell r="N373" t="str">
            <v>(f)</v>
          </cell>
          <cell r="O373" t="str">
            <v xml:space="preserve">(g) </v>
          </cell>
          <cell r="Q373" t="str">
            <v xml:space="preserve">(h)                  </v>
          </cell>
        </row>
        <row r="374">
          <cell r="H374" t="str">
            <v>Material Combusted</v>
          </cell>
          <cell r="I374" t="str">
            <v>Energy Content (Btu Per Pound)</v>
          </cell>
          <cell r="K374" t="str">
            <v>Energy Content (Million Btu Per Ton)</v>
          </cell>
          <cell r="L374" t="str">
            <v>Mass Burn Combustion System Efficiency (Percent)</v>
          </cell>
          <cell r="M374" t="str">
            <v>RDF Combustion System Efficiency (Percent)</v>
          </cell>
          <cell r="N374" t="str">
            <v>Emission Factor for Utility-Generated Electricity (MTCO2E/
Million Btu of Electricity Delivered)</v>
          </cell>
          <cell r="O374" t="str">
            <v>(g = c * d * f) Avoided Utility CO2 Per Ton Combusted at Mass Burn Facilities (MTCO2E)</v>
          </cell>
          <cell r="Q374" t="str">
            <v>(h = c * e * f)
Avoided Utility CO2 Per Ton Combusted at RDF Facilities (MTCO2E)</v>
          </cell>
        </row>
        <row r="375">
          <cell r="H375" t="str">
            <v>Aluminum Cans</v>
          </cell>
          <cell r="I375">
            <v>-335</v>
          </cell>
          <cell r="J375" t="str">
            <v>a</v>
          </cell>
          <cell r="K375">
            <v>-0.67</v>
          </cell>
          <cell r="L375">
            <v>0.17827700000000002</v>
          </cell>
          <cell r="M375">
            <v>0.16268131666666663</v>
          </cell>
          <cell r="N375">
            <v>0.15619423495410303</v>
          </cell>
          <cell r="O375">
            <v>-1.8656712548691463E-2</v>
          </cell>
          <cell r="P375" t="str">
            <v>*</v>
          </cell>
          <cell r="Q375">
            <v>-1.7024622144711031E-2</v>
          </cell>
          <cell r="R375" t="str">
            <v>*</v>
          </cell>
        </row>
        <row r="376">
          <cell r="H376" t="str">
            <v>Steel Cans</v>
          </cell>
          <cell r="I376">
            <v>-210</v>
          </cell>
          <cell r="J376" t="str">
            <v>a</v>
          </cell>
          <cell r="K376">
            <v>-0.42</v>
          </cell>
          <cell r="L376">
            <v>0.17827700000000002</v>
          </cell>
          <cell r="M376">
            <v>0.16268131666666663</v>
          </cell>
          <cell r="N376">
            <v>0.15619423495410303</v>
          </cell>
          <cell r="O376">
            <v>-1.1695252642463303E-2</v>
          </cell>
          <cell r="P376" t="str">
            <v>*</v>
          </cell>
          <cell r="Q376">
            <v>-1.0672151195191991E-2</v>
          </cell>
          <cell r="R376" t="str">
            <v>*</v>
          </cell>
        </row>
        <row r="377">
          <cell r="H377" t="str">
            <v>Copper Wire</v>
          </cell>
          <cell r="I377">
            <v>-272.5</v>
          </cell>
          <cell r="K377">
            <v>-0.54500000000000004</v>
          </cell>
          <cell r="L377">
            <v>0.17827700000000002</v>
          </cell>
          <cell r="M377">
            <v>0.16268131666666663</v>
          </cell>
          <cell r="N377">
            <v>0.15619423495410303</v>
          </cell>
          <cell r="O377">
            <v>-1.5175982595577384E-2</v>
          </cell>
          <cell r="P377" t="str">
            <v>*</v>
          </cell>
          <cell r="Q377">
            <v>-1.384838666995151E-2</v>
          </cell>
          <cell r="R377" t="str">
            <v>*</v>
          </cell>
        </row>
        <row r="378">
          <cell r="H378" t="str">
            <v>Glass</v>
          </cell>
          <cell r="I378">
            <v>-235</v>
          </cell>
          <cell r="J378" t="str">
            <v>a</v>
          </cell>
          <cell r="K378">
            <v>-0.47</v>
          </cell>
          <cell r="L378">
            <v>0.17827700000000002</v>
          </cell>
          <cell r="M378">
            <v>0.16268131666666663</v>
          </cell>
          <cell r="N378">
            <v>0.15619423495410303</v>
          </cell>
          <cell r="O378">
            <v>-1.3087544623708935E-2</v>
          </cell>
          <cell r="P378" t="str">
            <v>*</v>
          </cell>
          <cell r="Q378">
            <v>-1.1942645385095797E-2</v>
          </cell>
          <cell r="R378" t="str">
            <v>*</v>
          </cell>
        </row>
        <row r="379">
          <cell r="H379" t="str">
            <v>HDPE</v>
          </cell>
          <cell r="I379">
            <v>19985</v>
          </cell>
          <cell r="J379" t="str">
            <v>n</v>
          </cell>
          <cell r="K379">
            <v>39.97</v>
          </cell>
          <cell r="L379">
            <v>0.17827700000000002</v>
          </cell>
          <cell r="M379">
            <v>0.16268131666666663</v>
          </cell>
          <cell r="N379">
            <v>0.15619423495410303</v>
          </cell>
          <cell r="O379">
            <v>1.1129982098077578</v>
          </cell>
          <cell r="Q379">
            <v>1.0156330554091044</v>
          </cell>
        </row>
        <row r="380">
          <cell r="H380" t="str">
            <v>LDPE</v>
          </cell>
          <cell r="I380">
            <v>19877</v>
          </cell>
          <cell r="J380" t="str">
            <v>n</v>
          </cell>
          <cell r="K380">
            <v>39.753999999999998</v>
          </cell>
          <cell r="L380">
            <v>0.17827700000000002</v>
          </cell>
          <cell r="M380">
            <v>0.16268131666666663</v>
          </cell>
          <cell r="N380">
            <v>0.15619423495410303</v>
          </cell>
          <cell r="O380">
            <v>1.1069835084487767</v>
          </cell>
          <cell r="Q380">
            <v>1.0101445205087198</v>
          </cell>
        </row>
        <row r="381">
          <cell r="H381" t="str">
            <v>PET</v>
          </cell>
          <cell r="I381">
            <v>10600</v>
          </cell>
          <cell r="J381" t="str">
            <v>n</v>
          </cell>
          <cell r="K381">
            <v>21.2</v>
          </cell>
          <cell r="L381">
            <v>0.17827700000000002</v>
          </cell>
          <cell r="M381">
            <v>0.16268131666666663</v>
          </cell>
          <cell r="N381">
            <v>0.15619423495410303</v>
          </cell>
          <cell r="O381">
            <v>0.59033180004814778</v>
          </cell>
          <cell r="Q381">
            <v>0.5386895365192147</v>
          </cell>
        </row>
        <row r="382">
          <cell r="H382" t="str">
            <v>Corrugated Containers</v>
          </cell>
          <cell r="I382">
            <v>7043</v>
          </cell>
          <cell r="J382" t="str">
            <v>b</v>
          </cell>
          <cell r="K382">
            <v>14.086</v>
          </cell>
          <cell r="L382">
            <v>0.17827700000000002</v>
          </cell>
          <cell r="M382">
            <v>0.16268131666666663</v>
          </cell>
          <cell r="N382">
            <v>0.15619423495410303</v>
          </cell>
          <cell r="O382">
            <v>0.39223649695651935</v>
          </cell>
          <cell r="Q382">
            <v>0.35792362317970089</v>
          </cell>
        </row>
        <row r="383">
          <cell r="H383" t="str">
            <v>Magazines/Third-class Mail</v>
          </cell>
          <cell r="I383">
            <v>5258</v>
          </cell>
          <cell r="J383" t="str">
            <v>d</v>
          </cell>
          <cell r="K383">
            <v>10.516</v>
          </cell>
          <cell r="L383">
            <v>0.17827700000000002</v>
          </cell>
          <cell r="M383">
            <v>0.16268131666666663</v>
          </cell>
          <cell r="N383">
            <v>0.15619423495410303</v>
          </cell>
          <cell r="O383">
            <v>0.29282684949558124</v>
          </cell>
          <cell r="Q383">
            <v>0.26721033802056898</v>
          </cell>
        </row>
        <row r="384">
          <cell r="H384" t="str">
            <v>Newspaper</v>
          </cell>
          <cell r="I384">
            <v>7950</v>
          </cell>
          <cell r="J384" t="str">
            <v>b</v>
          </cell>
          <cell r="K384">
            <v>15.9</v>
          </cell>
          <cell r="L384">
            <v>0.17827700000000002</v>
          </cell>
          <cell r="M384">
            <v>0.16268131666666663</v>
          </cell>
          <cell r="N384">
            <v>0.15619423495410303</v>
          </cell>
          <cell r="O384">
            <v>0.44274885003611086</v>
          </cell>
          <cell r="Q384">
            <v>0.40401715238941105</v>
          </cell>
        </row>
        <row r="385">
          <cell r="H385" t="str">
            <v>Office Paper</v>
          </cell>
          <cell r="I385">
            <v>6800</v>
          </cell>
          <cell r="J385" t="str">
            <v>b,f</v>
          </cell>
          <cell r="K385">
            <v>13.6</v>
          </cell>
          <cell r="L385">
            <v>0.17827700000000002</v>
          </cell>
          <cell r="M385">
            <v>0.16268131666666663</v>
          </cell>
          <cell r="N385">
            <v>0.15619423495410303</v>
          </cell>
          <cell r="O385">
            <v>0.37870341889881176</v>
          </cell>
          <cell r="Q385">
            <v>0.34557441965383584</v>
          </cell>
        </row>
        <row r="386">
          <cell r="H386" t="str">
            <v>Phonebooks</v>
          </cell>
          <cell r="I386">
            <v>7950</v>
          </cell>
          <cell r="J386" t="str">
            <v>g</v>
          </cell>
          <cell r="K386">
            <v>15.9</v>
          </cell>
          <cell r="L386">
            <v>0.17827700000000002</v>
          </cell>
          <cell r="M386">
            <v>0.16268131666666663</v>
          </cell>
          <cell r="N386">
            <v>0.15619423495410303</v>
          </cell>
          <cell r="O386">
            <v>0.44274885003611086</v>
          </cell>
          <cell r="Q386">
            <v>0.40401715238941105</v>
          </cell>
        </row>
        <row r="387">
          <cell r="H387" t="str">
            <v>Textbooks</v>
          </cell>
          <cell r="I387">
            <v>6800</v>
          </cell>
          <cell r="J387" t="str">
            <v>h</v>
          </cell>
          <cell r="K387">
            <v>13.6</v>
          </cell>
          <cell r="L387">
            <v>0.17827700000000002</v>
          </cell>
          <cell r="M387">
            <v>0.16268131666666663</v>
          </cell>
          <cell r="N387">
            <v>0.15619423495410303</v>
          </cell>
          <cell r="O387">
            <v>0.37870341889881176</v>
          </cell>
          <cell r="Q387">
            <v>0.34557441965383584</v>
          </cell>
        </row>
        <row r="388">
          <cell r="H388" t="str">
            <v>Dimensional Lumber</v>
          </cell>
          <cell r="I388">
            <v>8300</v>
          </cell>
          <cell r="J388" t="str">
            <v>i</v>
          </cell>
          <cell r="K388">
            <v>16.600000000000001</v>
          </cell>
          <cell r="L388">
            <v>0.17827700000000002</v>
          </cell>
          <cell r="M388">
            <v>0.16268131666666663</v>
          </cell>
          <cell r="N388">
            <v>0.15619423495410303</v>
          </cell>
          <cell r="O388">
            <v>0.46224093777354974</v>
          </cell>
          <cell r="Q388">
            <v>0.42180407104806439</v>
          </cell>
        </row>
        <row r="389">
          <cell r="H389" t="str">
            <v>Medium-density Fiberboard</v>
          </cell>
          <cell r="I389">
            <v>8300</v>
          </cell>
          <cell r="J389" t="str">
            <v>i</v>
          </cell>
          <cell r="K389">
            <v>16.600000000000001</v>
          </cell>
          <cell r="L389">
            <v>0.17827700000000002</v>
          </cell>
          <cell r="M389">
            <v>0.16268131666666663</v>
          </cell>
          <cell r="N389">
            <v>0.15619423495410303</v>
          </cell>
          <cell r="O389">
            <v>0.46224093777354974</v>
          </cell>
          <cell r="Q389">
            <v>0.42180407104806439</v>
          </cell>
        </row>
        <row r="390">
          <cell r="H390" t="str">
            <v>Food Waste</v>
          </cell>
          <cell r="I390">
            <v>2370</v>
          </cell>
          <cell r="J390" t="str">
            <v>b</v>
          </cell>
          <cell r="K390">
            <v>4.74</v>
          </cell>
          <cell r="L390">
            <v>0.17827700000000002</v>
          </cell>
          <cell r="M390">
            <v>0.16268131666666663</v>
          </cell>
          <cell r="N390">
            <v>0.15619423495410303</v>
          </cell>
          <cell r="O390">
            <v>0.13198927982208589</v>
          </cell>
          <cell r="Q390">
            <v>0.12044284920288104</v>
          </cell>
        </row>
        <row r="391">
          <cell r="H391" t="str">
            <v>Food Waste (non-meat)</v>
          </cell>
          <cell r="I391">
            <v>2370</v>
          </cell>
          <cell r="J391" t="str">
            <v>b</v>
          </cell>
          <cell r="K391">
            <v>4.74</v>
          </cell>
          <cell r="L391">
            <v>0.17827700000000002</v>
          </cell>
          <cell r="M391">
            <v>0.16268131666666663</v>
          </cell>
          <cell r="N391">
            <v>0.15619423495410303</v>
          </cell>
          <cell r="O391">
            <v>0.13198927982208589</v>
          </cell>
          <cell r="Q391">
            <v>0.12044284920288104</v>
          </cell>
        </row>
        <row r="392">
          <cell r="H392" t="str">
            <v>Food Waste (meat only)</v>
          </cell>
          <cell r="I392">
            <v>2370</v>
          </cell>
          <cell r="J392" t="str">
            <v>b</v>
          </cell>
          <cell r="K392">
            <v>4.74</v>
          </cell>
          <cell r="L392">
            <v>0.17827700000000002</v>
          </cell>
          <cell r="M392">
            <v>0.16268131666666663</v>
          </cell>
          <cell r="N392">
            <v>0.15619423495410303</v>
          </cell>
          <cell r="O392">
            <v>0.13198927982208589</v>
          </cell>
          <cell r="Q392">
            <v>0.12044284920288104</v>
          </cell>
        </row>
        <row r="393">
          <cell r="H393" t="str">
            <v>Beef</v>
          </cell>
          <cell r="I393">
            <v>2370</v>
          </cell>
          <cell r="J393" t="str">
            <v>b</v>
          </cell>
          <cell r="K393">
            <v>4.74</v>
          </cell>
          <cell r="L393">
            <v>0.17827700000000002</v>
          </cell>
          <cell r="M393">
            <v>0.16268131666666663</v>
          </cell>
          <cell r="N393">
            <v>0.15619423495410303</v>
          </cell>
          <cell r="O393">
            <v>0.13198927982208589</v>
          </cell>
          <cell r="Q393">
            <v>0.12044284920288104</v>
          </cell>
        </row>
        <row r="394">
          <cell r="H394" t="str">
            <v>Poultry</v>
          </cell>
          <cell r="I394">
            <v>2370</v>
          </cell>
          <cell r="J394" t="str">
            <v>b</v>
          </cell>
          <cell r="K394">
            <v>4.74</v>
          </cell>
          <cell r="L394">
            <v>0.17827700000000002</v>
          </cell>
          <cell r="M394">
            <v>0.16268131666666663</v>
          </cell>
          <cell r="N394">
            <v>0.15619423495410303</v>
          </cell>
          <cell r="O394">
            <v>0.13198927982208589</v>
          </cell>
          <cell r="Q394">
            <v>0.12044284920288104</v>
          </cell>
        </row>
        <row r="395">
          <cell r="H395" t="str">
            <v>Grains</v>
          </cell>
          <cell r="I395">
            <v>2370</v>
          </cell>
          <cell r="J395" t="str">
            <v>b</v>
          </cell>
          <cell r="K395">
            <v>4.74</v>
          </cell>
          <cell r="L395">
            <v>0.17827700000000002</v>
          </cell>
          <cell r="M395">
            <v>0.16268131666666663</v>
          </cell>
          <cell r="N395">
            <v>0.15619423495410303</v>
          </cell>
          <cell r="O395">
            <v>0.13198927982208589</v>
          </cell>
          <cell r="Q395">
            <v>0.12044284920288104</v>
          </cell>
        </row>
        <row r="396">
          <cell r="H396" t="str">
            <v>Bread</v>
          </cell>
          <cell r="I396">
            <v>2370</v>
          </cell>
          <cell r="J396" t="str">
            <v>b</v>
          </cell>
          <cell r="K396">
            <v>4.74</v>
          </cell>
          <cell r="L396">
            <v>0.17827700000000002</v>
          </cell>
          <cell r="M396">
            <v>0.16268131666666663</v>
          </cell>
          <cell r="N396">
            <v>0.15619423495410303</v>
          </cell>
          <cell r="O396">
            <v>0.13198927982208589</v>
          </cell>
          <cell r="Q396">
            <v>0.12044284920288104</v>
          </cell>
        </row>
        <row r="397">
          <cell r="H397" t="str">
            <v>Fruits and Vegetables</v>
          </cell>
          <cell r="I397">
            <v>2370</v>
          </cell>
          <cell r="J397" t="str">
            <v>b</v>
          </cell>
          <cell r="K397">
            <v>4.74</v>
          </cell>
          <cell r="L397">
            <v>0.17827700000000002</v>
          </cell>
          <cell r="M397">
            <v>0.16268131666666663</v>
          </cell>
          <cell r="N397">
            <v>0.15619423495410303</v>
          </cell>
          <cell r="O397">
            <v>0.13198927982208589</v>
          </cell>
          <cell r="Q397">
            <v>0.12044284920288104</v>
          </cell>
        </row>
        <row r="398">
          <cell r="H398" t="str">
            <v>Dairy Products</v>
          </cell>
          <cell r="I398">
            <v>2370</v>
          </cell>
          <cell r="J398" t="str">
            <v>b</v>
          </cell>
          <cell r="K398">
            <v>4.74</v>
          </cell>
          <cell r="L398">
            <v>0.17827700000000002</v>
          </cell>
          <cell r="M398">
            <v>0.16268131666666663</v>
          </cell>
          <cell r="N398">
            <v>0.15619423495410303</v>
          </cell>
          <cell r="O398">
            <v>0.13198927982208589</v>
          </cell>
          <cell r="Q398">
            <v>0.12044284920288104</v>
          </cell>
        </row>
        <row r="399">
          <cell r="H399" t="str">
            <v>Yard Trimmings</v>
          </cell>
          <cell r="I399">
            <v>2800</v>
          </cell>
          <cell r="J399" t="str">
            <v>j</v>
          </cell>
          <cell r="K399">
            <v>5.6</v>
          </cell>
          <cell r="L399">
            <v>0.17827700000000002</v>
          </cell>
          <cell r="M399">
            <v>0.16268131666666663</v>
          </cell>
          <cell r="N399">
            <v>0.15619423495410303</v>
          </cell>
          <cell r="O399">
            <v>0.1559367018995107</v>
          </cell>
          <cell r="Q399">
            <v>0.14229534926922652</v>
          </cell>
        </row>
        <row r="400">
          <cell r="H400" t="str">
            <v>Mixed MSW</v>
          </cell>
          <cell r="I400">
            <v>5000</v>
          </cell>
          <cell r="J400" t="str">
            <v>k</v>
          </cell>
          <cell r="K400">
            <v>10</v>
          </cell>
          <cell r="L400">
            <v>0.17827700000000002</v>
          </cell>
          <cell r="M400">
            <v>0.16268131666666663</v>
          </cell>
          <cell r="N400">
            <v>0.15619423495410303</v>
          </cell>
          <cell r="O400">
            <v>0.27845839624912627</v>
          </cell>
          <cell r="Q400">
            <v>0.25409883798076166</v>
          </cell>
        </row>
        <row r="401">
          <cell r="H401" t="str">
            <v>Carpet</v>
          </cell>
          <cell r="I401">
            <v>7600</v>
          </cell>
          <cell r="J401" t="str">
            <v>l</v>
          </cell>
          <cell r="K401">
            <v>15.2</v>
          </cell>
          <cell r="L401">
            <v>0.17827700000000002</v>
          </cell>
          <cell r="M401">
            <v>0.16268131666666663</v>
          </cell>
          <cell r="N401">
            <v>0.15619423495410303</v>
          </cell>
          <cell r="O401">
            <v>0.42325676229867198</v>
          </cell>
          <cell r="Q401">
            <v>0.38623023373075771</v>
          </cell>
        </row>
        <row r="402">
          <cell r="H402" t="str">
            <v>Personal Computers</v>
          </cell>
          <cell r="I402">
            <v>1533.3333333333335</v>
          </cell>
          <cell r="J402" t="str">
            <v>m</v>
          </cell>
          <cell r="K402">
            <v>3.0666666666666669</v>
          </cell>
          <cell r="L402">
            <v>0.17827700000000002</v>
          </cell>
          <cell r="M402">
            <v>0.16268131666666663</v>
          </cell>
          <cell r="N402">
            <v>0.15619423495410303</v>
          </cell>
          <cell r="O402">
            <v>8.5393908183065415E-2</v>
          </cell>
          <cell r="Q402">
            <v>7.792364364743358E-2</v>
          </cell>
        </row>
        <row r="403">
          <cell r="H403" t="str">
            <v>Tires</v>
          </cell>
          <cell r="I403">
            <v>13888.888888888887</v>
          </cell>
          <cell r="K403">
            <v>27.777777777777775</v>
          </cell>
          <cell r="L403" t="str">
            <v>NA</v>
          </cell>
          <cell r="M403" t="str">
            <v>NA</v>
          </cell>
          <cell r="N403" t="str">
            <v>NA</v>
          </cell>
          <cell r="O403">
            <v>1.5659939377631629</v>
          </cell>
          <cell r="Q403">
            <v>1.5659939377631629</v>
          </cell>
        </row>
        <row r="404">
          <cell r="H404" t="str">
            <v>Asphalt Concrete</v>
          </cell>
          <cell r="I404" t="str">
            <v>NA</v>
          </cell>
          <cell r="K404" t="str">
            <v>NA</v>
          </cell>
          <cell r="L404" t="str">
            <v>NA</v>
          </cell>
          <cell r="M404" t="str">
            <v>NA</v>
          </cell>
          <cell r="N404" t="str">
            <v>NA</v>
          </cell>
          <cell r="O404" t="str">
            <v>NA</v>
          </cell>
          <cell r="P404" t="str">
            <v>*</v>
          </cell>
          <cell r="Q404" t="str">
            <v>NA</v>
          </cell>
          <cell r="R404" t="str">
            <v>*</v>
          </cell>
        </row>
        <row r="405">
          <cell r="H405" t="str">
            <v>Paper Felt Shingle</v>
          </cell>
          <cell r="I405">
            <v>7199.9999999999991</v>
          </cell>
          <cell r="K405">
            <v>14.399999999999999</v>
          </cell>
          <cell r="L405" t="str">
            <v>NA</v>
          </cell>
          <cell r="M405" t="str">
            <v>NA</v>
          </cell>
          <cell r="N405" t="str">
            <v>NA</v>
          </cell>
          <cell r="O405">
            <v>1.7236799999999992</v>
          </cell>
          <cell r="P405" t="str">
            <v>*</v>
          </cell>
          <cell r="Q405">
            <v>1.7236799999999992</v>
          </cell>
          <cell r="R405" t="str">
            <v>*</v>
          </cell>
        </row>
        <row r="406">
          <cell r="H406" t="str">
            <v>Asphalt Shingles</v>
          </cell>
          <cell r="I406">
            <v>4399.9999999999991</v>
          </cell>
          <cell r="K406">
            <v>8.7999999999999989</v>
          </cell>
          <cell r="L406" t="str">
            <v>NA</v>
          </cell>
          <cell r="M406" t="str">
            <v>NA</v>
          </cell>
          <cell r="N406" t="str">
            <v>NA</v>
          </cell>
          <cell r="O406">
            <v>1.0533599999999996</v>
          </cell>
          <cell r="P406" t="str">
            <v>*</v>
          </cell>
          <cell r="Q406">
            <v>1.0533599999999996</v>
          </cell>
          <cell r="R406" t="str">
            <v>*</v>
          </cell>
        </row>
        <row r="407">
          <cell r="H407" t="str">
            <v>Drywall</v>
          </cell>
          <cell r="I407" t="str">
            <v>NA</v>
          </cell>
          <cell r="K407" t="str">
            <v>NA</v>
          </cell>
          <cell r="L407" t="str">
            <v>NA</v>
          </cell>
          <cell r="M407" t="str">
            <v>NA</v>
          </cell>
          <cell r="N407" t="str">
            <v>NA</v>
          </cell>
          <cell r="O407" t="str">
            <v>NA</v>
          </cell>
          <cell r="Q407" t="str">
            <v>NA</v>
          </cell>
        </row>
        <row r="408">
          <cell r="H408" t="str">
            <v>Fiberglass Insulation</v>
          </cell>
          <cell r="I408" t="str">
            <v>NA</v>
          </cell>
          <cell r="K408" t="str">
            <v>NA</v>
          </cell>
          <cell r="L408" t="str">
            <v>NA</v>
          </cell>
          <cell r="M408" t="str">
            <v>NA</v>
          </cell>
          <cell r="N408" t="str">
            <v>NA</v>
          </cell>
          <cell r="O408" t="str">
            <v>NA</v>
          </cell>
          <cell r="Q408" t="str">
            <v>NA</v>
          </cell>
        </row>
        <row r="409">
          <cell r="H409" t="str">
            <v>Vinyl Flooring</v>
          </cell>
          <cell r="I409">
            <v>7875</v>
          </cell>
          <cell r="K409">
            <v>15.75</v>
          </cell>
          <cell r="L409">
            <v>0.17827700000000002</v>
          </cell>
          <cell r="M409">
            <v>0.16268131666666663</v>
          </cell>
          <cell r="N409">
            <v>0.15619423495410303</v>
          </cell>
          <cell r="O409">
            <v>0.43857197409237392</v>
          </cell>
          <cell r="P409">
            <v>0.40020566981969957</v>
          </cell>
          <cell r="Q409">
            <v>0.40020566981969957</v>
          </cell>
        </row>
        <row r="410">
          <cell r="H410" t="str">
            <v>Wood Flooring</v>
          </cell>
          <cell r="I410">
            <v>8993.4575501382224</v>
          </cell>
          <cell r="K410">
            <v>17.986915100276445</v>
          </cell>
          <cell r="L410">
            <v>0.21532527051987507</v>
          </cell>
          <cell r="M410">
            <v>0.16268131666666663</v>
          </cell>
          <cell r="N410">
            <v>0.15619423495410303</v>
          </cell>
          <cell r="O410">
            <v>0.6049461073602852</v>
          </cell>
          <cell r="P410">
            <v>0.45704542258388597</v>
          </cell>
          <cell r="Q410">
            <v>0.45704542258388597</v>
          </cell>
        </row>
        <row r="411">
          <cell r="H411" t="str">
            <v>Aluminum Ingot</v>
          </cell>
          <cell r="I411">
            <v>-335</v>
          </cell>
          <cell r="J411" t="str">
            <v>a</v>
          </cell>
          <cell r="K411">
            <v>-0.67</v>
          </cell>
          <cell r="L411">
            <v>0.17827700000000002</v>
          </cell>
          <cell r="M411">
            <v>0.16268131666666663</v>
          </cell>
          <cell r="N411">
            <v>0.15619423495410303</v>
          </cell>
          <cell r="O411">
            <v>-1.8656712548691463E-2</v>
          </cell>
          <cell r="P411" t="str">
            <v>*</v>
          </cell>
          <cell r="Q411">
            <v>-1.7024622144711031E-2</v>
          </cell>
          <cell r="R411" t="str">
            <v>*</v>
          </cell>
        </row>
        <row r="412">
          <cell r="H412" t="str">
            <v>PLA</v>
          </cell>
          <cell r="I412">
            <v>8368</v>
          </cell>
          <cell r="K412">
            <v>16.736000000000001</v>
          </cell>
          <cell r="L412">
            <v>0.17827700000000002</v>
          </cell>
          <cell r="M412">
            <v>0.16268131666666663</v>
          </cell>
          <cell r="N412">
            <v>0.15619423495410303</v>
          </cell>
          <cell r="O412">
            <v>0.46602797196253781</v>
          </cell>
          <cell r="P412" t="str">
            <v>*</v>
          </cell>
          <cell r="Q412">
            <v>0.42525981524460271</v>
          </cell>
          <cell r="R412" t="str">
            <v>*</v>
          </cell>
        </row>
        <row r="413">
          <cell r="H413" t="str">
            <v>LLDPE</v>
          </cell>
          <cell r="I413">
            <v>19946</v>
          </cell>
          <cell r="K413">
            <v>39.892000000000003</v>
          </cell>
          <cell r="L413">
            <v>0.17827700000000002</v>
          </cell>
          <cell r="M413">
            <v>0.16268131666666663</v>
          </cell>
          <cell r="N413">
            <v>0.15619423495410303</v>
          </cell>
          <cell r="O413">
            <v>1.1108262343170148</v>
          </cell>
          <cell r="Q413">
            <v>1.0136510844728546</v>
          </cell>
        </row>
        <row r="414">
          <cell r="H414" t="str">
            <v>PP</v>
          </cell>
          <cell r="I414">
            <v>19948</v>
          </cell>
          <cell r="K414">
            <v>39.896000000000001</v>
          </cell>
          <cell r="L414">
            <v>0.17827700000000002</v>
          </cell>
          <cell r="M414">
            <v>0.16268131666666663</v>
          </cell>
          <cell r="N414">
            <v>0.15619423495410303</v>
          </cell>
          <cell r="O414">
            <v>1.1109376176755144</v>
          </cell>
          <cell r="Q414">
            <v>1.0137527240080466</v>
          </cell>
        </row>
        <row r="415">
          <cell r="H415" t="str">
            <v>PS</v>
          </cell>
          <cell r="I415">
            <v>18000</v>
          </cell>
          <cell r="K415">
            <v>36</v>
          </cell>
          <cell r="L415">
            <v>0.17827700000000002</v>
          </cell>
          <cell r="M415">
            <v>0.16268131666666663</v>
          </cell>
          <cell r="N415">
            <v>0.15619423495410303</v>
          </cell>
          <cell r="O415">
            <v>1.0024502264968547</v>
          </cell>
          <cell r="Q415">
            <v>0.91475581673074202</v>
          </cell>
        </row>
        <row r="416">
          <cell r="H416" t="str">
            <v>PVC</v>
          </cell>
          <cell r="I416">
            <v>7875</v>
          </cell>
          <cell r="K416">
            <v>15.75</v>
          </cell>
          <cell r="L416">
            <v>0.17827700000000002</v>
          </cell>
          <cell r="M416">
            <v>0.16268131666666663</v>
          </cell>
          <cell r="N416">
            <v>0.15619423495410303</v>
          </cell>
          <cell r="O416">
            <v>0.43857197409237392</v>
          </cell>
          <cell r="Q416">
            <v>0.40020566981969957</v>
          </cell>
        </row>
        <row r="418">
          <cell r="H418" t="str">
            <v>Exhibit 6-2</v>
          </cell>
        </row>
        <row r="419">
          <cell r="H419" t="str">
            <v>Avoided Utility GHG Emissions from Combustion at Mass Burn and RDF Facilities- Mid Atlantic</v>
          </cell>
        </row>
        <row r="420">
          <cell r="H420" t="str">
            <v>Middle Atlantic</v>
          </cell>
        </row>
        <row r="421">
          <cell r="H421" t="str">
            <v>(a)</v>
          </cell>
          <cell r="I421" t="str">
            <v xml:space="preserve">(b) </v>
          </cell>
          <cell r="K421" t="str">
            <v>(c)</v>
          </cell>
          <cell r="L421" t="str">
            <v xml:space="preserve">(d) </v>
          </cell>
          <cell r="M421" t="str">
            <v xml:space="preserve">(e)                  </v>
          </cell>
          <cell r="N421" t="str">
            <v>(f)</v>
          </cell>
          <cell r="O421" t="str">
            <v xml:space="preserve">(g) </v>
          </cell>
          <cell r="Q421" t="str">
            <v xml:space="preserve">(h)                  </v>
          </cell>
        </row>
        <row r="422">
          <cell r="H422" t="str">
            <v>Material Combusted</v>
          </cell>
          <cell r="I422" t="str">
            <v>Energy Content (Btu Per Pound)</v>
          </cell>
          <cell r="K422" t="str">
            <v>Energy Content (Million Btu Per Ton)</v>
          </cell>
          <cell r="L422" t="str">
            <v>Mass Burn Combustion System Efficiency (Percent)</v>
          </cell>
          <cell r="M422" t="str">
            <v>RDF Combustion System Efficiency (Percent)</v>
          </cell>
          <cell r="N422" t="str">
            <v>Emission Factor for Utility-Generated Electricity (MTCO2E/
Million Btu of Electricity Delivered)</v>
          </cell>
          <cell r="O422" t="str">
            <v>(g = c * d * f) Avoided Utility CO2 Per Ton Combusted at Mass Burn Facilities (MTCO2E)</v>
          </cell>
          <cell r="Q422" t="str">
            <v>(h = c * e * f)
Avoided Utility CO2 Per Ton Combusted at RDF Facilities (MTCO2E)</v>
          </cell>
        </row>
        <row r="423">
          <cell r="H423" t="str">
            <v>Aluminum Cans</v>
          </cell>
          <cell r="I423">
            <v>-335</v>
          </cell>
          <cell r="J423" t="str">
            <v>a</v>
          </cell>
          <cell r="K423">
            <v>-0.67</v>
          </cell>
          <cell r="L423">
            <v>0.17827700000000002</v>
          </cell>
          <cell r="M423">
            <v>0.16268131666666663</v>
          </cell>
          <cell r="N423">
            <v>0.2027790200398886</v>
          </cell>
          <cell r="O423">
            <v>-2.422105968828632E-2</v>
          </cell>
          <cell r="P423" t="str">
            <v>*</v>
          </cell>
          <cell r="Q423">
            <v>-2.2102199841551855E-2</v>
          </cell>
          <cell r="R423" t="str">
            <v>*</v>
          </cell>
        </row>
        <row r="424">
          <cell r="H424" t="str">
            <v>Steel Cans</v>
          </cell>
          <cell r="I424">
            <v>-210</v>
          </cell>
          <cell r="J424" t="str">
            <v>a</v>
          </cell>
          <cell r="K424">
            <v>-0.42</v>
          </cell>
          <cell r="L424">
            <v>0.17827700000000002</v>
          </cell>
          <cell r="M424">
            <v>0.16268131666666663</v>
          </cell>
          <cell r="N424">
            <v>0.2027790200398886</v>
          </cell>
          <cell r="O424">
            <v>-1.5183350849373512E-2</v>
          </cell>
          <cell r="P424" t="str">
            <v>*</v>
          </cell>
          <cell r="Q424">
            <v>-1.3855110348435491E-2</v>
          </cell>
          <cell r="R424" t="str">
            <v>*</v>
          </cell>
        </row>
        <row r="425">
          <cell r="H425" t="str">
            <v>Copper Wire</v>
          </cell>
          <cell r="I425">
            <v>-272.5</v>
          </cell>
          <cell r="K425">
            <v>-0.54500000000000004</v>
          </cell>
          <cell r="L425">
            <v>0.17827700000000002</v>
          </cell>
          <cell r="M425">
            <v>0.16268131666666663</v>
          </cell>
          <cell r="N425">
            <v>0.2027790200398886</v>
          </cell>
          <cell r="O425">
            <v>-1.9702205268829917E-2</v>
          </cell>
          <cell r="P425" t="str">
            <v>*</v>
          </cell>
          <cell r="Q425">
            <v>-1.7978655094993672E-2</v>
          </cell>
          <cell r="R425" t="str">
            <v>*</v>
          </cell>
        </row>
        <row r="426">
          <cell r="H426" t="str">
            <v>Glass</v>
          </cell>
          <cell r="I426">
            <v>-235</v>
          </cell>
          <cell r="J426" t="str">
            <v>a</v>
          </cell>
          <cell r="K426">
            <v>-0.47</v>
          </cell>
          <cell r="L426">
            <v>0.17827700000000002</v>
          </cell>
          <cell r="M426">
            <v>0.16268131666666663</v>
          </cell>
          <cell r="N426">
            <v>0.2027790200398886</v>
          </cell>
          <cell r="O426">
            <v>-1.6990892617156073E-2</v>
          </cell>
          <cell r="P426" t="str">
            <v>*</v>
          </cell>
          <cell r="Q426">
            <v>-1.5504528247058764E-2</v>
          </cell>
          <cell r="R426" t="str">
            <v>*</v>
          </cell>
        </row>
        <row r="427">
          <cell r="H427" t="str">
            <v>HDPE</v>
          </cell>
          <cell r="I427">
            <v>19985</v>
          </cell>
          <cell r="J427" t="str">
            <v>n</v>
          </cell>
          <cell r="K427">
            <v>39.97</v>
          </cell>
          <cell r="L427">
            <v>0.17827700000000002</v>
          </cell>
          <cell r="M427">
            <v>0.16268131666666663</v>
          </cell>
          <cell r="N427">
            <v>0.2027790200398886</v>
          </cell>
          <cell r="O427">
            <v>1.4449488891653792</v>
          </cell>
          <cell r="Q427">
            <v>1.3185446681594444</v>
          </cell>
        </row>
        <row r="428">
          <cell r="H428" t="str">
            <v>LDPE</v>
          </cell>
          <cell r="I428">
            <v>19877</v>
          </cell>
          <cell r="J428" t="str">
            <v>n</v>
          </cell>
          <cell r="K428">
            <v>39.753999999999998</v>
          </cell>
          <cell r="L428">
            <v>0.17827700000000002</v>
          </cell>
          <cell r="M428">
            <v>0.16268131666666663</v>
          </cell>
          <cell r="N428">
            <v>0.2027790200398886</v>
          </cell>
          <cell r="O428">
            <v>1.4371403087285588</v>
          </cell>
          <cell r="Q428">
            <v>1.3114191828373916</v>
          </cell>
        </row>
        <row r="429">
          <cell r="H429" t="str">
            <v>PET</v>
          </cell>
          <cell r="I429">
            <v>10600</v>
          </cell>
          <cell r="J429" t="str">
            <v>n</v>
          </cell>
          <cell r="K429">
            <v>21.2</v>
          </cell>
          <cell r="L429">
            <v>0.17827700000000002</v>
          </cell>
          <cell r="M429">
            <v>0.16268131666666663</v>
          </cell>
          <cell r="N429">
            <v>0.2027790200398886</v>
          </cell>
          <cell r="O429">
            <v>0.7663977095398059</v>
          </cell>
          <cell r="Q429">
            <v>0.69935318901626764</v>
          </cell>
        </row>
        <row r="430">
          <cell r="H430" t="str">
            <v>Corrugated Containers</v>
          </cell>
          <cell r="I430">
            <v>7043</v>
          </cell>
          <cell r="J430" t="str">
            <v>b</v>
          </cell>
          <cell r="K430">
            <v>14.086</v>
          </cell>
          <cell r="L430">
            <v>0.17827700000000002</v>
          </cell>
          <cell r="M430">
            <v>0.16268131666666663</v>
          </cell>
          <cell r="N430">
            <v>0.2027790200398886</v>
          </cell>
          <cell r="O430">
            <v>0.50922066681970324</v>
          </cell>
          <cell r="Q430">
            <v>0.46467401040014844</v>
          </cell>
        </row>
        <row r="431">
          <cell r="H431" t="str">
            <v>Magazines/Third-class Mail</v>
          </cell>
          <cell r="I431">
            <v>5258</v>
          </cell>
          <cell r="J431" t="str">
            <v>d</v>
          </cell>
          <cell r="K431">
            <v>10.516</v>
          </cell>
          <cell r="L431">
            <v>0.17827700000000002</v>
          </cell>
          <cell r="M431">
            <v>0.16268131666666663</v>
          </cell>
          <cell r="N431">
            <v>0.2027790200398886</v>
          </cell>
          <cell r="O431">
            <v>0.38016218460002826</v>
          </cell>
          <cell r="Q431">
            <v>0.34690557243844672</v>
          </cell>
        </row>
        <row r="432">
          <cell r="H432" t="str">
            <v>Newspaper</v>
          </cell>
          <cell r="I432">
            <v>7950</v>
          </cell>
          <cell r="J432" t="str">
            <v>b</v>
          </cell>
          <cell r="K432">
            <v>15.9</v>
          </cell>
          <cell r="L432">
            <v>0.17827700000000002</v>
          </cell>
          <cell r="M432">
            <v>0.16268131666666663</v>
          </cell>
          <cell r="N432">
            <v>0.2027790200398886</v>
          </cell>
          <cell r="O432">
            <v>0.57479828215485451</v>
          </cell>
          <cell r="Q432">
            <v>0.52451489176220079</v>
          </cell>
        </row>
        <row r="433">
          <cell r="H433" t="str">
            <v>Office Paper</v>
          </cell>
          <cell r="I433">
            <v>6800</v>
          </cell>
          <cell r="J433" t="str">
            <v>b,f</v>
          </cell>
          <cell r="K433">
            <v>13.6</v>
          </cell>
          <cell r="L433">
            <v>0.17827700000000002</v>
          </cell>
          <cell r="M433">
            <v>0.16268131666666663</v>
          </cell>
          <cell r="N433">
            <v>0.2027790200398886</v>
          </cell>
          <cell r="O433">
            <v>0.49165136083685662</v>
          </cell>
          <cell r="Q433">
            <v>0.44864166842553016</v>
          </cell>
        </row>
        <row r="434">
          <cell r="H434" t="str">
            <v>Phonebooks</v>
          </cell>
          <cell r="I434">
            <v>7950</v>
          </cell>
          <cell r="J434" t="str">
            <v>g</v>
          </cell>
          <cell r="K434">
            <v>15.9</v>
          </cell>
          <cell r="L434">
            <v>0.17827700000000002</v>
          </cell>
          <cell r="M434">
            <v>0.16268131666666663</v>
          </cell>
          <cell r="N434">
            <v>0.2027790200398886</v>
          </cell>
          <cell r="O434">
            <v>0.57479828215485451</v>
          </cell>
          <cell r="Q434">
            <v>0.52451489176220079</v>
          </cell>
        </row>
        <row r="435">
          <cell r="H435" t="str">
            <v>Textbooks</v>
          </cell>
          <cell r="I435">
            <v>6800</v>
          </cell>
          <cell r="J435" t="str">
            <v>h</v>
          </cell>
          <cell r="K435">
            <v>13.6</v>
          </cell>
          <cell r="L435">
            <v>0.17827700000000002</v>
          </cell>
          <cell r="M435">
            <v>0.16268131666666663</v>
          </cell>
          <cell r="N435">
            <v>0.2027790200398886</v>
          </cell>
          <cell r="O435">
            <v>0.49165136083685662</v>
          </cell>
          <cell r="Q435">
            <v>0.44864166842553016</v>
          </cell>
        </row>
        <row r="436">
          <cell r="H436" t="str">
            <v>Dimensional Lumber</v>
          </cell>
          <cell r="I436">
            <v>8300</v>
          </cell>
          <cell r="J436" t="str">
            <v>i</v>
          </cell>
          <cell r="K436">
            <v>16.600000000000001</v>
          </cell>
          <cell r="L436">
            <v>0.17827700000000002</v>
          </cell>
          <cell r="M436">
            <v>0.16268131666666663</v>
          </cell>
          <cell r="N436">
            <v>0.2027790200398886</v>
          </cell>
          <cell r="O436">
            <v>0.60010386690381035</v>
          </cell>
          <cell r="Q436">
            <v>0.54760674234292661</v>
          </cell>
        </row>
        <row r="437">
          <cell r="H437" t="str">
            <v>Medium-density Fiberboard</v>
          </cell>
          <cell r="I437">
            <v>8300</v>
          </cell>
          <cell r="J437" t="str">
            <v>i</v>
          </cell>
          <cell r="K437">
            <v>16.600000000000001</v>
          </cell>
          <cell r="L437">
            <v>0.17827700000000002</v>
          </cell>
          <cell r="M437">
            <v>0.16268131666666663</v>
          </cell>
          <cell r="N437">
            <v>0.2027790200398886</v>
          </cell>
          <cell r="O437">
            <v>0.60010386690381035</v>
          </cell>
          <cell r="Q437">
            <v>0.54760674234292661</v>
          </cell>
        </row>
        <row r="438">
          <cell r="H438" t="str">
            <v>Food Waste</v>
          </cell>
          <cell r="I438">
            <v>2370</v>
          </cell>
          <cell r="J438" t="str">
            <v>b</v>
          </cell>
          <cell r="K438">
            <v>4.74</v>
          </cell>
          <cell r="L438">
            <v>0.17827700000000002</v>
          </cell>
          <cell r="M438">
            <v>0.16268131666666663</v>
          </cell>
          <cell r="N438">
            <v>0.2027790200398886</v>
          </cell>
          <cell r="O438">
            <v>0.17135495958578681</v>
          </cell>
          <cell r="Q438">
            <v>0.15636481678948627</v>
          </cell>
        </row>
        <row r="439">
          <cell r="H439" t="str">
            <v>Food Waste (non-meat)</v>
          </cell>
          <cell r="I439">
            <v>2370</v>
          </cell>
          <cell r="J439" t="str">
            <v>b</v>
          </cell>
          <cell r="K439">
            <v>4.74</v>
          </cell>
          <cell r="L439">
            <v>0.17827700000000002</v>
          </cell>
          <cell r="M439">
            <v>0.16268131666666663</v>
          </cell>
          <cell r="N439">
            <v>0.2027790200398886</v>
          </cell>
          <cell r="O439">
            <v>0.17135495958578681</v>
          </cell>
          <cell r="Q439">
            <v>0.15636481678948627</v>
          </cell>
        </row>
        <row r="440">
          <cell r="H440" t="str">
            <v>Food Waste (meat only)</v>
          </cell>
          <cell r="I440">
            <v>2370</v>
          </cell>
          <cell r="J440" t="str">
            <v>b</v>
          </cell>
          <cell r="K440">
            <v>4.74</v>
          </cell>
          <cell r="L440">
            <v>0.17827700000000002</v>
          </cell>
          <cell r="M440">
            <v>0.16268131666666663</v>
          </cell>
          <cell r="N440">
            <v>0.2027790200398886</v>
          </cell>
          <cell r="O440">
            <v>0.17135495958578681</v>
          </cell>
          <cell r="Q440">
            <v>0.15636481678948627</v>
          </cell>
        </row>
        <row r="441">
          <cell r="H441" t="str">
            <v>Beef</v>
          </cell>
          <cell r="I441">
            <v>2370</v>
          </cell>
          <cell r="J441" t="str">
            <v>b</v>
          </cell>
          <cell r="K441">
            <v>4.74</v>
          </cell>
          <cell r="L441">
            <v>0.17827700000000002</v>
          </cell>
          <cell r="M441">
            <v>0.16268131666666663</v>
          </cell>
          <cell r="N441">
            <v>0.2027790200398886</v>
          </cell>
          <cell r="O441">
            <v>0.17135495958578681</v>
          </cell>
          <cell r="Q441">
            <v>0.15636481678948627</v>
          </cell>
        </row>
        <row r="442">
          <cell r="H442" t="str">
            <v>Poultry</v>
          </cell>
          <cell r="I442">
            <v>2370</v>
          </cell>
          <cell r="J442" t="str">
            <v>b</v>
          </cell>
          <cell r="K442">
            <v>4.74</v>
          </cell>
          <cell r="L442">
            <v>0.17827700000000002</v>
          </cell>
          <cell r="M442">
            <v>0.16268131666666663</v>
          </cell>
          <cell r="N442">
            <v>0.2027790200398886</v>
          </cell>
          <cell r="O442">
            <v>0.17135495958578681</v>
          </cell>
          <cell r="Q442">
            <v>0.15636481678948627</v>
          </cell>
        </row>
        <row r="443">
          <cell r="H443" t="str">
            <v>Grains</v>
          </cell>
          <cell r="I443">
            <v>2370</v>
          </cell>
          <cell r="J443" t="str">
            <v>b</v>
          </cell>
          <cell r="K443">
            <v>4.74</v>
          </cell>
          <cell r="L443">
            <v>0.17827700000000002</v>
          </cell>
          <cell r="M443">
            <v>0.16268131666666663</v>
          </cell>
          <cell r="N443">
            <v>0.2027790200398886</v>
          </cell>
          <cell r="O443">
            <v>0.17135495958578681</v>
          </cell>
          <cell r="Q443">
            <v>0.15636481678948627</v>
          </cell>
        </row>
        <row r="444">
          <cell r="H444" t="str">
            <v>Bread</v>
          </cell>
          <cell r="I444">
            <v>2370</v>
          </cell>
          <cell r="J444" t="str">
            <v>b</v>
          </cell>
          <cell r="K444">
            <v>4.74</v>
          </cell>
          <cell r="L444">
            <v>0.17827700000000002</v>
          </cell>
          <cell r="M444">
            <v>0.16268131666666663</v>
          </cell>
          <cell r="N444">
            <v>0.2027790200398886</v>
          </cell>
          <cell r="O444">
            <v>0.17135495958578681</v>
          </cell>
          <cell r="Q444">
            <v>0.15636481678948627</v>
          </cell>
        </row>
        <row r="445">
          <cell r="H445" t="str">
            <v>Fruits and Vegetables</v>
          </cell>
          <cell r="I445">
            <v>2370</v>
          </cell>
          <cell r="J445" t="str">
            <v>b</v>
          </cell>
          <cell r="K445">
            <v>4.74</v>
          </cell>
          <cell r="L445">
            <v>0.17827700000000002</v>
          </cell>
          <cell r="M445">
            <v>0.16268131666666663</v>
          </cell>
          <cell r="N445">
            <v>0.2027790200398886</v>
          </cell>
          <cell r="O445">
            <v>0.17135495958578681</v>
          </cell>
          <cell r="Q445">
            <v>0.15636481678948627</v>
          </cell>
        </row>
        <row r="446">
          <cell r="H446" t="str">
            <v>Dairy Products</v>
          </cell>
          <cell r="I446">
            <v>2370</v>
          </cell>
          <cell r="J446" t="str">
            <v>b</v>
          </cell>
          <cell r="K446">
            <v>4.74</v>
          </cell>
          <cell r="L446">
            <v>0.17827700000000002</v>
          </cell>
          <cell r="M446">
            <v>0.16268131666666663</v>
          </cell>
          <cell r="N446">
            <v>0.2027790200398886</v>
          </cell>
          <cell r="O446">
            <v>0.17135495958578681</v>
          </cell>
          <cell r="Q446">
            <v>0.15636481678948627</v>
          </cell>
        </row>
        <row r="447">
          <cell r="H447" t="str">
            <v>Yard Trimmings</v>
          </cell>
          <cell r="I447">
            <v>2800</v>
          </cell>
          <cell r="J447" t="str">
            <v>j</v>
          </cell>
          <cell r="K447">
            <v>5.6</v>
          </cell>
          <cell r="L447">
            <v>0.17827700000000002</v>
          </cell>
          <cell r="M447">
            <v>0.16268131666666663</v>
          </cell>
          <cell r="N447">
            <v>0.2027790200398886</v>
          </cell>
          <cell r="O447">
            <v>0.20244467799164684</v>
          </cell>
          <cell r="Q447">
            <v>0.18473480464580652</v>
          </cell>
        </row>
        <row r="448">
          <cell r="H448" t="str">
            <v>Mixed MSW</v>
          </cell>
          <cell r="I448">
            <v>5000</v>
          </cell>
          <cell r="J448" t="str">
            <v>k</v>
          </cell>
          <cell r="K448">
            <v>10</v>
          </cell>
          <cell r="L448">
            <v>0.17827700000000002</v>
          </cell>
          <cell r="M448">
            <v>0.16268131666666663</v>
          </cell>
          <cell r="N448">
            <v>0.2027790200398886</v>
          </cell>
          <cell r="O448">
            <v>0.36150835355651223</v>
          </cell>
          <cell r="Q448">
            <v>0.32988357972465454</v>
          </cell>
        </row>
        <row r="449">
          <cell r="H449" t="str">
            <v>Carpet</v>
          </cell>
          <cell r="I449">
            <v>7600</v>
          </cell>
          <cell r="J449" t="str">
            <v>l</v>
          </cell>
          <cell r="K449">
            <v>15.2</v>
          </cell>
          <cell r="L449">
            <v>0.17827700000000002</v>
          </cell>
          <cell r="M449">
            <v>0.16268131666666663</v>
          </cell>
          <cell r="N449">
            <v>0.2027790200398886</v>
          </cell>
          <cell r="O449">
            <v>0.54949269740589857</v>
          </cell>
          <cell r="Q449">
            <v>0.50142304118147485</v>
          </cell>
        </row>
        <row r="450">
          <cell r="H450" t="str">
            <v>Personal Computers</v>
          </cell>
          <cell r="I450">
            <v>1533.3333333333335</v>
          </cell>
          <cell r="J450" t="str">
            <v>m</v>
          </cell>
          <cell r="K450">
            <v>3.0666666666666669</v>
          </cell>
          <cell r="L450">
            <v>0.17827700000000002</v>
          </cell>
          <cell r="M450">
            <v>0.16268131666666663</v>
          </cell>
          <cell r="N450">
            <v>0.2027790200398886</v>
          </cell>
          <cell r="O450">
            <v>0.11086256175733043</v>
          </cell>
          <cell r="Q450">
            <v>0.10116429778222741</v>
          </cell>
        </row>
        <row r="451">
          <cell r="H451" t="str">
            <v>Tires</v>
          </cell>
          <cell r="I451">
            <v>13888.888888888887</v>
          </cell>
          <cell r="K451">
            <v>27.777777777777775</v>
          </cell>
          <cell r="L451" t="str">
            <v>NA</v>
          </cell>
          <cell r="M451" t="str">
            <v>NA</v>
          </cell>
          <cell r="N451" t="str">
            <v>NA</v>
          </cell>
          <cell r="O451">
            <v>1.5659939377631629</v>
          </cell>
          <cell r="Q451">
            <v>1.5659939377631629</v>
          </cell>
        </row>
        <row r="452">
          <cell r="H452" t="str">
            <v>Asphalt Concrete</v>
          </cell>
          <cell r="I452" t="str">
            <v>NA</v>
          </cell>
          <cell r="K452" t="str">
            <v>NA</v>
          </cell>
          <cell r="L452" t="str">
            <v>NA</v>
          </cell>
          <cell r="M452" t="str">
            <v>NA</v>
          </cell>
          <cell r="N452" t="str">
            <v>NA</v>
          </cell>
          <cell r="O452" t="str">
            <v>NA</v>
          </cell>
          <cell r="P452" t="str">
            <v>*</v>
          </cell>
          <cell r="Q452" t="str">
            <v>NA</v>
          </cell>
          <cell r="R452" t="str">
            <v>*</v>
          </cell>
        </row>
        <row r="453">
          <cell r="H453" t="str">
            <v>Paper Felt Shingle</v>
          </cell>
          <cell r="I453">
            <v>7199.9999999999991</v>
          </cell>
          <cell r="K453">
            <v>14.399999999999999</v>
          </cell>
          <cell r="L453" t="str">
            <v>NA</v>
          </cell>
          <cell r="M453" t="str">
            <v>NA</v>
          </cell>
          <cell r="N453" t="str">
            <v>NA</v>
          </cell>
          <cell r="O453">
            <v>1.7236799999999992</v>
          </cell>
          <cell r="P453" t="str">
            <v>*</v>
          </cell>
          <cell r="Q453">
            <v>1.7236799999999992</v>
          </cell>
          <cell r="R453" t="str">
            <v>*</v>
          </cell>
        </row>
        <row r="454">
          <cell r="H454" t="str">
            <v>Asphalt Shingles</v>
          </cell>
          <cell r="I454">
            <v>4399.9999999999991</v>
          </cell>
          <cell r="K454">
            <v>8.7999999999999989</v>
          </cell>
          <cell r="L454" t="str">
            <v>NA</v>
          </cell>
          <cell r="M454" t="str">
            <v>NA</v>
          </cell>
          <cell r="N454" t="str">
            <v>NA</v>
          </cell>
          <cell r="O454">
            <v>1.0533599999999996</v>
          </cell>
          <cell r="P454" t="str">
            <v>*</v>
          </cell>
          <cell r="Q454">
            <v>1.0533599999999996</v>
          </cell>
          <cell r="R454" t="str">
            <v>*</v>
          </cell>
        </row>
        <row r="455">
          <cell r="H455" t="str">
            <v>Drywall</v>
          </cell>
          <cell r="I455" t="str">
            <v>NA</v>
          </cell>
          <cell r="K455" t="str">
            <v>NA</v>
          </cell>
          <cell r="L455" t="str">
            <v>NA</v>
          </cell>
          <cell r="M455" t="str">
            <v>NA</v>
          </cell>
          <cell r="N455" t="str">
            <v>NA</v>
          </cell>
          <cell r="O455" t="str">
            <v>NA</v>
          </cell>
          <cell r="Q455" t="str">
            <v>NA</v>
          </cell>
        </row>
        <row r="456">
          <cell r="H456" t="str">
            <v>Fiberglass Insulation</v>
          </cell>
          <cell r="I456" t="str">
            <v>NA</v>
          </cell>
          <cell r="K456" t="str">
            <v>NA</v>
          </cell>
          <cell r="L456" t="str">
            <v>NA</v>
          </cell>
          <cell r="M456" t="str">
            <v>NA</v>
          </cell>
          <cell r="N456" t="str">
            <v>NA</v>
          </cell>
          <cell r="O456" t="str">
            <v>NA</v>
          </cell>
          <cell r="Q456" t="str">
            <v>NA</v>
          </cell>
        </row>
        <row r="457">
          <cell r="H457" t="str">
            <v>Vinyl Flooring</v>
          </cell>
          <cell r="I457">
            <v>7875</v>
          </cell>
          <cell r="K457">
            <v>15.75</v>
          </cell>
          <cell r="L457">
            <v>0.17827700000000002</v>
          </cell>
          <cell r="M457">
            <v>0.16268131666666663</v>
          </cell>
          <cell r="N457">
            <v>0.2027790200398886</v>
          </cell>
          <cell r="O457">
            <v>0.56937565685150682</v>
          </cell>
          <cell r="P457">
            <v>0.51956663806633085</v>
          </cell>
          <cell r="Q457">
            <v>0.51956663806633085</v>
          </cell>
        </row>
        <row r="458">
          <cell r="H458" t="str">
            <v>Wood Flooring</v>
          </cell>
          <cell r="I458">
            <v>8993.4575501382224</v>
          </cell>
          <cell r="K458">
            <v>17.986915100276445</v>
          </cell>
          <cell r="L458">
            <v>0.21532527051987507</v>
          </cell>
          <cell r="M458">
            <v>0.16268131666666663</v>
          </cell>
          <cell r="N458">
            <v>0.2027790200398886</v>
          </cell>
          <cell r="O458">
            <v>0.78537072039509015</v>
          </cell>
          <cell r="P458">
            <v>0.59335879414826376</v>
          </cell>
          <cell r="Q458">
            <v>0.59335879414826376</v>
          </cell>
        </row>
        <row r="459">
          <cell r="H459" t="str">
            <v>Aluminum Ingot</v>
          </cell>
          <cell r="I459">
            <v>-335</v>
          </cell>
          <cell r="J459" t="str">
            <v>a</v>
          </cell>
          <cell r="K459">
            <v>-0.67</v>
          </cell>
          <cell r="L459">
            <v>0.17827700000000002</v>
          </cell>
          <cell r="M459">
            <v>0.16268131666666663</v>
          </cell>
          <cell r="N459">
            <v>0.2027790200398886</v>
          </cell>
          <cell r="O459">
            <v>-2.422105968828632E-2</v>
          </cell>
          <cell r="P459" t="str">
            <v>*</v>
          </cell>
          <cell r="Q459">
            <v>-2.2102199841551855E-2</v>
          </cell>
          <cell r="R459" t="str">
            <v>*</v>
          </cell>
        </row>
        <row r="460">
          <cell r="H460" t="str">
            <v>PLA</v>
          </cell>
          <cell r="I460">
            <v>8368</v>
          </cell>
          <cell r="K460">
            <v>16.736000000000001</v>
          </cell>
          <cell r="L460">
            <v>0.17827700000000002</v>
          </cell>
          <cell r="M460">
            <v>0.16268131666666663</v>
          </cell>
          <cell r="N460">
            <v>0.2027790200398886</v>
          </cell>
          <cell r="O460">
            <v>0.60502038051217888</v>
          </cell>
          <cell r="P460" t="str">
            <v>*</v>
          </cell>
          <cell r="Q460">
            <v>0.55209315902718181</v>
          </cell>
          <cell r="R460" t="str">
            <v>*</v>
          </cell>
        </row>
        <row r="461">
          <cell r="H461" t="str">
            <v>LLDPE</v>
          </cell>
          <cell r="I461">
            <v>19946</v>
          </cell>
          <cell r="K461">
            <v>39.892000000000003</v>
          </cell>
          <cell r="L461">
            <v>0.17827700000000002</v>
          </cell>
          <cell r="M461">
            <v>0.16268131666666663</v>
          </cell>
          <cell r="N461">
            <v>0.2027790200398886</v>
          </cell>
          <cell r="O461">
            <v>1.4421291240076388</v>
          </cell>
          <cell r="Q461">
            <v>1.3159715762375921</v>
          </cell>
        </row>
        <row r="462">
          <cell r="H462" t="str">
            <v>PP</v>
          </cell>
          <cell r="I462">
            <v>19948</v>
          </cell>
          <cell r="K462">
            <v>39.896000000000001</v>
          </cell>
          <cell r="L462">
            <v>0.17827700000000002</v>
          </cell>
          <cell r="M462">
            <v>0.16268131666666663</v>
          </cell>
          <cell r="N462">
            <v>0.2027790200398886</v>
          </cell>
          <cell r="O462">
            <v>1.4422737273490611</v>
          </cell>
          <cell r="Q462">
            <v>1.3161035296694819</v>
          </cell>
        </row>
        <row r="463">
          <cell r="H463" t="str">
            <v>PS</v>
          </cell>
          <cell r="I463">
            <v>18000</v>
          </cell>
          <cell r="K463">
            <v>36</v>
          </cell>
          <cell r="L463">
            <v>0.17827700000000002</v>
          </cell>
          <cell r="M463">
            <v>0.16268131666666663</v>
          </cell>
          <cell r="N463">
            <v>0.2027790200398886</v>
          </cell>
          <cell r="O463">
            <v>1.301430072803444</v>
          </cell>
          <cell r="Q463">
            <v>1.1875808870087565</v>
          </cell>
        </row>
        <row r="464">
          <cell r="H464" t="str">
            <v>PVC</v>
          </cell>
          <cell r="I464">
            <v>7875</v>
          </cell>
          <cell r="K464">
            <v>15.75</v>
          </cell>
          <cell r="L464">
            <v>0.17827700000000002</v>
          </cell>
          <cell r="M464">
            <v>0.16268131666666663</v>
          </cell>
          <cell r="N464">
            <v>0.2027790200398886</v>
          </cell>
          <cell r="O464">
            <v>0.56937565685150682</v>
          </cell>
          <cell r="Q464">
            <v>0.51956663806633085</v>
          </cell>
        </row>
        <row r="469">
          <cell r="H469" t="str">
            <v>(a)</v>
          </cell>
          <cell r="I469" t="str">
            <v xml:space="preserve">(b) </v>
          </cell>
          <cell r="K469" t="str">
            <v>(c)</v>
          </cell>
          <cell r="L469" t="str">
            <v xml:space="preserve">(d) </v>
          </cell>
          <cell r="M469" t="str">
            <v xml:space="preserve">(e)                  </v>
          </cell>
          <cell r="N469" t="str">
            <v>(f)</v>
          </cell>
          <cell r="O469" t="str">
            <v xml:space="preserve">(g) </v>
          </cell>
          <cell r="Q469" t="str">
            <v xml:space="preserve">(h)                  </v>
          </cell>
        </row>
        <row r="470">
          <cell r="H470" t="str">
            <v>Material Combusted</v>
          </cell>
          <cell r="I470" t="str">
            <v>Energy Content (Btu Per Pound)</v>
          </cell>
          <cell r="K470" t="str">
            <v>Energy Content (Million Btu Per Ton)</v>
          </cell>
          <cell r="L470" t="str">
            <v>Mass Burn Combustion System Efficiency (Percent)</v>
          </cell>
          <cell r="M470" t="str">
            <v>RDF Combustion System Efficiency (Percent)</v>
          </cell>
          <cell r="N470" t="str">
            <v>Emission Factor for Utility-Generated Electricity (MTCO2E/
Million Btu of Electricity Delivered)</v>
          </cell>
          <cell r="O470" t="str">
            <v>(g = c * d * f) Avoided Utility CO2 Per Ton Combusted at Mass Burn Facilities (MTCO2E)</v>
          </cell>
          <cell r="Q470" t="str">
            <v>(h = c * e * f)
Avoided Utility CO2 Per Ton Combusted at RDF Facilities (MTCO2E)</v>
          </cell>
        </row>
        <row r="471">
          <cell r="H471" t="str">
            <v>Aluminum Cans</v>
          </cell>
          <cell r="I471">
            <v>-335</v>
          </cell>
          <cell r="J471" t="str">
            <v>a</v>
          </cell>
          <cell r="K471">
            <v>-0.67</v>
          </cell>
          <cell r="L471">
            <v>0.17827700000000002</v>
          </cell>
          <cell r="M471">
            <v>0.16268131666666663</v>
          </cell>
          <cell r="N471">
            <v>0.23104685370812159</v>
          </cell>
          <cell r="O471">
            <v>-2.7597527758810275E-2</v>
          </cell>
          <cell r="P471" t="str">
            <v>*</v>
          </cell>
          <cell r="Q471">
            <v>-2.5183294269861711E-2</v>
          </cell>
          <cell r="R471" t="str">
            <v>*</v>
          </cell>
        </row>
        <row r="472">
          <cell r="H472" t="str">
            <v>Steel Cans</v>
          </cell>
          <cell r="I472">
            <v>-210</v>
          </cell>
          <cell r="J472" t="str">
            <v>a</v>
          </cell>
          <cell r="K472">
            <v>-0.42</v>
          </cell>
          <cell r="L472">
            <v>0.17827700000000002</v>
          </cell>
          <cell r="M472">
            <v>0.16268131666666663</v>
          </cell>
          <cell r="N472">
            <v>0.23104685370812159</v>
          </cell>
          <cell r="O472">
            <v>-1.7299942774179573E-2</v>
          </cell>
          <cell r="P472" t="str">
            <v>*</v>
          </cell>
          <cell r="Q472">
            <v>-1.5786542676629729E-2</v>
          </cell>
          <cell r="R472" t="str">
            <v>*</v>
          </cell>
        </row>
        <row r="473">
          <cell r="H473" t="str">
            <v>Copper Wire</v>
          </cell>
          <cell r="I473">
            <v>-272.5</v>
          </cell>
          <cell r="K473">
            <v>-0.54500000000000004</v>
          </cell>
          <cell r="L473">
            <v>0.17827700000000002</v>
          </cell>
          <cell r="M473">
            <v>0.16268131666666663</v>
          </cell>
          <cell r="N473">
            <v>0.23104685370812159</v>
          </cell>
          <cell r="O473">
            <v>-2.2448735266494924E-2</v>
          </cell>
          <cell r="P473" t="str">
            <v>*</v>
          </cell>
          <cell r="Q473">
            <v>-2.0484918473245722E-2</v>
          </cell>
          <cell r="R473" t="str">
            <v>*</v>
          </cell>
        </row>
        <row r="474">
          <cell r="H474" t="str">
            <v>Glass</v>
          </cell>
          <cell r="I474">
            <v>-235</v>
          </cell>
          <cell r="J474" t="str">
            <v>a</v>
          </cell>
          <cell r="K474">
            <v>-0.47</v>
          </cell>
          <cell r="L474">
            <v>0.17827700000000002</v>
          </cell>
          <cell r="M474">
            <v>0.16268131666666663</v>
          </cell>
          <cell r="N474">
            <v>0.23104685370812159</v>
          </cell>
          <cell r="O474">
            <v>-1.9359459771105713E-2</v>
          </cell>
          <cell r="P474" t="str">
            <v>*</v>
          </cell>
          <cell r="Q474">
            <v>-1.7665892995276124E-2</v>
          </cell>
          <cell r="R474" t="str">
            <v>*</v>
          </cell>
        </row>
        <row r="475">
          <cell r="H475" t="str">
            <v>HDPE</v>
          </cell>
          <cell r="I475">
            <v>19985</v>
          </cell>
          <cell r="J475" t="str">
            <v>n</v>
          </cell>
          <cell r="K475">
            <v>39.97</v>
          </cell>
          <cell r="L475">
            <v>0.17827700000000002</v>
          </cell>
          <cell r="M475">
            <v>0.16268131666666663</v>
          </cell>
          <cell r="N475">
            <v>0.23104685370812159</v>
          </cell>
          <cell r="O475">
            <v>1.6463778873427561</v>
          </cell>
          <cell r="Q475">
            <v>1.5023526447259292</v>
          </cell>
        </row>
        <row r="476">
          <cell r="H476" t="str">
            <v>LDPE</v>
          </cell>
          <cell r="I476">
            <v>19877</v>
          </cell>
          <cell r="J476" t="str">
            <v>n</v>
          </cell>
          <cell r="K476">
            <v>39.753999999999998</v>
          </cell>
          <cell r="L476">
            <v>0.17827700000000002</v>
          </cell>
          <cell r="M476">
            <v>0.16268131666666663</v>
          </cell>
          <cell r="N476">
            <v>0.23104685370812159</v>
          </cell>
          <cell r="O476">
            <v>1.6374807739160353</v>
          </cell>
          <cell r="Q476">
            <v>1.4942338513493767</v>
          </cell>
        </row>
        <row r="477">
          <cell r="H477" t="str">
            <v>PET</v>
          </cell>
          <cell r="I477">
            <v>10600</v>
          </cell>
          <cell r="J477" t="str">
            <v>n</v>
          </cell>
          <cell r="K477">
            <v>21.2</v>
          </cell>
          <cell r="L477">
            <v>0.17827700000000002</v>
          </cell>
          <cell r="M477">
            <v>0.16268131666666663</v>
          </cell>
          <cell r="N477">
            <v>0.23104685370812159</v>
          </cell>
          <cell r="O477">
            <v>0.87323520669668331</v>
          </cell>
          <cell r="Q477">
            <v>0.79684453510607212</v>
          </cell>
        </row>
        <row r="478">
          <cell r="H478" t="str">
            <v>Corrugated Containers</v>
          </cell>
          <cell r="I478">
            <v>7043</v>
          </cell>
          <cell r="J478" t="str">
            <v>b</v>
          </cell>
          <cell r="K478">
            <v>14.086</v>
          </cell>
          <cell r="L478">
            <v>0.17827700000000002</v>
          </cell>
          <cell r="M478">
            <v>0.16268131666666663</v>
          </cell>
          <cell r="N478">
            <v>0.23104685370812159</v>
          </cell>
          <cell r="O478">
            <v>0.58020712837403221</v>
          </cell>
          <cell r="Q478">
            <v>0.52945057176906285</v>
          </cell>
        </row>
        <row r="479">
          <cell r="H479" t="str">
            <v>Magazines/Third-class Mail</v>
          </cell>
          <cell r="I479">
            <v>5258</v>
          </cell>
          <cell r="J479" t="str">
            <v>d</v>
          </cell>
          <cell r="K479">
            <v>10.516</v>
          </cell>
          <cell r="L479">
            <v>0.17827700000000002</v>
          </cell>
          <cell r="M479">
            <v>0.16268131666666663</v>
          </cell>
          <cell r="N479">
            <v>0.23104685370812159</v>
          </cell>
          <cell r="O479">
            <v>0.43315761479350573</v>
          </cell>
          <cell r="Q479">
            <v>0.39526495901771008</v>
          </cell>
        </row>
        <row r="480">
          <cell r="H480" t="str">
            <v>Newspaper</v>
          </cell>
          <cell r="I480">
            <v>7950</v>
          </cell>
          <cell r="J480" t="str">
            <v>b</v>
          </cell>
          <cell r="K480">
            <v>15.9</v>
          </cell>
          <cell r="L480">
            <v>0.17827700000000002</v>
          </cell>
          <cell r="M480">
            <v>0.16268131666666663</v>
          </cell>
          <cell r="N480">
            <v>0.23104685370812159</v>
          </cell>
          <cell r="O480">
            <v>0.65492640502251254</v>
          </cell>
          <cell r="Q480">
            <v>0.597633401329554</v>
          </cell>
        </row>
        <row r="481">
          <cell r="H481" t="str">
            <v>Office Paper</v>
          </cell>
          <cell r="I481">
            <v>6800</v>
          </cell>
          <cell r="J481" t="str">
            <v>b,f</v>
          </cell>
          <cell r="K481">
            <v>13.6</v>
          </cell>
          <cell r="L481">
            <v>0.17827700000000002</v>
          </cell>
          <cell r="M481">
            <v>0.16268131666666663</v>
          </cell>
          <cell r="N481">
            <v>0.23104685370812159</v>
          </cell>
          <cell r="O481">
            <v>0.56018862316391005</v>
          </cell>
          <cell r="Q481">
            <v>0.51118328667181978</v>
          </cell>
        </row>
        <row r="482">
          <cell r="H482" t="str">
            <v>Phonebooks</v>
          </cell>
          <cell r="I482">
            <v>7950</v>
          </cell>
          <cell r="J482" t="str">
            <v>g</v>
          </cell>
          <cell r="K482">
            <v>15.9</v>
          </cell>
          <cell r="L482">
            <v>0.17827700000000002</v>
          </cell>
          <cell r="M482">
            <v>0.16268131666666663</v>
          </cell>
          <cell r="N482">
            <v>0.23104685370812159</v>
          </cell>
          <cell r="O482">
            <v>0.65492640502251254</v>
          </cell>
          <cell r="Q482">
            <v>0.597633401329554</v>
          </cell>
        </row>
        <row r="483">
          <cell r="H483" t="str">
            <v>Textbooks</v>
          </cell>
          <cell r="I483">
            <v>6800</v>
          </cell>
          <cell r="J483" t="str">
            <v>h</v>
          </cell>
          <cell r="K483">
            <v>13.6</v>
          </cell>
          <cell r="L483">
            <v>0.17827700000000002</v>
          </cell>
          <cell r="M483">
            <v>0.16268131666666663</v>
          </cell>
          <cell r="N483">
            <v>0.23104685370812159</v>
          </cell>
          <cell r="O483">
            <v>0.56018862316391005</v>
          </cell>
          <cell r="Q483">
            <v>0.51118328667181978</v>
          </cell>
        </row>
        <row r="484">
          <cell r="H484" t="str">
            <v>Dimensional Lumber</v>
          </cell>
          <cell r="I484">
            <v>8300</v>
          </cell>
          <cell r="J484" t="str">
            <v>i</v>
          </cell>
          <cell r="K484">
            <v>16.600000000000001</v>
          </cell>
          <cell r="L484">
            <v>0.17827700000000002</v>
          </cell>
          <cell r="M484">
            <v>0.16268131666666663</v>
          </cell>
          <cell r="N484">
            <v>0.23104685370812159</v>
          </cell>
          <cell r="O484">
            <v>0.68375964297947855</v>
          </cell>
          <cell r="Q484">
            <v>0.62394430579060367</v>
          </cell>
        </row>
        <row r="485">
          <cell r="H485" t="str">
            <v>Medium-density Fiberboard</v>
          </cell>
          <cell r="I485">
            <v>8300</v>
          </cell>
          <cell r="J485" t="str">
            <v>i</v>
          </cell>
          <cell r="K485">
            <v>16.600000000000001</v>
          </cell>
          <cell r="L485">
            <v>0.17827700000000002</v>
          </cell>
          <cell r="M485">
            <v>0.16268131666666663</v>
          </cell>
          <cell r="N485">
            <v>0.23104685370812159</v>
          </cell>
          <cell r="O485">
            <v>0.68375964297947855</v>
          </cell>
          <cell r="Q485">
            <v>0.62394430579060367</v>
          </cell>
        </row>
        <row r="486">
          <cell r="H486" t="str">
            <v>Food Waste</v>
          </cell>
          <cell r="I486">
            <v>2370</v>
          </cell>
          <cell r="J486" t="str">
            <v>b</v>
          </cell>
          <cell r="K486">
            <v>4.74</v>
          </cell>
          <cell r="L486">
            <v>0.17827700000000002</v>
          </cell>
          <cell r="M486">
            <v>0.16268131666666663</v>
          </cell>
          <cell r="N486">
            <v>0.23104685370812159</v>
          </cell>
          <cell r="O486">
            <v>0.19524221130859806</v>
          </cell>
          <cell r="Q486">
            <v>0.1781624102076784</v>
          </cell>
        </row>
        <row r="487">
          <cell r="H487" t="str">
            <v>Food Waste (non-meat)</v>
          </cell>
          <cell r="I487">
            <v>2370</v>
          </cell>
          <cell r="J487" t="str">
            <v>b</v>
          </cell>
          <cell r="K487">
            <v>4.74</v>
          </cell>
          <cell r="L487">
            <v>0.17827700000000002</v>
          </cell>
          <cell r="M487">
            <v>0.16268131666666663</v>
          </cell>
          <cell r="N487">
            <v>0.23104685370812159</v>
          </cell>
          <cell r="O487">
            <v>0.19524221130859806</v>
          </cell>
          <cell r="Q487">
            <v>0.1781624102076784</v>
          </cell>
        </row>
        <row r="488">
          <cell r="H488" t="str">
            <v>Food Waste (meat only)</v>
          </cell>
          <cell r="I488">
            <v>2370</v>
          </cell>
          <cell r="J488" t="str">
            <v>b</v>
          </cell>
          <cell r="K488">
            <v>4.74</v>
          </cell>
          <cell r="L488">
            <v>0.17827700000000002</v>
          </cell>
          <cell r="M488">
            <v>0.16268131666666663</v>
          </cell>
          <cell r="N488">
            <v>0.23104685370812159</v>
          </cell>
          <cell r="O488">
            <v>0.19524221130859806</v>
          </cell>
          <cell r="Q488">
            <v>0.1781624102076784</v>
          </cell>
        </row>
        <row r="489">
          <cell r="H489" t="str">
            <v>Beef</v>
          </cell>
          <cell r="I489">
            <v>2370</v>
          </cell>
          <cell r="J489" t="str">
            <v>b</v>
          </cell>
          <cell r="K489">
            <v>4.74</v>
          </cell>
          <cell r="L489">
            <v>0.17827700000000002</v>
          </cell>
          <cell r="M489">
            <v>0.16268131666666663</v>
          </cell>
          <cell r="N489">
            <v>0.23104685370812159</v>
          </cell>
          <cell r="O489">
            <v>0.19524221130859806</v>
          </cell>
          <cell r="Q489">
            <v>0.1781624102076784</v>
          </cell>
        </row>
        <row r="490">
          <cell r="H490" t="str">
            <v>Poultry</v>
          </cell>
          <cell r="I490">
            <v>2370</v>
          </cell>
          <cell r="J490" t="str">
            <v>b</v>
          </cell>
          <cell r="K490">
            <v>4.74</v>
          </cell>
          <cell r="L490">
            <v>0.17827700000000002</v>
          </cell>
          <cell r="M490">
            <v>0.16268131666666663</v>
          </cell>
          <cell r="N490">
            <v>0.23104685370812159</v>
          </cell>
          <cell r="O490">
            <v>0.19524221130859806</v>
          </cell>
          <cell r="Q490">
            <v>0.1781624102076784</v>
          </cell>
        </row>
        <row r="491">
          <cell r="H491" t="str">
            <v>Grains</v>
          </cell>
          <cell r="I491">
            <v>2370</v>
          </cell>
          <cell r="J491" t="str">
            <v>b</v>
          </cell>
          <cell r="K491">
            <v>4.74</v>
          </cell>
          <cell r="L491">
            <v>0.17827700000000002</v>
          </cell>
          <cell r="M491">
            <v>0.16268131666666663</v>
          </cell>
          <cell r="N491">
            <v>0.23104685370812159</v>
          </cell>
          <cell r="O491">
            <v>0.19524221130859806</v>
          </cell>
          <cell r="Q491">
            <v>0.1781624102076784</v>
          </cell>
        </row>
        <row r="492">
          <cell r="H492" t="str">
            <v>Bread</v>
          </cell>
          <cell r="I492">
            <v>2370</v>
          </cell>
          <cell r="J492" t="str">
            <v>b</v>
          </cell>
          <cell r="K492">
            <v>4.74</v>
          </cell>
          <cell r="L492">
            <v>0.17827700000000002</v>
          </cell>
          <cell r="M492">
            <v>0.16268131666666663</v>
          </cell>
          <cell r="N492">
            <v>0.23104685370812159</v>
          </cell>
          <cell r="O492">
            <v>0.19524221130859806</v>
          </cell>
          <cell r="Q492">
            <v>0.1781624102076784</v>
          </cell>
        </row>
        <row r="493">
          <cell r="H493" t="str">
            <v>Fruits and Vegetables</v>
          </cell>
          <cell r="I493">
            <v>2370</v>
          </cell>
          <cell r="J493" t="str">
            <v>b</v>
          </cell>
          <cell r="K493">
            <v>4.74</v>
          </cell>
          <cell r="L493">
            <v>0.17827700000000002</v>
          </cell>
          <cell r="M493">
            <v>0.16268131666666663</v>
          </cell>
          <cell r="N493">
            <v>0.23104685370812159</v>
          </cell>
          <cell r="O493">
            <v>0.19524221130859806</v>
          </cell>
          <cell r="Q493">
            <v>0.1781624102076784</v>
          </cell>
        </row>
        <row r="494">
          <cell r="H494" t="str">
            <v>Dairy Products</v>
          </cell>
          <cell r="I494">
            <v>2370</v>
          </cell>
          <cell r="J494" t="str">
            <v>b</v>
          </cell>
          <cell r="K494">
            <v>4.74</v>
          </cell>
          <cell r="L494">
            <v>0.17827700000000002</v>
          </cell>
          <cell r="M494">
            <v>0.16268131666666663</v>
          </cell>
          <cell r="N494">
            <v>0.23104685370812159</v>
          </cell>
          <cell r="O494">
            <v>0.19524221130859806</v>
          </cell>
          <cell r="Q494">
            <v>0.1781624102076784</v>
          </cell>
        </row>
        <row r="495">
          <cell r="H495" t="str">
            <v>Yard Trimmings</v>
          </cell>
          <cell r="I495">
            <v>2800</v>
          </cell>
          <cell r="J495" t="str">
            <v>j</v>
          </cell>
          <cell r="K495">
            <v>5.6</v>
          </cell>
          <cell r="L495">
            <v>0.17827700000000002</v>
          </cell>
          <cell r="M495">
            <v>0.16268131666666663</v>
          </cell>
          <cell r="N495">
            <v>0.23104685370812159</v>
          </cell>
          <cell r="O495">
            <v>0.23066590365572764</v>
          </cell>
          <cell r="Q495">
            <v>0.21048723568839636</v>
          </cell>
        </row>
        <row r="496">
          <cell r="H496" t="str">
            <v>Mixed MSW</v>
          </cell>
          <cell r="I496">
            <v>5000</v>
          </cell>
          <cell r="J496" t="str">
            <v>k</v>
          </cell>
          <cell r="K496">
            <v>10</v>
          </cell>
          <cell r="L496">
            <v>0.17827700000000002</v>
          </cell>
          <cell r="M496">
            <v>0.16268131666666663</v>
          </cell>
          <cell r="N496">
            <v>0.23104685370812159</v>
          </cell>
          <cell r="O496">
            <v>0.41190339938522796</v>
          </cell>
          <cell r="Q496">
            <v>0.37587006372927928</v>
          </cell>
        </row>
        <row r="497">
          <cell r="H497" t="str">
            <v>Carpet</v>
          </cell>
          <cell r="I497">
            <v>7600</v>
          </cell>
          <cell r="J497" t="str">
            <v>l</v>
          </cell>
          <cell r="K497">
            <v>15.2</v>
          </cell>
          <cell r="L497">
            <v>0.17827700000000002</v>
          </cell>
          <cell r="M497">
            <v>0.16268131666666663</v>
          </cell>
          <cell r="N497">
            <v>0.23104685370812159</v>
          </cell>
          <cell r="O497">
            <v>0.62609316706554652</v>
          </cell>
          <cell r="Q497">
            <v>0.57132249686850445</v>
          </cell>
        </row>
        <row r="498">
          <cell r="H498" t="str">
            <v>Personal Computers</v>
          </cell>
          <cell r="I498">
            <v>1533.3333333333335</v>
          </cell>
          <cell r="J498" t="str">
            <v>m</v>
          </cell>
          <cell r="K498">
            <v>3.0666666666666669</v>
          </cell>
          <cell r="L498">
            <v>0.17827700000000002</v>
          </cell>
          <cell r="M498">
            <v>0.16268131666666663</v>
          </cell>
          <cell r="N498">
            <v>0.23104685370812159</v>
          </cell>
          <cell r="O498">
            <v>0.1263170424781366</v>
          </cell>
          <cell r="Q498">
            <v>0.11526681954364565</v>
          </cell>
        </row>
        <row r="499">
          <cell r="H499" t="str">
            <v>Tires</v>
          </cell>
          <cell r="I499">
            <v>13888.888888888887</v>
          </cell>
          <cell r="K499">
            <v>27.777777777777775</v>
          </cell>
          <cell r="L499" t="str">
            <v>NA</v>
          </cell>
          <cell r="M499" t="str">
            <v>NA</v>
          </cell>
          <cell r="N499" t="str">
            <v>NA</v>
          </cell>
          <cell r="O499">
            <v>1.5659939377631629</v>
          </cell>
          <cell r="Q499">
            <v>1.5659939377631629</v>
          </cell>
        </row>
        <row r="500">
          <cell r="H500" t="str">
            <v>Asphalt Concrete</v>
          </cell>
          <cell r="I500" t="str">
            <v>NA</v>
          </cell>
          <cell r="K500" t="str">
            <v>NA</v>
          </cell>
          <cell r="L500" t="str">
            <v>NA</v>
          </cell>
          <cell r="M500" t="str">
            <v>NA</v>
          </cell>
          <cell r="N500" t="str">
            <v>NA</v>
          </cell>
          <cell r="O500" t="str">
            <v>NA</v>
          </cell>
          <cell r="P500" t="str">
            <v>*</v>
          </cell>
          <cell r="Q500" t="str">
            <v>NA</v>
          </cell>
          <cell r="R500" t="str">
            <v>*</v>
          </cell>
        </row>
        <row r="501">
          <cell r="H501" t="str">
            <v>Paper Felt Shingle</v>
          </cell>
          <cell r="I501">
            <v>7199.9999999999991</v>
          </cell>
          <cell r="K501">
            <v>14.399999999999999</v>
          </cell>
          <cell r="L501" t="str">
            <v>NA</v>
          </cell>
          <cell r="M501" t="str">
            <v>NA</v>
          </cell>
          <cell r="N501" t="str">
            <v>NA</v>
          </cell>
          <cell r="O501">
            <v>1.7236799999999992</v>
          </cell>
          <cell r="P501" t="str">
            <v>*</v>
          </cell>
          <cell r="Q501">
            <v>1.7236799999999992</v>
          </cell>
          <cell r="R501" t="str">
            <v>*</v>
          </cell>
        </row>
        <row r="502">
          <cell r="H502" t="str">
            <v>Asphalt Shingles</v>
          </cell>
          <cell r="I502">
            <v>4399.9999999999991</v>
          </cell>
          <cell r="K502">
            <v>8.7999999999999989</v>
          </cell>
          <cell r="L502" t="str">
            <v>NA</v>
          </cell>
          <cell r="M502" t="str">
            <v>NA</v>
          </cell>
          <cell r="N502" t="str">
            <v>NA</v>
          </cell>
          <cell r="O502">
            <v>1.0533599999999996</v>
          </cell>
          <cell r="P502" t="str">
            <v>*</v>
          </cell>
          <cell r="Q502">
            <v>1.0533599999999996</v>
          </cell>
          <cell r="R502" t="str">
            <v>*</v>
          </cell>
        </row>
        <row r="503">
          <cell r="H503" t="str">
            <v>Drywall</v>
          </cell>
          <cell r="I503" t="str">
            <v>NA</v>
          </cell>
          <cell r="K503" t="str">
            <v>NA</v>
          </cell>
          <cell r="L503" t="str">
            <v>NA</v>
          </cell>
          <cell r="M503" t="str">
            <v>NA</v>
          </cell>
          <cell r="N503" t="str">
            <v>NA</v>
          </cell>
          <cell r="O503" t="str">
            <v>NA</v>
          </cell>
          <cell r="Q503" t="str">
            <v>NA</v>
          </cell>
        </row>
        <row r="504">
          <cell r="H504" t="str">
            <v>Fiberglass Insulation</v>
          </cell>
          <cell r="I504" t="str">
            <v>NA</v>
          </cell>
          <cell r="K504" t="str">
            <v>NA</v>
          </cell>
          <cell r="L504" t="str">
            <v>NA</v>
          </cell>
          <cell r="M504" t="str">
            <v>NA</v>
          </cell>
          <cell r="N504" t="str">
            <v>NA</v>
          </cell>
          <cell r="O504" t="str">
            <v>NA</v>
          </cell>
          <cell r="Q504" t="str">
            <v>NA</v>
          </cell>
        </row>
        <row r="505">
          <cell r="H505" t="str">
            <v>Vinyl Flooring</v>
          </cell>
          <cell r="I505">
            <v>7875</v>
          </cell>
          <cell r="K505">
            <v>15.75</v>
          </cell>
          <cell r="L505">
            <v>0.17827700000000002</v>
          </cell>
          <cell r="M505">
            <v>0.16268131666666663</v>
          </cell>
          <cell r="N505">
            <v>0.23104685370812159</v>
          </cell>
          <cell r="O505">
            <v>0.64874785403173407</v>
          </cell>
          <cell r="P505">
            <v>0.59199535037361484</v>
          </cell>
          <cell r="Q505">
            <v>0.59199535037361484</v>
          </cell>
        </row>
        <row r="506">
          <cell r="H506" t="str">
            <v>Wood Flooring</v>
          </cell>
          <cell r="I506">
            <v>8993.4575501382224</v>
          </cell>
          <cell r="K506">
            <v>17.986915100276445</v>
          </cell>
          <cell r="L506">
            <v>0.21532527051987507</v>
          </cell>
          <cell r="M506">
            <v>0.16268131666666663</v>
          </cell>
          <cell r="N506">
            <v>0.23104685370812159</v>
          </cell>
          <cell r="O506">
            <v>0.89485309627234622</v>
          </cell>
          <cell r="P506">
            <v>0.67607429250340434</v>
          </cell>
          <cell r="Q506">
            <v>0.67607429250340434</v>
          </cell>
        </row>
        <row r="507">
          <cell r="H507" t="str">
            <v>Aluminum Ingot</v>
          </cell>
          <cell r="I507">
            <v>-335</v>
          </cell>
          <cell r="J507" t="str">
            <v>a</v>
          </cell>
          <cell r="K507">
            <v>-0.67</v>
          </cell>
          <cell r="L507">
            <v>0.17827700000000002</v>
          </cell>
          <cell r="M507">
            <v>0.16268131666666663</v>
          </cell>
          <cell r="N507">
            <v>0.23104685370812159</v>
          </cell>
          <cell r="O507">
            <v>-2.7597527758810275E-2</v>
          </cell>
          <cell r="P507" t="str">
            <v>*</v>
          </cell>
          <cell r="Q507">
            <v>-2.5183294269861711E-2</v>
          </cell>
          <cell r="R507" t="str">
            <v>*</v>
          </cell>
        </row>
        <row r="508">
          <cell r="H508" t="str">
            <v>PLA</v>
          </cell>
          <cell r="I508">
            <v>8368</v>
          </cell>
          <cell r="K508">
            <v>16.736000000000001</v>
          </cell>
          <cell r="L508">
            <v>0.17827700000000002</v>
          </cell>
          <cell r="M508">
            <v>0.16268131666666663</v>
          </cell>
          <cell r="N508">
            <v>0.23104685370812159</v>
          </cell>
          <cell r="O508">
            <v>0.6893615292111176</v>
          </cell>
          <cell r="P508" t="str">
            <v>*</v>
          </cell>
          <cell r="Q508">
            <v>0.6290561386573218</v>
          </cell>
          <cell r="R508" t="str">
            <v>*</v>
          </cell>
        </row>
        <row r="509">
          <cell r="H509" t="str">
            <v>LLDPE</v>
          </cell>
          <cell r="I509">
            <v>19946</v>
          </cell>
          <cell r="K509">
            <v>39.892000000000003</v>
          </cell>
          <cell r="L509">
            <v>0.17827700000000002</v>
          </cell>
          <cell r="M509">
            <v>0.16268131666666663</v>
          </cell>
          <cell r="N509">
            <v>0.23104685370812159</v>
          </cell>
          <cell r="O509">
            <v>1.6431650408275515</v>
          </cell>
          <cell r="Q509">
            <v>1.4994208582288411</v>
          </cell>
        </row>
        <row r="510">
          <cell r="H510" t="str">
            <v>PP</v>
          </cell>
          <cell r="I510">
            <v>19948</v>
          </cell>
          <cell r="K510">
            <v>39.896000000000001</v>
          </cell>
          <cell r="L510">
            <v>0.17827700000000002</v>
          </cell>
          <cell r="M510">
            <v>0.16268131666666663</v>
          </cell>
          <cell r="N510">
            <v>0.23104685370812159</v>
          </cell>
          <cell r="O510">
            <v>1.6433298021873055</v>
          </cell>
          <cell r="Q510">
            <v>1.4995712062543325</v>
          </cell>
        </row>
        <row r="511">
          <cell r="H511" t="str">
            <v>PS</v>
          </cell>
          <cell r="I511">
            <v>18000</v>
          </cell>
          <cell r="K511">
            <v>36</v>
          </cell>
          <cell r="L511">
            <v>0.17827700000000002</v>
          </cell>
          <cell r="M511">
            <v>0.16268131666666663</v>
          </cell>
          <cell r="N511">
            <v>0.23104685370812159</v>
          </cell>
          <cell r="O511">
            <v>1.4828522377868207</v>
          </cell>
          <cell r="Q511">
            <v>1.3531322294254056</v>
          </cell>
        </row>
        <row r="512">
          <cell r="H512" t="str">
            <v>PVC</v>
          </cell>
          <cell r="I512">
            <v>7875</v>
          </cell>
          <cell r="K512">
            <v>15.75</v>
          </cell>
          <cell r="L512">
            <v>0.17827700000000002</v>
          </cell>
          <cell r="M512">
            <v>0.16268131666666663</v>
          </cell>
          <cell r="N512">
            <v>0.23104685370812159</v>
          </cell>
          <cell r="O512">
            <v>0.64874785403173407</v>
          </cell>
          <cell r="Q512">
            <v>0.59199535037361484</v>
          </cell>
        </row>
      </sheetData>
      <sheetData sheetId="5" refreshError="1">
        <row r="6">
          <cell r="B6" t="str">
            <v>Calculations</v>
          </cell>
        </row>
        <row r="8">
          <cell r="B8" t="str">
            <v>Material</v>
          </cell>
          <cell r="C8" t="str">
            <v>Food Waste</v>
          </cell>
          <cell r="D8" t="str">
            <v>Total</v>
          </cell>
        </row>
        <row r="9">
          <cell r="B9" t="str">
            <v>Abbreviation</v>
          </cell>
          <cell r="C9" t="str">
            <v>FW</v>
          </cell>
        </row>
        <row r="10">
          <cell r="B10" t="str">
            <v>Incoming Mass (from WARM) (Name: _Mass)</v>
          </cell>
          <cell r="C10">
            <v>1</v>
          </cell>
          <cell r="D10">
            <v>1</v>
          </cell>
        </row>
        <row r="12">
          <cell r="B12" t="str">
            <v>Material Properties</v>
          </cell>
        </row>
        <row r="13">
          <cell r="B13" t="str">
            <v>Parameter</v>
          </cell>
          <cell r="C13" t="str">
            <v>Name</v>
          </cell>
          <cell r="D13" t="str">
            <v>Units</v>
          </cell>
          <cell r="E13" t="str">
            <v>Food waste (FW_)</v>
          </cell>
          <cell r="F13" t="str">
            <v>Source</v>
          </cell>
        </row>
        <row r="14">
          <cell r="B14" t="str">
            <v>Moisture content</v>
          </cell>
          <cell r="C14" t="str">
            <v>MC</v>
          </cell>
          <cell r="D14" t="str">
            <v>%ww</v>
          </cell>
          <cell r="E14">
            <v>72.2</v>
          </cell>
          <cell r="F14" t="str">
            <v>See Material Properties Sheet</v>
          </cell>
        </row>
        <row r="15">
          <cell r="B15" t="str">
            <v>Initial carbon content</v>
          </cell>
          <cell r="C15" t="str">
            <v>CCont</v>
          </cell>
          <cell r="D15" t="str">
            <v>%TS</v>
          </cell>
          <cell r="E15">
            <v>49.460000000000008</v>
          </cell>
          <cell r="F15" t="str">
            <v>See Material Properties Sheet</v>
          </cell>
          <cell r="O15" t="str">
            <v xml:space="preserve">Region </v>
          </cell>
          <cell r="P15">
            <v>1</v>
          </cell>
        </row>
        <row r="16">
          <cell r="B16" t="str">
            <v>Initial nitrogen content</v>
          </cell>
          <cell r="C16" t="str">
            <v>NCont</v>
          </cell>
          <cell r="D16" t="str">
            <v>%TS</v>
          </cell>
          <cell r="E16">
            <v>3.8</v>
          </cell>
        </row>
        <row r="17">
          <cell r="B17" t="str">
            <v>Initial phosphorus content</v>
          </cell>
          <cell r="C17" t="str">
            <v>PCont</v>
          </cell>
          <cell r="D17" t="str">
            <v>%TS</v>
          </cell>
          <cell r="E17">
            <v>0.51</v>
          </cell>
        </row>
        <row r="18">
          <cell r="B18" t="str">
            <v>VS content</v>
          </cell>
          <cell r="C18" t="str">
            <v>VS</v>
          </cell>
          <cell r="D18" t="str">
            <v>%TS</v>
          </cell>
          <cell r="E18">
            <v>95.6</v>
          </cell>
          <cell r="F18" t="str">
            <v>See Material Properties Sheet</v>
          </cell>
          <cell r="O18" t="str">
            <v xml:space="preserve">Avoided Utility Emission Factor for Regions including transmission and distribution losses </v>
          </cell>
          <cell r="S18" t="str">
            <v>Region</v>
          </cell>
          <cell r="T18" t="str">
            <v>kg CO2e/MMBtu</v>
          </cell>
          <cell r="U18" t="str">
            <v>kg CO2e/kWh</v>
          </cell>
        </row>
        <row r="19">
          <cell r="B19" t="str">
            <v>Methane potential</v>
          </cell>
          <cell r="C19" t="str">
            <v>L0</v>
          </cell>
          <cell r="D19" t="str">
            <v>m3/dry Mg</v>
          </cell>
          <cell r="E19">
            <v>369</v>
          </cell>
          <cell r="F19" t="str">
            <v>See Material Properties Sheet</v>
          </cell>
          <cell r="O19" t="str">
            <v>Emission Factor for non-baseload utility-generated electricity- National Average</v>
          </cell>
          <cell r="S19">
            <v>1</v>
          </cell>
          <cell r="T19">
            <v>221.04985470168521</v>
          </cell>
          <cell r="U19">
            <v>0.75422210424214997</v>
          </cell>
        </row>
        <row r="20">
          <cell r="B20" t="str">
            <v>Percent of final methane yield reached</v>
          </cell>
          <cell r="C20" t="str">
            <v>L0_Frac</v>
          </cell>
          <cell r="D20" t="str">
            <v>%</v>
          </cell>
          <cell r="E20">
            <v>90</v>
          </cell>
          <cell r="F20" t="str">
            <v>Møller, et al. (2009) used 70%</v>
          </cell>
          <cell r="O20" t="str">
            <v>Emission Factor for non-baseload utility-generated electricity- Pacific</v>
          </cell>
          <cell r="S20">
            <v>2</v>
          </cell>
          <cell r="T20">
            <v>151.23340139207281</v>
          </cell>
          <cell r="U20">
            <v>0.51600836554975249</v>
          </cell>
        </row>
        <row r="21">
          <cell r="B21" t="str">
            <v>VS destruction</v>
          </cell>
          <cell r="C21" t="str">
            <v>VS_loss</v>
          </cell>
          <cell r="D21" t="str">
            <v>%</v>
          </cell>
          <cell r="E21">
            <v>75</v>
          </cell>
          <cell r="F21" t="str">
            <v>EBMUD (2008). Used mesophilic FW value for food and grass. Used average municipal wastewater for branches and leaves.</v>
          </cell>
          <cell r="O21" t="str">
            <v>Emission Factor for non-baseload utility-generated electricity- Mountain</v>
          </cell>
          <cell r="S21">
            <v>3</v>
          </cell>
          <cell r="T21">
            <v>229.9196632451557</v>
          </cell>
          <cell r="U21">
            <v>0.78448589099247135</v>
          </cell>
        </row>
        <row r="22">
          <cell r="O22" t="str">
            <v>Emission Factor for non-baseload utility-generated electricity- West North Central</v>
          </cell>
          <cell r="S22">
            <v>4</v>
          </cell>
          <cell r="T22">
            <v>294.02591650444498</v>
          </cell>
          <cell r="U22">
            <v>1.0032164271131663</v>
          </cell>
        </row>
        <row r="23">
          <cell r="B23" t="str">
            <v>Energy Operational Parameters</v>
          </cell>
          <cell r="J23" t="str">
            <v>Constants</v>
          </cell>
          <cell r="O23" t="str">
            <v>Emission Factor for non-baseload utility-generated electricity- West South Central</v>
          </cell>
          <cell r="S23">
            <v>5</v>
          </cell>
          <cell r="T23">
            <v>192.60549851189245</v>
          </cell>
          <cell r="U23">
            <v>0.65716996092257707</v>
          </cell>
        </row>
        <row r="24">
          <cell r="B24" t="str">
            <v>Parameter</v>
          </cell>
          <cell r="C24" t="str">
            <v>Name</v>
          </cell>
          <cell r="D24" t="str">
            <v>Units</v>
          </cell>
          <cell r="E24" t="str">
            <v>Value</v>
          </cell>
          <cell r="F24" t="str">
            <v>Source</v>
          </cell>
          <cell r="I24" t="str">
            <v>Parameter</v>
          </cell>
          <cell r="J24" t="str">
            <v>Name</v>
          </cell>
          <cell r="K24" t="str">
            <v>Value</v>
          </cell>
          <cell r="L24" t="str">
            <v>Units</v>
          </cell>
          <cell r="M24" t="str">
            <v>Source</v>
          </cell>
          <cell r="O24" t="str">
            <v>Emission Factor for non-baseload utility-generated electricity- East North Central</v>
          </cell>
          <cell r="S24">
            <v>6</v>
          </cell>
          <cell r="T24">
            <v>265.22854722507896</v>
          </cell>
          <cell r="U24">
            <v>0.90495980313196933</v>
          </cell>
        </row>
        <row r="25">
          <cell r="B25" t="str">
            <v>Percent methane loss to leaks</v>
          </cell>
          <cell r="C25" t="str">
            <v>PerLeaked</v>
          </cell>
          <cell r="D25" t="str">
            <v>%</v>
          </cell>
          <cell r="E25">
            <v>2</v>
          </cell>
          <cell r="F25" t="str">
            <v>WERF, 2012; Sanscartier et al. 2012 reports (2-5%)</v>
          </cell>
          <cell r="I25" t="str">
            <v>Methane LHV</v>
          </cell>
          <cell r="J25" t="str">
            <v>CH4_LHV</v>
          </cell>
          <cell r="K25">
            <v>50</v>
          </cell>
          <cell r="L25" t="str">
            <v>MJ/kg</v>
          </cell>
          <cell r="O25" t="str">
            <v>Emission Factor for non-baseload utility-generated electricity- East South Central</v>
          </cell>
          <cell r="S25">
            <v>7</v>
          </cell>
          <cell r="T25">
            <v>237.15816559132435</v>
          </cell>
          <cell r="U25">
            <v>0.80918366099759864</v>
          </cell>
        </row>
        <row r="26">
          <cell r="B26" t="str">
            <v>Electricity generation downtime (gas flared)</v>
          </cell>
          <cell r="C26" t="str">
            <v>PerFlared</v>
          </cell>
          <cell r="D26" t="str">
            <v>%</v>
          </cell>
          <cell r="E26">
            <v>15</v>
          </cell>
          <cell r="F26" t="str">
            <v>U.S. EPA (2013)</v>
          </cell>
          <cell r="I26" t="str">
            <v>Molecular mass of methane</v>
          </cell>
          <cell r="J26" t="str">
            <v>CH4_MW</v>
          </cell>
          <cell r="K26">
            <v>16.042000000000002</v>
          </cell>
          <cell r="L26" t="str">
            <v>g/mol</v>
          </cell>
          <cell r="O26" t="str">
            <v>Emission Factor for non-baseload utility-generated electricity- New England</v>
          </cell>
          <cell r="S26">
            <v>8</v>
          </cell>
          <cell r="T26">
            <v>156.19423495410302</v>
          </cell>
          <cell r="U26">
            <v>0.53293472966339961</v>
          </cell>
        </row>
        <row r="27">
          <cell r="B27" t="str">
            <v>Electricity generation efficiency</v>
          </cell>
          <cell r="C27" t="str">
            <v>ElecEff</v>
          </cell>
          <cell r="D27" t="str">
            <v>%</v>
          </cell>
          <cell r="E27">
            <v>29</v>
          </cell>
          <cell r="F27" t="str">
            <v>U.S. EPA (2013)</v>
          </cell>
          <cell r="I27" t="str">
            <v>Molar volume (@STP)</v>
          </cell>
          <cell r="J27" t="str">
            <v>Mol_Vol</v>
          </cell>
          <cell r="K27">
            <v>22.41</v>
          </cell>
          <cell r="L27" t="str">
            <v>L/mol</v>
          </cell>
          <cell r="O27" t="str">
            <v>Emission Factor for non-baseload utility-generated electricity- Mid Atlantic</v>
          </cell>
          <cell r="S27">
            <v>9</v>
          </cell>
          <cell r="T27">
            <v>202.77902003988859</v>
          </cell>
          <cell r="U27">
            <v>0.69188201637609992</v>
          </cell>
        </row>
        <row r="28">
          <cell r="B28" t="str">
            <v>House electricity demand</v>
          </cell>
          <cell r="C28" t="str">
            <v>PretElec</v>
          </cell>
          <cell r="D28" t="str">
            <v>kWh/Mg-in</v>
          </cell>
          <cell r="E28">
            <v>50</v>
          </cell>
          <cell r="F28" t="str">
            <v>Boldrin et al. 2011 (48.9 kWh/Mg); Møller, et al. 2009 report ranges of 20-50 kWh/Mg; Sanscartier et al. 2012 report 47-67 for Dufferin facility</v>
          </cell>
          <cell r="I28" t="str">
            <v>Density of methane</v>
          </cell>
          <cell r="J28" t="str">
            <v>CH4_Dens</v>
          </cell>
          <cell r="K28">
            <v>0.71584114234716656</v>
          </cell>
          <cell r="L28" t="str">
            <v>kg/m3</v>
          </cell>
          <cell r="O28" t="str">
            <v>Emission Factor for non-baseload utility-generated electricity- South Atlantic</v>
          </cell>
          <cell r="S28">
            <v>10</v>
          </cell>
          <cell r="T28">
            <v>231.04685370812157</v>
          </cell>
          <cell r="U28">
            <v>0.78833186485211082</v>
          </cell>
        </row>
        <row r="29">
          <cell r="B29" t="str">
            <v>House diesel fuel use</v>
          </cell>
          <cell r="C29" t="str">
            <v>House_Dsl</v>
          </cell>
          <cell r="D29" t="str">
            <v>L/Mg</v>
          </cell>
          <cell r="E29">
            <v>1</v>
          </cell>
          <cell r="F29" t="str">
            <v>Boldrin et al. 2011 (0.9 L/Mg); Møller et al. 2009 report 1.6 L/Mg; Sanscartier et al. 2012 report 0.3 L Mg for Dufferin facility; WERF, 2012 (6.5 L/Mg). Lower values seem more likely.</v>
          </cell>
          <cell r="I29" t="str">
            <v>MJs per kWh</v>
          </cell>
          <cell r="J29" t="str">
            <v>MJsPerkWh</v>
          </cell>
          <cell r="K29">
            <v>3.6</v>
          </cell>
          <cell r="L29" t="str">
            <v>MJ/kWh</v>
          </cell>
        </row>
        <row r="30">
          <cell r="B30" t="str">
            <v>CHP heat exchanger efficiency</v>
          </cell>
          <cell r="C30" t="str">
            <v>HeatEx_eff</v>
          </cell>
          <cell r="D30" t="str">
            <v>%</v>
          </cell>
          <cell r="E30">
            <v>75</v>
          </cell>
          <cell r="F30" t="str">
            <v>Long, 2012</v>
          </cell>
          <cell r="I30" t="str">
            <v>Atomic mass of carbon</v>
          </cell>
          <cell r="J30" t="str">
            <v>C_MW</v>
          </cell>
          <cell r="K30">
            <v>12.01</v>
          </cell>
          <cell r="L30" t="str">
            <v>g/mol</v>
          </cell>
        </row>
        <row r="31">
          <cell r="B31" t="str">
            <v>Initial temperature of waste</v>
          </cell>
          <cell r="C31" t="str">
            <v>FW_Temp</v>
          </cell>
          <cell r="D31" t="str">
            <v>oC</v>
          </cell>
          <cell r="E31">
            <v>14</v>
          </cell>
          <cell r="F31" t="str">
            <v>WERF, 2012</v>
          </cell>
          <cell r="I31" t="str">
            <v>Convert Btu to KWh</v>
          </cell>
          <cell r="K31">
            <v>3412</v>
          </cell>
          <cell r="L31" t="str">
            <v>Btu/kWh</v>
          </cell>
        </row>
        <row r="32">
          <cell r="B32" t="str">
            <v>Initial temperature of added water</v>
          </cell>
          <cell r="C32" t="str">
            <v>AddWat_Temp</v>
          </cell>
          <cell r="D32" t="str">
            <v>oC</v>
          </cell>
          <cell r="E32">
            <v>14</v>
          </cell>
          <cell r="F32" t="str">
            <v>Assumed same as FW.</v>
          </cell>
          <cell r="I32" t="str">
            <v>Unit Conversion (short ton -&gt; MT)</v>
          </cell>
          <cell r="K32">
            <v>0.90718474000000004</v>
          </cell>
          <cell r="L32" t="str">
            <v>short ton/metric ton</v>
          </cell>
        </row>
        <row r="33">
          <cell r="B33" t="str">
            <v>Final temperature in reactor</v>
          </cell>
          <cell r="C33" t="str">
            <v>Reac_Temp</v>
          </cell>
          <cell r="D33" t="str">
            <v>oC</v>
          </cell>
          <cell r="E33">
            <v>37</v>
          </cell>
          <cell r="F33" t="str">
            <v>WERF, 2012</v>
          </cell>
        </row>
        <row r="34">
          <cell r="B34" t="str">
            <v>Specific heat of  waste</v>
          </cell>
          <cell r="C34" t="str">
            <v>FW_SH</v>
          </cell>
          <cell r="D34" t="str">
            <v>MJ/Mg-K</v>
          </cell>
          <cell r="E34">
            <v>3.3</v>
          </cell>
          <cell r="F34" t="str">
            <v>Average of table of foods in Food Heat Capacities worksheet.</v>
          </cell>
        </row>
        <row r="35">
          <cell r="B35" t="str">
            <v>Specific heat of water</v>
          </cell>
          <cell r="C35" t="str">
            <v>Wat_SH</v>
          </cell>
          <cell r="D35" t="str">
            <v>MJ/Mg-K</v>
          </cell>
          <cell r="E35">
            <v>4.2</v>
          </cell>
        </row>
        <row r="36">
          <cell r="B36" t="str">
            <v>Additional heat needed for losses</v>
          </cell>
          <cell r="C36" t="str">
            <v>Addl_Heat</v>
          </cell>
          <cell r="D36" t="str">
            <v>%</v>
          </cell>
          <cell r="E36">
            <v>30</v>
          </cell>
          <cell r="F36" t="str">
            <v>WERF, 2012</v>
          </cell>
        </row>
        <row r="37">
          <cell r="B37" t="str">
            <v>Dewatering electricity use</v>
          </cell>
          <cell r="C37" t="str">
            <v>DewaterElec</v>
          </cell>
          <cell r="D37" t="str">
            <v>kWh/Mg TS</v>
          </cell>
          <cell r="E37">
            <v>75</v>
          </cell>
          <cell r="F37" t="str">
            <v>Niu, D. et al. 2013.</v>
          </cell>
        </row>
        <row r="38">
          <cell r="B38" t="str">
            <v>Percent of generated leachate that is recirculated</v>
          </cell>
          <cell r="C38" t="str">
            <v>Frac_FreshWat</v>
          </cell>
          <cell r="D38" t="str">
            <v>%</v>
          </cell>
          <cell r="E38">
            <v>80</v>
          </cell>
          <cell r="F38" t="str">
            <v>Kranert and Hillebrecht, 2000</v>
          </cell>
        </row>
        <row r="40">
          <cell r="B40" t="str">
            <v>Water Treatment Properties</v>
          </cell>
        </row>
        <row r="41">
          <cell r="B41" t="str">
            <v>Parameter</v>
          </cell>
          <cell r="C41" t="str">
            <v>Name</v>
          </cell>
          <cell r="D41" t="str">
            <v>Units</v>
          </cell>
          <cell r="E41" t="str">
            <v>Value</v>
          </cell>
          <cell r="F41" t="str">
            <v>Source</v>
          </cell>
        </row>
        <row r="42">
          <cell r="B42" t="str">
            <v>GHG intensity of freshwater</v>
          </cell>
          <cell r="C42" t="str">
            <v>freshwat_GHG_Intensity</v>
          </cell>
          <cell r="D42" t="str">
            <v>kg CO2e/Mg</v>
          </cell>
          <cell r="E42">
            <v>0.37983</v>
          </cell>
          <cell r="F42" t="str">
            <v>ecoinvent v3.1 - market for tap water, CA-QC</v>
          </cell>
        </row>
        <row r="43">
          <cell r="B43" t="str">
            <v>GHG intensity of leachate treatment</v>
          </cell>
          <cell r="C43" t="str">
            <v>leach_GHG_Intensity</v>
          </cell>
          <cell r="D43" t="str">
            <v>kg CO2e/Mg</v>
          </cell>
          <cell r="E43">
            <v>27.157</v>
          </cell>
          <cell r="F43" t="str">
            <v>ecoinvent v3.1 - treatment of wastewater from anaerobic digestion of whey, capacity 1E9l/year, RoW,</v>
          </cell>
        </row>
        <row r="45">
          <cell r="B45" t="str">
            <v>Digestate Properties</v>
          </cell>
        </row>
        <row r="46">
          <cell r="B46" t="str">
            <v>Parameter</v>
          </cell>
          <cell r="C46" t="str">
            <v>Name</v>
          </cell>
          <cell r="D46" t="str">
            <v>Units</v>
          </cell>
          <cell r="E46" t="str">
            <v>Value</v>
          </cell>
          <cell r="F46" t="str">
            <v>Source</v>
          </cell>
          <cell r="I46" t="str">
            <v>Emission Factors (combustion and pre-combustion)</v>
          </cell>
        </row>
        <row r="47">
          <cell r="B47" t="str">
            <v>Moisture content in reactor</v>
          </cell>
          <cell r="C47" t="str">
            <v>MC_Digest</v>
          </cell>
          <cell r="D47" t="str">
            <v>%ww</v>
          </cell>
          <cell r="E47">
            <v>95</v>
          </cell>
          <cell r="F47" t="str">
            <v>Hansen et al. (2006)</v>
          </cell>
          <cell r="I47" t="str">
            <v>Parameter</v>
          </cell>
          <cell r="J47" t="str">
            <v>Name</v>
          </cell>
          <cell r="K47" t="str">
            <v>Value</v>
          </cell>
          <cell r="L47" t="str">
            <v>Units</v>
          </cell>
          <cell r="M47" t="str">
            <v>Source</v>
          </cell>
        </row>
        <row r="48">
          <cell r="B48" t="str">
            <v>Moisture content after dewatering</v>
          </cell>
          <cell r="C48" t="str">
            <v>MC_Dewater</v>
          </cell>
          <cell r="D48" t="str">
            <v>%ww</v>
          </cell>
          <cell r="E48">
            <v>76</v>
          </cell>
          <cell r="F48" t="str">
            <v>Metcalf and Eddy (2003)</v>
          </cell>
        </row>
        <row r="49">
          <cell r="B49" t="str">
            <v>Percent dry mass Nitrogen loss during AD</v>
          </cell>
          <cell r="C49" t="str">
            <v>Nloss_AD</v>
          </cell>
          <cell r="D49" t="str">
            <v>%TS</v>
          </cell>
          <cell r="E49">
            <v>8</v>
          </cell>
          <cell r="F49" t="str">
            <v>Developed from Hansen et al. (2006) based on initial N content.</v>
          </cell>
        </row>
        <row r="50">
          <cell r="B50" t="str">
            <v>Percent dry mass Phosphorus loss during AD</v>
          </cell>
          <cell r="C50" t="str">
            <v>Ploss_AD</v>
          </cell>
          <cell r="D50" t="str">
            <v>%TS</v>
          </cell>
          <cell r="E50">
            <v>0</v>
          </cell>
          <cell r="F50" t="str">
            <v>Assumed</v>
          </cell>
        </row>
        <row r="51">
          <cell r="I51" t="str">
            <v>Electricity</v>
          </cell>
          <cell r="J51" t="str">
            <v>elec_GHG_Intensity</v>
          </cell>
          <cell r="K51">
            <v>0.75422210424214997</v>
          </cell>
          <cell r="L51" t="str">
            <v>kg CO2e/kWh</v>
          </cell>
          <cell r="M51" t="str">
            <v>Calculated from WARM documentation</v>
          </cell>
        </row>
        <row r="52">
          <cell r="I52" t="str">
            <v>Diesel use in equipment</v>
          </cell>
          <cell r="J52" t="str">
            <v>Dsl_GHG_Intensity</v>
          </cell>
          <cell r="K52">
            <v>3.1083819543317071</v>
          </cell>
          <cell r="L52" t="str">
            <v>kg CO2e/L</v>
          </cell>
          <cell r="M52" t="str">
            <v>Calculated from WARM documentation</v>
          </cell>
        </row>
        <row r="55">
          <cell r="B55" t="str">
            <v xml:space="preserve">Waste Directly Applied </v>
          </cell>
          <cell r="H55" t="str">
            <v>Waste Cured</v>
          </cell>
        </row>
        <row r="56">
          <cell r="B56" t="str">
            <v>Digestate Curing Parameters</v>
          </cell>
          <cell r="H56" t="str">
            <v>Digestate Curing Parameters</v>
          </cell>
        </row>
        <row r="57">
          <cell r="B57" t="str">
            <v>Parameter</v>
          </cell>
          <cell r="C57" t="str">
            <v>Names</v>
          </cell>
          <cell r="D57" t="str">
            <v>Units</v>
          </cell>
          <cell r="E57" t="str">
            <v>Value</v>
          </cell>
          <cell r="F57" t="str">
            <v>Source</v>
          </cell>
          <cell r="H57" t="str">
            <v>Parameter</v>
          </cell>
          <cell r="I57" t="str">
            <v>Names</v>
          </cell>
          <cell r="J57" t="str">
            <v>Units</v>
          </cell>
          <cell r="K57" t="str">
            <v>Value</v>
          </cell>
          <cell r="L57" t="str">
            <v>Source</v>
          </cell>
        </row>
        <row r="58">
          <cell r="B58" t="str">
            <v>Is digestate cured (1 - Yes; 0 - No)</v>
          </cell>
          <cell r="C58" t="str">
            <v>IsCured</v>
          </cell>
          <cell r="E58">
            <v>0</v>
          </cell>
          <cell r="H58" t="str">
            <v>Is digestate cured (1 - Yes; 0 - No)</v>
          </cell>
          <cell r="I58" t="str">
            <v>IsCured</v>
          </cell>
          <cell r="K58">
            <v>1</v>
          </cell>
        </row>
        <row r="59">
          <cell r="B59" t="str">
            <v>Curing fuel use (material movement windrow turning)</v>
          </cell>
          <cell r="C59" t="str">
            <v>WindTurn_Fuel</v>
          </cell>
          <cell r="D59" t="str">
            <v>L/Mg</v>
          </cell>
          <cell r="E59">
            <v>1</v>
          </cell>
          <cell r="F59" t="str">
            <v>Boldrin et al. (2009) Assumed 1/3 of 3L used for curing.</v>
          </cell>
          <cell r="H59" t="str">
            <v>Curing fuel use (material movement windrow turning)</v>
          </cell>
          <cell r="I59" t="str">
            <v>WindTurn_Fuel</v>
          </cell>
          <cell r="J59" t="str">
            <v>L/Mg</v>
          </cell>
          <cell r="K59">
            <v>1</v>
          </cell>
          <cell r="L59" t="str">
            <v>Boldrin et al. (2009) Assumed 1/3 of 3L used for curing.</v>
          </cell>
        </row>
        <row r="60">
          <cell r="B60" t="str">
            <v>Nitrogen loss during curing</v>
          </cell>
          <cell r="C60" t="str">
            <v>Cure_Nloss</v>
          </cell>
          <cell r="D60" t="str">
            <v>%</v>
          </cell>
          <cell r="E60">
            <v>38.5</v>
          </cell>
          <cell r="F60" t="str">
            <v>Average from Beck-Friis et al. (2000)</v>
          </cell>
          <cell r="H60" t="str">
            <v>Nitrogen loss during curing</v>
          </cell>
          <cell r="I60" t="str">
            <v>Cure_Nloss</v>
          </cell>
          <cell r="J60" t="str">
            <v>%</v>
          </cell>
          <cell r="K60">
            <v>38.5</v>
          </cell>
          <cell r="L60" t="str">
            <v>Average from Beck-Friis et al. (2000)</v>
          </cell>
        </row>
        <row r="61">
          <cell r="B61" t="str">
            <v>Carbon loss during curing</v>
          </cell>
          <cell r="C61" t="str">
            <v>Cure_Closs</v>
          </cell>
          <cell r="D61" t="str">
            <v>%</v>
          </cell>
          <cell r="E61">
            <v>58</v>
          </cell>
          <cell r="F61" t="str">
            <v>Average for open biowaste systems from Boldrin et al. (2009)</v>
          </cell>
          <cell r="H61" t="str">
            <v>Carbon loss during curing</v>
          </cell>
          <cell r="I61" t="str">
            <v>Cure_Closs</v>
          </cell>
          <cell r="J61" t="str">
            <v>%</v>
          </cell>
          <cell r="K61">
            <v>58</v>
          </cell>
          <cell r="L61" t="str">
            <v>Average for open biowaste systems from Boldrin et al. (2009)</v>
          </cell>
        </row>
        <row r="62">
          <cell r="B62" t="str">
            <v>Percent N loss as N2O</v>
          </cell>
          <cell r="C62" t="str">
            <v>Cure_PerN2O</v>
          </cell>
          <cell r="D62" t="str">
            <v>%</v>
          </cell>
          <cell r="E62">
            <v>1</v>
          </cell>
          <cell r="F62" t="str">
            <v>Average for open biowaste systems from Boldrin et al. (2009)</v>
          </cell>
          <cell r="H62" t="str">
            <v>Percent N loss as N2O</v>
          </cell>
          <cell r="I62" t="str">
            <v>Cure_PerN2O</v>
          </cell>
          <cell r="J62" t="str">
            <v>%</v>
          </cell>
          <cell r="K62">
            <v>1</v>
          </cell>
          <cell r="L62" t="str">
            <v>Average for open biowaste systems from Boldrin et al. (2009)</v>
          </cell>
        </row>
        <row r="63">
          <cell r="B63" t="str">
            <v>Percent C loss as CH4</v>
          </cell>
          <cell r="C63" t="str">
            <v>Cure_PerCH4</v>
          </cell>
          <cell r="D63" t="str">
            <v>%</v>
          </cell>
          <cell r="E63">
            <v>1.3</v>
          </cell>
          <cell r="F63" t="str">
            <v>Average for open biowaste systems from Boldrin et al. (2009)</v>
          </cell>
          <cell r="H63" t="str">
            <v>Percent C loss as CH4</v>
          </cell>
          <cell r="I63" t="str">
            <v>Cure_PerCH4</v>
          </cell>
          <cell r="J63" t="str">
            <v>%</v>
          </cell>
          <cell r="K63">
            <v>1.3</v>
          </cell>
          <cell r="L63" t="str">
            <v>Average for open biowaste systems from Boldrin et al. (2009)</v>
          </cell>
        </row>
        <row r="64">
          <cell r="B64" t="str">
            <v>Screen electricity use</v>
          </cell>
          <cell r="C64" t="str">
            <v>PostScreen_Elec</v>
          </cell>
          <cell r="D64" t="str">
            <v>kWh/Mg</v>
          </cell>
          <cell r="E64">
            <v>0.88200000000000001</v>
          </cell>
          <cell r="F64" t="str">
            <v>Komilis and Ham (2004)</v>
          </cell>
          <cell r="H64" t="str">
            <v>Screen electricity use</v>
          </cell>
          <cell r="I64" t="str">
            <v>PostScreen_Elec</v>
          </cell>
          <cell r="J64" t="str">
            <v>kWh/Mg</v>
          </cell>
          <cell r="K64">
            <v>0.88200000000000001</v>
          </cell>
          <cell r="L64" t="str">
            <v>Komilis and Ham (2004)</v>
          </cell>
        </row>
        <row r="65">
          <cell r="B65" t="str">
            <v>Mass VS loss per mol C loss</v>
          </cell>
          <cell r="C65" t="str">
            <v>Cure_VSLossPerC</v>
          </cell>
          <cell r="D65" t="str">
            <v>g/mol C loss</v>
          </cell>
          <cell r="E65">
            <v>12</v>
          </cell>
          <cell r="F65" t="str">
            <v>Haug (1993)</v>
          </cell>
          <cell r="H65" t="str">
            <v>Mass VS loss per mol C loss</v>
          </cell>
          <cell r="I65" t="str">
            <v>Cure_VSLossPerC</v>
          </cell>
          <cell r="J65" t="str">
            <v>g/mol C loss</v>
          </cell>
          <cell r="K65">
            <v>12</v>
          </cell>
          <cell r="L65" t="str">
            <v>Haug (1993)</v>
          </cell>
        </row>
        <row r="66">
          <cell r="B66" t="str">
            <v>Finished compost moisture content</v>
          </cell>
          <cell r="C66" t="str">
            <v>FC_MC</v>
          </cell>
          <cell r="D66" t="str">
            <v>%</v>
          </cell>
          <cell r="E66">
            <v>40</v>
          </cell>
          <cell r="H66" t="str">
            <v>Finished compost moisture content</v>
          </cell>
          <cell r="I66" t="str">
            <v>FC_MC</v>
          </cell>
          <cell r="J66" t="str">
            <v>%</v>
          </cell>
          <cell r="K66">
            <v>40</v>
          </cell>
        </row>
        <row r="68">
          <cell r="B68" t="str">
            <v>Use on Land Parameters</v>
          </cell>
          <cell r="H68" t="str">
            <v>Use on Land Parameters</v>
          </cell>
        </row>
        <row r="69">
          <cell r="B69" t="str">
            <v>Parameter</v>
          </cell>
          <cell r="C69" t="str">
            <v>Name</v>
          </cell>
          <cell r="D69" t="str">
            <v>Units</v>
          </cell>
          <cell r="E69" t="str">
            <v>Value</v>
          </cell>
          <cell r="F69" t="str">
            <v>Source</v>
          </cell>
          <cell r="H69" t="str">
            <v>Parameter</v>
          </cell>
          <cell r="I69" t="str">
            <v>Name</v>
          </cell>
          <cell r="J69" t="str">
            <v>Units</v>
          </cell>
          <cell r="K69" t="str">
            <v>Value</v>
          </cell>
          <cell r="L69" t="str">
            <v>Source</v>
          </cell>
        </row>
        <row r="70">
          <cell r="B70" t="str">
            <v>Diesel use to transport digestate</v>
          </cell>
          <cell r="C70" t="str">
            <v>dsl_dig_trans</v>
          </cell>
          <cell r="D70" t="str">
            <v>L/Mg</v>
          </cell>
          <cell r="E70">
            <v>0.21</v>
          </cell>
          <cell r="F70" t="str">
            <v>Berglund &amp; Börjesson (2006)</v>
          </cell>
          <cell r="H70" t="str">
            <v>Diesel use to transport digestate</v>
          </cell>
          <cell r="I70" t="str">
            <v>dsl_dig_trans</v>
          </cell>
          <cell r="J70" t="str">
            <v>L/Mg</v>
          </cell>
          <cell r="K70">
            <v>0.21</v>
          </cell>
          <cell r="L70" t="str">
            <v>Berglund &amp; Börjesson (2006)</v>
          </cell>
        </row>
        <row r="71">
          <cell r="B71" t="str">
            <v>Diesel use to spread digestate</v>
          </cell>
          <cell r="C71" t="str">
            <v>dsl_dig_sprd</v>
          </cell>
          <cell r="D71" t="str">
            <v>L/Mg</v>
          </cell>
          <cell r="E71">
            <v>0.47</v>
          </cell>
          <cell r="F71" t="str">
            <v>Berglund &amp; Börjesson (2006); Arsova (2012)</v>
          </cell>
          <cell r="H71" t="str">
            <v>Diesel use to spread digestate</v>
          </cell>
          <cell r="I71" t="str">
            <v>dsl_dig_sprd</v>
          </cell>
          <cell r="J71" t="str">
            <v>L/Mg</v>
          </cell>
          <cell r="K71">
            <v>0.47</v>
          </cell>
          <cell r="L71" t="str">
            <v>Berglund &amp; Börjesson (2006); Arsova (2012)</v>
          </cell>
        </row>
        <row r="72">
          <cell r="B72" t="str">
            <v>Mineral Nutrient Equivalent for Nitrogen</v>
          </cell>
          <cell r="C72" t="str">
            <v>MFE_N</v>
          </cell>
          <cell r="D72" t="str">
            <v>kg N offset/kg N applied</v>
          </cell>
          <cell r="E72">
            <v>0.4</v>
          </cell>
          <cell r="F72" t="str">
            <v>Møller, et al. (2009)</v>
          </cell>
          <cell r="H72" t="str">
            <v>Mineral Nutrient Equivalent for Nitrogen</v>
          </cell>
          <cell r="I72" t="str">
            <v>MFE_N</v>
          </cell>
          <cell r="J72" t="str">
            <v>kg N offset/kg N applied</v>
          </cell>
          <cell r="K72">
            <v>0.4</v>
          </cell>
          <cell r="L72" t="str">
            <v>Møller, et al. (2009)</v>
          </cell>
        </row>
        <row r="73">
          <cell r="B73" t="str">
            <v>Mineral Nutrient Equivalent for Phosphorus</v>
          </cell>
          <cell r="C73" t="str">
            <v>MFE_P</v>
          </cell>
          <cell r="D73" t="str">
            <v>kg N offset/kg P applied</v>
          </cell>
          <cell r="E73">
            <v>1</v>
          </cell>
          <cell r="F73" t="str">
            <v>Møller, et al. (2009)</v>
          </cell>
          <cell r="H73" t="str">
            <v>Mineral Nutrient Equivalent for Phosphorus</v>
          </cell>
          <cell r="I73" t="str">
            <v>MFE_P</v>
          </cell>
          <cell r="J73" t="str">
            <v>kg N offset/kg P applied</v>
          </cell>
          <cell r="K73">
            <v>1</v>
          </cell>
          <cell r="L73" t="str">
            <v>Møller, et al. (2009)</v>
          </cell>
        </row>
        <row r="74">
          <cell r="B74" t="str">
            <v>Percent N applied as digestate that is loss as N2O</v>
          </cell>
          <cell r="C74" t="str">
            <v>N_N2O</v>
          </cell>
          <cell r="D74" t="str">
            <v>%</v>
          </cell>
          <cell r="E74">
            <v>1.5</v>
          </cell>
          <cell r="F74" t="str">
            <v>Hansen et al. (2006)</v>
          </cell>
          <cell r="H74" t="str">
            <v>Percent N applied as digestate that is loss as N2O</v>
          </cell>
          <cell r="I74" t="str">
            <v>N_N2O</v>
          </cell>
          <cell r="J74" t="str">
            <v>%</v>
          </cell>
          <cell r="K74">
            <v>1.5</v>
          </cell>
          <cell r="L74" t="str">
            <v>Hansen et al. (2006)</v>
          </cell>
        </row>
        <row r="75">
          <cell r="B75" t="str">
            <v>Percent N applied as fertilizer that is loss as N2O</v>
          </cell>
          <cell r="C75" t="str">
            <v>N_N2O_fert</v>
          </cell>
          <cell r="D75" t="str">
            <v>%</v>
          </cell>
          <cell r="E75">
            <v>2.2999999999999998</v>
          </cell>
          <cell r="F75" t="str">
            <v>Average reported by Brown et al. (2010)</v>
          </cell>
          <cell r="H75" t="str">
            <v>Percent N applied as fertilizer that is loss as N2O</v>
          </cell>
          <cell r="I75" t="str">
            <v>N_N2O_fert</v>
          </cell>
          <cell r="J75" t="str">
            <v>%</v>
          </cell>
          <cell r="K75">
            <v>2.2999999999999998</v>
          </cell>
          <cell r="L75" t="str">
            <v>Average reported by Brown et al. (2010)</v>
          </cell>
        </row>
        <row r="76">
          <cell r="B76" t="str">
            <v>Percent of C applied that is stored after 100 years</v>
          </cell>
          <cell r="C76" t="str">
            <v>C_Soil_Store</v>
          </cell>
          <cell r="D76" t="str">
            <v>%</v>
          </cell>
          <cell r="E76">
            <v>10</v>
          </cell>
          <cell r="F76" t="str">
            <v>Bruun et al. (2006)</v>
          </cell>
          <cell r="H76" t="str">
            <v>Percent of C applied that is stored after 100 years</v>
          </cell>
          <cell r="I76" t="str">
            <v>C_Soil_Store</v>
          </cell>
          <cell r="J76" t="str">
            <v>%</v>
          </cell>
          <cell r="K76">
            <v>10</v>
          </cell>
          <cell r="L76" t="str">
            <v>Bruun et al. (2006)</v>
          </cell>
        </row>
        <row r="77">
          <cell r="B77" t="str">
            <v>Additional C storage due to humus formation</v>
          </cell>
          <cell r="C77" t="str">
            <v>C_Hum_Store</v>
          </cell>
          <cell r="D77" t="str">
            <v>kg C stored/kg C applied</v>
          </cell>
          <cell r="E77">
            <v>0.51</v>
          </cell>
          <cell r="F77" t="str">
            <v>Calculated from WARM Composting Documentation as shown in Humus Formation Sheet</v>
          </cell>
          <cell r="H77" t="str">
            <v>Additional C storage due to humus formation</v>
          </cell>
          <cell r="I77" t="str">
            <v>C_Hum_Store</v>
          </cell>
          <cell r="J77" t="str">
            <v>kg C stored/kg C applied</v>
          </cell>
          <cell r="K77">
            <v>0.51</v>
          </cell>
          <cell r="L77" t="str">
            <v>Calculated from WARM Composting Documentation as shown in Humus Formation Sheet</v>
          </cell>
        </row>
        <row r="78">
          <cell r="B78" t="str">
            <v>GHG intensity of N fertilizer use and application</v>
          </cell>
          <cell r="C78" t="str">
            <v>NFert_GHG</v>
          </cell>
          <cell r="D78" t="str">
            <v xml:space="preserve">kg CO2e/kg N </v>
          </cell>
          <cell r="E78">
            <v>8.9</v>
          </cell>
          <cell r="F78" t="str">
            <v>Boldrin et al. (2009)</v>
          </cell>
          <cell r="H78" t="str">
            <v>GHG intensity of N fertilizer use and application</v>
          </cell>
          <cell r="I78" t="str">
            <v>NFert_GHG</v>
          </cell>
          <cell r="J78" t="str">
            <v xml:space="preserve">kg CO2e/kg N </v>
          </cell>
          <cell r="K78">
            <v>8.9</v>
          </cell>
          <cell r="L78" t="str">
            <v>Boldrin et al. (2009)</v>
          </cell>
        </row>
        <row r="79">
          <cell r="B79" t="str">
            <v>GHG intensity of P fertilizer use and application</v>
          </cell>
          <cell r="C79" t="str">
            <v>PFert_GHG</v>
          </cell>
          <cell r="D79" t="str">
            <v xml:space="preserve">kg CO2e/kg N </v>
          </cell>
          <cell r="E79">
            <v>1.8</v>
          </cell>
          <cell r="F79" t="str">
            <v>Boldrin et al. (2009)</v>
          </cell>
          <cell r="H79" t="str">
            <v>GHG intensity of P fertilizer use and application</v>
          </cell>
          <cell r="I79" t="str">
            <v>PFert_GHG</v>
          </cell>
          <cell r="J79" t="str">
            <v xml:space="preserve">kg CO2e/kg N </v>
          </cell>
          <cell r="K79">
            <v>1.8</v>
          </cell>
          <cell r="L79" t="str">
            <v>Boldrin et al. (2009)</v>
          </cell>
        </row>
        <row r="81">
          <cell r="B81" t="str">
            <v>Mass Flow Calculations</v>
          </cell>
          <cell r="H81" t="str">
            <v>Mass Flow Calculations</v>
          </cell>
        </row>
        <row r="82">
          <cell r="B82" t="str">
            <v>Parameter</v>
          </cell>
          <cell r="C82" t="str">
            <v>Name</v>
          </cell>
          <cell r="D82" t="str">
            <v>Units</v>
          </cell>
          <cell r="E82" t="str">
            <v>Food Waste</v>
          </cell>
          <cell r="F82" t="str">
            <v>Notes</v>
          </cell>
          <cell r="H82" t="str">
            <v>Parameter</v>
          </cell>
          <cell r="I82" t="str">
            <v>Name</v>
          </cell>
          <cell r="J82" t="str">
            <v>Units</v>
          </cell>
          <cell r="K82" t="str">
            <v>Food Waste</v>
          </cell>
          <cell r="L82" t="str">
            <v>Notes</v>
          </cell>
        </row>
        <row r="83">
          <cell r="B83" t="str">
            <v>Dry mass in</v>
          </cell>
          <cell r="C83" t="str">
            <v>DryMass_In</v>
          </cell>
          <cell r="D83" t="str">
            <v>Mg</v>
          </cell>
          <cell r="E83">
            <v>0.27799999999999997</v>
          </cell>
          <cell r="H83" t="str">
            <v>Dry mass in</v>
          </cell>
          <cell r="I83" t="str">
            <v>DryMass_In</v>
          </cell>
          <cell r="J83" t="str">
            <v>Mg</v>
          </cell>
          <cell r="K83">
            <v>0.27799999999999997</v>
          </cell>
        </row>
        <row r="84">
          <cell r="B84" t="str">
            <v>Mass water in feedstocks</v>
          </cell>
          <cell r="C84" t="str">
            <v>WatMass_Feed</v>
          </cell>
          <cell r="D84" t="str">
            <v>Mg</v>
          </cell>
          <cell r="E84">
            <v>0.72199999999999998</v>
          </cell>
          <cell r="H84" t="str">
            <v>Mass water in feedstocks</v>
          </cell>
          <cell r="I84" t="str">
            <v>WatMass_Feed</v>
          </cell>
          <cell r="J84" t="str">
            <v>Mg</v>
          </cell>
          <cell r="K84">
            <v>0.72199999999999998</v>
          </cell>
        </row>
        <row r="85">
          <cell r="B85" t="str">
            <v>Mass of VS in</v>
          </cell>
          <cell r="C85" t="str">
            <v>VS_In</v>
          </cell>
          <cell r="D85" t="str">
            <v>Mg</v>
          </cell>
          <cell r="E85">
            <v>0.26576799999999995</v>
          </cell>
          <cell r="H85" t="str">
            <v>Mass of VS in</v>
          </cell>
          <cell r="I85" t="str">
            <v>VS_In</v>
          </cell>
          <cell r="J85" t="str">
            <v>Mg</v>
          </cell>
          <cell r="K85">
            <v>0.26576799999999995</v>
          </cell>
        </row>
        <row r="86">
          <cell r="B86" t="str">
            <v xml:space="preserve">Dry mass of digestate generated </v>
          </cell>
          <cell r="C86" t="str">
            <v>DryMass_Digest</v>
          </cell>
          <cell r="D86" t="str">
            <v>Mg</v>
          </cell>
          <cell r="E86">
            <v>7.8674000000000022E-2</v>
          </cell>
          <cell r="H86" t="str">
            <v xml:space="preserve">Dry mass of digestate generated </v>
          </cell>
          <cell r="I86" t="str">
            <v>DryMass_Digest</v>
          </cell>
          <cell r="J86" t="str">
            <v>Mg</v>
          </cell>
          <cell r="K86">
            <v>7.8674000000000022E-2</v>
          </cell>
        </row>
        <row r="87">
          <cell r="B87" t="str">
            <v>Total mass of digestate generated</v>
          </cell>
          <cell r="C87" t="str">
            <v>TotMass_Digest</v>
          </cell>
          <cell r="D87" t="str">
            <v>Mg</v>
          </cell>
          <cell r="E87">
            <v>1.5734800000000004</v>
          </cell>
          <cell r="H87" t="str">
            <v>Total mass of digestate generated</v>
          </cell>
          <cell r="I87" t="str">
            <v>TotMass_Digest</v>
          </cell>
          <cell r="J87" t="str">
            <v>Mg</v>
          </cell>
          <cell r="K87">
            <v>1.5734800000000004</v>
          </cell>
        </row>
        <row r="88">
          <cell r="B88" t="str">
            <v>Mass of water in generated digestate</v>
          </cell>
          <cell r="C88" t="str">
            <v>WatMass_Digest</v>
          </cell>
          <cell r="D88" t="str">
            <v>Mg</v>
          </cell>
          <cell r="E88">
            <v>1.4948060000000005</v>
          </cell>
          <cell r="H88" t="str">
            <v>Mass of water in generated digestate</v>
          </cell>
          <cell r="I88" t="str">
            <v>WatMass_Digest</v>
          </cell>
          <cell r="J88" t="str">
            <v>Mg</v>
          </cell>
          <cell r="K88">
            <v>1.4948060000000005</v>
          </cell>
        </row>
        <row r="89">
          <cell r="B89" t="str">
            <v>Mass of required additional water</v>
          </cell>
          <cell r="C89" t="str">
            <v>Add_Wat</v>
          </cell>
          <cell r="D89" t="str">
            <v>Mg</v>
          </cell>
          <cell r="E89">
            <v>0.77280600000000055</v>
          </cell>
          <cell r="H89" t="str">
            <v>Mass of required additional water</v>
          </cell>
          <cell r="I89" t="str">
            <v>Add_Wat</v>
          </cell>
          <cell r="J89" t="str">
            <v>Mg</v>
          </cell>
          <cell r="K89">
            <v>0.77280600000000055</v>
          </cell>
        </row>
        <row r="90">
          <cell r="B90" t="str">
            <v>Mass of freshwater required</v>
          </cell>
          <cell r="C90" t="str">
            <v>Mass_FreshWat</v>
          </cell>
          <cell r="D90" t="str">
            <v>Mg</v>
          </cell>
          <cell r="E90">
            <v>0.51055933333333381</v>
          </cell>
          <cell r="H90" t="str">
            <v>Mass of freshwater required</v>
          </cell>
          <cell r="I90" t="str">
            <v>Mass_FreshWat</v>
          </cell>
          <cell r="J90" t="str">
            <v>Mg</v>
          </cell>
          <cell r="K90">
            <v>0.51055933333333381</v>
          </cell>
        </row>
        <row r="91">
          <cell r="B91" t="str">
            <v>Total mass of digestate exiting dewatering</v>
          </cell>
          <cell r="C91" t="str">
            <v>Mass_Dewater</v>
          </cell>
          <cell r="D91" t="str">
            <v>Mg</v>
          </cell>
          <cell r="E91">
            <v>0.32780833333333342</v>
          </cell>
          <cell r="H91" t="str">
            <v>Total mass of digestate exiting dewatering</v>
          </cell>
          <cell r="I91" t="str">
            <v>Mass_Dewater</v>
          </cell>
          <cell r="J91" t="str">
            <v>Mg</v>
          </cell>
          <cell r="K91">
            <v>0.32780833333333342</v>
          </cell>
        </row>
        <row r="92">
          <cell r="B92" t="str">
            <v>Mass of water removed during dewatering</v>
          </cell>
          <cell r="C92" t="str">
            <v>Mass_Water_Removed</v>
          </cell>
          <cell r="D92" t="str">
            <v>Mg</v>
          </cell>
          <cell r="E92">
            <v>1.245671666666667</v>
          </cell>
          <cell r="H92" t="str">
            <v>Mass of water removed during dewatering</v>
          </cell>
          <cell r="I92" t="str">
            <v>Mass_Water_Removed</v>
          </cell>
          <cell r="J92" t="str">
            <v>Mg</v>
          </cell>
          <cell r="K92">
            <v>1.245671666666667</v>
          </cell>
        </row>
        <row r="93">
          <cell r="B93" t="str">
            <v>Mass of Nitrogen in digestate</v>
          </cell>
          <cell r="C93" t="str">
            <v>Mass_N_Digest</v>
          </cell>
          <cell r="D93" t="str">
            <v>kg N</v>
          </cell>
          <cell r="E93">
            <v>9.7188799999999986</v>
          </cell>
          <cell r="H93" t="str">
            <v>Mass of Nitrogen in digestate</v>
          </cell>
          <cell r="I93" t="str">
            <v>Mass_N_Digest</v>
          </cell>
          <cell r="J93" t="str">
            <v>kg N</v>
          </cell>
          <cell r="K93">
            <v>9.7188799999999986</v>
          </cell>
        </row>
        <row r="94">
          <cell r="B94" t="str">
            <v>Mass of Phosphorus in digestate</v>
          </cell>
          <cell r="C94" t="str">
            <v>Mass_P_Digest</v>
          </cell>
          <cell r="D94" t="str">
            <v>kg P</v>
          </cell>
          <cell r="E94">
            <v>1.4177999999999999</v>
          </cell>
          <cell r="H94" t="str">
            <v>Mass of Phosphorus in digestate</v>
          </cell>
          <cell r="I94" t="str">
            <v>Mass_P_Digest</v>
          </cell>
          <cell r="J94" t="str">
            <v>kg P</v>
          </cell>
          <cell r="K94">
            <v>1.4177999999999999</v>
          </cell>
        </row>
        <row r="95">
          <cell r="B95" t="str">
            <v>Mass of carbon emitted</v>
          </cell>
          <cell r="C95" t="str">
            <v>Mass_C_Emitted</v>
          </cell>
          <cell r="D95" t="str">
            <v>kg C</v>
          </cell>
          <cell r="E95">
            <v>98.956612048192753</v>
          </cell>
          <cell r="H95" t="str">
            <v>Mass of carbon emitted</v>
          </cell>
          <cell r="I95" t="str">
            <v>Mass_C_Emitted</v>
          </cell>
          <cell r="J95" t="str">
            <v>kg C</v>
          </cell>
          <cell r="K95">
            <v>98.956612048192753</v>
          </cell>
        </row>
        <row r="96">
          <cell r="B96" t="str">
            <v>Mass of Carbon in digestate</v>
          </cell>
          <cell r="C96" t="str">
            <v>Mass_C_Digest</v>
          </cell>
          <cell r="D96" t="str">
            <v>kg C</v>
          </cell>
          <cell r="E96">
            <v>38.542187951807236</v>
          </cell>
          <cell r="H96" t="str">
            <v>Mass of Carbon in digestate</v>
          </cell>
          <cell r="I96" t="str">
            <v>Mass_C_Digest</v>
          </cell>
          <cell r="J96" t="str">
            <v>kg C</v>
          </cell>
          <cell r="K96">
            <v>38.542187951807236</v>
          </cell>
        </row>
        <row r="97">
          <cell r="B97" t="str">
            <v>Mass of N loss during curing</v>
          </cell>
          <cell r="C97" t="str">
            <v>Mass_N_Cureloss</v>
          </cell>
          <cell r="D97" t="str">
            <v>kg N</v>
          </cell>
          <cell r="E97">
            <v>0</v>
          </cell>
          <cell r="H97" t="str">
            <v>Mass of N loss during curing</v>
          </cell>
          <cell r="I97" t="str">
            <v>Mass_N_Cureloss</v>
          </cell>
          <cell r="J97" t="str">
            <v>kg N</v>
          </cell>
          <cell r="K97">
            <v>3.7417687999999996</v>
          </cell>
        </row>
        <row r="98">
          <cell r="B98" t="str">
            <v>Mass of Carbon loss during curing</v>
          </cell>
          <cell r="C98" t="str">
            <v>Mass_C_CureLoss</v>
          </cell>
          <cell r="D98" t="str">
            <v>kg C</v>
          </cell>
          <cell r="E98">
            <v>0</v>
          </cell>
          <cell r="H98" t="str">
            <v>Mass of Carbon loss during curing</v>
          </cell>
          <cell r="I98" t="str">
            <v>Mass_C_CureLoss</v>
          </cell>
          <cell r="J98" t="str">
            <v>kg C</v>
          </cell>
          <cell r="K98">
            <v>22.354469012048195</v>
          </cell>
        </row>
        <row r="99">
          <cell r="B99" t="str">
            <v>Moles of Carbon loss during curing</v>
          </cell>
          <cell r="C99" t="str">
            <v>Mole_C_CureLoss</v>
          </cell>
          <cell r="D99" t="str">
            <v>mol C</v>
          </cell>
          <cell r="E99">
            <v>0</v>
          </cell>
          <cell r="H99" t="str">
            <v>Moles of Carbon loss during curing</v>
          </cell>
          <cell r="I99" t="str">
            <v>Mole_C_CureLoss</v>
          </cell>
          <cell r="J99" t="str">
            <v>mol C</v>
          </cell>
          <cell r="K99">
            <v>1861.3213165735385</v>
          </cell>
        </row>
        <row r="100">
          <cell r="B100" t="str">
            <v>Mass of solids lost during curing</v>
          </cell>
          <cell r="C100" t="str">
            <v>Mass_CurSolLoss</v>
          </cell>
          <cell r="D100" t="str">
            <v>Mg</v>
          </cell>
          <cell r="E100">
            <v>0</v>
          </cell>
          <cell r="H100" t="str">
            <v>Mass of solids lost during curing</v>
          </cell>
          <cell r="I100" t="str">
            <v>Mass_CurSolLoss</v>
          </cell>
          <cell r="J100" t="str">
            <v>Mg</v>
          </cell>
          <cell r="K100">
            <v>2.2335855798882462E-2</v>
          </cell>
        </row>
        <row r="101">
          <cell r="B101" t="str">
            <v>Dry mass of finished compost</v>
          </cell>
          <cell r="C101" t="str">
            <v>DryMass_Compost</v>
          </cell>
          <cell r="D101" t="str">
            <v>Mg</v>
          </cell>
          <cell r="E101">
            <v>0</v>
          </cell>
          <cell r="H101" t="str">
            <v>Dry mass of finished compost</v>
          </cell>
          <cell r="I101" t="str">
            <v>DryMass_Compost</v>
          </cell>
          <cell r="J101" t="str">
            <v>Mg</v>
          </cell>
          <cell r="K101">
            <v>5.633814420111756E-2</v>
          </cell>
        </row>
        <row r="102">
          <cell r="B102" t="str">
            <v>Mass of N in finished compost</v>
          </cell>
          <cell r="C102" t="str">
            <v>Mass_N_Compost</v>
          </cell>
          <cell r="D102" t="str">
            <v>kg N</v>
          </cell>
          <cell r="E102">
            <v>0</v>
          </cell>
          <cell r="H102" t="str">
            <v>Mass of N in finished compost</v>
          </cell>
          <cell r="I102" t="str">
            <v>Mass_N_Compost</v>
          </cell>
          <cell r="J102" t="str">
            <v>kg N</v>
          </cell>
          <cell r="K102">
            <v>5.9771111999999995</v>
          </cell>
        </row>
        <row r="103">
          <cell r="B103" t="str">
            <v>Mass of C in finished compost</v>
          </cell>
          <cell r="C103" t="str">
            <v>Mass_C_Compost</v>
          </cell>
          <cell r="D103" t="str">
            <v>kg C</v>
          </cell>
          <cell r="E103">
            <v>0</v>
          </cell>
          <cell r="H103" t="str">
            <v>Mass of C in finished compost</v>
          </cell>
          <cell r="I103" t="str">
            <v>Mass_C_Compost</v>
          </cell>
          <cell r="J103" t="str">
            <v>kg C</v>
          </cell>
          <cell r="K103">
            <v>16.187718939759041</v>
          </cell>
        </row>
        <row r="104">
          <cell r="B104" t="str">
            <v>Mass of water in finished compost</v>
          </cell>
          <cell r="C104" t="str">
            <v>WatMass_Compost</v>
          </cell>
          <cell r="D104" t="str">
            <v>Mg</v>
          </cell>
          <cell r="E104">
            <v>0</v>
          </cell>
          <cell r="H104" t="str">
            <v>Mass of water in finished compost</v>
          </cell>
          <cell r="I104" t="str">
            <v>WatMass_Compost</v>
          </cell>
          <cell r="J104" t="str">
            <v>Mg</v>
          </cell>
          <cell r="K104">
            <v>3.7558762800745042E-2</v>
          </cell>
        </row>
        <row r="105">
          <cell r="B105" t="str">
            <v>Total mass of finished compost</v>
          </cell>
          <cell r="C105" t="str">
            <v>Mass_Compost</v>
          </cell>
          <cell r="D105" t="str">
            <v>Mg</v>
          </cell>
          <cell r="E105">
            <v>0</v>
          </cell>
          <cell r="H105" t="str">
            <v>Total mass of finished compost</v>
          </cell>
          <cell r="I105" t="str">
            <v>Mass_Compost</v>
          </cell>
          <cell r="J105" t="str">
            <v>Mg</v>
          </cell>
          <cell r="K105">
            <v>9.3896907001862595E-2</v>
          </cell>
        </row>
        <row r="106">
          <cell r="B106" t="str">
            <v>Mass C land applied</v>
          </cell>
          <cell r="C106" t="str">
            <v>Mass_C_Applied</v>
          </cell>
          <cell r="D106" t="str">
            <v>kg C</v>
          </cell>
          <cell r="E106">
            <v>38.542187951807236</v>
          </cell>
          <cell r="H106" t="str">
            <v>Mass C land applied</v>
          </cell>
          <cell r="I106" t="str">
            <v>Mass_C_Applied</v>
          </cell>
          <cell r="J106" t="str">
            <v>kg C</v>
          </cell>
          <cell r="K106">
            <v>16.187718939759041</v>
          </cell>
        </row>
        <row r="107">
          <cell r="B107" t="str">
            <v>Mass N land applied</v>
          </cell>
          <cell r="C107" t="str">
            <v>Mass_N_Applied</v>
          </cell>
          <cell r="D107" t="str">
            <v>kg N</v>
          </cell>
          <cell r="E107">
            <v>9.7188799999999986</v>
          </cell>
          <cell r="H107" t="str">
            <v>Mass N land applied</v>
          </cell>
          <cell r="I107" t="str">
            <v>Mass_N_Applied</v>
          </cell>
          <cell r="J107" t="str">
            <v>kg N</v>
          </cell>
          <cell r="K107">
            <v>5.9771111999999995</v>
          </cell>
        </row>
        <row r="108">
          <cell r="B108" t="str">
            <v>Mass P land applied</v>
          </cell>
          <cell r="C108" t="str">
            <v>Mass_P_Applied</v>
          </cell>
          <cell r="D108" t="str">
            <v>kg P</v>
          </cell>
          <cell r="E108">
            <v>1.4177999999999999</v>
          </cell>
          <cell r="H108" t="str">
            <v>Mass P land applied</v>
          </cell>
          <cell r="I108" t="str">
            <v>Mass_P_Applied</v>
          </cell>
          <cell r="J108" t="str">
            <v>kg P</v>
          </cell>
          <cell r="K108">
            <v>1.4177999999999999</v>
          </cell>
        </row>
        <row r="110">
          <cell r="B110" t="str">
            <v>Energy Calculations</v>
          </cell>
          <cell r="H110" t="str">
            <v>Energy Calculations</v>
          </cell>
        </row>
        <row r="111">
          <cell r="B111" t="str">
            <v>Parameter</v>
          </cell>
          <cell r="C111" t="str">
            <v>Name</v>
          </cell>
          <cell r="D111" t="str">
            <v>Units</v>
          </cell>
          <cell r="E111" t="str">
            <v>Food Waste</v>
          </cell>
          <cell r="H111" t="str">
            <v>Parameter</v>
          </cell>
          <cell r="I111" t="str">
            <v>Name</v>
          </cell>
          <cell r="J111" t="str">
            <v>Units</v>
          </cell>
          <cell r="K111" t="str">
            <v>Food Waste</v>
          </cell>
        </row>
        <row r="112">
          <cell r="B112" t="str">
            <v>Energy necessary to heat waste</v>
          </cell>
          <cell r="C112" t="str">
            <v>Enrg_FW_Heat</v>
          </cell>
          <cell r="D112" t="str">
            <v>MJ/Mg</v>
          </cell>
          <cell r="E112">
            <v>75.899999999999991</v>
          </cell>
          <cell r="H112" t="str">
            <v>Energy necessary to heat waste</v>
          </cell>
          <cell r="I112" t="str">
            <v>Enrg_FW_Heat</v>
          </cell>
          <cell r="J112" t="str">
            <v>MJ/Mg</v>
          </cell>
          <cell r="K112">
            <v>75.899999999999991</v>
          </cell>
        </row>
        <row r="113">
          <cell r="B113" t="str">
            <v>Energy necessary to heat water</v>
          </cell>
          <cell r="C113" t="str">
            <v>Enrg_Wat_Heat</v>
          </cell>
          <cell r="D113" t="str">
            <v>MJ/Mg</v>
          </cell>
          <cell r="E113">
            <v>49.32003160000005</v>
          </cell>
          <cell r="H113" t="str">
            <v>Energy necessary to heat water</v>
          </cell>
          <cell r="I113" t="str">
            <v>Enrg_Wat_Heat</v>
          </cell>
          <cell r="J113" t="str">
            <v>MJ/Mg</v>
          </cell>
          <cell r="K113">
            <v>49.32003160000005</v>
          </cell>
        </row>
        <row r="114">
          <cell r="B114" t="str">
            <v>Total heat requirements</v>
          </cell>
          <cell r="C114" t="str">
            <v>Total_Heat</v>
          </cell>
          <cell r="D114" t="str">
            <v>MJ/Mg</v>
          </cell>
          <cell r="E114">
            <v>162.78604108000005</v>
          </cell>
          <cell r="H114" t="str">
            <v>Total heat requirements</v>
          </cell>
          <cell r="I114" t="str">
            <v>Total_Heat</v>
          </cell>
          <cell r="J114" t="str">
            <v>MJ/Mg</v>
          </cell>
          <cell r="K114">
            <v>162.78604108000005</v>
          </cell>
        </row>
        <row r="115">
          <cell r="B115" t="str">
            <v>Volume of methane generated</v>
          </cell>
          <cell r="C115" t="str">
            <v>CH4_VolGen</v>
          </cell>
          <cell r="D115" t="str">
            <v>m3/Mg</v>
          </cell>
          <cell r="E115">
            <v>92.323799999999991</v>
          </cell>
          <cell r="H115" t="str">
            <v>Volume of methane generated</v>
          </cell>
          <cell r="I115" t="str">
            <v>CH4_VolGen</v>
          </cell>
          <cell r="J115" t="str">
            <v>m3/Mg</v>
          </cell>
          <cell r="K115">
            <v>92.323799999999991</v>
          </cell>
        </row>
        <row r="116">
          <cell r="B116" t="str">
            <v>Mass of methane generated</v>
          </cell>
          <cell r="C116" t="str">
            <v>CH4_Gen</v>
          </cell>
          <cell r="D116" t="str">
            <v>kg/Mg</v>
          </cell>
          <cell r="E116">
            <v>66.089174457831334</v>
          </cell>
          <cell r="H116" t="str">
            <v>Mass of methane generated</v>
          </cell>
          <cell r="I116" t="str">
            <v>CH4_Gen</v>
          </cell>
          <cell r="J116" t="str">
            <v>kg/Mg</v>
          </cell>
          <cell r="K116">
            <v>66.089174457831334</v>
          </cell>
        </row>
        <row r="117">
          <cell r="B117" t="str">
            <v>Mass of methane leaked</v>
          </cell>
          <cell r="C117" t="str">
            <v>CH4_Leaked</v>
          </cell>
          <cell r="D117" t="str">
            <v>kg/Mg</v>
          </cell>
          <cell r="E117">
            <v>1.3217834891566267</v>
          </cell>
          <cell r="H117" t="str">
            <v>Mass of methane leaked</v>
          </cell>
          <cell r="I117" t="str">
            <v>CH4_Leaked</v>
          </cell>
          <cell r="J117" t="str">
            <v>kg/Mg</v>
          </cell>
          <cell r="K117">
            <v>1.3217834891566267</v>
          </cell>
        </row>
        <row r="118">
          <cell r="B118" t="str">
            <v>Mass of methane flared</v>
          </cell>
          <cell r="C118" t="str">
            <v>CH4_Flared</v>
          </cell>
          <cell r="D118" t="str">
            <v>kg/Mg</v>
          </cell>
          <cell r="E118">
            <v>9.7151086453012052</v>
          </cell>
          <cell r="H118" t="str">
            <v>Mass of methane flared</v>
          </cell>
          <cell r="I118" t="str">
            <v>CH4_Flared</v>
          </cell>
          <cell r="J118" t="str">
            <v>kg/Mg</v>
          </cell>
          <cell r="K118">
            <v>9.7151086453012052</v>
          </cell>
        </row>
        <row r="119">
          <cell r="B119" t="str">
            <v>Mass of methane combusted</v>
          </cell>
          <cell r="C119" t="str">
            <v>CH4_Combust</v>
          </cell>
          <cell r="D119" t="str">
            <v>kg/Mg</v>
          </cell>
          <cell r="E119">
            <v>55.052282323373497</v>
          </cell>
          <cell r="H119" t="str">
            <v>Mass of methane combusted</v>
          </cell>
          <cell r="I119" t="str">
            <v>CH4_Combust</v>
          </cell>
          <cell r="J119" t="str">
            <v>kg/Mg</v>
          </cell>
          <cell r="K119">
            <v>55.052282323373497</v>
          </cell>
        </row>
        <row r="120">
          <cell r="H120" t="str">
            <v>Energy from combusted methane</v>
          </cell>
          <cell r="I120" t="str">
            <v>EnergyGen</v>
          </cell>
          <cell r="J120" t="str">
            <v>MJ/Mg</v>
          </cell>
          <cell r="K120">
            <v>2752.6141161686746</v>
          </cell>
        </row>
        <row r="121">
          <cell r="H121" t="str">
            <v>Electricity generation</v>
          </cell>
          <cell r="I121" t="str">
            <v>ElecGen</v>
          </cell>
          <cell r="J121" t="str">
            <v>kWh/Mg</v>
          </cell>
          <cell r="K121">
            <v>221.73835935803211</v>
          </cell>
        </row>
        <row r="122">
          <cell r="H122" t="str">
            <v>Energy available to heat digester</v>
          </cell>
          <cell r="I122" t="str">
            <v>Digest_Heat_Avail</v>
          </cell>
          <cell r="J122" t="str">
            <v>MJ/Mg</v>
          </cell>
          <cell r="K122">
            <v>1465.7670168598193</v>
          </cell>
        </row>
        <row r="123">
          <cell r="H123" t="str">
            <v>Energy required to heat reactor</v>
          </cell>
          <cell r="I123" t="str">
            <v>Digest_Heat_Req</v>
          </cell>
          <cell r="J123" t="str">
            <v>MJ/Mg</v>
          </cell>
          <cell r="K123">
            <v>162.78604108000005</v>
          </cell>
        </row>
        <row r="125">
          <cell r="H125" t="str">
            <v>Outputs</v>
          </cell>
        </row>
        <row r="126">
          <cell r="H126" t="str">
            <v>Parameter</v>
          </cell>
          <cell r="I126" t="str">
            <v>Name</v>
          </cell>
          <cell r="J126" t="str">
            <v>Units</v>
          </cell>
          <cell r="K126" t="str">
            <v>Food Waste</v>
          </cell>
        </row>
        <row r="127">
          <cell r="H127" t="str">
            <v>Mass of freshwater</v>
          </cell>
          <cell r="I127" t="str">
            <v>Add_fresh</v>
          </cell>
          <cell r="J127" t="str">
            <v>Mg/Mg</v>
          </cell>
          <cell r="K127">
            <v>0.51055933333333381</v>
          </cell>
        </row>
        <row r="129">
          <cell r="B129" t="str">
            <v>Net electricity export to grid</v>
          </cell>
          <cell r="C129" t="str">
            <v>ElecOff</v>
          </cell>
          <cell r="D129" t="str">
            <v>kWh/Mg</v>
          </cell>
          <cell r="E129">
            <v>171.73835935803211</v>
          </cell>
          <cell r="H129" t="str">
            <v>Net electricity export to grid</v>
          </cell>
          <cell r="I129" t="str">
            <v>ElecOff</v>
          </cell>
          <cell r="J129" t="str">
            <v>kWh/Mg</v>
          </cell>
          <cell r="K129">
            <v>170.35054999803211</v>
          </cell>
        </row>
        <row r="130">
          <cell r="B130" t="str">
            <v>Leaked CH4</v>
          </cell>
          <cell r="C130" t="str">
            <v>Mass_CH4_Leak</v>
          </cell>
          <cell r="D130" t="str">
            <v>kg CH4</v>
          </cell>
          <cell r="E130">
            <v>1.3217834891566267</v>
          </cell>
          <cell r="H130" t="str">
            <v>Leaked CH4</v>
          </cell>
          <cell r="I130" t="str">
            <v>Mass_CH4_Leak</v>
          </cell>
          <cell r="J130" t="str">
            <v>kg CH4</v>
          </cell>
          <cell r="K130">
            <v>1.3217834891566267</v>
          </cell>
        </row>
        <row r="131">
          <cell r="B131" t="str">
            <v>Total diesel fuel use</v>
          </cell>
          <cell r="C131" t="str">
            <v>Dsl_tot</v>
          </cell>
          <cell r="D131" t="str">
            <v>L/Mg</v>
          </cell>
          <cell r="E131">
            <v>2.0699664000000002</v>
          </cell>
          <cell r="H131" t="str">
            <v>Total diesel fuel use</v>
          </cell>
          <cell r="I131" t="str">
            <v>Dsl_tot</v>
          </cell>
          <cell r="J131" t="str">
            <v>L/Mg</v>
          </cell>
          <cell r="K131">
            <v>2.6373298967612673</v>
          </cell>
        </row>
        <row r="132">
          <cell r="B132" t="str">
            <v>Mass of Carbon Stored after 100 years</v>
          </cell>
          <cell r="C132" t="str">
            <v>Mass_C_Stored</v>
          </cell>
          <cell r="D132" t="str">
            <v>kg C</v>
          </cell>
          <cell r="E132">
            <v>23.510734650602416</v>
          </cell>
          <cell r="H132" t="str">
            <v>Mass of Carbon Stored after 100 years</v>
          </cell>
          <cell r="I132" t="str">
            <v>Mass_C_Stored</v>
          </cell>
          <cell r="J132" t="str">
            <v>kg C</v>
          </cell>
          <cell r="K132">
            <v>9.8745085532530155</v>
          </cell>
        </row>
        <row r="133">
          <cell r="B133" t="str">
            <v>Mass CH4 emitted during curing</v>
          </cell>
          <cell r="C133" t="str">
            <v>Mass_CH4_Cure</v>
          </cell>
          <cell r="D133" t="str">
            <v>kg CH4</v>
          </cell>
          <cell r="E133">
            <v>0</v>
          </cell>
          <cell r="H133" t="str">
            <v>Mass CH4 emitted during curing</v>
          </cell>
          <cell r="I133" t="str">
            <v>Mass_CH4_Cure</v>
          </cell>
          <cell r="J133" t="str">
            <v>kg CH4</v>
          </cell>
          <cell r="K133">
            <v>0.29060809715662655</v>
          </cell>
        </row>
        <row r="134">
          <cell r="B134" t="str">
            <v>Mass of N2O emitted during curing</v>
          </cell>
          <cell r="C134" t="str">
            <v>Mass_N2O_Cure</v>
          </cell>
          <cell r="D134" t="str">
            <v>kg N2O</v>
          </cell>
          <cell r="E134">
            <v>0</v>
          </cell>
          <cell r="H134" t="str">
            <v>Mass of N2O emitted during curing</v>
          </cell>
          <cell r="I134" t="str">
            <v>Mass_N2O_Cure</v>
          </cell>
          <cell r="J134" t="str">
            <v>kg N2O</v>
          </cell>
          <cell r="K134">
            <v>0.11754121690792289</v>
          </cell>
        </row>
        <row r="135">
          <cell r="B135" t="str">
            <v>Mass of N2O emitted after land application</v>
          </cell>
          <cell r="C135" t="str">
            <v>Mass_N2O_Land</v>
          </cell>
          <cell r="D135" t="str">
            <v>kg N2O</v>
          </cell>
          <cell r="E135">
            <v>0.4579527931477515</v>
          </cell>
          <cell r="H135" t="str">
            <v>Mass of N2O emitted after land application</v>
          </cell>
          <cell r="I135" t="str">
            <v>Mass_N2O_Land</v>
          </cell>
          <cell r="J135" t="str">
            <v>kg N2O</v>
          </cell>
          <cell r="K135">
            <v>0.28164096778586722</v>
          </cell>
        </row>
        <row r="136">
          <cell r="B136" t="str">
            <v>Mass of Nitrogen fertilizer offset</v>
          </cell>
          <cell r="C136" t="str">
            <v>Mass_N_Offset</v>
          </cell>
          <cell r="D136" t="str">
            <v>kg N</v>
          </cell>
          <cell r="E136">
            <v>3.8875519999999995</v>
          </cell>
          <cell r="H136" t="str">
            <v>Mass of Nitrogen fertilizer offset</v>
          </cell>
          <cell r="I136" t="str">
            <v>Mass_N_Offset</v>
          </cell>
          <cell r="J136" t="str">
            <v>kg N</v>
          </cell>
          <cell r="K136">
            <v>2.3908444799999997</v>
          </cell>
        </row>
        <row r="137">
          <cell r="B137" t="str">
            <v>Mass N2O emitted from equivalent fertilizer</v>
          </cell>
          <cell r="C137" t="str">
            <v>Mass_N2O_Offset</v>
          </cell>
          <cell r="D137" t="str">
            <v>kg N2O</v>
          </cell>
          <cell r="E137">
            <v>0.28087771313062093</v>
          </cell>
          <cell r="H137" t="str">
            <v>Mass N2O emitted from equivalent fertilizer</v>
          </cell>
          <cell r="I137" t="str">
            <v>Mass_N2O_Offset</v>
          </cell>
          <cell r="J137" t="str">
            <v>kg N2O</v>
          </cell>
          <cell r="K137">
            <v>0.17273979357533187</v>
          </cell>
        </row>
        <row r="138">
          <cell r="B138" t="str">
            <v xml:space="preserve">Mass of Phosphorus fertilizer offset </v>
          </cell>
          <cell r="C138" t="str">
            <v>Mass_P_Offset</v>
          </cell>
          <cell r="D138" t="str">
            <v>kg P</v>
          </cell>
          <cell r="E138">
            <v>1.4177999999999999</v>
          </cell>
          <cell r="H138" t="str">
            <v xml:space="preserve">Mass of Phosphorus fertilizer offset </v>
          </cell>
          <cell r="I138" t="str">
            <v>Mass_P_Offset</v>
          </cell>
          <cell r="J138" t="str">
            <v>kg P</v>
          </cell>
          <cell r="K138">
            <v>1.4177999999999999</v>
          </cell>
        </row>
        <row r="140">
          <cell r="B140" t="str">
            <v>GHG Emission Outputs</v>
          </cell>
          <cell r="H140" t="str">
            <v>GHG Emission Outputs</v>
          </cell>
        </row>
        <row r="141">
          <cell r="B141" t="str">
            <v>Parameter</v>
          </cell>
          <cell r="C141" t="str">
            <v>Units</v>
          </cell>
          <cell r="D141" t="str">
            <v>Food Waste</v>
          </cell>
          <cell r="E141" t="str">
            <v>Units</v>
          </cell>
          <cell r="F141" t="str">
            <v>Food Waste</v>
          </cell>
          <cell r="H141" t="str">
            <v>Parameter</v>
          </cell>
          <cell r="I141" t="str">
            <v>Units</v>
          </cell>
          <cell r="J141" t="str">
            <v>Food Waste</v>
          </cell>
          <cell r="K141" t="str">
            <v>Units</v>
          </cell>
          <cell r="L141" t="str">
            <v>Food Waste</v>
          </cell>
        </row>
        <row r="142">
          <cell r="B142" t="str">
            <v>Treated freshwater</v>
          </cell>
          <cell r="C142" t="str">
            <v>kg CO2e/Mg</v>
          </cell>
          <cell r="D142">
            <v>0.19392575158000019</v>
          </cell>
          <cell r="E142" t="str">
            <v>MT CO2e/short ton</v>
          </cell>
          <cell r="F142">
            <v>1.7592648252640709E-4</v>
          </cell>
          <cell r="H142" t="str">
            <v>Treated freshwater</v>
          </cell>
          <cell r="I142" t="str">
            <v>kg CO2e/Mg</v>
          </cell>
          <cell r="J142">
            <v>0.19392575158000019</v>
          </cell>
          <cell r="K142" t="str">
            <v>MT CO2e/short ton</v>
          </cell>
          <cell r="L142">
            <v>1.7592648252640709E-4</v>
          </cell>
        </row>
        <row r="143">
          <cell r="B143" t="str">
            <v>Leachate treatment</v>
          </cell>
          <cell r="C143" t="str">
            <v>kg CO2e/Mg</v>
          </cell>
          <cell r="D143">
            <v>6.7657410903333348</v>
          </cell>
          <cell r="E143" t="str">
            <v>MT CO2e/short ton</v>
          </cell>
          <cell r="F143">
            <v>6.1377770719413631E-3</v>
          </cell>
          <cell r="H143" t="str">
            <v>Leachate treatment</v>
          </cell>
          <cell r="I143" t="str">
            <v>kg CO2e/Mg</v>
          </cell>
          <cell r="J143">
            <v>6.7657410903333348</v>
          </cell>
          <cell r="K143" t="str">
            <v>MT CO2e/short ton</v>
          </cell>
          <cell r="L143">
            <v>6.1377770719413631E-3</v>
          </cell>
        </row>
        <row r="144">
          <cell r="B144" t="str">
            <v>Net electricity export to grid</v>
          </cell>
          <cell r="C144" t="str">
            <v>kg CO2e/Mg</v>
          </cell>
          <cell r="D144">
            <v>-137.85447052481345</v>
          </cell>
          <cell r="E144" t="str">
            <v>MT CO2e/short ton</v>
          </cell>
          <cell r="F144">
            <v>-0.12505947200089057</v>
          </cell>
          <cell r="H144" t="str">
            <v>Net electricity export to grid</v>
          </cell>
          <cell r="I144" t="str">
            <v>kg CO2e/Mg</v>
          </cell>
          <cell r="J144">
            <v>-136.74047522855389</v>
          </cell>
          <cell r="K144" t="str">
            <v>MT CO2e/short ton</v>
          </cell>
          <cell r="L144">
            <v>-0.12404887246769211</v>
          </cell>
        </row>
        <row r="145">
          <cell r="B145" t="str">
            <v>Nitrogen fertilizer offset</v>
          </cell>
          <cell r="C145" t="str">
            <v>kg CO2e/Mg</v>
          </cell>
          <cell r="D145">
            <v>-34.599212799999997</v>
          </cell>
          <cell r="E145" t="str">
            <v>MT CO2e/short ton</v>
          </cell>
          <cell r="F145">
            <v>-3.1387877868172667E-2</v>
          </cell>
          <cell r="H145" t="str">
            <v>Nitrogen fertilizer offset</v>
          </cell>
          <cell r="I145" t="str">
            <v>kg CO2e/Mg</v>
          </cell>
          <cell r="J145">
            <v>-21.278515872</v>
          </cell>
          <cell r="K145" t="str">
            <v>MT CO2e/short ton</v>
          </cell>
          <cell r="L145">
            <v>-1.9303544888926195E-2</v>
          </cell>
        </row>
        <row r="146">
          <cell r="B146" t="str">
            <v>Phosphorus fertilizer offset</v>
          </cell>
          <cell r="C146" t="str">
            <v>kg CO2e/Mg</v>
          </cell>
          <cell r="D146">
            <v>-2.5520399999999999</v>
          </cell>
          <cell r="E146" t="str">
            <v>MT CO2e/short ton</v>
          </cell>
          <cell r="F146">
            <v>-2.3151717438696E-3</v>
          </cell>
          <cell r="H146" t="str">
            <v>Phosphorus fertilizer offset</v>
          </cell>
          <cell r="I146" t="str">
            <v>kg CO2e/Mg</v>
          </cell>
          <cell r="J146">
            <v>-2.5520399999999999</v>
          </cell>
          <cell r="K146" t="str">
            <v>MT CO2e/short ton</v>
          </cell>
          <cell r="L146">
            <v>-2.3151717438696E-3</v>
          </cell>
        </row>
        <row r="147">
          <cell r="B147" t="str">
            <v>Soil carbon storage</v>
          </cell>
          <cell r="C147" t="str">
            <v>kg CO2e/Mg</v>
          </cell>
          <cell r="D147">
            <v>-86.206027052208853</v>
          </cell>
          <cell r="E147" t="str">
            <v>MT CO2e/short ton</v>
          </cell>
          <cell r="F147">
            <v>-7.820479223779106E-2</v>
          </cell>
          <cell r="H147" t="str">
            <v>Soil carbon storage</v>
          </cell>
          <cell r="I147" t="str">
            <v>kg CO2e/Mg</v>
          </cell>
          <cell r="J147">
            <v>-36.206531361927723</v>
          </cell>
          <cell r="K147" t="str">
            <v>MT CO2e/short ton</v>
          </cell>
          <cell r="L147">
            <v>-3.2846012739872248E-2</v>
          </cell>
        </row>
        <row r="148">
          <cell r="B148" t="str">
            <v>Total diesel fuel use</v>
          </cell>
          <cell r="C148" t="str">
            <v>kg CO2e/Mg</v>
          </cell>
          <cell r="D148">
            <v>6.4342462038329691</v>
          </cell>
          <cell r="E148" t="str">
            <v>MT CO2e/short ton</v>
          </cell>
          <cell r="F148">
            <v>5.8370499695201989E-3</v>
          </cell>
          <cell r="H148" t="str">
            <v>Total diesel fuel use</v>
          </cell>
          <cell r="I148" t="str">
            <v>kg CO2e/Mg</v>
          </cell>
          <cell r="J148">
            <v>8.1978286587122273</v>
          </cell>
          <cell r="K148" t="str">
            <v>MT CO2e/short ton</v>
          </cell>
          <cell r="L148">
            <v>7.4369450603184017E-3</v>
          </cell>
        </row>
        <row r="149">
          <cell r="B149" t="str">
            <v>Curing GHG emissions (CH4 and N2O)</v>
          </cell>
          <cell r="C149" t="str">
            <v>kg CO2e/Mg</v>
          </cell>
          <cell r="D149">
            <v>0</v>
          </cell>
          <cell r="E149" t="str">
            <v>MT CO2e/short ton</v>
          </cell>
          <cell r="F149">
            <v>0</v>
          </cell>
          <cell r="G149">
            <v>0.90718474000000004</v>
          </cell>
          <cell r="H149" t="str">
            <v>Curing GHG emissions (CH4 and N2O)</v>
          </cell>
          <cell r="I149" t="str">
            <v>kg CO2e/Mg</v>
          </cell>
          <cell r="J149">
            <v>42.292485067476683</v>
          </cell>
          <cell r="K149" t="str">
            <v>MT CO2e/short ton</v>
          </cell>
          <cell r="L149">
            <v>3.8367097069892719E-2</v>
          </cell>
        </row>
        <row r="150">
          <cell r="B150" t="str">
            <v>Net N2O emissions after land application</v>
          </cell>
          <cell r="C150" t="str">
            <v>kg CO2e/Mg</v>
          </cell>
          <cell r="D150">
            <v>52.768373845104911</v>
          </cell>
          <cell r="E150" t="str">
            <v>MT CO2e/short ton</v>
          </cell>
          <cell r="F150">
            <v>4.7870663506894298E-2</v>
          </cell>
          <cell r="H150" t="str">
            <v>Net N2O emissions after land application</v>
          </cell>
          <cell r="I150" t="str">
            <v>kg CO2e/Mg</v>
          </cell>
          <cell r="J150">
            <v>32.452549914739535</v>
          </cell>
          <cell r="K150" t="str">
            <v>MT CO2e/short ton</v>
          </cell>
          <cell r="L150">
            <v>2.9440458056740011E-2</v>
          </cell>
        </row>
        <row r="151">
          <cell r="B151" t="str">
            <v>Transportation GHG</v>
          </cell>
          <cell r="C151" t="str">
            <v>kg CO2e/Mg</v>
          </cell>
          <cell r="D151">
            <v>3.620086438595453</v>
          </cell>
          <cell r="E151" t="str">
            <v>MT CO2e/short ton</v>
          </cell>
          <cell r="F151">
            <v>3.2840871745747425E-3</v>
          </cell>
          <cell r="H151" t="str">
            <v>Transportation GHG</v>
          </cell>
          <cell r="I151" t="str">
            <v>kg CO2e/Mg</v>
          </cell>
          <cell r="J151">
            <v>3.620086438595453</v>
          </cell>
          <cell r="K151" t="str">
            <v>MT CO2e/short ton</v>
          </cell>
          <cell r="L151">
            <v>3.2840871745747425E-3</v>
          </cell>
        </row>
        <row r="152">
          <cell r="B152" t="str">
            <v>Leaked methane</v>
          </cell>
          <cell r="C152" t="str">
            <v>kg CO2e/Mg</v>
          </cell>
          <cell r="D152">
            <v>33.044587228915667</v>
          </cell>
          <cell r="E152" t="str">
            <v>MT CO2e/short ton</v>
          </cell>
          <cell r="F152">
            <v>2.9977545273671181E-2</v>
          </cell>
          <cell r="H152" t="str">
            <v>Leaked methane</v>
          </cell>
          <cell r="I152" t="str">
            <v>kg CO2e/Mg</v>
          </cell>
          <cell r="J152">
            <v>33.044587228915667</v>
          </cell>
          <cell r="K152" t="str">
            <v>MT CO2e/short ton</v>
          </cell>
          <cell r="L152">
            <v>2.9977545273671181E-2</v>
          </cell>
        </row>
        <row r="153">
          <cell r="B153" t="str">
            <v>Total GHG Emissions</v>
          </cell>
          <cell r="C153" t="str">
            <v>kg CO2e/Mg</v>
          </cell>
          <cell r="D153">
            <v>-158.38478981865995</v>
          </cell>
          <cell r="E153" t="str">
            <v>MT CO2e/short ton</v>
          </cell>
          <cell r="F153">
            <v>-0.14368426437159568</v>
          </cell>
          <cell r="H153" t="str">
            <v>Total GHG Emissions</v>
          </cell>
          <cell r="I153" t="str">
            <v>kg CO2e/Mg</v>
          </cell>
          <cell r="J153">
            <v>-70.210358312128704</v>
          </cell>
          <cell r="K153" t="str">
            <v>MT CO2e/short ton</v>
          </cell>
          <cell r="L153">
            <v>-6.3693765650695316E-2</v>
          </cell>
        </row>
        <row r="154">
          <cell r="B154" t="str">
            <v>Energy Outputs</v>
          </cell>
          <cell r="H154" t="str">
            <v>Energy Outputs</v>
          </cell>
        </row>
        <row r="155">
          <cell r="B155" t="str">
            <v>Parameter</v>
          </cell>
          <cell r="C155" t="str">
            <v>Units</v>
          </cell>
          <cell r="D155" t="str">
            <v>Food Waste</v>
          </cell>
          <cell r="H155" t="str">
            <v>Parameter</v>
          </cell>
          <cell r="I155" t="str">
            <v>Units</v>
          </cell>
          <cell r="J155" t="str">
            <v>Food Waste</v>
          </cell>
        </row>
        <row r="156">
          <cell r="B156" t="str">
            <v>Net electricity export to grid</v>
          </cell>
          <cell r="C156" t="str">
            <v>kWh/Mg</v>
          </cell>
          <cell r="D156">
            <v>-182.7770225102737</v>
          </cell>
          <cell r="E156" t="str">
            <v>kWh/short ton</v>
          </cell>
          <cell r="F156">
            <v>-165.8125256439568</v>
          </cell>
          <cell r="H156" t="str">
            <v>Net electricity export to grid</v>
          </cell>
          <cell r="I156" t="str">
            <v>kWh/Mg</v>
          </cell>
          <cell r="J156">
            <v>-181.30001024824392</v>
          </cell>
          <cell r="K156" t="str">
            <v>kWh/short ton</v>
          </cell>
          <cell r="L156">
            <v>-164.47260265905049</v>
          </cell>
        </row>
        <row r="157">
          <cell r="B157" t="str">
            <v>Total diesel fuel use (transport to digester)</v>
          </cell>
          <cell r="C157" t="str">
            <v>L/Mg</v>
          </cell>
          <cell r="D157">
            <v>1.1168847400576087</v>
          </cell>
          <cell r="E157" t="str">
            <v>L/short ton</v>
          </cell>
          <cell r="F157">
            <v>1.0132207925191294</v>
          </cell>
          <cell r="H157" t="str">
            <v>Total diesel fuel use (transport to digester)</v>
          </cell>
          <cell r="I157" t="str">
            <v>L/Mg</v>
          </cell>
          <cell r="J157">
            <v>1.1168847400576087</v>
          </cell>
          <cell r="K157" t="str">
            <v>L/short ton</v>
          </cell>
          <cell r="L157">
            <v>1.0132207925191294</v>
          </cell>
        </row>
        <row r="158">
          <cell r="H158" t="str">
            <v>Total diesel fuel use (process)</v>
          </cell>
          <cell r="I158" t="str">
            <v>L/Mg</v>
          </cell>
          <cell r="J158">
            <v>2.6373298967612673</v>
          </cell>
          <cell r="K158" t="str">
            <v>L/short ton</v>
          </cell>
          <cell r="L158">
            <v>2.3925454366875973</v>
          </cell>
        </row>
        <row r="160">
          <cell r="H160" t="str">
            <v>Net electricity export to grid</v>
          </cell>
          <cell r="I160" t="str">
            <v>MMBtu/Mg</v>
          </cell>
          <cell r="J160">
            <v>-0.6187769349772565</v>
          </cell>
          <cell r="K160" t="str">
            <v>MMBtu/Short Ton</v>
          </cell>
          <cell r="L160">
            <v>-0.56134499287533934</v>
          </cell>
        </row>
        <row r="161">
          <cell r="H161" t="str">
            <v>Total diesel fuel use (transport to digester)</v>
          </cell>
          <cell r="I161" t="str">
            <v>MMBtu/Mg</v>
          </cell>
          <cell r="J161">
            <v>4.6942412733540322E-2</v>
          </cell>
          <cell r="K161" t="str">
            <v>MMBtu/Short Ton</v>
          </cell>
          <cell r="L161">
            <v>4.2585440490649468E-2</v>
          </cell>
        </row>
        <row r="162">
          <cell r="D162">
            <v>8.700021909901702E-2</v>
          </cell>
          <cell r="E162" t="str">
            <v>MMBtu/Short Ton</v>
          </cell>
          <cell r="F162">
            <v>7.8925271143284792E-2</v>
          </cell>
          <cell r="H162" t="str">
            <v>Total diesel fuel use (process)</v>
          </cell>
          <cell r="I162" t="str">
            <v>MMBtu/Mg</v>
          </cell>
          <cell r="J162">
            <v>0.11084637840238284</v>
          </cell>
          <cell r="K162" t="str">
            <v>MMBtu/Short Ton</v>
          </cell>
          <cell r="L162">
            <v>0.1005581429709073</v>
          </cell>
        </row>
        <row r="163">
          <cell r="D163">
            <v>-0.48987534599500682</v>
          </cell>
          <cell r="E163" t="str">
            <v>MMBtu/Short Ton</v>
          </cell>
          <cell r="F163">
            <v>-0.4444074383888903</v>
          </cell>
          <cell r="H163" t="str">
            <v>Total Energy Consumption</v>
          </cell>
          <cell r="I163" t="str">
            <v>MMBtu/Mg</v>
          </cell>
          <cell r="J163">
            <v>-0.46098814384133335</v>
          </cell>
          <cell r="K163" t="str">
            <v>MMBtu/Short Ton</v>
          </cell>
          <cell r="L163">
            <v>-0.41820140941378264</v>
          </cell>
        </row>
        <row r="179">
          <cell r="A179" t="str">
            <v>Documentation Tables</v>
          </cell>
        </row>
        <row r="181">
          <cell r="B181" t="str">
            <v>Facility Operation Inputs</v>
          </cell>
          <cell r="C181" t="str">
            <v>Units</v>
          </cell>
          <cell r="D181" t="str">
            <v>Value</v>
          </cell>
          <cell r="E181" t="str">
            <v>Source</v>
          </cell>
        </row>
        <row r="182">
          <cell r="B182" t="str">
            <v>Percent methane loss to leaks</v>
          </cell>
          <cell r="C182" t="str">
            <v>%</v>
          </cell>
          <cell r="D182">
            <v>2</v>
          </cell>
          <cell r="E182" t="str">
            <v>WERF, 2012; Sanscartier et al. 2012 reports (2-5%)</v>
          </cell>
        </row>
        <row r="183">
          <cell r="B183" t="str">
            <v>Electricity generation downtime (gas flared)</v>
          </cell>
          <cell r="C183" t="str">
            <v>%</v>
          </cell>
          <cell r="D183">
            <v>15</v>
          </cell>
          <cell r="E183" t="str">
            <v>U.S. EPA (2013)</v>
          </cell>
        </row>
        <row r="184">
          <cell r="B184" t="str">
            <v>Electricity generation efficiency</v>
          </cell>
          <cell r="C184" t="str">
            <v>%</v>
          </cell>
          <cell r="D184">
            <v>29</v>
          </cell>
          <cell r="E184" t="str">
            <v>U.S. EPA (2013)</v>
          </cell>
        </row>
        <row r="185">
          <cell r="B185" t="str">
            <v>House electricity demand</v>
          </cell>
          <cell r="C185" t="str">
            <v>kWh/Mg-in</v>
          </cell>
          <cell r="D185">
            <v>50</v>
          </cell>
          <cell r="E185" t="str">
            <v>Boldrin et al. 2011 (48.9 kWh/Mg); Møller, et al. 2009 report ranges of 20-50 kWh/Mg; Sanscartier et al. 2012 report 47-67 for Dufferin facility</v>
          </cell>
        </row>
        <row r="186">
          <cell r="B186" t="str">
            <v>House diesel fuel use</v>
          </cell>
          <cell r="C186" t="str">
            <v>L/Mg</v>
          </cell>
          <cell r="D186">
            <v>1</v>
          </cell>
          <cell r="E186" t="str">
            <v>Boldrin et al. 2011 (0.9 L/Mg); Møller et al. 2009 report 1.6 L/Mg; Sanscartier et al. 2012 report 0.3 L Mg for Dufferin facility; WERF, 2012 (6.5 L/Mg). Lower values seem more likely.</v>
          </cell>
        </row>
        <row r="187">
          <cell r="B187" t="str">
            <v>Moisture content in reactor</v>
          </cell>
          <cell r="C187" t="str">
            <v>%ww</v>
          </cell>
          <cell r="D187">
            <v>95</v>
          </cell>
          <cell r="E187" t="str">
            <v>Hansen et al. (2006)</v>
          </cell>
        </row>
        <row r="188">
          <cell r="B188" t="str">
            <v>Moisture content after dewatering</v>
          </cell>
          <cell r="C188" t="str">
            <v>%ww</v>
          </cell>
          <cell r="D188">
            <v>76</v>
          </cell>
          <cell r="E188" t="str">
            <v>Metcalf and Eddy (2003)</v>
          </cell>
        </row>
        <row r="189">
          <cell r="B189" t="str">
            <v>Percent dry mass Nitrogen loss during AD</v>
          </cell>
          <cell r="C189" t="str">
            <v>%TS</v>
          </cell>
          <cell r="D189">
            <v>8</v>
          </cell>
          <cell r="E189" t="str">
            <v>Developed from Hansen et al. (2006) based on initial N content.</v>
          </cell>
        </row>
        <row r="190">
          <cell r="B190" t="str">
            <v>Percent dry mass Phosphorus loss during AD</v>
          </cell>
          <cell r="C190" t="str">
            <v>%TS</v>
          </cell>
          <cell r="D190">
            <v>0</v>
          </cell>
          <cell r="E190" t="str">
            <v>Assumed</v>
          </cell>
        </row>
        <row r="192">
          <cell r="B192" t="str">
            <v>Heat Recovery Inputs</v>
          </cell>
          <cell r="C192" t="str">
            <v>Units</v>
          </cell>
          <cell r="D192" t="str">
            <v>Value</v>
          </cell>
          <cell r="E192" t="str">
            <v>Source</v>
          </cell>
        </row>
        <row r="193">
          <cell r="B193" t="str">
            <v>CHP heat exchanger efficiency</v>
          </cell>
          <cell r="C193" t="str">
            <v>%</v>
          </cell>
          <cell r="D193">
            <v>75</v>
          </cell>
          <cell r="E193" t="str">
            <v>Long, 2012</v>
          </cell>
        </row>
        <row r="194">
          <cell r="B194" t="str">
            <v>Initial temperature of waste</v>
          </cell>
          <cell r="C194" t="str">
            <v>oC</v>
          </cell>
          <cell r="D194">
            <v>14</v>
          </cell>
          <cell r="E194" t="str">
            <v>WERF, 2012</v>
          </cell>
        </row>
        <row r="195">
          <cell r="B195" t="str">
            <v>Initial temperature of added water</v>
          </cell>
          <cell r="C195" t="str">
            <v>oC</v>
          </cell>
          <cell r="D195">
            <v>14</v>
          </cell>
          <cell r="E195" t="str">
            <v>Assumed same as FW.</v>
          </cell>
        </row>
        <row r="205">
          <cell r="B205" t="str">
            <v>GHG intensity of freshwater</v>
          </cell>
          <cell r="C205" t="str">
            <v>kg CO2e/Mg</v>
          </cell>
          <cell r="D205">
            <v>0.37983</v>
          </cell>
          <cell r="E205" t="str">
            <v>ecoinvent v3.1 - market for tap water, CA-QC</v>
          </cell>
        </row>
        <row r="206">
          <cell r="B206" t="str">
            <v>GHG intensity of leachate treatment</v>
          </cell>
          <cell r="C206" t="str">
            <v>kg CO2e/Mg</v>
          </cell>
          <cell r="D206">
            <v>27.157</v>
          </cell>
          <cell r="E206" t="str">
            <v>ecoinvent v3.1 - treatment of wastewater from anaerobic digestion of whey, capacity 1E9l/year, RoW,</v>
          </cell>
        </row>
        <row r="207">
          <cell r="B207" t="str">
            <v>Curing fuel use (material movement windrow turning)</v>
          </cell>
          <cell r="C207" t="str">
            <v>L/Mg</v>
          </cell>
          <cell r="D207">
            <v>1</v>
          </cell>
          <cell r="E207" t="str">
            <v>Boldrin et al. (2009) Assumed 1/3 of 3L used for curing.</v>
          </cell>
        </row>
        <row r="208">
          <cell r="B208" t="str">
            <v>Nitrogen loss during curing</v>
          </cell>
          <cell r="C208" t="str">
            <v>%</v>
          </cell>
          <cell r="D208">
            <v>38.5</v>
          </cell>
          <cell r="E208" t="str">
            <v>Average from Beck-Friis et al. (2000)</v>
          </cell>
        </row>
        <row r="209">
          <cell r="B209" t="str">
            <v>Carbon loss during curing</v>
          </cell>
          <cell r="C209" t="str">
            <v>%</v>
          </cell>
          <cell r="D209">
            <v>58</v>
          </cell>
          <cell r="E209" t="str">
            <v>Average for open biowaste systems from Boldrin et al. (2009)</v>
          </cell>
        </row>
        <row r="210">
          <cell r="B210" t="str">
            <v>Percent N loss as N2O</v>
          </cell>
          <cell r="C210" t="str">
            <v>%</v>
          </cell>
          <cell r="D210">
            <v>1</v>
          </cell>
          <cell r="E210" t="str">
            <v>Average for open biowaste systems from Boldrin et al. (2009)</v>
          </cell>
        </row>
        <row r="211">
          <cell r="B211" t="str">
            <v>Percent C loss as CH4</v>
          </cell>
          <cell r="C211" t="str">
            <v>%</v>
          </cell>
          <cell r="D211">
            <v>1.3</v>
          </cell>
          <cell r="E211" t="str">
            <v>Average for open biowaste systems from Boldrin et al. (2009)</v>
          </cell>
        </row>
        <row r="212">
          <cell r="B212" t="str">
            <v>Screen electricity use</v>
          </cell>
          <cell r="C212" t="str">
            <v>kWh/Mg</v>
          </cell>
          <cell r="D212">
            <v>0.88200000000000001</v>
          </cell>
          <cell r="E212" t="str">
            <v>Komilis and Ham (2004)</v>
          </cell>
        </row>
        <row r="213">
          <cell r="B213" t="str">
            <v>Mass VS loss per mol C loss</v>
          </cell>
          <cell r="C213" t="str">
            <v>g/mol C loss</v>
          </cell>
          <cell r="D213">
            <v>12</v>
          </cell>
          <cell r="E213" t="str">
            <v>Haug (1993)</v>
          </cell>
        </row>
        <row r="214">
          <cell r="B214" t="str">
            <v>Finished compost moisture content</v>
          </cell>
          <cell r="C214" t="str">
            <v>%</v>
          </cell>
          <cell r="D214">
            <v>40</v>
          </cell>
          <cell r="E214" t="str">
            <v>Haug (1993)</v>
          </cell>
        </row>
        <row r="216">
          <cell r="B216" t="str">
            <v>Use on Land Parameters</v>
          </cell>
          <cell r="C216" t="str">
            <v>Units</v>
          </cell>
          <cell r="D216" t="str">
            <v>Value</v>
          </cell>
          <cell r="E216" t="str">
            <v>Source</v>
          </cell>
        </row>
        <row r="217">
          <cell r="B217" t="str">
            <v>Diesel use to transport digestate</v>
          </cell>
          <cell r="C217" t="str">
            <v>L/Mg</v>
          </cell>
          <cell r="D217">
            <v>0.21</v>
          </cell>
          <cell r="E217" t="str">
            <v>Berglund &amp; Börjesson (2006)</v>
          </cell>
        </row>
        <row r="218">
          <cell r="B218" t="str">
            <v>Diesel use to spread digestate</v>
          </cell>
          <cell r="C218" t="str">
            <v>L/Mg</v>
          </cell>
          <cell r="D218">
            <v>0.47</v>
          </cell>
          <cell r="E218" t="str">
            <v>Berglund &amp; Börjesson (2006); Arsova (2012)</v>
          </cell>
        </row>
        <row r="219">
          <cell r="B219" t="str">
            <v>Mineral Nutrient Equivalent for Nitrogen</v>
          </cell>
          <cell r="C219" t="str">
            <v>kg N offset/kg N applied</v>
          </cell>
          <cell r="D219">
            <v>0.4</v>
          </cell>
          <cell r="E219" t="str">
            <v>Møller, et al. (2009)</v>
          </cell>
        </row>
        <row r="220">
          <cell r="B220" t="str">
            <v>Mineral Nutrient Equivalent for Phosphorus</v>
          </cell>
          <cell r="C220" t="str">
            <v>kg N offset/kg P applied</v>
          </cell>
          <cell r="D220">
            <v>1</v>
          </cell>
          <cell r="E220" t="str">
            <v>Møller, et al. (2009)</v>
          </cell>
        </row>
        <row r="221">
          <cell r="B221" t="str">
            <v>Percent N applied as digestate that is loss as N2O</v>
          </cell>
          <cell r="C221" t="str">
            <v>%</v>
          </cell>
          <cell r="D221">
            <v>1.5</v>
          </cell>
          <cell r="E221" t="str">
            <v>Hansen et al. (2006)</v>
          </cell>
        </row>
        <row r="222">
          <cell r="B222" t="str">
            <v>Percent N applied as fertilizer that is loss as N2O</v>
          </cell>
          <cell r="C222" t="str">
            <v>%</v>
          </cell>
          <cell r="D222">
            <v>2.2999999999999998</v>
          </cell>
          <cell r="E222" t="str">
            <v>Average reported by Brown et al. (2010)</v>
          </cell>
        </row>
        <row r="223">
          <cell r="B223" t="str">
            <v>Percent of C applied that is stored after 100 years</v>
          </cell>
          <cell r="C223" t="str">
            <v>%</v>
          </cell>
          <cell r="D223">
            <v>10</v>
          </cell>
          <cell r="E223" t="str">
            <v>Bruun et al. (2006)</v>
          </cell>
        </row>
        <row r="224">
          <cell r="B224" t="str">
            <v>Additional C storage due to humus formation</v>
          </cell>
          <cell r="C224" t="str">
            <v>kg C stored/kg C applied</v>
          </cell>
          <cell r="D224">
            <v>0.51</v>
          </cell>
          <cell r="E224" t="str">
            <v>Calculated from WARM Composting Documentation as shown in Humus Formation Sheet</v>
          </cell>
        </row>
        <row r="225">
          <cell r="B225" t="str">
            <v>GHG intensity of N fertilizer use and application</v>
          </cell>
          <cell r="C225" t="str">
            <v xml:space="preserve">kg CO2e/kg N </v>
          </cell>
          <cell r="D225">
            <v>8.9</v>
          </cell>
          <cell r="E225" t="str">
            <v>Boldrin et al. (2009)</v>
          </cell>
        </row>
        <row r="226">
          <cell r="B226" t="str">
            <v>GHG intensity of P fertilizer use and application</v>
          </cell>
          <cell r="C226" t="str">
            <v xml:space="preserve">kg CO2e/kg N </v>
          </cell>
          <cell r="D226">
            <v>1.8</v>
          </cell>
          <cell r="E226" t="str">
            <v>Boldrin et al. (2009)</v>
          </cell>
        </row>
        <row r="229">
          <cell r="A229" t="str">
            <v>Material Properties</v>
          </cell>
        </row>
        <row r="231">
          <cell r="B231" t="str">
            <v>Organics Generation</v>
          </cell>
          <cell r="C231" t="str">
            <v>Mass Generated in 2013 (million tons)</v>
          </cell>
          <cell r="D231" t="str">
            <v>Percent Generation</v>
          </cell>
          <cell r="G231" t="str">
            <v>Source</v>
          </cell>
        </row>
        <row r="232">
          <cell r="B232" t="str">
            <v>Yard Trimmings</v>
          </cell>
          <cell r="C232">
            <v>34.200000000000003</v>
          </cell>
          <cell r="D232">
            <v>47.993264103283749</v>
          </cell>
          <cell r="G232" t="str">
            <v>US EPA (2015) - EPA530-R-15-002</v>
          </cell>
        </row>
        <row r="233">
          <cell r="B233" t="str">
            <v>Food Waste</v>
          </cell>
          <cell r="C233">
            <v>37.06</v>
          </cell>
          <cell r="D233">
            <v>52.006735896716243</v>
          </cell>
          <cell r="G233" t="str">
            <v>US EPA (2015) - EPA530-R-15-002</v>
          </cell>
        </row>
        <row r="244">
          <cell r="Q244" t="str">
            <v>P</v>
          </cell>
          <cell r="R244" t="str">
            <v>N</v>
          </cell>
        </row>
        <row r="245">
          <cell r="B245" t="str">
            <v>Material Properties</v>
          </cell>
          <cell r="C245" t="str">
            <v>Percent of Food Waste (%ww)</v>
          </cell>
          <cell r="D245" t="str">
            <v>Percent of Food Waste (%TS)</v>
          </cell>
          <cell r="E245" t="str">
            <v>Percent of Mixed Organics (%ww)</v>
          </cell>
          <cell r="F245" t="str">
            <v>Percent of Mixed Organics (%TS)</v>
          </cell>
          <cell r="G245" t="str">
            <v>Moisture Content (%ww)</v>
          </cell>
          <cell r="H245" t="str">
            <v>Solid Content (%ww)</v>
          </cell>
          <cell r="I245" t="str">
            <v>VS Content (%TS)</v>
          </cell>
          <cell r="J245" t="str">
            <v>Methane Potential (m3 CH4/dry Mg)</v>
          </cell>
          <cell r="K245" t="str">
            <v>N Content (%TS)</v>
          </cell>
          <cell r="L245" t="str">
            <v>C Content (%TS)</v>
          </cell>
          <cell r="M245" t="str">
            <v>P Content (%TS)</v>
          </cell>
          <cell r="N245" t="str">
            <v>N Content of Digestate (%TS)</v>
          </cell>
          <cell r="O245" t="str">
            <v>C Content of Digestate (%TS)</v>
          </cell>
          <cell r="P245" t="str">
            <v>P Content of Digestate (%TS)</v>
          </cell>
          <cell r="Q245" t="str">
            <v>%ww</v>
          </cell>
          <cell r="R245" t="str">
            <v>%ww</v>
          </cell>
        </row>
        <row r="246">
          <cell r="B246" t="str">
            <v>Branches</v>
          </cell>
          <cell r="E246">
            <v>14.206006174571989</v>
          </cell>
          <cell r="F246">
            <v>29.208919638084339</v>
          </cell>
          <cell r="G246">
            <v>15.9</v>
          </cell>
          <cell r="H246">
            <v>84.1</v>
          </cell>
          <cell r="I246">
            <v>90.6</v>
          </cell>
          <cell r="J246">
            <v>62.6</v>
          </cell>
          <cell r="K246">
            <v>0.8</v>
          </cell>
          <cell r="L246">
            <v>52.1</v>
          </cell>
          <cell r="M246">
            <v>0.19800000000000001</v>
          </cell>
          <cell r="N246">
            <v>0.7390124833652062</v>
          </cell>
          <cell r="O246">
            <v>38.850707630615318</v>
          </cell>
          <cell r="P246">
            <v>0.34647286748445399</v>
          </cell>
          <cell r="Q246">
            <v>0.166518</v>
          </cell>
          <cell r="R246">
            <v>0.62150949851013837</v>
          </cell>
        </row>
        <row r="247">
          <cell r="B247" t="str">
            <v>Grass</v>
          </cell>
          <cell r="E247">
            <v>14.541959023294975</v>
          </cell>
          <cell r="F247">
            <v>6.3994539844020943</v>
          </cell>
          <cell r="G247">
            <v>82</v>
          </cell>
          <cell r="H247">
            <v>18</v>
          </cell>
          <cell r="I247">
            <v>86.4</v>
          </cell>
          <cell r="J247">
            <v>194.8</v>
          </cell>
          <cell r="K247">
            <v>3.4</v>
          </cell>
          <cell r="L247">
            <v>57.8</v>
          </cell>
          <cell r="M247">
            <v>0.19800000000000001</v>
          </cell>
          <cell r="N247">
            <v>3.1408030543021259</v>
          </cell>
          <cell r="O247">
            <v>43.101168926095305</v>
          </cell>
          <cell r="P247">
            <v>0.34647286748445399</v>
          </cell>
          <cell r="Q247">
            <v>3.5639999999999998E-2</v>
          </cell>
          <cell r="R247">
            <v>0.56534454977438264</v>
          </cell>
        </row>
        <row r="248">
          <cell r="B248" t="str">
            <v>Leaves</v>
          </cell>
          <cell r="E248">
            <v>19.245298905416785</v>
          </cell>
          <cell r="F248">
            <v>29.07773904485806</v>
          </cell>
          <cell r="G248">
            <v>38.200000000000003</v>
          </cell>
          <cell r="H248">
            <v>61.8</v>
          </cell>
          <cell r="I248">
            <v>90.2</v>
          </cell>
          <cell r="J248">
            <v>65.3</v>
          </cell>
          <cell r="K248">
            <v>0.9</v>
          </cell>
          <cell r="L248">
            <v>48.6</v>
          </cell>
          <cell r="M248">
            <v>0.19800000000000001</v>
          </cell>
          <cell r="N248">
            <v>0.83138904378585687</v>
          </cell>
          <cell r="O248">
            <v>36.240775256197786</v>
          </cell>
          <cell r="P248">
            <v>0.34647286748445399</v>
          </cell>
          <cell r="Q248">
            <v>0.122364</v>
          </cell>
          <cell r="R248">
            <v>0.51379842905965956</v>
          </cell>
        </row>
        <row r="249">
          <cell r="B249" t="str">
            <v>Vegetable Food Waste</v>
          </cell>
          <cell r="C249">
            <v>76</v>
          </cell>
          <cell r="D249">
            <v>62.963923093540728</v>
          </cell>
          <cell r="E249">
            <v>39.525119281504345</v>
          </cell>
          <cell r="F249">
            <v>22.235008861472835</v>
          </cell>
          <cell r="G249">
            <v>76.989999999999995</v>
          </cell>
          <cell r="H249">
            <v>23.010000000000005</v>
          </cell>
          <cell r="I249">
            <v>96.4</v>
          </cell>
          <cell r="J249">
            <v>400</v>
          </cell>
          <cell r="K249">
            <v>1.9</v>
          </cell>
          <cell r="L249">
            <v>47.7</v>
          </cell>
          <cell r="M249">
            <v>0.23100000000000001</v>
          </cell>
          <cell r="N249">
            <v>1.7551546479923645</v>
          </cell>
          <cell r="O249">
            <v>35.569649788490416</v>
          </cell>
          <cell r="P249">
            <v>0.40421834539852963</v>
          </cell>
          <cell r="Q249">
            <v>5.3153100000000016E-2</v>
          </cell>
          <cell r="R249">
            <v>0.4038610845030432</v>
          </cell>
        </row>
        <row r="250">
          <cell r="B250" t="str">
            <v>Non-Vegetable Food Waste</v>
          </cell>
          <cell r="C250">
            <v>24</v>
          </cell>
          <cell r="D250">
            <v>37.036076906459265</v>
          </cell>
          <cell r="E250">
            <v>12.481616615211898</v>
          </cell>
          <cell r="F250">
            <v>13.078878471182673</v>
          </cell>
          <cell r="G250">
            <v>57.14</v>
          </cell>
          <cell r="H250">
            <v>42.86</v>
          </cell>
          <cell r="I250">
            <v>94.2</v>
          </cell>
          <cell r="J250">
            <v>400</v>
          </cell>
          <cell r="K250">
            <v>7</v>
          </cell>
          <cell r="L250">
            <v>56.5</v>
          </cell>
          <cell r="M250">
            <v>0.996</v>
          </cell>
          <cell r="N250">
            <v>6.4663592294455539</v>
          </cell>
          <cell r="O250">
            <v>42.13176547274022</v>
          </cell>
          <cell r="P250">
            <v>1.7428635152248289</v>
          </cell>
          <cell r="Q250">
            <v>0.42688559999999998</v>
          </cell>
          <cell r="R250">
            <v>2.7714815657403644</v>
          </cell>
        </row>
        <row r="251">
          <cell r="B251" t="str">
            <v>Food Waste</v>
          </cell>
          <cell r="G251">
            <v>72.225999999999999</v>
          </cell>
          <cell r="H251">
            <v>27.774000000000004</v>
          </cell>
          <cell r="I251">
            <v>95.585206308057892</v>
          </cell>
          <cell r="J251">
            <v>400</v>
          </cell>
          <cell r="K251">
            <v>3.7888399222294225</v>
          </cell>
          <cell r="L251">
            <v>50.959174767768417</v>
          </cell>
          <cell r="M251">
            <v>0.51432598833441334</v>
          </cell>
          <cell r="N251">
            <v>3.5</v>
          </cell>
          <cell r="O251">
            <v>38</v>
          </cell>
          <cell r="P251">
            <v>0.9</v>
          </cell>
          <cell r="Q251">
            <v>0.14284889999999995</v>
          </cell>
          <cell r="R251">
            <v>0.9720899999999999</v>
          </cell>
        </row>
        <row r="252">
          <cell r="B252" t="str">
            <v>Mixed Organics</v>
          </cell>
          <cell r="G252">
            <v>59.097250631490304</v>
          </cell>
          <cell r="H252">
            <v>40.902749368509681</v>
          </cell>
          <cell r="I252">
            <v>91.975382115403676</v>
          </cell>
          <cell r="J252">
            <v>190.99423298197041</v>
          </cell>
          <cell r="K252">
            <v>2.0509391053288391</v>
          </cell>
          <cell r="L252">
            <v>51.044178273368125</v>
          </cell>
          <cell r="M252">
            <v>0.30970700312432375</v>
          </cell>
        </row>
        <row r="254">
          <cell r="B254" t="str">
            <v>Sources</v>
          </cell>
        </row>
        <row r="255">
          <cell r="B255" t="str">
            <v>Moisture Content</v>
          </cell>
          <cell r="C255" t="str">
            <v>Riber et al. (2009) and NRAES (1998)</v>
          </cell>
        </row>
        <row r="256">
          <cell r="B256" t="str">
            <v>VS Content</v>
          </cell>
          <cell r="C256" t="str">
            <v>Riber et al. (2009) and NRAES (1998)</v>
          </cell>
        </row>
        <row r="257">
          <cell r="B257" t="str">
            <v>Methane Potential</v>
          </cell>
          <cell r="C257" t="str">
            <v>WARM Landfill Model</v>
          </cell>
        </row>
        <row r="258">
          <cell r="B258" t="str">
            <v>N Content</v>
          </cell>
          <cell r="C258" t="str">
            <v>Riber et al. (2009) and NRAES (1998)</v>
          </cell>
          <cell r="H258" t="str">
            <v>CH4 Emissions (MTCO2e/ton)</v>
          </cell>
          <cell r="I258" t="str">
            <v>N2O Emissions (MTCO2e/ton)</v>
          </cell>
          <cell r="J258" t="str">
            <v>CH4 Emitted (kg CH4/Mg)</v>
          </cell>
          <cell r="K258" t="str">
            <v>N2O Emitted (kg N2O/ton)</v>
          </cell>
        </row>
        <row r="259">
          <cell r="G259" t="str">
            <v>Biowaste</v>
          </cell>
          <cell r="H259">
            <v>5.4999999999999997E-3</v>
          </cell>
          <cell r="I259">
            <v>3.9600000000000003E-2</v>
          </cell>
          <cell r="J259">
            <v>0.24244000000000002</v>
          </cell>
          <cell r="K259">
            <v>0.14644026845637584</v>
          </cell>
        </row>
        <row r="260">
          <cell r="C260" t="str">
            <v>Proportion Remaining in Digestate</v>
          </cell>
          <cell r="G260" t="str">
            <v>Green waste</v>
          </cell>
          <cell r="H260">
            <v>1.3899999999999999E-2</v>
          </cell>
          <cell r="I260">
            <v>6.0900000000000003E-2</v>
          </cell>
          <cell r="J260">
            <v>0.61271200000000003</v>
          </cell>
          <cell r="K260">
            <v>0.22520738255033559</v>
          </cell>
        </row>
        <row r="261">
          <cell r="C261" t="str">
            <v>Nitrogen</v>
          </cell>
          <cell r="D261" t="str">
            <v>Carbon</v>
          </cell>
          <cell r="E261" t="str">
            <v>Phosphorus</v>
          </cell>
          <cell r="H261">
            <v>25</v>
          </cell>
          <cell r="I261">
            <v>298</v>
          </cell>
        </row>
        <row r="262">
          <cell r="B262" t="str">
            <v>Food waste</v>
          </cell>
          <cell r="C262">
            <v>0.92376560420650766</v>
          </cell>
          <cell r="D262">
            <v>0.74569496411929592</v>
          </cell>
          <cell r="E262">
            <v>1.7498629670932018</v>
          </cell>
        </row>
        <row r="264">
          <cell r="H264" t="str">
            <v>Mass of Dewatered Digestate (Mg/Mg)</v>
          </cell>
          <cell r="I264" t="str">
            <v>Methane Emisssion (kg CH4/Mg Feedstock)</v>
          </cell>
          <cell r="J264" t="str">
            <v>N2O Emissions (kg N2O/Mg Feedstock)</v>
          </cell>
          <cell r="K264" t="str">
            <v>Methane Emisssion (kg CH4/Mg Digestate)</v>
          </cell>
          <cell r="L264" t="str">
            <v>N2O Emissions (kg N2O/Mg Digestate</v>
          </cell>
        </row>
        <row r="265">
          <cell r="G265" t="str">
            <v>Food waste</v>
          </cell>
          <cell r="H265">
            <v>0.22</v>
          </cell>
          <cell r="I265">
            <v>0.19</v>
          </cell>
          <cell r="J265">
            <v>8.8000000000000005E-3</v>
          </cell>
          <cell r="K265">
            <v>0.86363636363636365</v>
          </cell>
          <cell r="L265">
            <v>0.04</v>
          </cell>
        </row>
        <row r="266">
          <cell r="G266" t="str">
            <v>Mixed Organics</v>
          </cell>
          <cell r="H266">
            <v>0.36</v>
          </cell>
          <cell r="I266">
            <v>0.31</v>
          </cell>
          <cell r="J266">
            <v>7.9000000000000001E-2</v>
          </cell>
          <cell r="K266">
            <v>0.86111111111111116</v>
          </cell>
          <cell r="L266">
            <v>0.21944444444444444</v>
          </cell>
        </row>
        <row r="269">
          <cell r="A269" t="str">
            <v>Increase Humus Formation Calculations</v>
          </cell>
        </row>
        <row r="271">
          <cell r="B271" t="str">
            <v>Legend</v>
          </cell>
        </row>
        <row r="281">
          <cell r="B281" t="str">
            <v>Carbon content of compost</v>
          </cell>
          <cell r="C281">
            <v>0.21</v>
          </cell>
          <cell r="D281" t="str">
            <v>kg C/kg Compost</v>
          </cell>
          <cell r="E281" t="str">
            <v xml:space="preserve">WARM Composting Documentation. </v>
          </cell>
        </row>
        <row r="282">
          <cell r="B282" t="str">
            <v>Kg C per Kg CO2</v>
          </cell>
          <cell r="C282">
            <v>0.27272727272727271</v>
          </cell>
          <cell r="D282" t="str">
            <v>12/44</v>
          </cell>
        </row>
        <row r="283">
          <cell r="B283" t="str">
            <v>Humus formation per mass compost applied</v>
          </cell>
          <cell r="C283">
            <v>107.1</v>
          </cell>
          <cell r="D283" t="str">
            <v>kg C/Mg compost</v>
          </cell>
        </row>
        <row r="284">
          <cell r="B284" t="str">
            <v>Humus formation per C applied</v>
          </cell>
          <cell r="C284">
            <v>0.51</v>
          </cell>
          <cell r="D284" t="str">
            <v>kg C humus/kg C applied</v>
          </cell>
        </row>
        <row r="289">
          <cell r="A289" t="str">
            <v>Methane Yields</v>
          </cell>
        </row>
        <row r="291">
          <cell r="C291" t="str">
            <v>Moisture Content (%ww)</v>
          </cell>
          <cell r="D291" t="str">
            <v>VS Content (%TS)</v>
          </cell>
          <cell r="E291" t="str">
            <v>Methane Yield (m3/Mg VS)</v>
          </cell>
          <cell r="F291" t="str">
            <v>Methane Yield (m3/Mg TS)</v>
          </cell>
          <cell r="G291" t="str">
            <v>Methane Yield (m3/Mg ww)</v>
          </cell>
          <cell r="H291" t="str">
            <v>Reference</v>
          </cell>
          <cell r="I291" t="str">
            <v>Notes</v>
          </cell>
          <cell r="M291" t="str">
            <v>Methane Yield (m3/Mg VS)</v>
          </cell>
          <cell r="N291" t="str">
            <v>Empircal Cumulative Frequency</v>
          </cell>
          <cell r="O291" t="str">
            <v>Modeled Cumulative Frequency</v>
          </cell>
          <cell r="P291" t="str">
            <v>Opt Model Cumulative Frequency</v>
          </cell>
          <cell r="Q291" t="str">
            <v>Modeled PDF</v>
          </cell>
          <cell r="R291" t="str">
            <v>LN(x)</v>
          </cell>
          <cell r="S291" t="str">
            <v>Squared Error</v>
          </cell>
        </row>
        <row r="292">
          <cell r="C292">
            <v>47</v>
          </cell>
          <cell r="D292">
            <v>97</v>
          </cell>
          <cell r="E292">
            <v>482</v>
          </cell>
          <cell r="F292">
            <v>467.54</v>
          </cell>
          <cell r="G292">
            <v>247.79620000000003</v>
          </cell>
          <cell r="H292" t="str">
            <v>Cho et al., 1995</v>
          </cell>
          <cell r="M292">
            <v>100</v>
          </cell>
          <cell r="O292">
            <v>6.3747336535518864E-7</v>
          </cell>
          <cell r="P292">
            <v>1.3160203791368491E-5</v>
          </cell>
          <cell r="Q292">
            <v>1.1684861518859878E-7</v>
          </cell>
        </row>
        <row r="293">
          <cell r="C293">
            <v>65</v>
          </cell>
          <cell r="D293">
            <v>99</v>
          </cell>
          <cell r="E293">
            <v>294</v>
          </cell>
          <cell r="F293">
            <v>291.06</v>
          </cell>
          <cell r="G293">
            <v>101.871</v>
          </cell>
          <cell r="H293" t="str">
            <v>Cho et al., 1995</v>
          </cell>
          <cell r="M293">
            <v>150</v>
          </cell>
          <cell r="O293">
            <v>3.7908627749221562E-4</v>
          </cell>
          <cell r="P293">
            <v>1.74539615873362E-3</v>
          </cell>
          <cell r="Q293">
            <v>3.3365417828037275E-5</v>
          </cell>
        </row>
        <row r="294">
          <cell r="C294">
            <v>95</v>
          </cell>
          <cell r="D294">
            <v>84</v>
          </cell>
          <cell r="E294">
            <v>277</v>
          </cell>
          <cell r="F294">
            <v>232.68</v>
          </cell>
          <cell r="G294">
            <v>11.634</v>
          </cell>
          <cell r="H294" t="str">
            <v>Cho et al., 1995</v>
          </cell>
          <cell r="M294">
            <v>200</v>
          </cell>
          <cell r="O294">
            <v>1.0159663715813068E-2</v>
          </cell>
          <cell r="P294">
            <v>2.216124028860424E-2</v>
          </cell>
          <cell r="Q294">
            <v>4.9185271046042344E-4</v>
          </cell>
        </row>
        <row r="295">
          <cell r="C295">
            <v>74</v>
          </cell>
          <cell r="D295">
            <v>95</v>
          </cell>
          <cell r="E295">
            <v>472</v>
          </cell>
          <cell r="F295">
            <v>448.4</v>
          </cell>
          <cell r="G295">
            <v>116.584</v>
          </cell>
          <cell r="H295" t="str">
            <v>Cho et al., 1995</v>
          </cell>
          <cell r="L295">
            <v>1</v>
          </cell>
          <cell r="M295">
            <v>219</v>
          </cell>
          <cell r="N295">
            <v>3.0769230769230771E-2</v>
          </cell>
          <cell r="O295">
            <v>2.3293762024602756E-2</v>
          </cell>
          <cell r="P295">
            <v>4.2353083122827151E-2</v>
          </cell>
          <cell r="Q295">
            <v>9.1547038701974149E-4</v>
          </cell>
          <cell r="R295">
            <v>5.389071729816501</v>
          </cell>
          <cell r="S295">
            <v>1.341856353499204E-4</v>
          </cell>
        </row>
        <row r="296">
          <cell r="C296">
            <v>85</v>
          </cell>
          <cell r="D296">
            <v>88</v>
          </cell>
          <cell r="E296">
            <v>489</v>
          </cell>
          <cell r="F296">
            <v>430.32</v>
          </cell>
          <cell r="G296">
            <v>64.548000000000002</v>
          </cell>
          <cell r="H296" t="str">
            <v>Heo et al., 2004</v>
          </cell>
          <cell r="L296">
            <v>2</v>
          </cell>
          <cell r="M296">
            <v>225</v>
          </cell>
          <cell r="N296">
            <v>6.1538461538461542E-2</v>
          </cell>
          <cell r="O296">
            <v>2.9269471888929616E-2</v>
          </cell>
          <cell r="P296">
            <v>5.0655729570720724E-2</v>
          </cell>
          <cell r="Q296">
            <v>1.0785466976934493E-3</v>
          </cell>
          <cell r="R296">
            <v>5.4161004022044201</v>
          </cell>
          <cell r="S296">
            <v>1.1843385508168793E-4</v>
          </cell>
        </row>
        <row r="297">
          <cell r="C297">
            <v>75.948125000000019</v>
          </cell>
          <cell r="D297">
            <v>93.8</v>
          </cell>
          <cell r="E297">
            <v>320</v>
          </cell>
          <cell r="F297">
            <v>300.16000000000003</v>
          </cell>
          <cell r="G297">
            <v>72.194107999999943</v>
          </cell>
          <cell r="H297" t="str">
            <v>Eleazer et al., 1997</v>
          </cell>
          <cell r="I297" t="str">
            <v>MC Not reported.</v>
          </cell>
          <cell r="L297">
            <v>3</v>
          </cell>
          <cell r="M297">
            <v>275</v>
          </cell>
          <cell r="N297">
            <v>9.2307692307692313E-2</v>
          </cell>
          <cell r="O297">
            <v>0.122790281485585</v>
          </cell>
          <cell r="P297">
            <v>0.1577159560822684</v>
          </cell>
          <cell r="Q297">
            <v>2.6911251165387105E-3</v>
          </cell>
          <cell r="R297">
            <v>5.6167710976665717</v>
          </cell>
          <cell r="S297">
            <v>4.2782409700045229E-3</v>
          </cell>
        </row>
        <row r="298">
          <cell r="C298">
            <v>70</v>
          </cell>
          <cell r="D298">
            <v>83</v>
          </cell>
          <cell r="E298">
            <v>445</v>
          </cell>
          <cell r="F298">
            <v>369.35</v>
          </cell>
          <cell r="G298">
            <v>110.80500000000001</v>
          </cell>
          <cell r="H298" t="str">
            <v>Zhang et al., 2007</v>
          </cell>
          <cell r="L298">
            <v>4</v>
          </cell>
          <cell r="M298">
            <v>277</v>
          </cell>
          <cell r="N298">
            <v>0.12307692307692308</v>
          </cell>
          <cell r="O298">
            <v>0.12823539274255391</v>
          </cell>
          <cell r="P298">
            <v>0.16330327311803169</v>
          </cell>
          <cell r="Q298">
            <v>2.7538354308155716E-3</v>
          </cell>
          <cell r="R298">
            <v>5.6240175061873385</v>
          </cell>
          <cell r="S298">
            <v>1.6181592376297987E-3</v>
          </cell>
        </row>
        <row r="299">
          <cell r="C299">
            <v>80.290000000000006</v>
          </cell>
          <cell r="D299">
            <v>86</v>
          </cell>
          <cell r="E299">
            <v>531</v>
          </cell>
          <cell r="F299">
            <v>456.66</v>
          </cell>
          <cell r="G299">
            <v>90.007685999999978</v>
          </cell>
          <cell r="H299" t="str">
            <v>Qiao et al., 2011</v>
          </cell>
          <cell r="L299">
            <v>5</v>
          </cell>
          <cell r="M299">
            <v>281</v>
          </cell>
          <cell r="N299">
            <v>0.15384615384615385</v>
          </cell>
          <cell r="O299">
            <v>0.13949711594585953</v>
          </cell>
          <cell r="P299">
            <v>0.17473200808067837</v>
          </cell>
          <cell r="Q299">
            <v>2.8763441632412936E-3</v>
          </cell>
          <cell r="R299">
            <v>5.6383546693337454</v>
          </cell>
          <cell r="S299">
            <v>4.3621890710580582E-4</v>
          </cell>
        </row>
        <row r="300">
          <cell r="C300">
            <v>90.85</v>
          </cell>
          <cell r="D300">
            <v>84</v>
          </cell>
          <cell r="E300">
            <v>281</v>
          </cell>
          <cell r="F300">
            <v>236.04</v>
          </cell>
          <cell r="G300">
            <v>21.597660000000012</v>
          </cell>
          <cell r="H300" t="str">
            <v>Qiao et al., 2011</v>
          </cell>
          <cell r="L300">
            <v>6</v>
          </cell>
          <cell r="M300">
            <v>284</v>
          </cell>
          <cell r="N300">
            <v>0.18461538461538463</v>
          </cell>
          <cell r="O300">
            <v>0.14826034384076445</v>
          </cell>
          <cell r="P300">
            <v>0.18351672538249542</v>
          </cell>
          <cell r="Q300">
            <v>2.9653750134229153E-3</v>
          </cell>
          <cell r="R300">
            <v>5.6489742381612063</v>
          </cell>
          <cell r="S300">
            <v>1.2070521100127067E-6</v>
          </cell>
        </row>
        <row r="301">
          <cell r="C301">
            <v>70.599999999999994</v>
          </cell>
          <cell r="D301">
            <v>95.3</v>
          </cell>
          <cell r="E301">
            <v>415</v>
          </cell>
          <cell r="F301">
            <v>395.495</v>
          </cell>
          <cell r="G301">
            <v>116.27553000000002</v>
          </cell>
          <cell r="H301" t="str">
            <v>Browne and Murphy, 2013</v>
          </cell>
          <cell r="L301">
            <v>7</v>
          </cell>
          <cell r="M301">
            <v>288</v>
          </cell>
          <cell r="N301">
            <v>0.2153846153846154</v>
          </cell>
          <cell r="O301">
            <v>0.16035243208047298</v>
          </cell>
          <cell r="P301">
            <v>0.19549832710145959</v>
          </cell>
          <cell r="Q301">
            <v>3.0798187441439498E-3</v>
          </cell>
          <cell r="R301">
            <v>5.6629604801359461</v>
          </cell>
          <cell r="S301">
            <v>3.9546446168077992E-4</v>
          </cell>
        </row>
        <row r="302">
          <cell r="C302">
            <v>70.599999999999994</v>
          </cell>
          <cell r="D302">
            <v>95.3</v>
          </cell>
          <cell r="E302">
            <v>357</v>
          </cell>
          <cell r="F302">
            <v>340.221</v>
          </cell>
          <cell r="G302">
            <v>100.02497400000001</v>
          </cell>
          <cell r="H302" t="str">
            <v>Browne and Murphy, 2013</v>
          </cell>
          <cell r="L302">
            <v>8</v>
          </cell>
          <cell r="M302">
            <v>289</v>
          </cell>
          <cell r="N302">
            <v>0.24615384615384617</v>
          </cell>
          <cell r="O302">
            <v>0.16344617568837397</v>
          </cell>
          <cell r="P302">
            <v>0.19853960976478327</v>
          </cell>
          <cell r="Q302">
            <v>3.1076119387021314E-3</v>
          </cell>
          <cell r="R302">
            <v>5.6664266881124323</v>
          </cell>
          <cell r="S302">
            <v>2.2671155069135616E-3</v>
          </cell>
        </row>
        <row r="303">
          <cell r="C303">
            <v>75</v>
          </cell>
          <cell r="D303">
            <v>93</v>
          </cell>
          <cell r="E303">
            <v>338</v>
          </cell>
          <cell r="F303">
            <v>314.33999999999997</v>
          </cell>
          <cell r="G303">
            <v>78.584999999999994</v>
          </cell>
          <cell r="H303" t="str">
            <v>Mohan and Bindhu, 2008</v>
          </cell>
          <cell r="L303">
            <v>9</v>
          </cell>
          <cell r="M303">
            <v>294</v>
          </cell>
          <cell r="N303">
            <v>0.27692307692307694</v>
          </cell>
          <cell r="O303">
            <v>0.17932217840727624</v>
          </cell>
          <cell r="P303">
            <v>0.21400517320001369</v>
          </cell>
          <cell r="Q303">
            <v>3.2412823108439091E-3</v>
          </cell>
          <cell r="R303">
            <v>5.6835797673386814</v>
          </cell>
          <cell r="S303">
            <v>3.9586626089046558E-3</v>
          </cell>
        </row>
        <row r="304">
          <cell r="C304">
            <v>75</v>
          </cell>
          <cell r="D304">
            <v>93</v>
          </cell>
          <cell r="E304">
            <v>288</v>
          </cell>
          <cell r="F304">
            <v>267.83999999999997</v>
          </cell>
          <cell r="G304">
            <v>66.959999999999994</v>
          </cell>
          <cell r="H304" t="str">
            <v>Mohan and Bindhu, 2008</v>
          </cell>
          <cell r="L304">
            <v>10</v>
          </cell>
          <cell r="M304">
            <v>320</v>
          </cell>
          <cell r="N304">
            <v>0.30769230769230771</v>
          </cell>
          <cell r="O304">
            <v>0.27110548795519229</v>
          </cell>
          <cell r="P304">
            <v>0.29993093538616317</v>
          </cell>
          <cell r="Q304">
            <v>3.7690253672482731E-3</v>
          </cell>
          <cell r="R304">
            <v>5.768320995793772</v>
          </cell>
          <cell r="S304">
            <v>6.0238900074587455E-5</v>
          </cell>
        </row>
        <row r="305">
          <cell r="C305">
            <v>75</v>
          </cell>
          <cell r="D305">
            <v>93</v>
          </cell>
          <cell r="E305">
            <v>219</v>
          </cell>
          <cell r="F305">
            <v>203.67</v>
          </cell>
          <cell r="G305">
            <v>50.917499999999997</v>
          </cell>
          <cell r="H305" t="str">
            <v>Mohan and Bindhu, 2008</v>
          </cell>
          <cell r="L305">
            <v>11</v>
          </cell>
          <cell r="M305">
            <v>334</v>
          </cell>
          <cell r="N305">
            <v>0.33846153846153848</v>
          </cell>
          <cell r="O305">
            <v>0.32505911245000696</v>
          </cell>
          <cell r="P305">
            <v>0.34857259211461783</v>
          </cell>
          <cell r="Q305">
            <v>3.9229720892673811E-3</v>
          </cell>
          <cell r="R305">
            <v>5.8111409929767008</v>
          </cell>
          <cell r="S305">
            <v>1.0223340597544926E-4</v>
          </cell>
        </row>
        <row r="306">
          <cell r="C306">
            <v>71.5</v>
          </cell>
          <cell r="D306">
            <v>89</v>
          </cell>
          <cell r="E306">
            <v>344</v>
          </cell>
          <cell r="F306">
            <v>306.15999999999997</v>
          </cell>
          <cell r="G306">
            <v>87.255599999999987</v>
          </cell>
          <cell r="H306" t="str">
            <v>Davidsson et al., 2007</v>
          </cell>
          <cell r="L306">
            <v>12</v>
          </cell>
          <cell r="M306">
            <v>338</v>
          </cell>
          <cell r="N306">
            <v>0.36923076923076925</v>
          </cell>
          <cell r="O306">
            <v>0.34080715166944264</v>
          </cell>
          <cell r="P306">
            <v>0.36259661825640771</v>
          </cell>
          <cell r="Q306">
            <v>3.9497925167148989E-3</v>
          </cell>
          <cell r="R306">
            <v>5.8230458954830189</v>
          </cell>
          <cell r="S306">
            <v>4.401195915062219E-5</v>
          </cell>
        </row>
        <row r="307">
          <cell r="C307">
            <v>72</v>
          </cell>
          <cell r="D307">
            <v>87</v>
          </cell>
          <cell r="E307">
            <v>349</v>
          </cell>
          <cell r="F307">
            <v>303.63</v>
          </cell>
          <cell r="G307">
            <v>85.016400000000004</v>
          </cell>
          <cell r="H307" t="str">
            <v>Davidsson et al., 2007</v>
          </cell>
          <cell r="L307">
            <v>13</v>
          </cell>
          <cell r="M307">
            <v>344</v>
          </cell>
          <cell r="N307">
            <v>0.4</v>
          </cell>
          <cell r="O307">
            <v>0.36459301904220298</v>
          </cell>
          <cell r="P307">
            <v>0.3836614269675957</v>
          </cell>
          <cell r="Q307">
            <v>3.9760715468581918E-3</v>
          </cell>
          <cell r="R307">
            <v>5.8406416573733981</v>
          </cell>
          <cell r="S307">
            <v>2.6694896873520981E-4</v>
          </cell>
        </row>
        <row r="308">
          <cell r="C308">
            <v>71</v>
          </cell>
          <cell r="D308">
            <v>92</v>
          </cell>
          <cell r="E308">
            <v>275</v>
          </cell>
          <cell r="F308">
            <v>253</v>
          </cell>
          <cell r="G308">
            <v>73.36999999999999</v>
          </cell>
          <cell r="H308" t="str">
            <v>Davidsson et al., 2007</v>
          </cell>
          <cell r="L308">
            <v>14</v>
          </cell>
          <cell r="M308">
            <v>349</v>
          </cell>
          <cell r="N308">
            <v>0.43076923076923079</v>
          </cell>
          <cell r="O308">
            <v>0.38450165023319616</v>
          </cell>
          <cell r="P308">
            <v>0.40120029541518548</v>
          </cell>
          <cell r="Q308">
            <v>3.9855309331721864E-3</v>
          </cell>
          <cell r="R308">
            <v>5.855071922202427</v>
          </cell>
          <cell r="S308">
            <v>8.7432193797171078E-4</v>
          </cell>
        </row>
        <row r="309">
          <cell r="C309">
            <v>72</v>
          </cell>
          <cell r="D309">
            <v>92</v>
          </cell>
          <cell r="E309">
            <v>289</v>
          </cell>
          <cell r="F309">
            <v>265.88</v>
          </cell>
          <cell r="G309">
            <v>74.446400000000011</v>
          </cell>
          <cell r="H309" t="str">
            <v>Davidsson et al., 2007</v>
          </cell>
          <cell r="L309">
            <v>15</v>
          </cell>
          <cell r="M309">
            <v>357</v>
          </cell>
          <cell r="N309">
            <v>0.46153846153846156</v>
          </cell>
          <cell r="O309">
            <v>0.41637457661824018</v>
          </cell>
          <cell r="P309">
            <v>0.42913964077000055</v>
          </cell>
          <cell r="Q309">
            <v>3.978211923296537E-3</v>
          </cell>
          <cell r="R309">
            <v>5.8777357817796387</v>
          </cell>
          <cell r="S309">
            <v>1.0496835871868606E-3</v>
          </cell>
        </row>
        <row r="310">
          <cell r="H310" t="str">
            <v>Davidsson et al., 2007</v>
          </cell>
          <cell r="L310">
            <v>16</v>
          </cell>
          <cell r="M310">
            <v>362.77836691410397</v>
          </cell>
          <cell r="N310">
            <v>0.49230769230769234</v>
          </cell>
          <cell r="O310">
            <v>0.43930630621642985</v>
          </cell>
          <cell r="P310">
            <v>0.44915937308255383</v>
          </cell>
          <cell r="Q310">
            <v>3.9567028184042102E-3</v>
          </cell>
          <cell r="R310">
            <v>5.8937920883322388</v>
          </cell>
        </row>
        <row r="311">
          <cell r="H311" t="str">
            <v>Agyeman and Tao, 2014</v>
          </cell>
          <cell r="I311" t="str">
            <v>Used average MC and VS</v>
          </cell>
          <cell r="L311">
            <v>17</v>
          </cell>
          <cell r="M311">
            <v>394.36170212765956</v>
          </cell>
          <cell r="N311">
            <v>0.52307692307692311</v>
          </cell>
          <cell r="O311">
            <v>0.56006970023844227</v>
          </cell>
          <cell r="P311">
            <v>0.5541748462366699</v>
          </cell>
          <cell r="Q311">
            <v>3.6406966038760387E-3</v>
          </cell>
          <cell r="R311">
            <v>5.9772685138747743</v>
          </cell>
        </row>
        <row r="312">
          <cell r="H312" t="str">
            <v>Agyeman and Tao, 2015</v>
          </cell>
          <cell r="I312" t="str">
            <v>Used average MC and VS</v>
          </cell>
          <cell r="L312">
            <v>18</v>
          </cell>
          <cell r="M312">
            <v>406.04453870625662</v>
          </cell>
          <cell r="N312">
            <v>0.55384615384615388</v>
          </cell>
          <cell r="O312">
            <v>0.60157283812804163</v>
          </cell>
          <cell r="P312">
            <v>0.590389109292347</v>
          </cell>
          <cell r="Q312">
            <v>3.4600070784080094E-3</v>
          </cell>
          <cell r="R312">
            <v>6.0064628548319288</v>
          </cell>
        </row>
        <row r="313">
          <cell r="H313" t="str">
            <v>Agyeman and Tao, 2016</v>
          </cell>
          <cell r="I313" t="str">
            <v>Used average MC and VS</v>
          </cell>
          <cell r="L313">
            <v>19</v>
          </cell>
          <cell r="M313">
            <v>415</v>
          </cell>
          <cell r="N313">
            <v>0.58461538461538465</v>
          </cell>
          <cell r="O313">
            <v>0.63187918681054966</v>
          </cell>
          <cell r="P313">
            <v>0.6169728778817839</v>
          </cell>
          <cell r="Q313">
            <v>3.3063961545088572E-3</v>
          </cell>
          <cell r="R313">
            <v>6.0282785202306979</v>
          </cell>
        </row>
        <row r="314">
          <cell r="H314" t="str">
            <v>Gray et al., 2008</v>
          </cell>
          <cell r="L314">
            <v>20</v>
          </cell>
          <cell r="M314">
            <v>426.6226622662266</v>
          </cell>
          <cell r="N314">
            <v>0.61538461538461542</v>
          </cell>
          <cell r="O314">
            <v>0.66908322203601633</v>
          </cell>
          <cell r="P314">
            <v>0.64984248376778775</v>
          </cell>
          <cell r="Q314">
            <v>3.0935342061192291E-3</v>
          </cell>
          <cell r="R314">
            <v>6.0558999276132095</v>
          </cell>
        </row>
        <row r="315">
          <cell r="H315" t="str">
            <v>Staley et al., 2006</v>
          </cell>
          <cell r="I315" t="str">
            <v>%VS and MC Not reported; Average of reported studies used.</v>
          </cell>
          <cell r="L315">
            <v>21</v>
          </cell>
          <cell r="M315">
            <v>445</v>
          </cell>
          <cell r="N315">
            <v>0.64615384615384619</v>
          </cell>
          <cell r="O315">
            <v>0.72270890296785495</v>
          </cell>
          <cell r="P315">
            <v>0.69786695172734592</v>
          </cell>
          <cell r="Q315">
            <v>2.7406792672523303E-3</v>
          </cell>
          <cell r="R315">
            <v>6.0980742821662401</v>
          </cell>
        </row>
        <row r="316">
          <cell r="H316" t="str">
            <v xml:space="preserve">Lopez, 2015 </v>
          </cell>
          <cell r="I316" t="str">
            <v>Grocery Store Shredded</v>
          </cell>
          <cell r="L316">
            <v>22</v>
          </cell>
          <cell r="M316">
            <v>454.55531453362255</v>
          </cell>
          <cell r="N316">
            <v>0.67692307692307696</v>
          </cell>
          <cell r="O316">
            <v>0.74801167376524935</v>
          </cell>
          <cell r="P316">
            <v>0.72088269739417776</v>
          </cell>
          <cell r="Q316">
            <v>2.5555570134391426E-3</v>
          </cell>
          <cell r="R316">
            <v>6.1193196103565688</v>
          </cell>
        </row>
        <row r="317">
          <cell r="H317" t="str">
            <v>Lopez, 2015</v>
          </cell>
          <cell r="I317" t="str">
            <v>Grocery Store Pumpable</v>
          </cell>
          <cell r="L317">
            <v>23</v>
          </cell>
          <cell r="M317">
            <v>470</v>
          </cell>
          <cell r="N317">
            <v>0.70769230769230773</v>
          </cell>
          <cell r="O317">
            <v>0.78520034241657588</v>
          </cell>
          <cell r="P317">
            <v>0.75526047291419141</v>
          </cell>
          <cell r="Q317">
            <v>2.2618434678349487E-3</v>
          </cell>
          <cell r="R317">
            <v>6.1527326947041043</v>
          </cell>
        </row>
        <row r="318">
          <cell r="H318" t="str">
            <v>Lopez, 2015</v>
          </cell>
          <cell r="I318" t="str">
            <v>Dining Hall Shredded</v>
          </cell>
          <cell r="L318">
            <v>24</v>
          </cell>
          <cell r="M318">
            <v>472</v>
          </cell>
          <cell r="N318">
            <v>0.7384615384615385</v>
          </cell>
          <cell r="O318">
            <v>0.78968680791757406</v>
          </cell>
          <cell r="P318">
            <v>0.75946010136650655</v>
          </cell>
          <cell r="Q318">
            <v>2.224661732917221E-3</v>
          </cell>
          <cell r="R318">
            <v>6.156978985585555</v>
          </cell>
        </row>
        <row r="319">
          <cell r="C319">
            <v>71.900000000000006</v>
          </cell>
          <cell r="D319">
            <v>94.3</v>
          </cell>
          <cell r="E319">
            <v>406.04453870625662</v>
          </cell>
          <cell r="F319">
            <v>382.9</v>
          </cell>
          <cell r="G319">
            <v>107.59489999999997</v>
          </cell>
          <cell r="H319" t="str">
            <v>Lopez, 2015</v>
          </cell>
          <cell r="I319" t="str">
            <v>Dining Hall Pumpable</v>
          </cell>
          <cell r="L319">
            <v>25</v>
          </cell>
          <cell r="M319">
            <v>482</v>
          </cell>
          <cell r="N319">
            <v>0.76923076923076927</v>
          </cell>
          <cell r="O319">
            <v>0.81101778175082229</v>
          </cell>
          <cell r="P319">
            <v>0.77960830874621445</v>
          </cell>
          <cell r="Q319">
            <v>2.0426865948185084E-3</v>
          </cell>
          <cell r="R319">
            <v>6.1779441140506002</v>
          </cell>
          <cell r="S319">
            <v>1.0769332639462613E-4</v>
          </cell>
        </row>
        <row r="320">
          <cell r="C320">
            <v>72.7</v>
          </cell>
          <cell r="D320">
            <v>96.1</v>
          </cell>
          <cell r="E320">
            <v>515.60874089490119</v>
          </cell>
          <cell r="F320">
            <v>495.5</v>
          </cell>
          <cell r="G320">
            <v>135.27149999999997</v>
          </cell>
          <cell r="H320" t="str">
            <v>Lopez, 2015</v>
          </cell>
          <cell r="I320" t="str">
            <v>Hotel Shredded</v>
          </cell>
          <cell r="L320">
            <v>26</v>
          </cell>
          <cell r="M320">
            <v>489</v>
          </cell>
          <cell r="N320">
            <v>0.8</v>
          </cell>
          <cell r="O320">
            <v>0.82488401057044847</v>
          </cell>
          <cell r="P320">
            <v>0.79288443922146645</v>
          </cell>
          <cell r="Q320">
            <v>1.9197507862894587E-3</v>
          </cell>
          <cell r="R320">
            <v>6.1923624894748723</v>
          </cell>
          <cell r="S320">
            <v>5.0631205193005576E-5</v>
          </cell>
        </row>
        <row r="321">
          <cell r="C321">
            <v>73.2</v>
          </cell>
          <cell r="D321">
            <v>96.1</v>
          </cell>
          <cell r="E321">
            <v>507.7003121748179</v>
          </cell>
          <cell r="F321">
            <v>487.9</v>
          </cell>
          <cell r="G321">
            <v>130.75719999999998</v>
          </cell>
          <cell r="H321" t="str">
            <v>Lopez, 2015</v>
          </cell>
          <cell r="I321" t="str">
            <v>Hotel Pumpable</v>
          </cell>
          <cell r="L321">
            <v>27</v>
          </cell>
          <cell r="M321">
            <v>507.7003121748179</v>
          </cell>
          <cell r="N321">
            <v>0.83076923076923082</v>
          </cell>
          <cell r="O321">
            <v>0.85785983699499391</v>
          </cell>
          <cell r="P321">
            <v>0.82514677132805858</v>
          </cell>
          <cell r="Q321">
            <v>1.6123912764733359E-3</v>
          </cell>
          <cell r="R321">
            <v>6.2298913368336359</v>
          </cell>
          <cell r="S321">
            <v>3.1612050167626789E-5</v>
          </cell>
        </row>
        <row r="322">
          <cell r="C322">
            <v>84.5</v>
          </cell>
          <cell r="D322">
            <v>90.9</v>
          </cell>
          <cell r="E322">
            <v>426.6226622662266</v>
          </cell>
          <cell r="F322">
            <v>387.8</v>
          </cell>
          <cell r="G322">
            <v>60.109000000000002</v>
          </cell>
          <cell r="H322" t="str">
            <v>Lopez, 2015</v>
          </cell>
          <cell r="I322" t="str">
            <v>Restaurant Shredded</v>
          </cell>
          <cell r="L322">
            <v>28</v>
          </cell>
          <cell r="M322">
            <v>512.31422505307853</v>
          </cell>
          <cell r="N322">
            <v>0.86153846153846159</v>
          </cell>
          <cell r="O322">
            <v>0.86513531206764416</v>
          </cell>
          <cell r="P322">
            <v>0.83241942721277995</v>
          </cell>
          <cell r="Q322">
            <v>1.5416704873522479E-3</v>
          </cell>
          <cell r="R322">
            <v>6.2389381575967056</v>
          </cell>
          <cell r="S322">
            <v>8.479181600602254E-4</v>
          </cell>
        </row>
        <row r="323">
          <cell r="C323">
            <v>72</v>
          </cell>
          <cell r="D323">
            <v>88</v>
          </cell>
          <cell r="E323">
            <v>420</v>
          </cell>
          <cell r="F323">
            <v>370</v>
          </cell>
          <cell r="G323">
            <v>103</v>
          </cell>
          <cell r="H323" t="str">
            <v>EBMUD, 2008</v>
          </cell>
          <cell r="L323">
            <v>29</v>
          </cell>
          <cell r="M323">
            <v>515.60874089490119</v>
          </cell>
          <cell r="N323">
            <v>0.89230769230769236</v>
          </cell>
          <cell r="O323">
            <v>0.87013302158172035</v>
          </cell>
          <cell r="P323">
            <v>0.8374527220148541</v>
          </cell>
          <cell r="Q323">
            <v>1.4924672940611024E-3</v>
          </cell>
          <cell r="R323">
            <v>6.2453482237818871</v>
          </cell>
          <cell r="S323">
            <v>3.0090677658281676E-3</v>
          </cell>
        </row>
        <row r="324">
          <cell r="C324">
            <v>92.6</v>
          </cell>
          <cell r="D324">
            <v>88.1</v>
          </cell>
          <cell r="E324">
            <v>300</v>
          </cell>
          <cell r="F324">
            <v>264.29999999999995</v>
          </cell>
          <cell r="G324">
            <v>19.55820000000001</v>
          </cell>
          <cell r="H324" t="str">
            <v>Lin et al., 2011</v>
          </cell>
          <cell r="I324" t="str">
            <v>Fruit and vegetable waste</v>
          </cell>
          <cell r="L324">
            <v>30</v>
          </cell>
          <cell r="M324">
            <v>531</v>
          </cell>
          <cell r="N324">
            <v>0.92307692307692313</v>
          </cell>
          <cell r="O324">
            <v>0.89141595159060172</v>
          </cell>
          <cell r="P324">
            <v>0.85927470327256117</v>
          </cell>
          <cell r="Q324">
            <v>1.277124157227214E-3</v>
          </cell>
          <cell r="R324">
            <v>6.2747620212419388</v>
          </cell>
          <cell r="S324">
            <v>4.0707232519641172E-3</v>
          </cell>
        </row>
        <row r="325">
          <cell r="C325">
            <v>77.900000000000006</v>
          </cell>
          <cell r="D325">
            <v>92.5</v>
          </cell>
          <cell r="E325">
            <v>560</v>
          </cell>
          <cell r="F325">
            <v>518</v>
          </cell>
          <cell r="G325">
            <v>114.47799999999997</v>
          </cell>
          <cell r="H325" t="str">
            <v>Lin et al., 2011</v>
          </cell>
          <cell r="I325" t="str">
            <v>Food waste</v>
          </cell>
          <cell r="L325">
            <v>31</v>
          </cell>
          <cell r="M325">
            <v>560</v>
          </cell>
          <cell r="N325">
            <v>0.9538461538461539</v>
          </cell>
          <cell r="O325">
            <v>0.92330545342296699</v>
          </cell>
          <cell r="P325">
            <v>0.89347757048209309</v>
          </cell>
          <cell r="Q325">
            <v>9.3596195181216751E-4</v>
          </cell>
          <cell r="R325">
            <v>6.3279367837291947</v>
          </cell>
          <cell r="S325">
            <v>3.6443658573835601E-3</v>
          </cell>
        </row>
        <row r="326">
          <cell r="C326">
            <v>72</v>
          </cell>
          <cell r="D326">
            <v>86.071428571428569</v>
          </cell>
          <cell r="E326">
            <v>657</v>
          </cell>
          <cell r="F326">
            <v>565.48928571428576</v>
          </cell>
          <cell r="G326">
            <v>158.33700000000002</v>
          </cell>
          <cell r="H326" t="str">
            <v>El-Mashad and Zhang, 2010</v>
          </cell>
          <cell r="L326">
            <v>32</v>
          </cell>
          <cell r="M326">
            <v>630</v>
          </cell>
          <cell r="N326">
            <v>0.98461538461538467</v>
          </cell>
          <cell r="O326">
            <v>0.96830318949721628</v>
          </cell>
          <cell r="P326">
            <v>0.94714024039747557</v>
          </cell>
          <cell r="Q326">
            <v>4.1147682870737489E-4</v>
          </cell>
          <cell r="R326">
            <v>6.4457198193855785</v>
          </cell>
          <cell r="S326">
            <v>1.4043864341530855E-3</v>
          </cell>
        </row>
        <row r="327">
          <cell r="C327">
            <v>88.3</v>
          </cell>
          <cell r="D327">
            <v>92.307692307692307</v>
          </cell>
          <cell r="E327">
            <v>464</v>
          </cell>
          <cell r="F327">
            <v>428.30769230769226</v>
          </cell>
          <cell r="G327">
            <v>50.112000000000009</v>
          </cell>
          <cell r="H327" t="str">
            <v>Chu et al., 2008</v>
          </cell>
          <cell r="M327">
            <v>650</v>
          </cell>
          <cell r="O327">
            <v>0.97559155132828268</v>
          </cell>
          <cell r="P327">
            <v>0.95697156660003624</v>
          </cell>
          <cell r="Q327">
            <v>3.2080383286044357E-4</v>
          </cell>
          <cell r="R327">
            <v>6.4769723628896827</v>
          </cell>
        </row>
        <row r="328">
          <cell r="C328">
            <v>85.3</v>
          </cell>
          <cell r="D328">
            <v>92.2</v>
          </cell>
          <cell r="E328">
            <v>454.55531453362255</v>
          </cell>
          <cell r="F328">
            <v>419.1</v>
          </cell>
          <cell r="G328">
            <v>61.607700000000008</v>
          </cell>
          <cell r="H328" t="str">
            <v>Lopez, 2015</v>
          </cell>
          <cell r="I328" t="str">
            <v>Restaurant Pumpable</v>
          </cell>
          <cell r="M328">
            <v>700</v>
          </cell>
          <cell r="O328">
            <v>0.98745317944524535</v>
          </cell>
          <cell r="P328">
            <v>0.97446838983491935</v>
          </cell>
          <cell r="Q328">
            <v>1.6882029844628659E-4</v>
          </cell>
          <cell r="R328">
            <v>6.5510803350434044</v>
          </cell>
        </row>
        <row r="329">
          <cell r="B329" t="str">
            <v>Min</v>
          </cell>
          <cell r="C329">
            <v>47</v>
          </cell>
          <cell r="D329">
            <v>83</v>
          </cell>
          <cell r="E329">
            <v>219</v>
          </cell>
          <cell r="F329">
            <v>203.67</v>
          </cell>
          <cell r="G329">
            <v>11.634</v>
          </cell>
          <cell r="M329">
            <v>750</v>
          </cell>
          <cell r="O329">
            <v>0.99363274193139006</v>
          </cell>
          <cell r="P329">
            <v>0.98496413474235922</v>
          </cell>
          <cell r="Q329">
            <v>8.6985109712747996E-5</v>
          </cell>
          <cell r="R329">
            <v>6.620073206530356</v>
          </cell>
        </row>
        <row r="330">
          <cell r="B330" t="str">
            <v>Max</v>
          </cell>
          <cell r="C330">
            <v>95</v>
          </cell>
          <cell r="D330">
            <v>99</v>
          </cell>
          <cell r="E330">
            <v>657</v>
          </cell>
          <cell r="F330">
            <v>575.66328671328665</v>
          </cell>
          <cell r="G330">
            <v>247.79620000000003</v>
          </cell>
          <cell r="M330">
            <v>800</v>
          </cell>
          <cell r="O330">
            <v>0.9967950804719713</v>
          </cell>
          <cell r="P330">
            <v>0.99118391419953045</v>
          </cell>
          <cell r="Q330">
            <v>4.4183474013454329E-5</v>
          </cell>
          <cell r="R330">
            <v>6.6846117276679271</v>
          </cell>
        </row>
        <row r="331">
          <cell r="B331" t="str">
            <v>Mean</v>
          </cell>
          <cell r="C331">
            <v>75.948125000000019</v>
          </cell>
          <cell r="D331">
            <v>91.375124875124868</v>
          </cell>
          <cell r="E331">
            <v>404.02664493704515</v>
          </cell>
          <cell r="F331">
            <v>369.37594815994811</v>
          </cell>
          <cell r="G331">
            <v>89.535851591424603</v>
          </cell>
        </row>
        <row r="332">
          <cell r="B332" t="str">
            <v>Median</v>
          </cell>
          <cell r="C332">
            <v>72.95</v>
          </cell>
          <cell r="D332">
            <v>92.307692307692307</v>
          </cell>
          <cell r="E332">
            <v>406.04453870625662</v>
          </cell>
          <cell r="F332">
            <v>370</v>
          </cell>
          <cell r="G332">
            <v>87.255599999999987</v>
          </cell>
        </row>
        <row r="333">
          <cell r="B333" t="str">
            <v>StDev</v>
          </cell>
          <cell r="C333">
            <v>9.6539821091875169</v>
          </cell>
          <cell r="D333">
            <v>4.1213512624964412</v>
          </cell>
          <cell r="E333">
            <v>111.92099588352585</v>
          </cell>
          <cell r="F333">
            <v>103.28795762733341</v>
          </cell>
          <cell r="G333">
            <v>43.214347959416429</v>
          </cell>
        </row>
        <row r="336">
          <cell r="A336" t="str">
            <v>N2O Emissions and Fertilizer Emissions Factors Reported by Brown et al. (2010)</v>
          </cell>
        </row>
        <row r="338">
          <cell r="B338" t="str">
            <v>N loss as N2O after land application</v>
          </cell>
          <cell r="C338" t="str">
            <v>Fertilizer</v>
          </cell>
        </row>
        <row r="339">
          <cell r="B339" t="str">
            <v>Kim, S. and B.E. Dale. 2008.</v>
          </cell>
          <cell r="C339">
            <v>6</v>
          </cell>
        </row>
        <row r="340">
          <cell r="B340" t="str">
            <v>Scott, A., B.C. Ball, I.J. Crichton, and M.N. Aitken. 2000.</v>
          </cell>
          <cell r="C340">
            <v>0.2</v>
          </cell>
        </row>
        <row r="341">
          <cell r="B341" t="str">
            <v>Jones, S.K., R.M. Rees, U.M. Skiba, and B.C. Ball. 2007.</v>
          </cell>
          <cell r="C341">
            <v>0.75</v>
          </cell>
        </row>
        <row r="342">
          <cell r="B342" t="str">
            <v>Ball, B.C., I.P. McTaggart and A. Scott. 2004.</v>
          </cell>
          <cell r="C342">
            <v>5.8</v>
          </cell>
        </row>
        <row r="343">
          <cell r="B343" t="str">
            <v>Peterson, S.O. 1999.</v>
          </cell>
          <cell r="C343">
            <v>0.24</v>
          </cell>
        </row>
        <row r="344">
          <cell r="B344" t="str">
            <v>Rochette, P. E. Prévost, D.A. Angers, D. Côté and N. Betrand. 2000.</v>
          </cell>
          <cell r="C344">
            <v>0.62</v>
          </cell>
        </row>
        <row r="345">
          <cell r="B345" t="str">
            <v>Average</v>
          </cell>
          <cell r="C345">
            <v>2.2683333333333331</v>
          </cell>
        </row>
        <row r="347">
          <cell r="B347" t="str">
            <v>The values reported below do not appear to include the N2O emissions associated with N fertilizer production, so the value of 8.9 kg CO2e/kg NC reported by Boldrin et al. (2009) was used.</v>
          </cell>
        </row>
      </sheetData>
      <sheetData sheetId="6" refreshError="1">
        <row r="6">
          <cell r="B6" t="str">
            <v>Calculations</v>
          </cell>
        </row>
        <row r="8">
          <cell r="B8" t="str">
            <v>Material</v>
          </cell>
          <cell r="C8" t="str">
            <v>Food Waste</v>
          </cell>
          <cell r="D8" t="str">
            <v>Branches</v>
          </cell>
          <cell r="E8" t="str">
            <v>Grass</v>
          </cell>
          <cell r="F8" t="str">
            <v>Leaves</v>
          </cell>
          <cell r="G8" t="str">
            <v>Mixed Yard Trimmings</v>
          </cell>
          <cell r="H8" t="str">
            <v>Mixed Organics</v>
          </cell>
          <cell r="I8" t="str">
            <v>Total</v>
          </cell>
        </row>
        <row r="9">
          <cell r="B9" t="str">
            <v>Abbreviation</v>
          </cell>
          <cell r="C9" t="str">
            <v>FW</v>
          </cell>
          <cell r="D9" t="str">
            <v>BRAN</v>
          </cell>
          <cell r="E9" t="str">
            <v>GRASS</v>
          </cell>
          <cell r="F9" t="str">
            <v>LEAF</v>
          </cell>
          <cell r="G9" t="str">
            <v>MIXYW</v>
          </cell>
          <cell r="H9" t="str">
            <v>MXOR</v>
          </cell>
        </row>
        <row r="10">
          <cell r="B10" t="str">
            <v>Incoming Mass (from WARM) (Name: _Mass)</v>
          </cell>
          <cell r="C10">
            <v>1</v>
          </cell>
          <cell r="D10">
            <v>1</v>
          </cell>
          <cell r="E10">
            <v>1</v>
          </cell>
          <cell r="F10">
            <v>1</v>
          </cell>
          <cell r="G10">
            <v>1</v>
          </cell>
          <cell r="H10">
            <v>1</v>
          </cell>
          <cell r="I10">
            <v>2</v>
          </cell>
        </row>
        <row r="11">
          <cell r="B11" t="str">
            <v>Yard Trimmings Mix (Source: WARM Documentation)</v>
          </cell>
          <cell r="D11">
            <v>0.25</v>
          </cell>
          <cell r="E11">
            <v>0.5</v>
          </cell>
          <cell r="F11">
            <v>0.25</v>
          </cell>
        </row>
        <row r="12">
          <cell r="B12" t="str">
            <v>Mixed Organics Mix  (Source: WARM Documentation)</v>
          </cell>
          <cell r="C12">
            <v>0.5200673589671625</v>
          </cell>
          <cell r="D12">
            <v>0.11998316025820938</v>
          </cell>
          <cell r="E12">
            <v>0.23996632051641875</v>
          </cell>
          <cell r="F12">
            <v>0.11998316025820938</v>
          </cell>
        </row>
        <row r="14">
          <cell r="B14" t="str">
            <v>Material Properties</v>
          </cell>
          <cell r="E14" t="str">
            <v>Will need to be hooked up to Barlaz tab?</v>
          </cell>
        </row>
        <row r="15">
          <cell r="B15" t="str">
            <v>Parameter</v>
          </cell>
          <cell r="C15" t="str">
            <v>Name</v>
          </cell>
          <cell r="D15" t="str">
            <v>Units</v>
          </cell>
          <cell r="E15" t="str">
            <v>Food waste (FW_)</v>
          </cell>
          <cell r="F15" t="str">
            <v>Branches (BRAN_)</v>
          </cell>
          <cell r="G15" t="str">
            <v>Grass (GRASS_)</v>
          </cell>
          <cell r="H15" t="str">
            <v>Leaves (LEAF_)</v>
          </cell>
          <cell r="I15" t="str">
            <v>Source</v>
          </cell>
          <cell r="O15" t="str">
            <v xml:space="preserve">Region </v>
          </cell>
          <cell r="P15">
            <v>1</v>
          </cell>
        </row>
        <row r="16">
          <cell r="B16" t="str">
            <v>Moisture content</v>
          </cell>
          <cell r="C16" t="str">
            <v>MC</v>
          </cell>
          <cell r="D16" t="str">
            <v>%ww</v>
          </cell>
          <cell r="E16">
            <v>72.2</v>
          </cell>
          <cell r="F16">
            <v>15.9</v>
          </cell>
          <cell r="G16">
            <v>82</v>
          </cell>
          <cell r="H16">
            <v>32.200000000000003</v>
          </cell>
          <cell r="I16" t="str">
            <v>See Material Properties Sheet</v>
          </cell>
        </row>
        <row r="17">
          <cell r="B17" t="str">
            <v>Initial carbon content</v>
          </cell>
          <cell r="C17" t="str">
            <v>CCont</v>
          </cell>
          <cell r="D17" t="str">
            <v>%TS</v>
          </cell>
          <cell r="E17">
            <v>49.460000000000008</v>
          </cell>
          <cell r="F17">
            <v>49.4</v>
          </cell>
          <cell r="G17">
            <v>44.9</v>
          </cell>
          <cell r="H17">
            <v>45.5</v>
          </cell>
          <cell r="I17" t="str">
            <v>See Material Properties Sheet</v>
          </cell>
        </row>
        <row r="18">
          <cell r="B18" t="str">
            <v>Initial nitrogen content</v>
          </cell>
          <cell r="C18" t="str">
            <v>NCont</v>
          </cell>
          <cell r="D18" t="str">
            <v>%TS</v>
          </cell>
          <cell r="E18">
            <v>3.8</v>
          </cell>
          <cell r="F18">
            <v>0.8</v>
          </cell>
          <cell r="G18">
            <v>3.4</v>
          </cell>
          <cell r="H18">
            <v>0.9</v>
          </cell>
          <cell r="O18" t="str">
            <v xml:space="preserve">Avoided Utility Emission Factor for Regions including transmission and distribution losses </v>
          </cell>
          <cell r="S18" t="str">
            <v>Region</v>
          </cell>
          <cell r="T18" t="str">
            <v>kg CO2e/MMBtu</v>
          </cell>
          <cell r="U18" t="str">
            <v>kg CO2e/kWh</v>
          </cell>
        </row>
        <row r="19">
          <cell r="B19" t="str">
            <v>Initial phosphorus content</v>
          </cell>
          <cell r="C19" t="str">
            <v>PCont</v>
          </cell>
          <cell r="D19" t="str">
            <v>%TS</v>
          </cell>
          <cell r="E19">
            <v>0.51</v>
          </cell>
          <cell r="F19">
            <v>0.19800000000000001</v>
          </cell>
          <cell r="G19">
            <v>0.19800000000000001</v>
          </cell>
          <cell r="H19">
            <v>0.19800000000000001</v>
          </cell>
          <cell r="O19" t="str">
            <v>Emission Factor for non-baseload utility-generated electricity- National Average</v>
          </cell>
          <cell r="S19">
            <v>1</v>
          </cell>
          <cell r="T19">
            <v>221.04985470168521</v>
          </cell>
          <cell r="U19">
            <v>0.75422210424214997</v>
          </cell>
        </row>
        <row r="20">
          <cell r="B20" t="str">
            <v>VS content</v>
          </cell>
          <cell r="C20" t="str">
            <v>VS</v>
          </cell>
          <cell r="D20" t="str">
            <v>%TS</v>
          </cell>
          <cell r="E20">
            <v>95.6</v>
          </cell>
          <cell r="F20">
            <v>90.6</v>
          </cell>
          <cell r="G20">
            <v>86.4</v>
          </cell>
          <cell r="H20">
            <v>90.2</v>
          </cell>
          <cell r="I20" t="str">
            <v>See Material Properties Sheet</v>
          </cell>
          <cell r="O20" t="str">
            <v>Emission Factor for non-baseload utility-generated electricity- Pacific</v>
          </cell>
          <cell r="S20">
            <v>2</v>
          </cell>
          <cell r="T20">
            <v>151.23340139207281</v>
          </cell>
          <cell r="U20">
            <v>0.51600836554975249</v>
          </cell>
        </row>
        <row r="21">
          <cell r="B21" t="str">
            <v>Methane potential</v>
          </cell>
          <cell r="C21" t="str">
            <v>L0</v>
          </cell>
          <cell r="D21" t="str">
            <v>m3/dry Mg</v>
          </cell>
          <cell r="E21">
            <v>369</v>
          </cell>
          <cell r="F21">
            <v>106</v>
          </cell>
          <cell r="G21">
            <v>194.8</v>
          </cell>
          <cell r="H21">
            <v>65.3</v>
          </cell>
          <cell r="I21" t="str">
            <v>See Material Properties Sheet</v>
          </cell>
          <cell r="O21" t="str">
            <v>Emission Factor for non-baseload utility-generated electricity- Mountain</v>
          </cell>
          <cell r="S21">
            <v>3</v>
          </cell>
          <cell r="T21">
            <v>229.9196632451557</v>
          </cell>
          <cell r="U21">
            <v>0.78448589099247135</v>
          </cell>
        </row>
        <row r="22">
          <cell r="B22" t="str">
            <v>Percent of final methane yield reached</v>
          </cell>
          <cell r="C22" t="str">
            <v>L0_Frac</v>
          </cell>
          <cell r="D22" t="str">
            <v>%</v>
          </cell>
          <cell r="E22">
            <v>90</v>
          </cell>
          <cell r="F22">
            <v>50</v>
          </cell>
          <cell r="G22">
            <v>90</v>
          </cell>
          <cell r="H22">
            <v>50</v>
          </cell>
          <cell r="I22" t="str">
            <v>Møller, et al. (2009) used 70%</v>
          </cell>
          <cell r="O22" t="str">
            <v>Emission Factor for non-baseload utility-generated electricity- West North Central</v>
          </cell>
          <cell r="S22">
            <v>4</v>
          </cell>
          <cell r="T22">
            <v>294.02591650444498</v>
          </cell>
          <cell r="U22">
            <v>1.0032164271131663</v>
          </cell>
        </row>
        <row r="23">
          <cell r="B23" t="str">
            <v>VS destruction</v>
          </cell>
          <cell r="C23" t="str">
            <v>VS_loss</v>
          </cell>
          <cell r="D23" t="str">
            <v>%</v>
          </cell>
          <cell r="E23">
            <v>75</v>
          </cell>
          <cell r="F23">
            <v>47.5</v>
          </cell>
          <cell r="G23">
            <v>75</v>
          </cell>
          <cell r="H23">
            <v>47.5</v>
          </cell>
          <cell r="I23" t="str">
            <v>EBMUD (2008). Used mesophilic FW value for food and grass. Used average municipal wastewater for branches and leaves.</v>
          </cell>
          <cell r="O23" t="str">
            <v>Emission Factor for non-baseload utility-generated electricity- West South Central</v>
          </cell>
          <cell r="S23">
            <v>5</v>
          </cell>
          <cell r="T23">
            <v>192.60549851189245</v>
          </cell>
          <cell r="U23">
            <v>0.65716996092257707</v>
          </cell>
        </row>
        <row r="24">
          <cell r="O24" t="str">
            <v>Emission Factor for non-baseload utility-generated electricity- East North Central</v>
          </cell>
          <cell r="S24">
            <v>6</v>
          </cell>
          <cell r="T24">
            <v>265.22854722507896</v>
          </cell>
          <cell r="U24">
            <v>0.90495980313196933</v>
          </cell>
        </row>
        <row r="25">
          <cell r="B25" t="str">
            <v>Energy Operational Parameters</v>
          </cell>
          <cell r="J25" t="str">
            <v>Constants</v>
          </cell>
          <cell r="O25" t="str">
            <v>Emission Factor for non-baseload utility-generated electricity- East South Central</v>
          </cell>
          <cell r="S25">
            <v>7</v>
          </cell>
          <cell r="T25">
            <v>237.15816559132435</v>
          </cell>
          <cell r="U25">
            <v>0.80918366099759864</v>
          </cell>
        </row>
        <row r="26">
          <cell r="B26" t="str">
            <v>Parameter</v>
          </cell>
          <cell r="C26" t="str">
            <v>Name</v>
          </cell>
          <cell r="D26" t="str">
            <v>Units</v>
          </cell>
          <cell r="E26" t="str">
            <v>Value</v>
          </cell>
          <cell r="F26" t="str">
            <v>Source</v>
          </cell>
          <cell r="I26" t="str">
            <v>Parameter</v>
          </cell>
          <cell r="J26" t="str">
            <v>Name</v>
          </cell>
          <cell r="K26" t="str">
            <v>Value</v>
          </cell>
          <cell r="L26" t="str">
            <v>Units</v>
          </cell>
          <cell r="M26" t="str">
            <v>Source</v>
          </cell>
          <cell r="O26" t="str">
            <v>Emission Factor for non-baseload utility-generated electricity- New England</v>
          </cell>
          <cell r="S26">
            <v>8</v>
          </cell>
          <cell r="T26">
            <v>156.19423495410302</v>
          </cell>
          <cell r="U26">
            <v>0.53293472966339961</v>
          </cell>
        </row>
        <row r="27">
          <cell r="B27" t="str">
            <v>Percent methane loss to leaks</v>
          </cell>
          <cell r="C27" t="str">
            <v>PerLeaked</v>
          </cell>
          <cell r="D27" t="str">
            <v>%</v>
          </cell>
          <cell r="E27">
            <v>2</v>
          </cell>
          <cell r="F27" t="str">
            <v>WERF, 2012; Sanscartier et al. 2012 reports (2-5%)</v>
          </cell>
          <cell r="I27" t="str">
            <v>Methane LHV</v>
          </cell>
          <cell r="J27" t="str">
            <v>CH4_LHV</v>
          </cell>
          <cell r="K27">
            <v>50</v>
          </cell>
          <cell r="L27" t="str">
            <v>MJ/kg</v>
          </cell>
          <cell r="O27" t="str">
            <v>Emission Factor for non-baseload utility-generated electricity- Mid Atlantic</v>
          </cell>
          <cell r="S27">
            <v>9</v>
          </cell>
          <cell r="T27">
            <v>202.77902003988859</v>
          </cell>
          <cell r="U27">
            <v>0.69188201637609992</v>
          </cell>
        </row>
        <row r="28">
          <cell r="B28" t="str">
            <v>Electricity generation downtime (gas flared)</v>
          </cell>
          <cell r="C28" t="str">
            <v>PerFlared</v>
          </cell>
          <cell r="D28" t="str">
            <v>%</v>
          </cell>
          <cell r="E28">
            <v>15</v>
          </cell>
          <cell r="F28" t="str">
            <v>U.S. EPA (2013)</v>
          </cell>
          <cell r="I28" t="str">
            <v>Molecular mass of methane</v>
          </cell>
          <cell r="J28" t="str">
            <v>CH4_MW</v>
          </cell>
          <cell r="K28">
            <v>16.042000000000002</v>
          </cell>
          <cell r="L28" t="str">
            <v>g/mol</v>
          </cell>
          <cell r="O28" t="str">
            <v>Emission Factor for non-baseload utility-generated electricity- South Atlantic</v>
          </cell>
          <cell r="S28">
            <v>10</v>
          </cell>
          <cell r="T28">
            <v>231.04685370812157</v>
          </cell>
          <cell r="U28">
            <v>0.78833186485211082</v>
          </cell>
        </row>
        <row r="29">
          <cell r="B29" t="str">
            <v>Electricity generation efficiency</v>
          </cell>
          <cell r="C29" t="str">
            <v>ElecEff</v>
          </cell>
          <cell r="D29" t="str">
            <v>%</v>
          </cell>
          <cell r="E29">
            <v>29</v>
          </cell>
          <cell r="F29" t="str">
            <v>U.S. EPA (2013)</v>
          </cell>
          <cell r="I29" t="str">
            <v>Molar volume (@STP)</v>
          </cell>
          <cell r="J29" t="str">
            <v>Mol_Vol</v>
          </cell>
          <cell r="K29">
            <v>22.41</v>
          </cell>
          <cell r="L29" t="str">
            <v>L/mol</v>
          </cell>
        </row>
        <row r="30">
          <cell r="B30" t="str">
            <v>House electricity demand</v>
          </cell>
          <cell r="C30" t="str">
            <v>PretElec</v>
          </cell>
          <cell r="D30" t="str">
            <v>kWh/Mg-in</v>
          </cell>
          <cell r="E30">
            <v>20</v>
          </cell>
          <cell r="F30" t="str">
            <v>Boldrin et al. 2011 (48.9 kWh/Mg); Møller, et al. 2009 report ranges of 20-50 kWh/Mg; Sanscartier et al. 2012 report 47-67 for Dufferin facility</v>
          </cell>
          <cell r="I30" t="str">
            <v>Density of methane</v>
          </cell>
          <cell r="J30" t="str">
            <v>CH4_Dens</v>
          </cell>
          <cell r="K30">
            <v>0.71584114234716656</v>
          </cell>
          <cell r="L30" t="str">
            <v>kg/m3</v>
          </cell>
        </row>
        <row r="31">
          <cell r="B31" t="str">
            <v>House diesel fuel use</v>
          </cell>
          <cell r="C31" t="str">
            <v>House_Dsl</v>
          </cell>
          <cell r="D31" t="str">
            <v>L/Mg</v>
          </cell>
          <cell r="E31">
            <v>6.5</v>
          </cell>
          <cell r="F31" t="str">
            <v>Boldrin et al. 2011 (0.9 L/Mg); Møller et al. 2009 report 1.6 L/Mg; Sanscartier et al. 2012 report 0.3 L Mg for Dufferin facility; WERF, 2012 (6.5 L/Mg). Higher  values seem more likely.</v>
          </cell>
          <cell r="I31" t="str">
            <v>MJs per kWh</v>
          </cell>
          <cell r="J31" t="str">
            <v>MJsPerkWh</v>
          </cell>
          <cell r="K31">
            <v>3.6</v>
          </cell>
          <cell r="L31" t="str">
            <v>MJ/kWh</v>
          </cell>
        </row>
        <row r="32">
          <cell r="I32" t="str">
            <v>Atomic mass of carbon</v>
          </cell>
          <cell r="J32" t="str">
            <v>C_MW</v>
          </cell>
          <cell r="K32">
            <v>12.01</v>
          </cell>
          <cell r="L32" t="str">
            <v>g/mol</v>
          </cell>
        </row>
        <row r="33">
          <cell r="I33" t="str">
            <v>Convert Btu to KWh</v>
          </cell>
          <cell r="K33">
            <v>3412</v>
          </cell>
          <cell r="L33" t="str">
            <v>Btu/kWh</v>
          </cell>
        </row>
        <row r="34">
          <cell r="I34" t="str">
            <v>Unit Conversion (short ton -&gt; MT)</v>
          </cell>
          <cell r="K34">
            <v>0.90718474000000004</v>
          </cell>
          <cell r="L34" t="str">
            <v>short ton/metric ton</v>
          </cell>
        </row>
        <row r="36">
          <cell r="B36" t="str">
            <v>Digestate Properties</v>
          </cell>
        </row>
        <row r="37">
          <cell r="B37" t="str">
            <v>Parameter</v>
          </cell>
          <cell r="C37" t="str">
            <v>Name</v>
          </cell>
          <cell r="D37" t="str">
            <v>Units</v>
          </cell>
          <cell r="E37" t="str">
            <v>Value</v>
          </cell>
          <cell r="F37" t="str">
            <v>Source</v>
          </cell>
          <cell r="I37" t="str">
            <v>Emission Factors (combustion and pre-combustion)</v>
          </cell>
        </row>
        <row r="38">
          <cell r="B38" t="str">
            <v>Moisture content in reactor</v>
          </cell>
          <cell r="C38" t="str">
            <v>MC_Digest</v>
          </cell>
          <cell r="D38" t="str">
            <v>%ww</v>
          </cell>
          <cell r="E38">
            <v>70</v>
          </cell>
          <cell r="I38" t="str">
            <v>Parameter</v>
          </cell>
          <cell r="J38" t="str">
            <v>Name</v>
          </cell>
          <cell r="K38" t="str">
            <v>Value</v>
          </cell>
          <cell r="L38" t="str">
            <v>Units</v>
          </cell>
          <cell r="M38" t="str">
            <v>Source</v>
          </cell>
        </row>
        <row r="39">
          <cell r="B39" t="str">
            <v>Percent dry mass Nitrogen loss during AD</v>
          </cell>
          <cell r="C39" t="str">
            <v>Nloss_AD</v>
          </cell>
          <cell r="D39" t="str">
            <v>%TS</v>
          </cell>
          <cell r="E39">
            <v>8</v>
          </cell>
          <cell r="F39" t="str">
            <v>Developed from Hansen et al. (2006) based on initial N content.</v>
          </cell>
        </row>
        <row r="40">
          <cell r="B40" t="str">
            <v>Percent dry mass Phosphorus loss during AD</v>
          </cell>
          <cell r="C40" t="str">
            <v>Ploss_AD</v>
          </cell>
          <cell r="D40" t="str">
            <v>%TS</v>
          </cell>
          <cell r="E40">
            <v>0</v>
          </cell>
          <cell r="F40" t="str">
            <v>Assumed</v>
          </cell>
          <cell r="I40" t="str">
            <v>Electricity</v>
          </cell>
          <cell r="J40" t="str">
            <v>elec_GHG_Intensity</v>
          </cell>
          <cell r="K40">
            <v>0.75422210424214997</v>
          </cell>
          <cell r="L40" t="str">
            <v>kg CO2e/kWh</v>
          </cell>
          <cell r="M40" t="str">
            <v>Calculated from WARM documentation</v>
          </cell>
        </row>
        <row r="41">
          <cell r="I41" t="str">
            <v>Diesel use in equipment</v>
          </cell>
          <cell r="J41" t="str">
            <v>Dsl_GHG_Intensity</v>
          </cell>
          <cell r="K41">
            <v>3.1083819543317071</v>
          </cell>
          <cell r="L41" t="str">
            <v>kg CO2e/L</v>
          </cell>
          <cell r="M41" t="str">
            <v>Calculated from WARM documentation</v>
          </cell>
        </row>
        <row r="43">
          <cell r="B43" t="str">
            <v>Waste Directly Applied</v>
          </cell>
          <cell r="L43" t="str">
            <v xml:space="preserve">Waste Cured </v>
          </cell>
        </row>
        <row r="44">
          <cell r="B44" t="str">
            <v>Digestate Curing Parameters</v>
          </cell>
          <cell r="L44" t="str">
            <v>Digestate Curing Parameters</v>
          </cell>
        </row>
        <row r="45">
          <cell r="B45" t="str">
            <v>Parameter</v>
          </cell>
          <cell r="C45" t="str">
            <v>Names</v>
          </cell>
          <cell r="D45" t="str">
            <v>Units</v>
          </cell>
          <cell r="E45" t="str">
            <v>Value</v>
          </cell>
          <cell r="F45" t="str">
            <v>Source</v>
          </cell>
          <cell r="L45" t="str">
            <v>Parameter</v>
          </cell>
          <cell r="M45" t="str">
            <v>Names</v>
          </cell>
          <cell r="N45" t="str">
            <v>Units</v>
          </cell>
          <cell r="O45" t="str">
            <v>Value</v>
          </cell>
          <cell r="P45" t="str">
            <v>Source</v>
          </cell>
        </row>
        <row r="46">
          <cell r="B46" t="str">
            <v>Is digestate cured (1 - Yes; 0 - No)</v>
          </cell>
          <cell r="C46" t="str">
            <v>IsCured</v>
          </cell>
          <cell r="E46">
            <v>0</v>
          </cell>
          <cell r="L46" t="str">
            <v>Is digestate cured (1 - Yes; 0 - No)</v>
          </cell>
          <cell r="M46" t="str">
            <v>IsCured</v>
          </cell>
          <cell r="O46">
            <v>1</v>
          </cell>
        </row>
        <row r="47">
          <cell r="B47" t="str">
            <v>Curing fuel use (material movement windrow turning)</v>
          </cell>
          <cell r="C47" t="str">
            <v>WindTurn_Fuel</v>
          </cell>
          <cell r="D47" t="str">
            <v>L/Mg</v>
          </cell>
          <cell r="E47">
            <v>1</v>
          </cell>
          <cell r="F47" t="str">
            <v>Boldrin et al. (2009) Assumed 1/3 of 3L used for curing.</v>
          </cell>
          <cell r="L47" t="str">
            <v>Curing fuel use (material movement windrow turning)</v>
          </cell>
          <cell r="M47" t="str">
            <v>WindTurn_Fuel</v>
          </cell>
          <cell r="N47" t="str">
            <v>L/Mg</v>
          </cell>
          <cell r="O47">
            <v>1</v>
          </cell>
          <cell r="P47" t="str">
            <v>Boldrin et al. (2009) Assumed 1/3 of 3L used for curing.</v>
          </cell>
        </row>
        <row r="48">
          <cell r="B48" t="str">
            <v>Nitrogen loss during curing</v>
          </cell>
          <cell r="C48" t="str">
            <v>Cure_Nloss</v>
          </cell>
          <cell r="D48" t="str">
            <v>%</v>
          </cell>
          <cell r="E48">
            <v>38.5</v>
          </cell>
          <cell r="F48" t="str">
            <v>Average from Beck-Friis et al. (2000)</v>
          </cell>
          <cell r="L48" t="str">
            <v>Nitrogen loss during curing</v>
          </cell>
          <cell r="M48" t="str">
            <v>Cure_Nloss</v>
          </cell>
          <cell r="N48" t="str">
            <v>%</v>
          </cell>
          <cell r="O48">
            <v>38.5</v>
          </cell>
          <cell r="P48" t="str">
            <v>Average from Beck-Friis et al. (2000)</v>
          </cell>
        </row>
        <row r="49">
          <cell r="B49" t="str">
            <v>Carbon loss during curing</v>
          </cell>
          <cell r="C49" t="str">
            <v>Cure_Closs</v>
          </cell>
          <cell r="D49" t="str">
            <v>%</v>
          </cell>
          <cell r="E49">
            <v>58</v>
          </cell>
          <cell r="F49" t="str">
            <v>Average for open biowaste systems from Boldrin et al. (2009)</v>
          </cell>
          <cell r="L49" t="str">
            <v>Carbon loss during curing</v>
          </cell>
          <cell r="M49" t="str">
            <v>Cure_Closs</v>
          </cell>
          <cell r="N49" t="str">
            <v>%</v>
          </cell>
          <cell r="O49">
            <v>58</v>
          </cell>
          <cell r="P49" t="str">
            <v>Average for open biowaste systems from Boldrin et al. (2009)</v>
          </cell>
        </row>
        <row r="50">
          <cell r="B50" t="str">
            <v>Percent N loss as N2O</v>
          </cell>
          <cell r="C50" t="str">
            <v>Cure_PerN2O</v>
          </cell>
          <cell r="D50" t="str">
            <v>%</v>
          </cell>
          <cell r="E50">
            <v>1</v>
          </cell>
          <cell r="F50" t="str">
            <v>Average for open biowaste systems from Boldrin et al. (2009)</v>
          </cell>
          <cell r="L50" t="str">
            <v>Percent N loss as N2O</v>
          </cell>
          <cell r="M50" t="str">
            <v>Cure_PerN2O</v>
          </cell>
          <cell r="N50" t="str">
            <v>%</v>
          </cell>
          <cell r="O50">
            <v>1</v>
          </cell>
          <cell r="P50" t="str">
            <v>Average for open biowaste systems from Boldrin et al. (2009)</v>
          </cell>
        </row>
        <row r="51">
          <cell r="B51" t="str">
            <v>Percent C loss as CH4</v>
          </cell>
          <cell r="C51" t="str">
            <v>Cure_PerCH4</v>
          </cell>
          <cell r="D51" t="str">
            <v>%</v>
          </cell>
          <cell r="E51">
            <v>1.3</v>
          </cell>
          <cell r="F51" t="str">
            <v>Average for open biowaste systems from Boldrin et al. (2009)</v>
          </cell>
          <cell r="L51" t="str">
            <v>Percent C loss as CH4</v>
          </cell>
          <cell r="M51" t="str">
            <v>Cure_PerCH4</v>
          </cell>
          <cell r="N51" t="str">
            <v>%</v>
          </cell>
          <cell r="O51">
            <v>1.3</v>
          </cell>
          <cell r="P51" t="str">
            <v>Average for open biowaste systems from Boldrin et al. (2009)</v>
          </cell>
        </row>
        <row r="52">
          <cell r="B52" t="str">
            <v>Screen electricity use</v>
          </cell>
          <cell r="C52" t="str">
            <v>PostScreen_Elec</v>
          </cell>
          <cell r="D52" t="str">
            <v>kWh/Mg</v>
          </cell>
          <cell r="E52">
            <v>0.88200000000000001</v>
          </cell>
          <cell r="F52" t="str">
            <v>Komilis and Ham (2004)</v>
          </cell>
          <cell r="L52" t="str">
            <v>Screen electricity use</v>
          </cell>
          <cell r="M52" t="str">
            <v>PostScreen_Elec</v>
          </cell>
          <cell r="N52" t="str">
            <v>kWh/Mg</v>
          </cell>
          <cell r="O52">
            <v>0.88200000000000001</v>
          </cell>
          <cell r="P52" t="str">
            <v>Komilis and Ham (2004)</v>
          </cell>
        </row>
        <row r="53">
          <cell r="B53" t="str">
            <v>Mass VS loss per mol C loss</v>
          </cell>
          <cell r="C53" t="str">
            <v>Cure_VSLossPerC</v>
          </cell>
          <cell r="D53" t="str">
            <v>g/mol C loss</v>
          </cell>
          <cell r="E53">
            <v>12</v>
          </cell>
          <cell r="F53" t="str">
            <v>Haug (1993)</v>
          </cell>
          <cell r="L53" t="str">
            <v>Mass VS loss per mol C loss</v>
          </cell>
          <cell r="M53" t="str">
            <v>Cure_VSLossPerC</v>
          </cell>
          <cell r="N53" t="str">
            <v>g/mol C loss</v>
          </cell>
          <cell r="O53">
            <v>12</v>
          </cell>
          <cell r="P53" t="str">
            <v>Haug (1993)</v>
          </cell>
        </row>
        <row r="54">
          <cell r="B54" t="str">
            <v>Finished compost moisture content</v>
          </cell>
          <cell r="C54" t="str">
            <v>FC_MC</v>
          </cell>
          <cell r="D54" t="str">
            <v>%</v>
          </cell>
          <cell r="E54">
            <v>40</v>
          </cell>
          <cell r="L54" t="str">
            <v>Finished compost moisture content</v>
          </cell>
          <cell r="M54" t="str">
            <v>FC_MC</v>
          </cell>
          <cell r="N54" t="str">
            <v>%</v>
          </cell>
          <cell r="O54">
            <v>40</v>
          </cell>
        </row>
        <row r="56">
          <cell r="B56" t="str">
            <v>Use on Land Parameters</v>
          </cell>
          <cell r="L56" t="str">
            <v>Use on Land Parameters</v>
          </cell>
        </row>
        <row r="57">
          <cell r="B57" t="str">
            <v>Parameter</v>
          </cell>
          <cell r="C57" t="str">
            <v>Name</v>
          </cell>
          <cell r="D57" t="str">
            <v>Units</v>
          </cell>
          <cell r="E57" t="str">
            <v>Value</v>
          </cell>
          <cell r="F57" t="str">
            <v>Source</v>
          </cell>
          <cell r="L57" t="str">
            <v>Parameter</v>
          </cell>
          <cell r="M57" t="str">
            <v>Name</v>
          </cell>
          <cell r="N57" t="str">
            <v>Units</v>
          </cell>
          <cell r="O57" t="str">
            <v>Value</v>
          </cell>
          <cell r="P57" t="str">
            <v>Source</v>
          </cell>
        </row>
        <row r="58">
          <cell r="B58" t="str">
            <v>Diesel use to transport digestate</v>
          </cell>
          <cell r="C58" t="str">
            <v>dsl_dig_trans</v>
          </cell>
          <cell r="D58" t="str">
            <v>L/Mg</v>
          </cell>
          <cell r="E58">
            <v>0.21</v>
          </cell>
          <cell r="F58" t="str">
            <v>Berglund &amp; Börjesson (2006)</v>
          </cell>
          <cell r="L58" t="str">
            <v>Diesel use to transport digestate</v>
          </cell>
          <cell r="M58" t="str">
            <v>dsl_dig_trans</v>
          </cell>
          <cell r="N58" t="str">
            <v>L/Mg</v>
          </cell>
          <cell r="O58">
            <v>0.21</v>
          </cell>
          <cell r="P58" t="str">
            <v>Berglund &amp; Börjesson (2006)</v>
          </cell>
        </row>
        <row r="59">
          <cell r="B59" t="str">
            <v>Diesel use to spread digestate</v>
          </cell>
          <cell r="C59" t="str">
            <v>dsl_dig_sprd</v>
          </cell>
          <cell r="D59" t="str">
            <v>L/Mg</v>
          </cell>
          <cell r="E59">
            <v>0.47</v>
          </cell>
          <cell r="F59" t="str">
            <v>Berglund &amp; Börjesson (2006); Arsova (2012)</v>
          </cell>
          <cell r="L59" t="str">
            <v>Diesel use to spread digestate</v>
          </cell>
          <cell r="M59" t="str">
            <v>dsl_dig_sprd</v>
          </cell>
          <cell r="N59" t="str">
            <v>L/Mg</v>
          </cell>
          <cell r="O59">
            <v>0.47</v>
          </cell>
          <cell r="P59" t="str">
            <v>Berglund &amp; Börjesson (2006); Arsova (2012)</v>
          </cell>
        </row>
        <row r="60">
          <cell r="B60" t="str">
            <v>Mineral Nutrient Equivalent for Nitrogen</v>
          </cell>
          <cell r="C60" t="str">
            <v>MFE_N</v>
          </cell>
          <cell r="D60" t="str">
            <v>kg N offset/kg N applied</v>
          </cell>
          <cell r="E60">
            <v>0.2</v>
          </cell>
          <cell r="F60" t="str">
            <v>Møller, et al. (2009)</v>
          </cell>
          <cell r="L60" t="str">
            <v>Mineral Nutrient Equivalent for Nitrogen</v>
          </cell>
          <cell r="M60" t="str">
            <v>MFE_N</v>
          </cell>
          <cell r="N60" t="str">
            <v>kg N offset/kg N applied</v>
          </cell>
          <cell r="O60">
            <v>0.2</v>
          </cell>
          <cell r="P60" t="str">
            <v>Møller, et al. (2009)</v>
          </cell>
        </row>
        <row r="61">
          <cell r="B61" t="str">
            <v>Mineral Nutrient Equivalent for Phosphorus</v>
          </cell>
          <cell r="C61" t="str">
            <v>MFE_P</v>
          </cell>
          <cell r="D61" t="str">
            <v>kg N offset/kg P applied</v>
          </cell>
          <cell r="E61">
            <v>1</v>
          </cell>
          <cell r="F61" t="str">
            <v>Møller, et al. (2009)</v>
          </cell>
          <cell r="L61" t="str">
            <v>Mineral Nutrient Equivalent for Phosphorus</v>
          </cell>
          <cell r="M61" t="str">
            <v>MFE_P</v>
          </cell>
          <cell r="N61" t="str">
            <v>kg N offset/kg P applied</v>
          </cell>
          <cell r="O61">
            <v>1</v>
          </cell>
          <cell r="P61" t="str">
            <v>Møller, et al. (2009)</v>
          </cell>
        </row>
        <row r="62">
          <cell r="B62" t="str">
            <v>Percent N applied as digestate that is loss as N2O</v>
          </cell>
          <cell r="C62" t="str">
            <v>N_N2O</v>
          </cell>
          <cell r="D62" t="str">
            <v>%</v>
          </cell>
          <cell r="E62">
            <v>1.5</v>
          </cell>
          <cell r="F62" t="str">
            <v>Hansen et al. (2006)</v>
          </cell>
          <cell r="L62" t="str">
            <v>Percent N applied as digestate that is loss as N2O</v>
          </cell>
          <cell r="M62" t="str">
            <v>N_N2O</v>
          </cell>
          <cell r="N62" t="str">
            <v>%</v>
          </cell>
          <cell r="O62">
            <v>1.5</v>
          </cell>
          <cell r="P62" t="str">
            <v>Hansen et al. (2006)</v>
          </cell>
        </row>
        <row r="63">
          <cell r="B63" t="str">
            <v>Percent N applied as fertilizer that is loss as N2O</v>
          </cell>
          <cell r="C63" t="str">
            <v>N_N2O_fert</v>
          </cell>
          <cell r="D63" t="str">
            <v>%</v>
          </cell>
          <cell r="E63">
            <v>2.2999999999999998</v>
          </cell>
          <cell r="F63" t="str">
            <v>Average reported by Brown et al. (2010)</v>
          </cell>
          <cell r="L63" t="str">
            <v>Percent N applied as fertilizer that is loss as N2O</v>
          </cell>
          <cell r="M63" t="str">
            <v>N_N2O_fert</v>
          </cell>
          <cell r="N63" t="str">
            <v>%</v>
          </cell>
          <cell r="O63">
            <v>2.2999999999999998</v>
          </cell>
          <cell r="P63" t="str">
            <v>Average reported by Brown et al. (2010)</v>
          </cell>
        </row>
        <row r="64">
          <cell r="B64" t="str">
            <v>Percent of C applied that is stored after 100 years</v>
          </cell>
          <cell r="C64" t="str">
            <v>C_Soil_Store</v>
          </cell>
          <cell r="D64" t="str">
            <v>%</v>
          </cell>
          <cell r="E64">
            <v>10</v>
          </cell>
          <cell r="F64" t="str">
            <v>Bruun et al. (2006)</v>
          </cell>
          <cell r="L64" t="str">
            <v>Percent of C applied that is stored after 100 years</v>
          </cell>
          <cell r="M64" t="str">
            <v>C_Soil_Store</v>
          </cell>
          <cell r="N64" t="str">
            <v>%</v>
          </cell>
          <cell r="O64">
            <v>10</v>
          </cell>
          <cell r="P64" t="str">
            <v>Bruun et al. (2006)</v>
          </cell>
        </row>
        <row r="65">
          <cell r="B65" t="str">
            <v>Additional C storage due to humus formation</v>
          </cell>
          <cell r="C65" t="str">
            <v>C_Hum_Store</v>
          </cell>
          <cell r="D65" t="str">
            <v>kg C stored/kg C applied</v>
          </cell>
          <cell r="E65">
            <v>0.51</v>
          </cell>
          <cell r="F65" t="str">
            <v>Calculated from WARM Composting Documentation as shown in Humus Formation Sheet</v>
          </cell>
          <cell r="L65" t="str">
            <v>Additional C storage due to humus formation</v>
          </cell>
          <cell r="M65" t="str">
            <v>C_Hum_Store</v>
          </cell>
          <cell r="N65" t="str">
            <v>kg C stored/kg C applied</v>
          </cell>
          <cell r="O65">
            <v>0.51</v>
          </cell>
          <cell r="P65" t="str">
            <v>Calculated from WARM Composting Documentation as shown in Humus Formation Sheet</v>
          </cell>
        </row>
        <row r="66">
          <cell r="B66" t="str">
            <v>GHG intensity of N fertilizer use and application</v>
          </cell>
          <cell r="C66" t="str">
            <v>NFert_GHG</v>
          </cell>
          <cell r="D66" t="str">
            <v xml:space="preserve">kg CO2e/kg N </v>
          </cell>
          <cell r="E66">
            <v>8.9</v>
          </cell>
          <cell r="F66" t="str">
            <v>Boldrin et al. (2009)</v>
          </cell>
          <cell r="L66" t="str">
            <v>GHG intensity of N fertilizer use and application</v>
          </cell>
          <cell r="M66" t="str">
            <v>NFert_GHG</v>
          </cell>
          <cell r="N66" t="str">
            <v xml:space="preserve">kg CO2e/kg N </v>
          </cell>
          <cell r="O66">
            <v>8.9</v>
          </cell>
          <cell r="P66" t="str">
            <v>Boldrin et al. (2009)</v>
          </cell>
        </row>
        <row r="67">
          <cell r="B67" t="str">
            <v>GHG intensity of P fertilizer use and application</v>
          </cell>
          <cell r="C67" t="str">
            <v>PFert_GHG</v>
          </cell>
          <cell r="D67" t="str">
            <v>kg CO2e/kg P</v>
          </cell>
          <cell r="E67">
            <v>1.8</v>
          </cell>
          <cell r="F67" t="str">
            <v>Boldrin et al. (2009)</v>
          </cell>
          <cell r="L67" t="str">
            <v>GHG intensity of P fertilizer use and application</v>
          </cell>
          <cell r="M67" t="str">
            <v>PFert_GHG</v>
          </cell>
          <cell r="N67" t="str">
            <v>kg CO2e/kg P</v>
          </cell>
          <cell r="O67">
            <v>1.8</v>
          </cell>
          <cell r="P67" t="str">
            <v>Boldrin et al. (2009)</v>
          </cell>
        </row>
        <row r="69">
          <cell r="B69" t="str">
            <v>Mass Flow Calculations</v>
          </cell>
          <cell r="L69" t="str">
            <v>Mass Flow Calculations</v>
          </cell>
        </row>
        <row r="70">
          <cell r="B70" t="str">
            <v>Parameter</v>
          </cell>
          <cell r="C70" t="str">
            <v>Name</v>
          </cell>
          <cell r="D70" t="str">
            <v>Units</v>
          </cell>
          <cell r="E70" t="str">
            <v>Food Waste</v>
          </cell>
          <cell r="F70" t="str">
            <v>Branches</v>
          </cell>
          <cell r="G70" t="str">
            <v>Grass</v>
          </cell>
          <cell r="H70" t="str">
            <v>Leaves</v>
          </cell>
          <cell r="I70" t="str">
            <v>Notes</v>
          </cell>
          <cell r="L70" t="str">
            <v>Parameter</v>
          </cell>
          <cell r="M70" t="str">
            <v>Name</v>
          </cell>
          <cell r="N70" t="str">
            <v>Units</v>
          </cell>
          <cell r="O70" t="str">
            <v>Food Waste</v>
          </cell>
          <cell r="P70" t="str">
            <v>Branches</v>
          </cell>
          <cell r="Q70" t="str">
            <v>Grass</v>
          </cell>
          <cell r="R70" t="str">
            <v>Leaves</v>
          </cell>
          <cell r="S70" t="str">
            <v>Notes</v>
          </cell>
        </row>
        <row r="71">
          <cell r="B71" t="str">
            <v>Dry mass in</v>
          </cell>
          <cell r="C71" t="str">
            <v>DryMass_In</v>
          </cell>
          <cell r="D71" t="str">
            <v>Mg</v>
          </cell>
          <cell r="E71">
            <v>0.27799999999999997</v>
          </cell>
          <cell r="F71">
            <v>0.84099999999999997</v>
          </cell>
          <cell r="G71">
            <v>0.18</v>
          </cell>
          <cell r="H71">
            <v>0.67799999999999994</v>
          </cell>
          <cell r="L71" t="str">
            <v>Dry mass in</v>
          </cell>
          <cell r="M71" t="str">
            <v>DryMass_In</v>
          </cell>
          <cell r="N71" t="str">
            <v>Mg</v>
          </cell>
          <cell r="O71">
            <v>0.27799999999999997</v>
          </cell>
          <cell r="P71">
            <v>0.84099999999999997</v>
          </cell>
          <cell r="Q71">
            <v>0.18</v>
          </cell>
          <cell r="R71">
            <v>0.67799999999999994</v>
          </cell>
        </row>
        <row r="72">
          <cell r="B72" t="str">
            <v>Mass water in feedstocks</v>
          </cell>
          <cell r="C72" t="str">
            <v>WatMass_Feed</v>
          </cell>
          <cell r="D72" t="str">
            <v>Mg</v>
          </cell>
          <cell r="E72">
            <v>0.72199999999999998</v>
          </cell>
          <cell r="F72">
            <v>0.15900000000000003</v>
          </cell>
          <cell r="G72">
            <v>0.82000000000000006</v>
          </cell>
          <cell r="H72">
            <v>0.32200000000000006</v>
          </cell>
          <cell r="L72" t="str">
            <v>Mass water in feedstocks</v>
          </cell>
          <cell r="M72" t="str">
            <v>WatMass_Feed</v>
          </cell>
          <cell r="N72" t="str">
            <v>Mg</v>
          </cell>
          <cell r="O72">
            <v>0.72199999999999998</v>
          </cell>
          <cell r="P72">
            <v>0.15900000000000003</v>
          </cell>
          <cell r="Q72">
            <v>0.82000000000000006</v>
          </cell>
          <cell r="R72">
            <v>0.32200000000000006</v>
          </cell>
        </row>
        <row r="73">
          <cell r="B73" t="str">
            <v>Mass of VS in</v>
          </cell>
          <cell r="C73" t="str">
            <v>VS_In</v>
          </cell>
          <cell r="D73" t="str">
            <v>Mg</v>
          </cell>
          <cell r="E73">
            <v>0.26576799999999995</v>
          </cell>
          <cell r="F73">
            <v>0.7619459999999999</v>
          </cell>
          <cell r="G73">
            <v>0.15552000000000002</v>
          </cell>
          <cell r="H73">
            <v>0.61155599999999999</v>
          </cell>
          <cell r="L73" t="str">
            <v>Mass of VS in</v>
          </cell>
          <cell r="M73" t="str">
            <v>VS_In</v>
          </cell>
          <cell r="N73" t="str">
            <v>Mg</v>
          </cell>
          <cell r="O73">
            <v>0.26576799999999995</v>
          </cell>
          <cell r="P73">
            <v>0.7619459999999999</v>
          </cell>
          <cell r="Q73">
            <v>0.15552000000000002</v>
          </cell>
          <cell r="R73">
            <v>0.61155599999999999</v>
          </cell>
        </row>
        <row r="74">
          <cell r="B74" t="str">
            <v xml:space="preserve">Dry mass of digestate generated </v>
          </cell>
          <cell r="C74" t="str">
            <v>DryMass_Digest</v>
          </cell>
          <cell r="D74" t="str">
            <v>Mg</v>
          </cell>
          <cell r="E74">
            <v>7.8674000000000022E-2</v>
          </cell>
          <cell r="F74">
            <v>0.47907565000000002</v>
          </cell>
          <cell r="G74">
            <v>6.3359999999999972E-2</v>
          </cell>
          <cell r="H74">
            <v>0.38751089999999994</v>
          </cell>
          <cell r="L74" t="str">
            <v xml:space="preserve">Dry mass of digestate generated </v>
          </cell>
          <cell r="M74" t="str">
            <v>DryMass_Digest</v>
          </cell>
          <cell r="N74" t="str">
            <v>Mg</v>
          </cell>
          <cell r="O74">
            <v>7.8674000000000022E-2</v>
          </cell>
          <cell r="P74">
            <v>0.47907565000000002</v>
          </cell>
          <cell r="Q74">
            <v>6.3359999999999972E-2</v>
          </cell>
          <cell r="R74">
            <v>0.38751089999999994</v>
          </cell>
        </row>
        <row r="75">
          <cell r="B75" t="str">
            <v>Total mass of digestate generated</v>
          </cell>
          <cell r="C75" t="str">
            <v>TotMass_Digest</v>
          </cell>
          <cell r="D75" t="str">
            <v>Mg</v>
          </cell>
          <cell r="E75">
            <v>0.26224666666666674</v>
          </cell>
          <cell r="F75">
            <v>1.5969188333333335</v>
          </cell>
          <cell r="G75">
            <v>0.21119999999999992</v>
          </cell>
          <cell r="H75">
            <v>1.2917029999999998</v>
          </cell>
          <cell r="L75" t="str">
            <v>Total mass of digestate generated</v>
          </cell>
          <cell r="M75" t="str">
            <v>TotMass_Digest</v>
          </cell>
          <cell r="N75" t="str">
            <v>Mg</v>
          </cell>
          <cell r="O75">
            <v>0.26224666666666674</v>
          </cell>
          <cell r="P75">
            <v>1.5969188333333335</v>
          </cell>
          <cell r="Q75">
            <v>0.21119999999999992</v>
          </cell>
          <cell r="R75">
            <v>1.2917029999999998</v>
          </cell>
        </row>
        <row r="76">
          <cell r="B76" t="str">
            <v>Mass of Nitrogen in digestate</v>
          </cell>
          <cell r="C76" t="str">
            <v>Mass_N_Digest</v>
          </cell>
          <cell r="D76" t="str">
            <v>kg N</v>
          </cell>
          <cell r="E76">
            <v>9.7188799999999986</v>
          </cell>
          <cell r="F76">
            <v>6.1897600000000006</v>
          </cell>
          <cell r="G76">
            <v>5.6304000000000007</v>
          </cell>
          <cell r="H76">
            <v>5.6138399999999997</v>
          </cell>
          <cell r="L76" t="str">
            <v>Mass of Nitrogen in digestate</v>
          </cell>
          <cell r="M76" t="str">
            <v>Mass_N_Digest</v>
          </cell>
          <cell r="N76" t="str">
            <v>kg N</v>
          </cell>
          <cell r="O76">
            <v>9.7188799999999986</v>
          </cell>
          <cell r="P76">
            <v>6.1897600000000006</v>
          </cell>
          <cell r="Q76">
            <v>5.6304000000000007</v>
          </cell>
          <cell r="R76">
            <v>5.6138399999999997</v>
          </cell>
        </row>
        <row r="77">
          <cell r="B77" t="str">
            <v>Mass of Phosphorus in digestate</v>
          </cell>
          <cell r="C77" t="str">
            <v>Mass_P_Digest</v>
          </cell>
          <cell r="D77" t="str">
            <v>kg P</v>
          </cell>
          <cell r="E77">
            <v>1.4177999999999999</v>
          </cell>
          <cell r="F77">
            <v>1.6651799999999999</v>
          </cell>
          <cell r="G77">
            <v>0.35639999999999999</v>
          </cell>
          <cell r="H77">
            <v>1.3424400000000001</v>
          </cell>
          <cell r="L77" t="str">
            <v>Mass of Phosphorus in digestate</v>
          </cell>
          <cell r="M77" t="str">
            <v>Mass_P_Digest</v>
          </cell>
          <cell r="N77" t="str">
            <v>kg P</v>
          </cell>
          <cell r="O77">
            <v>1.4177999999999999</v>
          </cell>
          <cell r="P77">
            <v>1.6651799999999999</v>
          </cell>
          <cell r="Q77">
            <v>0.35639999999999999</v>
          </cell>
          <cell r="R77">
            <v>1.3424400000000001</v>
          </cell>
        </row>
        <row r="78">
          <cell r="B78" t="str">
            <v>Mass of carbon emitted</v>
          </cell>
          <cell r="C78" t="str">
            <v>Mass_C_Emitted</v>
          </cell>
          <cell r="D78" t="str">
            <v>kg C</v>
          </cell>
          <cell r="E78">
            <v>98.956612048192753</v>
          </cell>
          <cell r="F78">
            <v>47.77525479696564</v>
          </cell>
          <cell r="G78">
            <v>33.824790361445778</v>
          </cell>
          <cell r="H78">
            <v>23.727065327978575</v>
          </cell>
          <cell r="L78" t="str">
            <v>Mass of carbon emitted</v>
          </cell>
          <cell r="M78" t="str">
            <v>Mass_C_Emitted</v>
          </cell>
          <cell r="N78" t="str">
            <v>kg C</v>
          </cell>
          <cell r="O78">
            <v>98.956612048192753</v>
          </cell>
          <cell r="P78">
            <v>47.77525479696564</v>
          </cell>
          <cell r="Q78">
            <v>33.824790361445778</v>
          </cell>
          <cell r="R78">
            <v>23.727065327978575</v>
          </cell>
        </row>
        <row r="79">
          <cell r="B79" t="str">
            <v>Mass of Carbon in digestate</v>
          </cell>
          <cell r="C79" t="str">
            <v>Mass_C_Digest</v>
          </cell>
          <cell r="D79" t="str">
            <v>kg C</v>
          </cell>
          <cell r="E79">
            <v>38.542187951807236</v>
          </cell>
          <cell r="F79">
            <v>367.6787452030344</v>
          </cell>
          <cell r="G79">
            <v>46.995209638554229</v>
          </cell>
          <cell r="H79">
            <v>284.7629346720214</v>
          </cell>
          <cell r="L79" t="str">
            <v>Mass of Carbon in digestate</v>
          </cell>
          <cell r="M79" t="str">
            <v>Mass_C_Digest</v>
          </cell>
          <cell r="N79" t="str">
            <v>kg C</v>
          </cell>
          <cell r="O79">
            <v>38.542187951807236</v>
          </cell>
          <cell r="P79">
            <v>367.6787452030344</v>
          </cell>
          <cell r="Q79">
            <v>46.995209638554229</v>
          </cell>
          <cell r="R79">
            <v>284.7629346720214</v>
          </cell>
        </row>
        <row r="80">
          <cell r="B80" t="str">
            <v>Mass of N loss during curing</v>
          </cell>
          <cell r="C80" t="str">
            <v>Mass_N_Cureloss</v>
          </cell>
          <cell r="D80" t="str">
            <v>kg N</v>
          </cell>
          <cell r="E80">
            <v>0</v>
          </cell>
          <cell r="F80">
            <v>0</v>
          </cell>
          <cell r="G80">
            <v>0</v>
          </cell>
          <cell r="H80">
            <v>0</v>
          </cell>
          <cell r="L80" t="str">
            <v>Mass of N loss during curing</v>
          </cell>
          <cell r="M80" t="str">
            <v>Mass_N_Cureloss</v>
          </cell>
          <cell r="N80" t="str">
            <v>kg N</v>
          </cell>
          <cell r="O80">
            <v>3.7417687999999996</v>
          </cell>
          <cell r="P80">
            <v>2.3830576000000003</v>
          </cell>
          <cell r="Q80">
            <v>2.1677040000000005</v>
          </cell>
          <cell r="R80">
            <v>2.1613283999999999</v>
          </cell>
        </row>
        <row r="81">
          <cell r="B81" t="str">
            <v>Mass of Carbon loss during curing</v>
          </cell>
          <cell r="C81" t="str">
            <v>Mass_C_CureLoss</v>
          </cell>
          <cell r="D81" t="str">
            <v>kg C</v>
          </cell>
          <cell r="E81">
            <v>0</v>
          </cell>
          <cell r="F81">
            <v>0</v>
          </cell>
          <cell r="G81">
            <v>0</v>
          </cell>
          <cell r="H81">
            <v>0</v>
          </cell>
          <cell r="L81" t="str">
            <v>Mass of Carbon loss during curing</v>
          </cell>
          <cell r="M81" t="str">
            <v>Mass_C_CureLoss</v>
          </cell>
          <cell r="N81" t="str">
            <v>kg C</v>
          </cell>
          <cell r="O81">
            <v>22.354469012048195</v>
          </cell>
          <cell r="P81">
            <v>213.25367221775994</v>
          </cell>
          <cell r="Q81">
            <v>27.25722159036145</v>
          </cell>
          <cell r="R81">
            <v>165.16250210977239</v>
          </cell>
        </row>
        <row r="82">
          <cell r="B82" t="str">
            <v>Moles of Carbon loss during curing</v>
          </cell>
          <cell r="C82" t="str">
            <v>Mole_C_CureLoss</v>
          </cell>
          <cell r="D82" t="str">
            <v>mol C</v>
          </cell>
          <cell r="E82">
            <v>0</v>
          </cell>
          <cell r="F82">
            <v>0</v>
          </cell>
          <cell r="G82">
            <v>0</v>
          </cell>
          <cell r="H82">
            <v>0</v>
          </cell>
          <cell r="L82" t="str">
            <v>Moles of Carbon loss during curing</v>
          </cell>
          <cell r="M82" t="str">
            <v>Mole_C_CureLoss</v>
          </cell>
          <cell r="N82" t="str">
            <v>mol C</v>
          </cell>
          <cell r="O82">
            <v>1861.3213165735385</v>
          </cell>
          <cell r="P82">
            <v>17756.342399480429</v>
          </cell>
          <cell r="Q82">
            <v>2269.5438459917946</v>
          </cell>
          <cell r="R82">
            <v>13752.081774335755</v>
          </cell>
        </row>
        <row r="83">
          <cell r="B83" t="str">
            <v>Mass of solids lost during curing</v>
          </cell>
          <cell r="C83" t="str">
            <v>Mass_CurSolLoss</v>
          </cell>
          <cell r="D83" t="str">
            <v>Mg</v>
          </cell>
          <cell r="E83">
            <v>0</v>
          </cell>
          <cell r="F83">
            <v>0</v>
          </cell>
          <cell r="G83">
            <v>0</v>
          </cell>
          <cell r="H83">
            <v>0</v>
          </cell>
          <cell r="L83" t="str">
            <v>Mass of solids lost during curing</v>
          </cell>
          <cell r="M83" t="str">
            <v>Mass_CurSolLoss</v>
          </cell>
          <cell r="N83" t="str">
            <v>Mg</v>
          </cell>
          <cell r="O83">
            <v>2.2335855798882462E-2</v>
          </cell>
          <cell r="P83">
            <v>0.21307610879376512</v>
          </cell>
          <cell r="Q83">
            <v>2.7234526151901532E-2</v>
          </cell>
          <cell r="R83">
            <v>0.16502498129202905</v>
          </cell>
        </row>
        <row r="84">
          <cell r="B84" t="str">
            <v>Dry mass of finished compost</v>
          </cell>
          <cell r="C84" t="str">
            <v>DryMass_Compost</v>
          </cell>
          <cell r="D84" t="str">
            <v>Mg</v>
          </cell>
          <cell r="E84">
            <v>0</v>
          </cell>
          <cell r="F84">
            <v>0</v>
          </cell>
          <cell r="G84">
            <v>0</v>
          </cell>
          <cell r="H84">
            <v>0</v>
          </cell>
          <cell r="L84" t="str">
            <v>Dry mass of finished compost</v>
          </cell>
          <cell r="M84" t="str">
            <v>DryMass_Compost</v>
          </cell>
          <cell r="N84" t="str">
            <v>Mg</v>
          </cell>
          <cell r="O84">
            <v>5.633814420111756E-2</v>
          </cell>
          <cell r="P84">
            <v>0.26599954120623492</v>
          </cell>
          <cell r="Q84">
            <v>3.6125473848098444E-2</v>
          </cell>
          <cell r="R84">
            <v>0.22248591870797088</v>
          </cell>
        </row>
        <row r="85">
          <cell r="B85" t="str">
            <v>Mass of N in finished compost</v>
          </cell>
          <cell r="C85" t="str">
            <v>Mass_N_Compost</v>
          </cell>
          <cell r="D85" t="str">
            <v>kg N</v>
          </cell>
          <cell r="E85">
            <v>0</v>
          </cell>
          <cell r="F85">
            <v>0</v>
          </cell>
          <cell r="G85">
            <v>0</v>
          </cell>
          <cell r="H85">
            <v>0</v>
          </cell>
          <cell r="L85" t="str">
            <v>Mass of N in finished compost</v>
          </cell>
          <cell r="M85" t="str">
            <v>Mass_N_Compost</v>
          </cell>
          <cell r="N85" t="str">
            <v>kg N</v>
          </cell>
          <cell r="O85">
            <v>5.9771111999999995</v>
          </cell>
          <cell r="P85">
            <v>3.8067024000000003</v>
          </cell>
          <cell r="Q85">
            <v>3.4626960000000002</v>
          </cell>
          <cell r="R85">
            <v>3.4525115999999998</v>
          </cell>
        </row>
        <row r="86">
          <cell r="B86" t="str">
            <v>Mass of C in finished compost</v>
          </cell>
          <cell r="C86" t="str">
            <v>Mass_C_Compost</v>
          </cell>
          <cell r="D86" t="str">
            <v>kg C</v>
          </cell>
          <cell r="E86">
            <v>0</v>
          </cell>
          <cell r="F86">
            <v>0</v>
          </cell>
          <cell r="G86">
            <v>0</v>
          </cell>
          <cell r="H86">
            <v>0</v>
          </cell>
          <cell r="L86" t="str">
            <v>Mass of C in finished compost</v>
          </cell>
          <cell r="M86" t="str">
            <v>Mass_C_Compost</v>
          </cell>
          <cell r="N86" t="str">
            <v>kg C</v>
          </cell>
          <cell r="O86">
            <v>16.187718939759041</v>
          </cell>
          <cell r="P86">
            <v>154.42507298527445</v>
          </cell>
          <cell r="Q86">
            <v>19.737988048192779</v>
          </cell>
          <cell r="R86">
            <v>119.60043256224901</v>
          </cell>
        </row>
        <row r="87">
          <cell r="B87" t="str">
            <v>Mass of water in finished compost</v>
          </cell>
          <cell r="C87" t="str">
            <v>WatMass_Compost</v>
          </cell>
          <cell r="D87" t="str">
            <v>Mg</v>
          </cell>
          <cell r="E87">
            <v>0</v>
          </cell>
          <cell r="F87">
            <v>0</v>
          </cell>
          <cell r="G87">
            <v>0</v>
          </cell>
          <cell r="H87">
            <v>0</v>
          </cell>
          <cell r="L87" t="str">
            <v>Mass of water in finished compost</v>
          </cell>
          <cell r="M87" t="str">
            <v>WatMass_Compost</v>
          </cell>
          <cell r="N87" t="str">
            <v>Mg</v>
          </cell>
          <cell r="O87">
            <v>3.7558762800745042E-2</v>
          </cell>
          <cell r="P87">
            <v>0.1773330274708233</v>
          </cell>
          <cell r="Q87">
            <v>2.4083649232065629E-2</v>
          </cell>
          <cell r="R87">
            <v>0.14832394580531394</v>
          </cell>
        </row>
        <row r="88">
          <cell r="B88" t="str">
            <v>Total mass of finished compost</v>
          </cell>
          <cell r="C88" t="str">
            <v>Mass_Compost</v>
          </cell>
          <cell r="D88" t="str">
            <v>Mg</v>
          </cell>
          <cell r="E88">
            <v>0</v>
          </cell>
          <cell r="F88">
            <v>0</v>
          </cell>
          <cell r="G88">
            <v>0</v>
          </cell>
          <cell r="H88">
            <v>0</v>
          </cell>
          <cell r="L88" t="str">
            <v>Total mass of finished compost</v>
          </cell>
          <cell r="M88" t="str">
            <v>Mass_Compost</v>
          </cell>
          <cell r="N88" t="str">
            <v>Mg</v>
          </cell>
          <cell r="O88">
            <v>9.3896907001862595E-2</v>
          </cell>
          <cell r="P88">
            <v>0.44333256867705823</v>
          </cell>
          <cell r="Q88">
            <v>6.0209123080164073E-2</v>
          </cell>
          <cell r="R88">
            <v>0.37080986451328479</v>
          </cell>
        </row>
        <row r="89">
          <cell r="B89" t="str">
            <v>Mass C land applied</v>
          </cell>
          <cell r="C89" t="str">
            <v>Mass_C_Applied</v>
          </cell>
          <cell r="D89" t="str">
            <v>kg C</v>
          </cell>
          <cell r="E89">
            <v>38.542187951807236</v>
          </cell>
          <cell r="F89">
            <v>367.6787452030344</v>
          </cell>
          <cell r="G89">
            <v>46.995209638554229</v>
          </cell>
          <cell r="H89">
            <v>284.7629346720214</v>
          </cell>
          <cell r="L89" t="str">
            <v>Mass C land applied</v>
          </cell>
          <cell r="M89" t="str">
            <v>Mass_C_Applied</v>
          </cell>
          <cell r="N89" t="str">
            <v>kg C</v>
          </cell>
          <cell r="O89">
            <v>16.187718939759041</v>
          </cell>
          <cell r="P89">
            <v>154.42507298527445</v>
          </cell>
          <cell r="Q89">
            <v>19.737988048192779</v>
          </cell>
          <cell r="R89">
            <v>119.60043256224901</v>
          </cell>
        </row>
        <row r="90">
          <cell r="B90" t="str">
            <v>Mass N land applied</v>
          </cell>
          <cell r="C90" t="str">
            <v>Mass_N_Applied</v>
          </cell>
          <cell r="D90" t="str">
            <v>kg N</v>
          </cell>
          <cell r="E90">
            <v>9.7188799999999986</v>
          </cell>
          <cell r="F90">
            <v>6.1897600000000006</v>
          </cell>
          <cell r="G90">
            <v>5.6304000000000007</v>
          </cell>
          <cell r="H90">
            <v>5.6138399999999997</v>
          </cell>
          <cell r="L90" t="str">
            <v>Mass N land applied</v>
          </cell>
          <cell r="M90" t="str">
            <v>Mass_N_Applied</v>
          </cell>
          <cell r="N90" t="str">
            <v>kg N</v>
          </cell>
          <cell r="O90">
            <v>5.9771111999999995</v>
          </cell>
          <cell r="P90">
            <v>3.8067024000000003</v>
          </cell>
          <cell r="Q90">
            <v>3.4626960000000002</v>
          </cell>
          <cell r="R90">
            <v>3.4525115999999998</v>
          </cell>
        </row>
        <row r="91">
          <cell r="B91" t="str">
            <v>Mass P land applied</v>
          </cell>
          <cell r="C91" t="str">
            <v>Mass_P_Applied</v>
          </cell>
          <cell r="D91" t="str">
            <v>kg P</v>
          </cell>
          <cell r="E91">
            <v>1.4177999999999999</v>
          </cell>
          <cell r="F91">
            <v>1.6651799999999999</v>
          </cell>
          <cell r="G91">
            <v>0.35639999999999999</v>
          </cell>
          <cell r="H91">
            <v>1.3424400000000001</v>
          </cell>
          <cell r="L91" t="str">
            <v>Mass P land applied</v>
          </cell>
          <cell r="M91" t="str">
            <v>Mass_P_Applied</v>
          </cell>
          <cell r="N91" t="str">
            <v>kg P</v>
          </cell>
          <cell r="O91">
            <v>1.4177999999999999</v>
          </cell>
          <cell r="P91">
            <v>1.6651799999999999</v>
          </cell>
          <cell r="Q91">
            <v>0.35639999999999999</v>
          </cell>
          <cell r="R91">
            <v>1.3424400000000001</v>
          </cell>
        </row>
        <row r="93">
          <cell r="B93" t="str">
            <v>Energy Calculations</v>
          </cell>
          <cell r="L93" t="str">
            <v>Energy Calculations</v>
          </cell>
        </row>
        <row r="94">
          <cell r="B94" t="str">
            <v>Parameter</v>
          </cell>
          <cell r="C94" t="str">
            <v>Name</v>
          </cell>
          <cell r="D94" t="str">
            <v>Units</v>
          </cell>
          <cell r="E94" t="str">
            <v>Food Waste</v>
          </cell>
          <cell r="F94" t="str">
            <v>Branches</v>
          </cell>
          <cell r="G94" t="str">
            <v>Grass</v>
          </cell>
          <cell r="H94" t="str">
            <v>Leaves</v>
          </cell>
          <cell r="L94" t="str">
            <v>Parameter</v>
          </cell>
          <cell r="M94" t="str">
            <v>Name</v>
          </cell>
          <cell r="N94" t="str">
            <v>Units</v>
          </cell>
          <cell r="O94" t="str">
            <v>Food Waste</v>
          </cell>
          <cell r="P94" t="str">
            <v>Branches</v>
          </cell>
          <cell r="Q94" t="str">
            <v>Grass</v>
          </cell>
          <cell r="R94" t="str">
            <v>Leaves</v>
          </cell>
        </row>
        <row r="95">
          <cell r="B95" t="str">
            <v>Volume of methane generated</v>
          </cell>
          <cell r="C95" t="str">
            <v>CH4_VolGen</v>
          </cell>
          <cell r="D95" t="str">
            <v>m3</v>
          </cell>
          <cell r="E95">
            <v>92.323799999999991</v>
          </cell>
          <cell r="F95">
            <v>44.573</v>
          </cell>
          <cell r="G95">
            <v>31.557600000000004</v>
          </cell>
          <cell r="H95">
            <v>22.136699999999998</v>
          </cell>
          <cell r="L95" t="str">
            <v>Volume of methane generated</v>
          </cell>
          <cell r="M95" t="str">
            <v>CH4_VolGen</v>
          </cell>
          <cell r="N95" t="str">
            <v>m3</v>
          </cell>
          <cell r="O95">
            <v>92.323799999999991</v>
          </cell>
          <cell r="P95">
            <v>44.573</v>
          </cell>
          <cell r="Q95">
            <v>31.557600000000004</v>
          </cell>
          <cell r="R95">
            <v>22.136699999999998</v>
          </cell>
        </row>
        <row r="96">
          <cell r="B96" t="str">
            <v>Mass of methane generated</v>
          </cell>
          <cell r="C96" t="str">
            <v>CH4_Gen</v>
          </cell>
          <cell r="D96" t="str">
            <v>kg</v>
          </cell>
          <cell r="E96">
            <v>66.089174457831334</v>
          </cell>
          <cell r="F96">
            <v>31.907187237840255</v>
          </cell>
          <cell r="G96">
            <v>22.590228433734946</v>
          </cell>
          <cell r="H96">
            <v>15.84636061579652</v>
          </cell>
          <cell r="L96" t="str">
            <v>Mass of methane generated</v>
          </cell>
          <cell r="M96" t="str">
            <v>CH4_Gen</v>
          </cell>
          <cell r="N96" t="str">
            <v>kg</v>
          </cell>
          <cell r="O96">
            <v>66.089174457831334</v>
          </cell>
          <cell r="P96">
            <v>31.907187237840255</v>
          </cell>
          <cell r="Q96">
            <v>22.590228433734946</v>
          </cell>
          <cell r="R96">
            <v>15.84636061579652</v>
          </cell>
        </row>
        <row r="97">
          <cell r="B97" t="str">
            <v>Mass of methane leaked</v>
          </cell>
          <cell r="C97" t="str">
            <v>CH4_Leaked</v>
          </cell>
          <cell r="D97" t="str">
            <v>kg</v>
          </cell>
          <cell r="E97">
            <v>1.3217834891566267</v>
          </cell>
          <cell r="F97">
            <v>0.63814374475680513</v>
          </cell>
          <cell r="G97">
            <v>0.45180456867469893</v>
          </cell>
          <cell r="H97">
            <v>0.31692721231593041</v>
          </cell>
          <cell r="L97" t="str">
            <v>Mass of methane leaked</v>
          </cell>
          <cell r="M97" t="str">
            <v>CH4_Leaked</v>
          </cell>
          <cell r="N97" t="str">
            <v>kg</v>
          </cell>
          <cell r="O97">
            <v>1.3217834891566267</v>
          </cell>
          <cell r="P97">
            <v>0.63814374475680513</v>
          </cell>
          <cell r="Q97">
            <v>0.45180456867469893</v>
          </cell>
          <cell r="R97">
            <v>0.31692721231593041</v>
          </cell>
        </row>
        <row r="98">
          <cell r="B98" t="str">
            <v>Mass of methane flared</v>
          </cell>
          <cell r="C98" t="str">
            <v>CH4_Flared</v>
          </cell>
          <cell r="D98" t="str">
            <v>kg</v>
          </cell>
          <cell r="E98">
            <v>9.7151086453012052</v>
          </cell>
          <cell r="F98">
            <v>4.6903565239625173</v>
          </cell>
          <cell r="G98">
            <v>3.3207635797590371</v>
          </cell>
          <cell r="H98">
            <v>2.3294150105220885</v>
          </cell>
          <cell r="L98" t="str">
            <v>Mass of methane flared</v>
          </cell>
          <cell r="M98" t="str">
            <v>CH4_Flared</v>
          </cell>
          <cell r="N98" t="str">
            <v>kg</v>
          </cell>
          <cell r="O98">
            <v>9.7151086453012052</v>
          </cell>
          <cell r="P98">
            <v>4.6903565239625173</v>
          </cell>
          <cell r="Q98">
            <v>3.3207635797590371</v>
          </cell>
          <cell r="R98">
            <v>2.3294150105220885</v>
          </cell>
        </row>
        <row r="99">
          <cell r="B99" t="str">
            <v>Mass of methane combusted</v>
          </cell>
          <cell r="C99" t="str">
            <v>CH4_Combust</v>
          </cell>
          <cell r="D99" t="str">
            <v>kg</v>
          </cell>
          <cell r="E99">
            <v>55.052282323373497</v>
          </cell>
          <cell r="F99">
            <v>26.57868696912093</v>
          </cell>
          <cell r="G99">
            <v>18.817660285301208</v>
          </cell>
          <cell r="H99">
            <v>13.200018392958501</v>
          </cell>
          <cell r="L99" t="str">
            <v>Mass of methane combusted</v>
          </cell>
          <cell r="M99" t="str">
            <v>CH4_Combust</v>
          </cell>
          <cell r="N99" t="str">
            <v>kg</v>
          </cell>
          <cell r="O99">
            <v>55.052282323373497</v>
          </cell>
          <cell r="P99">
            <v>26.57868696912093</v>
          </cell>
          <cell r="Q99">
            <v>18.817660285301208</v>
          </cell>
          <cell r="R99">
            <v>13.200018392958501</v>
          </cell>
        </row>
        <row r="100">
          <cell r="B100" t="str">
            <v>Energy from combusted methane</v>
          </cell>
          <cell r="C100" t="str">
            <v>EnergyGen</v>
          </cell>
          <cell r="D100" t="str">
            <v>MJ</v>
          </cell>
          <cell r="E100">
            <v>2752.6141161686746</v>
          </cell>
          <cell r="F100">
            <v>1328.9343484560466</v>
          </cell>
          <cell r="G100">
            <v>940.88301426506041</v>
          </cell>
          <cell r="H100">
            <v>660.00091964792512</v>
          </cell>
          <cell r="L100" t="str">
            <v>Energy from combusted methane</v>
          </cell>
          <cell r="M100" t="str">
            <v>EnergyGen</v>
          </cell>
          <cell r="N100" t="str">
            <v>MJ</v>
          </cell>
          <cell r="O100">
            <v>2752.6141161686746</v>
          </cell>
          <cell r="P100">
            <v>1328.9343484560466</v>
          </cell>
          <cell r="Q100">
            <v>940.88301426506041</v>
          </cell>
          <cell r="R100">
            <v>660.00091964792512</v>
          </cell>
        </row>
        <row r="101">
          <cell r="B101" t="str">
            <v>Electricity generation</v>
          </cell>
          <cell r="C101" t="str">
            <v>ElecGen</v>
          </cell>
          <cell r="D101" t="str">
            <v>kWh</v>
          </cell>
          <cell r="E101">
            <v>221.73835935803211</v>
          </cell>
          <cell r="F101">
            <v>107.05304473673708</v>
          </cell>
          <cell r="G101">
            <v>75.793353926907642</v>
          </cell>
          <cell r="H101">
            <v>53.166740749416192</v>
          </cell>
          <cell r="L101" t="str">
            <v>Electricity generation</v>
          </cell>
          <cell r="M101" t="str">
            <v>ElecGen</v>
          </cell>
          <cell r="N101" t="str">
            <v>kWh</v>
          </cell>
          <cell r="O101">
            <v>221.73835935803211</v>
          </cell>
          <cell r="P101">
            <v>107.05304473673708</v>
          </cell>
          <cell r="Q101">
            <v>75.793353926907642</v>
          </cell>
          <cell r="R101">
            <v>53.166740749416192</v>
          </cell>
        </row>
        <row r="103">
          <cell r="B103" t="str">
            <v>Outputs</v>
          </cell>
          <cell r="L103" t="str">
            <v>Outputs</v>
          </cell>
        </row>
        <row r="104">
          <cell r="B104" t="str">
            <v>Parameter</v>
          </cell>
          <cell r="C104" t="str">
            <v>Name</v>
          </cell>
          <cell r="D104" t="str">
            <v>Units</v>
          </cell>
          <cell r="E104" t="str">
            <v>Food Waste</v>
          </cell>
          <cell r="F104" t="str">
            <v>Branches</v>
          </cell>
          <cell r="G104" t="str">
            <v>Grass</v>
          </cell>
          <cell r="H104" t="str">
            <v>Leaves</v>
          </cell>
          <cell r="L104" t="str">
            <v>Parameter</v>
          </cell>
          <cell r="M104" t="str">
            <v>Name</v>
          </cell>
          <cell r="N104" t="str">
            <v>Units</v>
          </cell>
          <cell r="O104" t="str">
            <v>Food Waste</v>
          </cell>
          <cell r="P104" t="str">
            <v>Branches</v>
          </cell>
          <cell r="Q104" t="str">
            <v>Grass</v>
          </cell>
          <cell r="R104" t="str">
            <v>Leaves</v>
          </cell>
        </row>
        <row r="105">
          <cell r="B105" t="str">
            <v>Net electricity export to grid</v>
          </cell>
          <cell r="C105" t="str">
            <v>ElecOff</v>
          </cell>
          <cell r="D105" t="str">
            <v>kWh</v>
          </cell>
          <cell r="E105">
            <v>201.73835935803211</v>
          </cell>
          <cell r="F105">
            <v>87.053044736737078</v>
          </cell>
          <cell r="G105">
            <v>55.793353926907642</v>
          </cell>
          <cell r="H105">
            <v>33.166740749416192</v>
          </cell>
          <cell r="L105" t="str">
            <v>Net electricity export to grid</v>
          </cell>
          <cell r="M105" t="str">
            <v>ElecOff</v>
          </cell>
          <cell r="N105" t="str">
            <v>kWh</v>
          </cell>
          <cell r="O105">
            <v>201.50705779803212</v>
          </cell>
          <cell r="P105">
            <v>85.644562325737084</v>
          </cell>
          <cell r="Q105">
            <v>55.607075526907643</v>
          </cell>
          <cell r="R105">
            <v>32.027458703416194</v>
          </cell>
        </row>
        <row r="106">
          <cell r="B106" t="str">
            <v>Leaked CH4</v>
          </cell>
          <cell r="C106" t="str">
            <v>Mass_CH4_Leak</v>
          </cell>
          <cell r="D106" t="str">
            <v>kg CH4</v>
          </cell>
          <cell r="E106">
            <v>1.3217834891566267</v>
          </cell>
          <cell r="F106">
            <v>0.63814374475680513</v>
          </cell>
          <cell r="G106">
            <v>0.45180456867469893</v>
          </cell>
          <cell r="H106">
            <v>0.31692721231593041</v>
          </cell>
          <cell r="L106" t="str">
            <v>Leaked CH4</v>
          </cell>
          <cell r="M106" t="str">
            <v>Mass_CH4_Leak</v>
          </cell>
          <cell r="N106" t="str">
            <v>kg CH4</v>
          </cell>
          <cell r="O106">
            <v>1.3217834891566267</v>
          </cell>
          <cell r="P106">
            <v>0.63814374475680513</v>
          </cell>
          <cell r="Q106">
            <v>0.45180456867469893</v>
          </cell>
          <cell r="R106">
            <v>0.31692721231593041</v>
          </cell>
        </row>
        <row r="107">
          <cell r="B107" t="str">
            <v>Total diesel fuel use</v>
          </cell>
          <cell r="C107" t="str">
            <v>Dsl_tot</v>
          </cell>
          <cell r="D107" t="str">
            <v>L</v>
          </cell>
          <cell r="E107">
            <v>6.6783277333333331</v>
          </cell>
          <cell r="F107">
            <v>7.585904806666667</v>
          </cell>
          <cell r="G107">
            <v>6.6436159999999997</v>
          </cell>
          <cell r="H107">
            <v>7.3783580400000002</v>
          </cell>
          <cell r="L107" t="str">
            <v>Total diesel fuel use</v>
          </cell>
          <cell r="M107" t="str">
            <v>Dsl_tot</v>
          </cell>
          <cell r="N107" t="str">
            <v>L</v>
          </cell>
          <cell r="O107">
            <v>6.8260965634279334</v>
          </cell>
          <cell r="P107">
            <v>8.3983849800337325</v>
          </cell>
          <cell r="Q107">
            <v>6.7521422036945111</v>
          </cell>
          <cell r="R107">
            <v>8.0438537078690331</v>
          </cell>
        </row>
        <row r="108">
          <cell r="B108" t="str">
            <v>Mass of Carbon Stored after 100 years</v>
          </cell>
          <cell r="C108" t="str">
            <v>Mass_C_Stored</v>
          </cell>
          <cell r="D108" t="str">
            <v>kg C</v>
          </cell>
          <cell r="E108">
            <v>23.510734650602416</v>
          </cell>
          <cell r="F108">
            <v>224.28403457385099</v>
          </cell>
          <cell r="G108">
            <v>28.667077879518082</v>
          </cell>
          <cell r="H108">
            <v>173.70539014993307</v>
          </cell>
          <cell r="L108" t="str">
            <v>Mass of Carbon Stored after 100 years</v>
          </cell>
          <cell r="M108" t="str">
            <v>Mass_C_Stored</v>
          </cell>
          <cell r="N108" t="str">
            <v>kg C</v>
          </cell>
          <cell r="O108">
            <v>9.8745085532530155</v>
          </cell>
          <cell r="P108">
            <v>94.199294521017421</v>
          </cell>
          <cell r="Q108">
            <v>12.040172709397595</v>
          </cell>
          <cell r="R108">
            <v>72.956263862971895</v>
          </cell>
        </row>
        <row r="109">
          <cell r="B109" t="str">
            <v>Mass CH4 emitted during curing</v>
          </cell>
          <cell r="C109" t="str">
            <v>Mass_CH4_Cure</v>
          </cell>
          <cell r="D109" t="str">
            <v>kg CH4</v>
          </cell>
          <cell r="E109">
            <v>0</v>
          </cell>
          <cell r="F109">
            <v>0</v>
          </cell>
          <cell r="G109">
            <v>0</v>
          </cell>
          <cell r="H109">
            <v>0</v>
          </cell>
          <cell r="L109" t="str">
            <v>Mass CH4 emitted during curing</v>
          </cell>
          <cell r="M109" t="str">
            <v>Mass_CH4_Cure</v>
          </cell>
          <cell r="N109" t="str">
            <v>kg CH4</v>
          </cell>
          <cell r="O109">
            <v>0.29060809715662655</v>
          </cell>
          <cell r="P109">
            <v>2.7722977388308796</v>
          </cell>
          <cell r="Q109">
            <v>0.35434388067469885</v>
          </cell>
          <cell r="R109">
            <v>2.1471125274270411</v>
          </cell>
        </row>
        <row r="110">
          <cell r="B110" t="str">
            <v>Mass of N2O emitted during curing</v>
          </cell>
          <cell r="C110" t="str">
            <v>Mass_N2O_Cure</v>
          </cell>
          <cell r="D110" t="str">
            <v>kg N2O</v>
          </cell>
          <cell r="E110">
            <v>0</v>
          </cell>
          <cell r="F110">
            <v>0</v>
          </cell>
          <cell r="G110">
            <v>0</v>
          </cell>
          <cell r="H110">
            <v>0</v>
          </cell>
          <cell r="L110" t="str">
            <v>Mass of N2O emitted during curing</v>
          </cell>
          <cell r="M110" t="str">
            <v>Mass_N2O_Cure</v>
          </cell>
          <cell r="N110" t="str">
            <v>kg N2O</v>
          </cell>
          <cell r="O110">
            <v>0.11754121690792289</v>
          </cell>
          <cell r="P110">
            <v>7.4859646663811563E-2</v>
          </cell>
          <cell r="Q110">
            <v>6.8094684539614578E-2</v>
          </cell>
          <cell r="R110">
            <v>6.7894406055674511E-2</v>
          </cell>
        </row>
        <row r="111">
          <cell r="B111" t="str">
            <v>Mass of N2O emitted after land application</v>
          </cell>
          <cell r="C111" t="str">
            <v>Mass_N2O_Land</v>
          </cell>
          <cell r="D111" t="str">
            <v>kg N2O</v>
          </cell>
          <cell r="E111">
            <v>0.4579527931477515</v>
          </cell>
          <cell r="F111">
            <v>0.29166096102783728</v>
          </cell>
          <cell r="G111">
            <v>0.26530396573875803</v>
          </cell>
          <cell r="H111">
            <v>0.26452365995717342</v>
          </cell>
          <cell r="L111" t="str">
            <v>Mass of N2O emitted after land application</v>
          </cell>
          <cell r="M111" t="str">
            <v>Mass_N2O_Land</v>
          </cell>
          <cell r="N111" t="str">
            <v>kg N2O</v>
          </cell>
          <cell r="O111">
            <v>0.28164096778586722</v>
          </cell>
          <cell r="P111">
            <v>0.17937149103211991</v>
          </cell>
          <cell r="Q111">
            <v>0.1631619389293362</v>
          </cell>
          <cell r="R111">
            <v>0.16268205087366164</v>
          </cell>
        </row>
        <row r="112">
          <cell r="B112" t="str">
            <v>Mass of Nitrogen fertilizer offset</v>
          </cell>
          <cell r="C112" t="str">
            <v>Mass_N_Offset</v>
          </cell>
          <cell r="D112" t="str">
            <v>kg N</v>
          </cell>
          <cell r="E112">
            <v>1.9437759999999997</v>
          </cell>
          <cell r="F112">
            <v>1.2379520000000002</v>
          </cell>
          <cell r="G112">
            <v>1.1260800000000002</v>
          </cell>
          <cell r="H112">
            <v>1.122768</v>
          </cell>
          <cell r="L112" t="str">
            <v>Mass of Nitrogen fertilizer offset</v>
          </cell>
          <cell r="M112" t="str">
            <v>Mass_N_Offset</v>
          </cell>
          <cell r="N112" t="str">
            <v>kg N</v>
          </cell>
          <cell r="O112">
            <v>1.1954222399999999</v>
          </cell>
          <cell r="P112">
            <v>0.7613404800000001</v>
          </cell>
          <cell r="Q112">
            <v>0.69253920000000013</v>
          </cell>
          <cell r="R112">
            <v>0.69050232</v>
          </cell>
        </row>
        <row r="113">
          <cell r="B113" t="str">
            <v>Mass N2O emitted from equivalent fertilizer</v>
          </cell>
          <cell r="C113" t="str">
            <v>Mass_N2O_Offset</v>
          </cell>
          <cell r="D113" t="str">
            <v>kg N2O</v>
          </cell>
          <cell r="E113">
            <v>0.14043885656531047</v>
          </cell>
          <cell r="F113">
            <v>8.9442694715203427E-2</v>
          </cell>
          <cell r="G113">
            <v>8.1359882826552474E-2</v>
          </cell>
          <cell r="H113">
            <v>8.1120589053533185E-2</v>
          </cell>
          <cell r="L113" t="str">
            <v>Mass N2O emitted from equivalent fertilizer</v>
          </cell>
          <cell r="M113" t="str">
            <v>Mass_N2O_Offset</v>
          </cell>
          <cell r="N113" t="str">
            <v>kg N2O</v>
          </cell>
          <cell r="O113">
            <v>8.6369896787665934E-2</v>
          </cell>
          <cell r="P113">
            <v>5.5007257249850103E-2</v>
          </cell>
          <cell r="Q113">
            <v>5.0036327938329767E-2</v>
          </cell>
          <cell r="R113">
            <v>4.98891622679229E-2</v>
          </cell>
        </row>
        <row r="114">
          <cell r="B114" t="str">
            <v xml:space="preserve">Mass of Phosphorus fertilizer offset </v>
          </cell>
          <cell r="C114" t="str">
            <v>Mass_P_Offset</v>
          </cell>
          <cell r="D114" t="str">
            <v>kg P</v>
          </cell>
          <cell r="E114">
            <v>1.4177999999999999</v>
          </cell>
          <cell r="F114">
            <v>1.6651799999999999</v>
          </cell>
          <cell r="G114">
            <v>0.35639999999999999</v>
          </cell>
          <cell r="H114">
            <v>1.3424400000000001</v>
          </cell>
          <cell r="L114" t="str">
            <v xml:space="preserve">Mass of Phosphorus fertilizer offset </v>
          </cell>
          <cell r="M114" t="str">
            <v>Mass_P_Offset</v>
          </cell>
          <cell r="N114" t="str">
            <v>kg P</v>
          </cell>
          <cell r="O114">
            <v>1.4177999999999999</v>
          </cell>
          <cell r="P114">
            <v>1.6651799999999999</v>
          </cell>
          <cell r="Q114">
            <v>0.35639999999999999</v>
          </cell>
          <cell r="R114">
            <v>1.3424400000000001</v>
          </cell>
        </row>
        <row r="116">
          <cell r="B116" t="str">
            <v>GHG Emission Outputs</v>
          </cell>
          <cell r="L116" t="str">
            <v>GHG Emission Outputs</v>
          </cell>
        </row>
        <row r="117">
          <cell r="B117" t="str">
            <v>Parameter</v>
          </cell>
          <cell r="C117" t="str">
            <v>Units</v>
          </cell>
          <cell r="D117" t="str">
            <v>Food Waste</v>
          </cell>
          <cell r="E117" t="str">
            <v>Branches</v>
          </cell>
          <cell r="F117" t="str">
            <v>Grass</v>
          </cell>
          <cell r="G117" t="str">
            <v>Leaves</v>
          </cell>
          <cell r="H117" t="str">
            <v>Mixed Yard Trimmings</v>
          </cell>
          <cell r="I117" t="str">
            <v>Mixed Organics</v>
          </cell>
          <cell r="J117" t="str">
            <v>Total</v>
          </cell>
          <cell r="L117" t="str">
            <v>Parameter</v>
          </cell>
          <cell r="M117" t="str">
            <v>Units</v>
          </cell>
          <cell r="N117" t="str">
            <v>Food Waste</v>
          </cell>
          <cell r="O117" t="str">
            <v>Branches</v>
          </cell>
          <cell r="P117" t="str">
            <v>Grass</v>
          </cell>
          <cell r="Q117" t="str">
            <v>Leaves</v>
          </cell>
          <cell r="R117" t="str">
            <v>Mixed Yard Trimmings</v>
          </cell>
          <cell r="S117" t="str">
            <v>Mixed Organics</v>
          </cell>
        </row>
        <row r="118">
          <cell r="B118" t="str">
            <v>Net electricity export to grid</v>
          </cell>
          <cell r="C118" t="str">
            <v>kg CO2e/Mg</v>
          </cell>
          <cell r="D118">
            <v>-161.93548615349209</v>
          </cell>
          <cell r="E118">
            <v>-69.877524360980942</v>
          </cell>
          <cell r="F118">
            <v>-44.785354263008756</v>
          </cell>
          <cell r="G118">
            <v>-26.622960077967491</v>
          </cell>
          <cell r="H118">
            <v>-46.517798241241486</v>
          </cell>
          <cell r="I118">
            <v>-106.54277037186188</v>
          </cell>
          <cell r="L118" t="str">
            <v>Net electricity export to grid</v>
          </cell>
          <cell r="M118" t="str">
            <v>kg CO2e/Mg</v>
          </cell>
          <cell r="N118">
            <v>-161.74982027078218</v>
          </cell>
          <cell r="O118">
            <v>-68.746934795913944</v>
          </cell>
          <cell r="P118">
            <v>-44.635828494285924</v>
          </cell>
          <cell r="Q118">
            <v>-25.708457786127525</v>
          </cell>
          <cell r="R118">
            <v>-45.931762392653333</v>
          </cell>
          <cell r="S118">
            <v>-106.16495387403778</v>
          </cell>
        </row>
        <row r="119">
          <cell r="B119" t="str">
            <v>Nitrogen fertilizer offset</v>
          </cell>
          <cell r="C119" t="str">
            <v>kg CO2e/Mg</v>
          </cell>
          <cell r="D119">
            <v>-17.299606399999998</v>
          </cell>
          <cell r="E119">
            <v>-11.017772800000001</v>
          </cell>
          <cell r="F119">
            <v>-10.022112000000002</v>
          </cell>
          <cell r="G119">
            <v>-9.9926352000000005</v>
          </cell>
          <cell r="H119">
            <v>-10.263658000000001</v>
          </cell>
          <cell r="I119">
            <v>-13.922825102217233</v>
          </cell>
          <cell r="L119" t="str">
            <v>Nitrogen fertilizer offset</v>
          </cell>
          <cell r="M119" t="str">
            <v>kg CO2e/Mg</v>
          </cell>
          <cell r="N119">
            <v>-10.639257936</v>
          </cell>
          <cell r="O119">
            <v>-6.775930272000001</v>
          </cell>
          <cell r="P119">
            <v>-6.1635988800000012</v>
          </cell>
          <cell r="Q119">
            <v>-6.1454706479999999</v>
          </cell>
          <cell r="R119">
            <v>-6.312149670000001</v>
          </cell>
          <cell r="S119">
            <v>-8.5625374378635986</v>
          </cell>
        </row>
        <row r="120">
          <cell r="H120">
            <v>-1.6741889999999999</v>
          </cell>
          <cell r="I120">
            <v>-2.1307306511366826</v>
          </cell>
          <cell r="L120" t="str">
            <v>Phosphorus fertilizer offset</v>
          </cell>
          <cell r="M120" t="str">
            <v>kg CO2e/Mg</v>
          </cell>
          <cell r="N120">
            <v>-2.5520399999999999</v>
          </cell>
          <cell r="O120">
            <v>-2.9973239999999999</v>
          </cell>
          <cell r="P120">
            <v>-0.64151999999999998</v>
          </cell>
          <cell r="Q120">
            <v>-2.4163920000000001</v>
          </cell>
          <cell r="R120">
            <v>-1.6741889999999999</v>
          </cell>
        </row>
        <row r="121">
          <cell r="H121">
            <v>-417.37994877591854</v>
          </cell>
          <cell r="I121">
            <v>-245.14720194627103</v>
          </cell>
          <cell r="L121" t="str">
            <v>Soil carbon storage</v>
          </cell>
          <cell r="M121" t="str">
            <v>kg CO2e/Mg</v>
          </cell>
          <cell r="N121">
            <v>-36.206531361927723</v>
          </cell>
          <cell r="O121">
            <v>-345.39741324373051</v>
          </cell>
          <cell r="P121">
            <v>-44.147299934457848</v>
          </cell>
          <cell r="Q121">
            <v>-267.50630083089692</v>
          </cell>
          <cell r="R121">
            <v>-175.29957848588577</v>
          </cell>
        </row>
        <row r="122">
          <cell r="H122">
            <v>21.954109191068468</v>
          </cell>
          <cell r="I122">
            <v>21.332464470407796</v>
          </cell>
          <cell r="L122" t="str">
            <v>Total diesel fuel use</v>
          </cell>
          <cell r="M122" t="str">
            <v>kg CO2e/Mg</v>
          </cell>
          <cell r="N122">
            <v>21.21811537628507</v>
          </cell>
          <cell r="O122">
            <v>26.105388317467309</v>
          </cell>
          <cell r="P122">
            <v>20.988236979045542</v>
          </cell>
          <cell r="Q122">
            <v>25.003369708824295</v>
          </cell>
          <cell r="R122">
            <v>23.271307996095672</v>
          </cell>
        </row>
        <row r="123">
          <cell r="H123">
            <v>0</v>
          </cell>
          <cell r="I123">
            <v>0</v>
          </cell>
          <cell r="L123" t="str">
            <v>Curing GHG emissions (CH4 and N2O)</v>
          </cell>
          <cell r="M123" t="str">
            <v>kg CO2e/Mg</v>
          </cell>
          <cell r="N123">
            <v>42.292485067476683</v>
          </cell>
          <cell r="O123">
            <v>91.61561817658783</v>
          </cell>
          <cell r="P123">
            <v>29.150813009672614</v>
          </cell>
          <cell r="Q123">
            <v>73.910346190267035</v>
          </cell>
          <cell r="R123">
            <v>55.956897596550021</v>
          </cell>
        </row>
        <row r="124">
          <cell r="H124">
            <v>56.136457976531041</v>
          </cell>
          <cell r="I124">
            <v>76.150051596147208</v>
          </cell>
          <cell r="L124" t="str">
            <v>Net N2O emissions after land application</v>
          </cell>
          <cell r="M124" t="str">
            <v>kg CO2e/Mg</v>
          </cell>
          <cell r="N124">
            <v>58.190779157463986</v>
          </cell>
          <cell r="O124">
            <v>37.060541667116404</v>
          </cell>
          <cell r="P124">
            <v>33.711432075319919</v>
          </cell>
          <cell r="Q124">
            <v>33.612280804510149</v>
          </cell>
          <cell r="R124">
            <v>34.523921655566596</v>
          </cell>
        </row>
        <row r="125">
          <cell r="H125">
            <v>3.620086438595453</v>
          </cell>
          <cell r="I125">
            <v>3.620086438595453</v>
          </cell>
          <cell r="L125" t="str">
            <v>Transportation GHG</v>
          </cell>
          <cell r="M125" t="str">
            <v>kg CO2e/Mg</v>
          </cell>
          <cell r="N125">
            <v>3.620086438595453</v>
          </cell>
          <cell r="O125">
            <v>3.620086438595453</v>
          </cell>
          <cell r="P125">
            <v>3.620086438595453</v>
          </cell>
          <cell r="Q125">
            <v>3.620086438595453</v>
          </cell>
          <cell r="R125">
            <v>3.620086438595453</v>
          </cell>
        </row>
        <row r="126">
          <cell r="H126">
            <v>11.616750590138334</v>
          </cell>
          <cell r="I126">
            <v>22.760668999247063</v>
          </cell>
          <cell r="L126" t="str">
            <v>Leaked methane</v>
          </cell>
          <cell r="M126" t="str">
            <v>kg CO2e/Mg</v>
          </cell>
          <cell r="N126">
            <v>33.044587228915667</v>
          </cell>
          <cell r="O126">
            <v>15.953593618920129</v>
          </cell>
          <cell r="P126">
            <v>11.295114216867473</v>
          </cell>
          <cell r="Q126">
            <v>7.9231803078982601</v>
          </cell>
          <cell r="R126">
            <v>11.616750590138334</v>
          </cell>
        </row>
        <row r="127">
          <cell r="H127">
            <v>-382.50818982082666</v>
          </cell>
          <cell r="I127">
            <v>-243.8802565670893</v>
          </cell>
          <cell r="L127" t="str">
            <v>Total GHG Emissions</v>
          </cell>
          <cell r="M127" t="str">
            <v>kg CO2e/Mg</v>
          </cell>
          <cell r="N127">
            <v>-52.781596299973053</v>
          </cell>
          <cell r="O127">
            <v>-249.56237409295733</v>
          </cell>
          <cell r="P127">
            <v>3.1774354107572282</v>
          </cell>
          <cell r="Q127">
            <v>-157.70735781492931</v>
          </cell>
          <cell r="R127">
            <v>-100.22871527159305</v>
          </cell>
        </row>
        <row r="129">
          <cell r="B129" t="str">
            <v>Nitrogen fertilizer offset</v>
          </cell>
          <cell r="C129" t="str">
            <v>MT CO2e/short ton</v>
          </cell>
          <cell r="D129">
            <v>-1.5693938934086334E-2</v>
          </cell>
          <cell r="E129">
            <v>-9.995155352947073E-3</v>
          </cell>
          <cell r="F129">
            <v>-9.0919070689708826E-3</v>
          </cell>
          <cell r="G129">
            <v>-9.0651661658268483E-3</v>
          </cell>
          <cell r="H129">
            <v>-9.3110339141789216E-3</v>
          </cell>
          <cell r="I129">
            <v>-1.2630574470420415E-2</v>
          </cell>
          <cell r="L129" t="str">
            <v>Nitrogen fertilizer offset</v>
          </cell>
          <cell r="M129" t="str">
            <v>MT CO2e/short ton</v>
          </cell>
          <cell r="N129">
            <v>-9.6517724444630977E-3</v>
          </cell>
          <cell r="O129">
            <v>-6.14702054206245E-3</v>
          </cell>
          <cell r="P129">
            <v>-5.591522847417092E-3</v>
          </cell>
          <cell r="Q129">
            <v>-5.5750771919835119E-3</v>
          </cell>
          <cell r="R129">
            <v>-5.7262858572200374E-3</v>
          </cell>
          <cell r="S129">
            <v>-7.7678032993085547E-3</v>
          </cell>
        </row>
        <row r="130">
          <cell r="B130" t="str">
            <v>Phosphorus fertilizer offset</v>
          </cell>
          <cell r="C130" t="str">
            <v>MT CO2e/short ton</v>
          </cell>
          <cell r="D130">
            <v>-2.3151717438696E-3</v>
          </cell>
          <cell r="E130">
            <v>-2.71912659363576E-3</v>
          </cell>
          <cell r="F130">
            <v>-5.8197715440480005E-4</v>
          </cell>
          <cell r="G130">
            <v>-2.1921139482580804E-3</v>
          </cell>
          <cell r="H130">
            <v>-1.51879871267586E-3</v>
          </cell>
          <cell r="I130">
            <v>-1.9329663317614622E-3</v>
          </cell>
          <cell r="L130" t="str">
            <v>Phosphorus fertilizer offset</v>
          </cell>
          <cell r="M130" t="str">
            <v>MT CO2e/short ton</v>
          </cell>
          <cell r="N130">
            <v>-2.3151717438696E-3</v>
          </cell>
          <cell r="O130">
            <v>-2.71912659363576E-3</v>
          </cell>
          <cell r="P130">
            <v>-5.8197715440480005E-4</v>
          </cell>
          <cell r="Q130">
            <v>-2.1921139482580804E-3</v>
          </cell>
          <cell r="R130">
            <v>-1.51879871267586E-3</v>
          </cell>
          <cell r="S130">
            <v>-1.9329663317614622E-3</v>
          </cell>
        </row>
        <row r="131">
          <cell r="B131" t="str">
            <v>Soil carbon storage</v>
          </cell>
          <cell r="C131" t="str">
            <v>MT CO2e/short ton</v>
          </cell>
          <cell r="D131">
            <v>-7.820479223779106E-2</v>
          </cell>
          <cell r="E131">
            <v>-0.74604586316711008</v>
          </cell>
          <cell r="F131">
            <v>-9.5356563839864669E-2</v>
          </cell>
          <cell r="G131">
            <v>-0.57780389039914049</v>
          </cell>
          <cell r="H131">
            <v>-0.37864072031149498</v>
          </cell>
          <cell r="I131">
            <v>-0.22239380065935538</v>
          </cell>
          <cell r="L131" t="str">
            <v>Soil carbon storage</v>
          </cell>
          <cell r="M131" t="str">
            <v>MT CO2e/short ton</v>
          </cell>
          <cell r="N131">
            <v>-3.2846012739872248E-2</v>
          </cell>
          <cell r="O131">
            <v>-0.31333926253018624</v>
          </cell>
          <cell r="P131">
            <v>-4.0049756812743156E-2</v>
          </cell>
          <cell r="Q131">
            <v>-0.24267763396763903</v>
          </cell>
          <cell r="R131">
            <v>-0.15902910253082789</v>
          </cell>
          <cell r="S131">
            <v>-9.3405396276929273E-2</v>
          </cell>
        </row>
        <row r="132">
          <cell r="B132" t="str">
            <v>Total diesel fuel use</v>
          </cell>
          <cell r="C132" t="str">
            <v>MT CO2e/short ton</v>
          </cell>
          <cell r="D132">
            <v>1.8832060603640344E-2</v>
          </cell>
          <cell r="E132">
            <v>2.1391316023553233E-2</v>
          </cell>
          <cell r="F132">
            <v>1.8734177796462737E-2</v>
          </cell>
          <cell r="G132">
            <v>2.0806059737245548E-2</v>
          </cell>
          <cell r="H132">
            <v>1.9916432838431062E-2</v>
          </cell>
          <cell r="I132">
            <v>1.9352486234146135E-2</v>
          </cell>
          <cell r="L132" t="str">
            <v>Total diesel fuel use</v>
          </cell>
          <cell r="M132" t="str">
            <v>MT CO2e/short ton</v>
          </cell>
          <cell r="N132">
            <v>1.9248750480925173E-2</v>
          </cell>
          <cell r="O132">
            <v>2.3682409913380619E-2</v>
          </cell>
          <cell r="P132">
            <v>1.9040208306893819E-2</v>
          </cell>
          <cell r="Q132">
            <v>2.2682675448423645E-2</v>
          </cell>
          <cell r="R132">
            <v>2.1111375493897976E-2</v>
          </cell>
          <cell r="S132">
            <v>2.0142685022655035E-2</v>
          </cell>
        </row>
        <row r="133">
          <cell r="B133" t="str">
            <v>Curing GHG emissions (CH4 and N2O)</v>
          </cell>
          <cell r="C133" t="str">
            <v>MT CO2e/short ton</v>
          </cell>
          <cell r="D133">
            <v>0</v>
          </cell>
          <cell r="E133">
            <v>0</v>
          </cell>
          <cell r="F133">
            <v>0</v>
          </cell>
          <cell r="G133">
            <v>0</v>
          </cell>
          <cell r="H133">
            <v>0</v>
          </cell>
          <cell r="I133">
            <v>0</v>
          </cell>
          <cell r="L133" t="str">
            <v>Curing GHG emissions (CH4 and N2O)</v>
          </cell>
          <cell r="M133" t="str">
            <v>MT CO2e/short ton</v>
          </cell>
          <cell r="N133">
            <v>3.8367097069892719E-2</v>
          </cell>
          <cell r="O133">
            <v>8.3112290755467097E-2</v>
          </cell>
          <cell r="P133">
            <v>2.6445172720968468E-2</v>
          </cell>
          <cell r="Q133">
            <v>6.7050338191927392E-2</v>
          </cell>
          <cell r="R133">
            <v>5.0763243597332863E-2</v>
          </cell>
          <cell r="S133">
            <v>4.4316412411437106E-2</v>
          </cell>
        </row>
        <row r="134">
          <cell r="B134" t="str">
            <v>Net N2O emissions after land application</v>
          </cell>
          <cell r="C134" t="str">
            <v>MT CO2e/short ton</v>
          </cell>
          <cell r="D134">
            <v>8.583705180546565E-2</v>
          </cell>
          <cell r="E134">
            <v>5.4667898953727097E-2</v>
          </cell>
          <cell r="F134">
            <v>4.9727636979311797E-2</v>
          </cell>
          <cell r="G134">
            <v>4.9581379223490284E-2</v>
          </cell>
          <cell r="H134">
            <v>5.0926138033960247E-2</v>
          </cell>
          <cell r="I134">
            <v>6.9082164758237391E-2</v>
          </cell>
          <cell r="L134" t="str">
            <v>Net N2O emissions after land application</v>
          </cell>
          <cell r="M134" t="str">
            <v>MT CO2e/short ton</v>
          </cell>
          <cell r="N134">
            <v>5.2789786860361385E-2</v>
          </cell>
          <cell r="O134">
            <v>3.3620757856542165E-2</v>
          </cell>
          <cell r="P134">
            <v>3.0582496742276762E-2</v>
          </cell>
          <cell r="Q134">
            <v>3.0492548222446531E-2</v>
          </cell>
          <cell r="R134">
            <v>3.1319574890885549E-2</v>
          </cell>
          <cell r="S134">
            <v>4.2485531326316009E-2</v>
          </cell>
        </row>
        <row r="135">
          <cell r="B135" t="str">
            <v>Transportation GHG</v>
          </cell>
          <cell r="C135" t="str">
            <v>MT CO2e/short ton</v>
          </cell>
          <cell r="D135">
            <v>3.2840871745747425E-3</v>
          </cell>
          <cell r="E135">
            <v>3.2840871745747425E-3</v>
          </cell>
          <cell r="F135">
            <v>3.2840871745747425E-3</v>
          </cell>
          <cell r="G135">
            <v>3.2840871745747425E-3</v>
          </cell>
          <cell r="H135">
            <v>3.2840871745747425E-3</v>
          </cell>
          <cell r="I135">
            <v>3.2840871745747425E-3</v>
          </cell>
          <cell r="L135" t="str">
            <v>Transportation GHG</v>
          </cell>
          <cell r="M135" t="str">
            <v>MT CO2e/short ton</v>
          </cell>
          <cell r="N135">
            <v>3.2840871745747425E-3</v>
          </cell>
          <cell r="O135">
            <v>3.2840871745747425E-3</v>
          </cell>
          <cell r="P135">
            <v>3.2840871745747425E-3</v>
          </cell>
          <cell r="Q135">
            <v>3.2840871745747425E-3</v>
          </cell>
          <cell r="R135">
            <v>3.2840871745747425E-3</v>
          </cell>
          <cell r="S135">
            <v>3.2840871745747425E-3</v>
          </cell>
        </row>
        <row r="136">
          <cell r="B136" t="str">
            <v>Leaked methane</v>
          </cell>
          <cell r="C136" t="str">
            <v>MT CO2e/short ton</v>
          </cell>
          <cell r="D136">
            <v>2.9977545273671181E-2</v>
          </cell>
          <cell r="E136">
            <v>1.4472856679245716E-2</v>
          </cell>
          <cell r="F136">
            <v>1.0246755254099224E-2</v>
          </cell>
          <cell r="G136">
            <v>7.1877882675938044E-3</v>
          </cell>
          <cell r="H136">
            <v>1.0538538863759491E-2</v>
          </cell>
          <cell r="I136">
            <v>2.0648131588308007E-2</v>
          </cell>
          <cell r="L136" t="str">
            <v>Leaked methane</v>
          </cell>
          <cell r="M136" t="str">
            <v>MT CO2e/short ton</v>
          </cell>
          <cell r="N136">
            <v>2.9977545273671181E-2</v>
          </cell>
          <cell r="O136">
            <v>1.4472856679245716E-2</v>
          </cell>
          <cell r="P136">
            <v>1.0246755254099224E-2</v>
          </cell>
          <cell r="Q136">
            <v>7.1877882675938044E-3</v>
          </cell>
          <cell r="R136">
            <v>1.0538538863759491E-2</v>
          </cell>
          <cell r="S136">
            <v>2.0648131588308007E-2</v>
          </cell>
        </row>
        <row r="137">
          <cell r="B137" t="str">
            <v>Total GHG Emissions</v>
          </cell>
          <cell r="C137" t="str">
            <v>MT CO2e/short ton</v>
          </cell>
          <cell r="D137">
            <v>-0.1051885599613244</v>
          </cell>
          <cell r="E137">
            <v>-0.72833581005185244</v>
          </cell>
          <cell r="F137">
            <v>-6.3666380821687352E-2</v>
          </cell>
          <cell r="G137">
            <v>-0.53235379922668224</v>
          </cell>
          <cell r="H137">
            <v>-0.34700559273047732</v>
          </cell>
          <cell r="I137">
            <v>-0.22124444714494823</v>
          </cell>
          <cell r="L137" t="str">
            <v>Total GHG Emissions</v>
          </cell>
          <cell r="M137" t="str">
            <v>MT CO2e/short ton</v>
          </cell>
          <cell r="N137">
            <v>-4.7882658716176016E-2</v>
          </cell>
          <cell r="O137">
            <v>-0.22639917745530225</v>
          </cell>
          <cell r="P137">
            <v>2.8825209169745895E-3</v>
          </cell>
          <cell r="Q137">
            <v>-0.14306970839542363</v>
          </cell>
          <cell r="R137">
            <v>-9.0925961004194172E-2</v>
          </cell>
          <cell r="S137">
            <v>-6.8540544462039346E-2</v>
          </cell>
        </row>
        <row r="138">
          <cell r="B138" t="str">
            <v>Energy Outputs</v>
          </cell>
          <cell r="L138" t="str">
            <v>Energy Outputs</v>
          </cell>
        </row>
        <row r="139">
          <cell r="B139" t="str">
            <v>Parameter</v>
          </cell>
          <cell r="C139" t="str">
            <v>Units</v>
          </cell>
          <cell r="D139" t="str">
            <v>Food Waste</v>
          </cell>
          <cell r="E139" t="str">
            <v>Branches</v>
          </cell>
          <cell r="F139" t="str">
            <v>Grass</v>
          </cell>
          <cell r="G139" t="str">
            <v>Leaves</v>
          </cell>
          <cell r="H139" t="str">
            <v>Mixed Yard Trimmings</v>
          </cell>
          <cell r="I139" t="str">
            <v>Mixed Organics</v>
          </cell>
          <cell r="J139" t="str">
            <v>Total</v>
          </cell>
          <cell r="L139" t="str">
            <v>Parameter</v>
          </cell>
          <cell r="M139" t="str">
            <v>Units</v>
          </cell>
          <cell r="N139" t="str">
            <v>Food Waste</v>
          </cell>
          <cell r="O139" t="str">
            <v>Branches</v>
          </cell>
          <cell r="P139" t="str">
            <v>Grass</v>
          </cell>
          <cell r="Q139" t="str">
            <v>Leaves</v>
          </cell>
          <cell r="R139" t="str">
            <v>Mixed Yard Trimmings</v>
          </cell>
          <cell r="S139" t="str">
            <v>Mixed Organics</v>
          </cell>
        </row>
        <row r="140">
          <cell r="B140" t="str">
            <v>Net electricity export to grid</v>
          </cell>
          <cell r="C140" t="str">
            <v>kWh/Mg</v>
          </cell>
          <cell r="D140">
            <v>-214.70530397170808</v>
          </cell>
          <cell r="E140">
            <v>-92.648470480979327</v>
          </cell>
          <cell r="F140">
            <v>-59.379530261857731</v>
          </cell>
          <cell r="G140">
            <v>-35.298567793526168</v>
          </cell>
          <cell r="H140">
            <v>-61.676524699555237</v>
          </cell>
          <cell r="I140">
            <v>-141.26179778159263</v>
          </cell>
          <cell r="L140" t="str">
            <v>Net electricity export to grid</v>
          </cell>
          <cell r="M140" t="str">
            <v>kWh/Mg</v>
          </cell>
          <cell r="N140">
            <v>-214.45913526136979</v>
          </cell>
          <cell r="O140">
            <v>-91.149456385916409</v>
          </cell>
          <cell r="P140">
            <v>-59.181278622344877</v>
          </cell>
          <cell r="Q140">
            <v>-34.086057199237942</v>
          </cell>
          <cell r="R140">
            <v>-60.89951770746103</v>
          </cell>
          <cell r="S140">
            <v>-140.76086245272987</v>
          </cell>
        </row>
        <row r="141">
          <cell r="B141" t="str">
            <v>Total diesel fuel use (transport to digester)</v>
          </cell>
          <cell r="C141" t="str">
            <v>L/Mg</v>
          </cell>
          <cell r="D141">
            <v>1.1168847400576087</v>
          </cell>
          <cell r="E141">
            <v>1.1168847400576087</v>
          </cell>
          <cell r="F141">
            <v>1.1168847400576087</v>
          </cell>
          <cell r="G141">
            <v>1.1168847400576087</v>
          </cell>
          <cell r="H141">
            <v>1.1168847400576087</v>
          </cell>
          <cell r="I141">
            <v>1.1168847400576087</v>
          </cell>
          <cell r="L141" t="str">
            <v>Total diesel fuel use (transport to digester)</v>
          </cell>
          <cell r="M141" t="str">
            <v>L/Mg</v>
          </cell>
          <cell r="N141">
            <v>1.1168847400576087</v>
          </cell>
          <cell r="O141">
            <v>1.1168847400576087</v>
          </cell>
          <cell r="P141">
            <v>1.1168847400576087</v>
          </cell>
          <cell r="Q141">
            <v>1.1168847400576087</v>
          </cell>
          <cell r="R141">
            <v>1.1168847400576087</v>
          </cell>
          <cell r="S141">
            <v>1.1168847400576087</v>
          </cell>
        </row>
        <row r="142">
          <cell r="B142" t="str">
            <v>Total diesel fuel use (process)</v>
          </cell>
          <cell r="C142" t="str">
            <v>L/Mg</v>
          </cell>
          <cell r="D142">
            <v>6.6783277333333331</v>
          </cell>
          <cell r="E142">
            <v>7.585904806666667</v>
          </cell>
          <cell r="F142">
            <v>6.6436159999999997</v>
          </cell>
          <cell r="G142">
            <v>7.3783580400000002</v>
          </cell>
          <cell r="H142">
            <v>7.0628737116666667</v>
          </cell>
          <cell r="I142">
            <v>6.862883900313407</v>
          </cell>
          <cell r="L142" t="str">
            <v>Total diesel fuel use (process)</v>
          </cell>
          <cell r="M142" t="str">
            <v>L/Mg</v>
          </cell>
          <cell r="N142">
            <v>6.8260965634279334</v>
          </cell>
          <cell r="O142">
            <v>8.3983849800337325</v>
          </cell>
          <cell r="P142">
            <v>6.7521422036945111</v>
          </cell>
          <cell r="Q142">
            <v>8.0438537078690331</v>
          </cell>
          <cell r="R142">
            <v>7.4866307738229469</v>
          </cell>
          <cell r="S142">
            <v>7.1431084915153527</v>
          </cell>
        </row>
        <row r="144">
          <cell r="B144" t="str">
            <v>Net electricity export to grid</v>
          </cell>
          <cell r="C144" t="str">
            <v>MMBtu/Mg</v>
          </cell>
          <cell r="D144">
            <v>-0.73278920245543977</v>
          </cell>
          <cell r="E144">
            <v>-0.31620922975158244</v>
          </cell>
          <cell r="F144">
            <v>-0.20266233678372045</v>
          </cell>
          <cell r="G144">
            <v>-0.12047401187930482</v>
          </cell>
          <cell r="H144">
            <v>-0.21050197879958202</v>
          </cell>
          <cell r="I144">
            <v>-0.48212651582857563</v>
          </cell>
          <cell r="L144" t="str">
            <v>Net electricity export to grid</v>
          </cell>
          <cell r="M144" t="str">
            <v>MMBtu/Mg</v>
          </cell>
          <cell r="N144">
            <v>-0.73194902864705513</v>
          </cell>
          <cell r="O144">
            <v>-0.31109309464513274</v>
          </cell>
          <cell r="P144">
            <v>-0.20198570393806306</v>
          </cell>
          <cell r="Q144">
            <v>-0.1163357132209991</v>
          </cell>
          <cell r="R144">
            <v>-0.20785005393556449</v>
          </cell>
          <cell r="S144">
            <v>-0.48041682355116705</v>
          </cell>
        </row>
        <row r="145">
          <cell r="B145" t="str">
            <v>Total diesel fuel use (transport to digester)</v>
          </cell>
          <cell r="C145" t="str">
            <v>MMBtu/Mg</v>
          </cell>
          <cell r="D145">
            <v>4.6942412733540322E-2</v>
          </cell>
          <cell r="E145">
            <v>4.6942412733540322E-2</v>
          </cell>
          <cell r="F145">
            <v>4.6942412733540322E-2</v>
          </cell>
          <cell r="G145">
            <v>4.6942412733540322E-2</v>
          </cell>
          <cell r="H145">
            <v>4.6942412733540322E-2</v>
          </cell>
          <cell r="I145">
            <v>4.6942412733540322E-2</v>
          </cell>
          <cell r="L145" t="str">
            <v>Total diesel fuel use (transport to digester)</v>
          </cell>
          <cell r="M145" t="str">
            <v>MMBtu/Mg</v>
          </cell>
          <cell r="N145">
            <v>4.6942412733540322E-2</v>
          </cell>
          <cell r="O145">
            <v>4.6942412733540322E-2</v>
          </cell>
          <cell r="P145">
            <v>4.6942412733540322E-2</v>
          </cell>
          <cell r="Q145">
            <v>4.6942412733540322E-2</v>
          </cell>
          <cell r="R145">
            <v>4.6942412733540322E-2</v>
          </cell>
          <cell r="S145">
            <v>4.6942412733540322E-2</v>
          </cell>
        </row>
        <row r="146">
          <cell r="B146" t="str">
            <v>Total diesel fuel use (process)</v>
          </cell>
          <cell r="C146" t="str">
            <v>MMBtu/Mg</v>
          </cell>
          <cell r="D146">
            <v>0.28068860248893007</v>
          </cell>
          <cell r="E146">
            <v>0.31883386138262254</v>
          </cell>
          <cell r="F146">
            <v>0.27922967619654837</v>
          </cell>
          <cell r="G146">
            <v>0.31011071777348354</v>
          </cell>
          <cell r="H146">
            <v>0.29685098288730072</v>
          </cell>
          <cell r="I146">
            <v>0.28844545639889746</v>
          </cell>
          <cell r="L146" t="str">
            <v>Total diesel fuel use (process)</v>
          </cell>
          <cell r="M146" t="str">
            <v>MMBtu/Mg</v>
          </cell>
          <cell r="N146">
            <v>0.28689929295918876</v>
          </cell>
          <cell r="O146">
            <v>0.35298221910308708</v>
          </cell>
          <cell r="P146">
            <v>0.28379100796473894</v>
          </cell>
          <cell r="Q146">
            <v>0.33808135000889206</v>
          </cell>
          <cell r="R146">
            <v>0.31466139626036427</v>
          </cell>
          <cell r="S146">
            <v>0.30022323251714839</v>
          </cell>
        </row>
        <row r="147">
          <cell r="B147" t="str">
            <v>Total Energy Consumption</v>
          </cell>
          <cell r="C147" t="str">
            <v>MMBtu/Mg</v>
          </cell>
          <cell r="D147">
            <v>-0.40515818723296942</v>
          </cell>
          <cell r="E147">
            <v>4.9567044364580426E-2</v>
          </cell>
          <cell r="F147">
            <v>0.12350975214636825</v>
          </cell>
          <cell r="G147">
            <v>0.23657911862771905</v>
          </cell>
          <cell r="H147">
            <v>0.13329141682125903</v>
          </cell>
          <cell r="I147">
            <v>-0.14673864669613784</v>
          </cell>
          <cell r="L147" t="str">
            <v>Total Energy Consumption</v>
          </cell>
          <cell r="M147" t="str">
            <v>MMBtu/Mg</v>
          </cell>
          <cell r="N147">
            <v>-0.3981073229543261</v>
          </cell>
          <cell r="O147">
            <v>8.8831537191494669E-2</v>
          </cell>
          <cell r="P147">
            <v>0.12874771676021621</v>
          </cell>
          <cell r="Q147">
            <v>0.26868804952143327</v>
          </cell>
          <cell r="R147">
            <v>0.1537537550583401</v>
          </cell>
          <cell r="S147">
            <v>-0.13325117830047833</v>
          </cell>
        </row>
        <row r="148">
          <cell r="B148" t="str">
            <v>Parameter</v>
          </cell>
          <cell r="C148" t="str">
            <v>Units</v>
          </cell>
          <cell r="D148" t="str">
            <v>Food Waste</v>
          </cell>
          <cell r="E148" t="str">
            <v>Branches</v>
          </cell>
          <cell r="F148" t="str">
            <v>Grass</v>
          </cell>
          <cell r="G148" t="str">
            <v>Leaves</v>
          </cell>
          <cell r="H148" t="str">
            <v>Mixed Yard Trimmings</v>
          </cell>
          <cell r="I148" t="str">
            <v>Mixed Organics</v>
          </cell>
          <cell r="J148" t="str">
            <v>Total</v>
          </cell>
          <cell r="L148" t="str">
            <v>Parameter</v>
          </cell>
          <cell r="M148" t="str">
            <v>Units</v>
          </cell>
          <cell r="N148" t="str">
            <v>Food Waste</v>
          </cell>
          <cell r="O148" t="str">
            <v>Branches</v>
          </cell>
          <cell r="P148" t="str">
            <v>Grass</v>
          </cell>
          <cell r="Q148" t="str">
            <v>Leaves</v>
          </cell>
          <cell r="R148" t="str">
            <v>Mixed Yard Trimmings</v>
          </cell>
          <cell r="S148" t="str">
            <v>Mixed Organics</v>
          </cell>
        </row>
        <row r="150">
          <cell r="B150" t="str">
            <v>Net electricity export to grid</v>
          </cell>
          <cell r="C150" t="str">
            <v>MMBTU/short ton</v>
          </cell>
          <cell r="D150">
            <v>-0.6647751821043455</v>
          </cell>
          <cell r="E150">
            <v>-0.28686018787778961</v>
          </cell>
          <cell r="F150">
            <v>-0.18385217930293188</v>
          </cell>
          <cell r="G150">
            <v>-0.10929218514348406</v>
          </cell>
          <cell r="H150">
            <v>-0.19096418290678432</v>
          </cell>
          <cell r="I150">
            <v>-0.43737781790905228</v>
          </cell>
          <cell r="L150" t="str">
            <v>Net electricity export to grid</v>
          </cell>
          <cell r="M150" t="str">
            <v>MMBTU/short ton</v>
          </cell>
          <cell r="N150">
            <v>-0.66401298924643126</v>
          </cell>
          <cell r="O150">
            <v>-0.28221890818144013</v>
          </cell>
          <cell r="P150">
            <v>-0.18323834831076871</v>
          </cell>
          <cell r="Q150">
            <v>-0.10553798375110664</v>
          </cell>
          <cell r="R150">
            <v>-0.18855839713852107</v>
          </cell>
          <cell r="S150">
            <v>-0.43582681116489136</v>
          </cell>
        </row>
        <row r="151">
          <cell r="B151" t="str">
            <v>Total diesel fuel use (transport to digester)</v>
          </cell>
          <cell r="C151" t="str">
            <v>MMBTU/short ton</v>
          </cell>
          <cell r="D151">
            <v>4.2585440490649468E-2</v>
          </cell>
          <cell r="E151">
            <v>4.2585440490649468E-2</v>
          </cell>
          <cell r="F151">
            <v>4.2585440490649468E-2</v>
          </cell>
          <cell r="G151">
            <v>4.2585440490649468E-2</v>
          </cell>
          <cell r="H151">
            <v>4.2585440490649468E-2</v>
          </cell>
          <cell r="I151">
            <v>4.2585440490649468E-2</v>
          </cell>
          <cell r="L151" t="str">
            <v>Total diesel fuel use (transport to digester)</v>
          </cell>
          <cell r="M151" t="str">
            <v>MMBTU/short ton</v>
          </cell>
          <cell r="N151">
            <v>4.2585440490649468E-2</v>
          </cell>
          <cell r="O151">
            <v>4.2585440490649468E-2</v>
          </cell>
          <cell r="P151">
            <v>4.2585440490649468E-2</v>
          </cell>
          <cell r="Q151">
            <v>4.2585440490649468E-2</v>
          </cell>
          <cell r="R151">
            <v>4.2585440490649468E-2</v>
          </cell>
          <cell r="S151">
            <v>4.2585440490649468E-2</v>
          </cell>
        </row>
        <row r="152">
          <cell r="B152" t="str">
            <v>Total diesel fuel use (process)</v>
          </cell>
          <cell r="C152" t="str">
            <v>MMBTU/short ton</v>
          </cell>
          <cell r="D152">
            <v>0.25463641686988342</v>
          </cell>
          <cell r="E152">
            <v>0.2892412136415905</v>
          </cell>
          <cell r="F152">
            <v>0.25331290120064992</v>
          </cell>
          <cell r="G152">
            <v>0.28132771087455105</v>
          </cell>
          <cell r="H152">
            <v>0.26929868172936039</v>
          </cell>
          <cell r="I152">
            <v>0.26167331636741514</v>
          </cell>
          <cell r="L152" t="str">
            <v>Total diesel fuel use (process)</v>
          </cell>
          <cell r="M152" t="str">
            <v>MMBTU/short ton</v>
          </cell>
          <cell r="N152">
            <v>0.26027066048936548</v>
          </cell>
          <cell r="O152">
            <v>0.32022008266165708</v>
          </cell>
          <cell r="P152">
            <v>0.25745087177482961</v>
          </cell>
          <cell r="Q152">
            <v>0.30670224160666576</v>
          </cell>
          <cell r="R152">
            <v>0.28545601695449552</v>
          </cell>
          <cell r="S152">
            <v>0.27235793513302881</v>
          </cell>
        </row>
        <row r="154">
          <cell r="B154" t="str">
            <v>Net electricity export to grid</v>
          </cell>
          <cell r="C154" t="str">
            <v>kWh/short ton</v>
          </cell>
          <cell r="D154">
            <v>-194.77737536019498</v>
          </cell>
          <cell r="E154">
            <v>-84.049278604684915</v>
          </cell>
          <cell r="F154">
            <v>-53.868203721925539</v>
          </cell>
          <cell r="G154">
            <v>-32.022322046142413</v>
          </cell>
          <cell r="H154">
            <v>-55.9520020236696</v>
          </cell>
          <cell r="I154">
            <v>-128.15054729242669</v>
          </cell>
          <cell r="L154" t="str">
            <v>Net electricity export to grid</v>
          </cell>
          <cell r="M154" t="str">
            <v>kWh/short ton</v>
          </cell>
          <cell r="N154">
            <v>-194.55405486271059</v>
          </cell>
          <cell r="O154">
            <v>-82.689395892598924</v>
          </cell>
          <cell r="P154">
            <v>-53.688352859879501</v>
          </cell>
          <cell r="Q154">
            <v>-30.922350937915802</v>
          </cell>
          <cell r="R154">
            <v>-55.247113137568434</v>
          </cell>
          <cell r="S154">
            <v>-127.69610640635551</v>
          </cell>
        </row>
        <row r="155">
          <cell r="B155" t="str">
            <v>Total diesel fuel use (transport to digester)</v>
          </cell>
          <cell r="C155" t="str">
            <v>L/short ton</v>
          </cell>
          <cell r="D155">
            <v>1.0132207925191294</v>
          </cell>
          <cell r="E155">
            <v>1.0132207925191294</v>
          </cell>
          <cell r="F155">
            <v>1.0132207925191294</v>
          </cell>
          <cell r="G155">
            <v>1.0132207925191294</v>
          </cell>
          <cell r="H155">
            <v>1.0132207925191294</v>
          </cell>
          <cell r="I155">
            <v>1.0132207925191294</v>
          </cell>
          <cell r="L155" t="str">
            <v>Total diesel fuel use (transport to digester)</v>
          </cell>
          <cell r="M155" t="str">
            <v>L/short ton</v>
          </cell>
          <cell r="N155">
            <v>1.0132207925191294</v>
          </cell>
          <cell r="O155">
            <v>1.0132207925191294</v>
          </cell>
          <cell r="P155">
            <v>1.0132207925191294</v>
          </cell>
          <cell r="Q155">
            <v>1.0132207925191294</v>
          </cell>
          <cell r="R155">
            <v>1.0132207925191294</v>
          </cell>
          <cell r="S155">
            <v>1.0132207925191294</v>
          </cell>
        </row>
        <row r="156">
          <cell r="B156" t="str">
            <v>Total diesel fuel use (process)</v>
          </cell>
          <cell r="C156" t="str">
            <v>L/short ton</v>
          </cell>
          <cell r="D156">
            <v>6.0584770083987891</v>
          </cell>
          <cell r="E156">
            <v>6.8818170797006513</v>
          </cell>
          <cell r="F156">
            <v>6.0269870536198402</v>
          </cell>
          <cell r="G156">
            <v>6.6935338201443102</v>
          </cell>
          <cell r="H156">
            <v>6.4073312517711605</v>
          </cell>
          <cell r="I156">
            <v>6.2259035467560047</v>
          </cell>
          <cell r="L156" t="str">
            <v>Total diesel fuel use (process)</v>
          </cell>
          <cell r="M156" t="str">
            <v>L/short ton</v>
          </cell>
          <cell r="N156">
            <v>6.1925306361082635</v>
          </cell>
          <cell r="O156">
            <v>7.618886694531807</v>
          </cell>
          <cell r="P156">
            <v>6.1254403695016322</v>
          </cell>
          <cell r="Q156">
            <v>7.2972613345712052</v>
          </cell>
          <cell r="R156">
            <v>6.7917571920265694</v>
          </cell>
          <cell r="S156">
            <v>6.4801190196671481</v>
          </cell>
        </row>
        <row r="157">
          <cell r="B157" t="str">
            <v>Total Energy Consumption</v>
          </cell>
          <cell r="C157" t="str">
            <v>MMBtu/short ton</v>
          </cell>
          <cell r="D157">
            <v>-0.36755332474381269</v>
          </cell>
          <cell r="E157">
            <v>4.496646625445036E-2</v>
          </cell>
          <cell r="F157">
            <v>0.11204616238836752</v>
          </cell>
          <cell r="G157">
            <v>0.21462096622171647</v>
          </cell>
          <cell r="H157">
            <v>0.12091993931322551</v>
          </cell>
          <cell r="I157">
            <v>-0.13311906105098767</v>
          </cell>
          <cell r="L157" t="str">
            <v>Total Energy Consumption</v>
          </cell>
          <cell r="M157" t="str">
            <v>MMBtu/short ton</v>
          </cell>
          <cell r="N157">
            <v>-0.3611568882664164</v>
          </cell>
          <cell r="O157">
            <v>8.058661497086643E-2</v>
          </cell>
          <cell r="P157">
            <v>0.11679796395471038</v>
          </cell>
          <cell r="Q157">
            <v>0.24374969834620858</v>
          </cell>
          <cell r="R157">
            <v>0.13948306030662397</v>
          </cell>
          <cell r="S157">
            <v>-0.12088343554121309</v>
          </cell>
        </row>
        <row r="163">
          <cell r="D163" t="str">
            <v>Value</v>
          </cell>
          <cell r="E163" t="str">
            <v>Source</v>
          </cell>
        </row>
        <row r="164">
          <cell r="D164">
            <v>2</v>
          </cell>
          <cell r="E164" t="str">
            <v>WERF, 2012; Sanscartier et al. 2012 reports (2-5%)</v>
          </cell>
        </row>
        <row r="165">
          <cell r="D165">
            <v>15</v>
          </cell>
          <cell r="E165" t="str">
            <v>U.S. EPA (2013)</v>
          </cell>
        </row>
        <row r="166">
          <cell r="D166">
            <v>29</v>
          </cell>
          <cell r="E166" t="str">
            <v>U.S. EPA (2013)</v>
          </cell>
        </row>
        <row r="167">
          <cell r="B167" t="str">
            <v>House electricity demand</v>
          </cell>
          <cell r="C167" t="str">
            <v>kWh/Mg-in</v>
          </cell>
          <cell r="D167">
            <v>20</v>
          </cell>
          <cell r="E167" t="str">
            <v>Boldrin et al. 2011 (48.9 kWh/Mg); Møller, et al. 2009 report ranges of 20-50 kWh/Mg; Sanscartier et al. 2012 report 47-67 for Dufferin facility</v>
          </cell>
        </row>
        <row r="168">
          <cell r="B168" t="str">
            <v>House diesel fuel use</v>
          </cell>
          <cell r="C168" t="str">
            <v>L/Mg</v>
          </cell>
          <cell r="D168">
            <v>6.5</v>
          </cell>
          <cell r="E168" t="str">
            <v>Boldrin et al. 2011 (0.9 L/Mg); Møller et al. 2009 report 1.6 L/Mg; Sanscartier et al. 2012 report 0.3 L Mg for Dufferin facility; WERF, 2012 (6.5 L/Mg). Higher  values seem more likely.</v>
          </cell>
        </row>
        <row r="169">
          <cell r="B169" t="str">
            <v>Moisture content in reactor</v>
          </cell>
          <cell r="C169" t="str">
            <v>%ww</v>
          </cell>
          <cell r="D169">
            <v>70</v>
          </cell>
        </row>
        <row r="170">
          <cell r="B170" t="str">
            <v>Percent dry mass Nitrogen loss during AD</v>
          </cell>
          <cell r="C170" t="str">
            <v>%TS</v>
          </cell>
          <cell r="D170">
            <v>8</v>
          </cell>
          <cell r="E170" t="str">
            <v>Developed from Hansen et al. (2006) based on initial N content.</v>
          </cell>
        </row>
        <row r="171">
          <cell r="B171" t="str">
            <v>Percent dry mass Phosphorus loss during AD</v>
          </cell>
          <cell r="C171" t="str">
            <v>%TS</v>
          </cell>
          <cell r="D171">
            <v>0</v>
          </cell>
          <cell r="E171" t="str">
            <v>Assumed</v>
          </cell>
        </row>
        <row r="173">
          <cell r="B173" t="str">
            <v>Digestate Curing Parameters</v>
          </cell>
          <cell r="C173" t="str">
            <v>Units</v>
          </cell>
          <cell r="D173" t="str">
            <v>Value</v>
          </cell>
          <cell r="E173" t="str">
            <v>Source</v>
          </cell>
        </row>
        <row r="174">
          <cell r="B174" t="str">
            <v>Curing fuel use (material movement windrow turning)</v>
          </cell>
          <cell r="C174" t="str">
            <v>L/Mg</v>
          </cell>
          <cell r="D174">
            <v>1</v>
          </cell>
          <cell r="E174" t="str">
            <v>Boldrin et al. (2009) Assumed 1/3 of 3L used for curing.</v>
          </cell>
        </row>
        <row r="175">
          <cell r="B175" t="str">
            <v>Nitrogen loss during curing</v>
          </cell>
          <cell r="C175" t="str">
            <v>%</v>
          </cell>
          <cell r="D175">
            <v>38.5</v>
          </cell>
          <cell r="E175" t="str">
            <v>Average from Beck-Friis et al. (2000)</v>
          </cell>
        </row>
        <row r="176">
          <cell r="B176" t="str">
            <v>Carbon loss during curing</v>
          </cell>
          <cell r="C176" t="str">
            <v>%</v>
          </cell>
          <cell r="D176">
            <v>58</v>
          </cell>
          <cell r="E176" t="str">
            <v>Average for open biowaste systems from Boldrin et al. (2009)</v>
          </cell>
        </row>
        <row r="177">
          <cell r="B177" t="str">
            <v>Percent N loss as N2O</v>
          </cell>
          <cell r="C177" t="str">
            <v>%</v>
          </cell>
          <cell r="D177">
            <v>1</v>
          </cell>
          <cell r="E177" t="str">
            <v>Average for open biowaste systems from Boldrin et al. (2009)</v>
          </cell>
        </row>
        <row r="178">
          <cell r="B178" t="str">
            <v>Percent C loss as CH4</v>
          </cell>
          <cell r="C178" t="str">
            <v>%</v>
          </cell>
          <cell r="D178">
            <v>1.3</v>
          </cell>
          <cell r="E178" t="str">
            <v>Average for open biowaste systems from Boldrin et al. (2009)</v>
          </cell>
        </row>
        <row r="179">
          <cell r="B179" t="str">
            <v>Screen electricity use</v>
          </cell>
          <cell r="C179" t="str">
            <v>kWh/Mg</v>
          </cell>
          <cell r="D179">
            <v>0.88200000000000001</v>
          </cell>
          <cell r="E179" t="str">
            <v>Komilis and Ham (2004)</v>
          </cell>
        </row>
        <row r="180">
          <cell r="B180" t="str">
            <v>Mass VS loss per mol C loss</v>
          </cell>
          <cell r="C180" t="str">
            <v>g/mol C loss</v>
          </cell>
          <cell r="D180">
            <v>12</v>
          </cell>
          <cell r="E180" t="str">
            <v>Haug (1993)</v>
          </cell>
        </row>
        <row r="181">
          <cell r="B181" t="str">
            <v>Finished compost moisture content</v>
          </cell>
          <cell r="C181" t="str">
            <v>%</v>
          </cell>
          <cell r="D181">
            <v>40</v>
          </cell>
          <cell r="E181" t="str">
            <v>Haug (1993)</v>
          </cell>
        </row>
        <row r="184">
          <cell r="B184" t="str">
            <v>Use on Land Parameters</v>
          </cell>
          <cell r="C184" t="str">
            <v>Units</v>
          </cell>
          <cell r="D184" t="str">
            <v>Value</v>
          </cell>
          <cell r="E184" t="str">
            <v>Source</v>
          </cell>
        </row>
        <row r="185">
          <cell r="B185" t="str">
            <v>Diesel use to transport digestate</v>
          </cell>
          <cell r="C185" t="str">
            <v>L/Mg</v>
          </cell>
          <cell r="D185">
            <v>0.21</v>
          </cell>
          <cell r="E185" t="str">
            <v>Berglund &amp; Börjesson (2006)</v>
          </cell>
        </row>
        <row r="186">
          <cell r="B186" t="str">
            <v>Diesel use to spread digestate</v>
          </cell>
          <cell r="C186" t="str">
            <v>L/Mg</v>
          </cell>
          <cell r="D186">
            <v>0.47</v>
          </cell>
          <cell r="E186" t="str">
            <v>Berglund &amp; Börjesson (2006); Arsova (2012)</v>
          </cell>
        </row>
        <row r="187">
          <cell r="B187" t="str">
            <v>Mineral Nutrient Equivalent for Nitrogen</v>
          </cell>
          <cell r="C187" t="str">
            <v>kg N offset/kg N applied</v>
          </cell>
          <cell r="D187">
            <v>0.2</v>
          </cell>
          <cell r="E187" t="str">
            <v>Møller, et al. (2009)</v>
          </cell>
        </row>
        <row r="188">
          <cell r="B188" t="str">
            <v>Mineral Nutrient Equivalent for Phosphorus</v>
          </cell>
          <cell r="C188" t="str">
            <v>kg N offset/kg P applied</v>
          </cell>
          <cell r="D188">
            <v>1</v>
          </cell>
          <cell r="E188" t="str">
            <v>Møller, et al. (2009)</v>
          </cell>
        </row>
        <row r="189">
          <cell r="B189" t="str">
            <v>Percent N applied as digestate that is loss as N2O</v>
          </cell>
          <cell r="C189" t="str">
            <v>%</v>
          </cell>
          <cell r="D189">
            <v>1.5</v>
          </cell>
          <cell r="E189" t="str">
            <v>Hansen et al. (2006)</v>
          </cell>
        </row>
        <row r="190">
          <cell r="B190" t="str">
            <v>Percent N applied as fertilizer that is loss as N2O</v>
          </cell>
          <cell r="C190" t="str">
            <v>%</v>
          </cell>
          <cell r="D190">
            <v>2.2999999999999998</v>
          </cell>
          <cell r="E190" t="str">
            <v>Average reported by Brown et al. (2010)</v>
          </cell>
        </row>
        <row r="191">
          <cell r="B191" t="str">
            <v>Percent of C applied that is stored after 100 years</v>
          </cell>
          <cell r="C191" t="str">
            <v>%</v>
          </cell>
          <cell r="D191">
            <v>10</v>
          </cell>
          <cell r="E191" t="str">
            <v>Bruun et al. (2006)</v>
          </cell>
        </row>
        <row r="192">
          <cell r="B192" t="str">
            <v>Additional C storage due to humus formation</v>
          </cell>
          <cell r="C192" t="str">
            <v>kg C stored/kg C applied</v>
          </cell>
          <cell r="D192">
            <v>0.51</v>
          </cell>
          <cell r="E192" t="str">
            <v>Calculated from WARM Composting Documentation as shown in Humus Formation Sheet</v>
          </cell>
        </row>
        <row r="193">
          <cell r="B193" t="str">
            <v>GHG intensity of N fertilizer use and application</v>
          </cell>
          <cell r="C193" t="str">
            <v xml:space="preserve">kg CO2e/kg N </v>
          </cell>
          <cell r="D193">
            <v>8.9</v>
          </cell>
          <cell r="E193" t="str">
            <v>Boldrin et al. (2009)</v>
          </cell>
        </row>
        <row r="194">
          <cell r="B194" t="str">
            <v>GHG intensity of P fertilizer use and application</v>
          </cell>
          <cell r="C194" t="str">
            <v>kg CO2e/kg P</v>
          </cell>
          <cell r="D194">
            <v>1.8</v>
          </cell>
          <cell r="E194" t="str">
            <v>Boldrin et al. (2009)</v>
          </cell>
        </row>
        <row r="205">
          <cell r="B205" t="str">
            <v>Mass of Carbon in digestate</v>
          </cell>
          <cell r="C205" t="str">
            <v>kg C/Mg</v>
          </cell>
          <cell r="D205">
            <v>38.542187951807236</v>
          </cell>
          <cell r="E205">
            <v>367.6787452030344</v>
          </cell>
          <cell r="F205">
            <v>46.995209638554229</v>
          </cell>
          <cell r="G205">
            <v>284.7629346720214</v>
          </cell>
        </row>
        <row r="206">
          <cell r="B206" t="str">
            <v>Mass of N loss during curing</v>
          </cell>
          <cell r="C206" t="str">
            <v>kg N/Mg</v>
          </cell>
          <cell r="D206">
            <v>0</v>
          </cell>
          <cell r="E206">
            <v>0</v>
          </cell>
          <cell r="F206">
            <v>0</v>
          </cell>
          <cell r="G206">
            <v>0</v>
          </cell>
        </row>
        <row r="207">
          <cell r="B207" t="str">
            <v>Mass of Carbon loss during curing</v>
          </cell>
          <cell r="C207" t="str">
            <v>kg C/Mg</v>
          </cell>
          <cell r="D207">
            <v>0</v>
          </cell>
          <cell r="E207">
            <v>0</v>
          </cell>
          <cell r="F207">
            <v>0</v>
          </cell>
          <cell r="G207">
            <v>0</v>
          </cell>
        </row>
        <row r="208">
          <cell r="B208" t="str">
            <v>Moles of Carbon loss during curing</v>
          </cell>
          <cell r="C208" t="str">
            <v>mol C/Mg</v>
          </cell>
          <cell r="D208">
            <v>0</v>
          </cell>
          <cell r="E208">
            <v>0</v>
          </cell>
          <cell r="F208">
            <v>0</v>
          </cell>
          <cell r="G208">
            <v>0</v>
          </cell>
        </row>
        <row r="209">
          <cell r="B209" t="str">
            <v>Mass of solids lost during curing</v>
          </cell>
          <cell r="C209" t="str">
            <v>Mg/Mg</v>
          </cell>
          <cell r="D209">
            <v>0</v>
          </cell>
          <cell r="E209">
            <v>0</v>
          </cell>
          <cell r="F209">
            <v>0</v>
          </cell>
          <cell r="G209">
            <v>0</v>
          </cell>
        </row>
        <row r="210">
          <cell r="B210" t="str">
            <v>Dry mass of finished compost</v>
          </cell>
          <cell r="C210" t="str">
            <v>Mg/Mg</v>
          </cell>
          <cell r="D210">
            <v>0</v>
          </cell>
          <cell r="E210">
            <v>0</v>
          </cell>
          <cell r="F210">
            <v>0</v>
          </cell>
          <cell r="G210">
            <v>0</v>
          </cell>
        </row>
        <row r="211">
          <cell r="B211" t="str">
            <v>Mass of N in finished compost</v>
          </cell>
          <cell r="C211" t="str">
            <v>kg N/Mg</v>
          </cell>
          <cell r="D211">
            <v>0</v>
          </cell>
          <cell r="E211">
            <v>0</v>
          </cell>
          <cell r="F211">
            <v>0</v>
          </cell>
          <cell r="G211">
            <v>0</v>
          </cell>
        </row>
        <row r="212">
          <cell r="B212" t="str">
            <v>Mass of C in finished compost</v>
          </cell>
          <cell r="C212" t="str">
            <v>kg C/Mg</v>
          </cell>
          <cell r="D212">
            <v>0</v>
          </cell>
          <cell r="E212">
            <v>0</v>
          </cell>
          <cell r="F212">
            <v>0</v>
          </cell>
          <cell r="G212">
            <v>0</v>
          </cell>
        </row>
        <row r="213">
          <cell r="B213" t="str">
            <v>Mass of water in finished compost</v>
          </cell>
          <cell r="C213" t="str">
            <v>Mg/Mg</v>
          </cell>
          <cell r="D213">
            <v>0</v>
          </cell>
          <cell r="E213">
            <v>0</v>
          </cell>
          <cell r="F213">
            <v>0</v>
          </cell>
          <cell r="G213">
            <v>0</v>
          </cell>
        </row>
        <row r="214">
          <cell r="B214" t="str">
            <v>Total mass of finished compost</v>
          </cell>
          <cell r="C214" t="str">
            <v>Mg/Mg</v>
          </cell>
          <cell r="D214">
            <v>0</v>
          </cell>
          <cell r="E214">
            <v>0</v>
          </cell>
          <cell r="F214">
            <v>0</v>
          </cell>
          <cell r="G214">
            <v>0</v>
          </cell>
        </row>
        <row r="215">
          <cell r="B215" t="str">
            <v>Mass C land applied</v>
          </cell>
          <cell r="C215" t="str">
            <v>kg C/Mg</v>
          </cell>
          <cell r="D215">
            <v>38.542187951807236</v>
          </cell>
          <cell r="E215">
            <v>367.6787452030344</v>
          </cell>
          <cell r="F215">
            <v>46.995209638554229</v>
          </cell>
          <cell r="G215">
            <v>284.7629346720214</v>
          </cell>
        </row>
        <row r="216">
          <cell r="B216" t="str">
            <v>Mass N land applied</v>
          </cell>
          <cell r="C216" t="str">
            <v>kg N/Mg</v>
          </cell>
          <cell r="D216">
            <v>9.7188799999999986</v>
          </cell>
          <cell r="E216">
            <v>6.1897600000000006</v>
          </cell>
          <cell r="F216">
            <v>5.6304000000000007</v>
          </cell>
          <cell r="G216">
            <v>5.6138399999999997</v>
          </cell>
        </row>
        <row r="217">
          <cell r="B217" t="str">
            <v>Mass P land applied</v>
          </cell>
          <cell r="C217" t="str">
            <v>kg P/Mg</v>
          </cell>
          <cell r="D217">
            <v>1.4177999999999999</v>
          </cell>
          <cell r="E217">
            <v>1.6651799999999999</v>
          </cell>
          <cell r="F217">
            <v>0.35639999999999999</v>
          </cell>
          <cell r="G217">
            <v>1.3424400000000001</v>
          </cell>
        </row>
        <row r="219">
          <cell r="B219" t="str">
            <v>Parameter</v>
          </cell>
          <cell r="C219" t="str">
            <v>Units</v>
          </cell>
          <cell r="D219" t="str">
            <v>Food Waste</v>
          </cell>
          <cell r="E219" t="str">
            <v>Branches</v>
          </cell>
          <cell r="F219" t="str">
            <v>Grass</v>
          </cell>
          <cell r="G219" t="str">
            <v>Leaves</v>
          </cell>
        </row>
        <row r="220">
          <cell r="B220" t="str">
            <v>Mass of methane generated</v>
          </cell>
          <cell r="C220" t="str">
            <v>kg/Mg</v>
          </cell>
          <cell r="D220">
            <v>66.089174457831334</v>
          </cell>
          <cell r="E220">
            <v>31.907187237840255</v>
          </cell>
          <cell r="F220">
            <v>22.590228433734946</v>
          </cell>
          <cell r="G220">
            <v>15.84636061579652</v>
          </cell>
        </row>
        <row r="221">
          <cell r="B221" t="str">
            <v>Mass of methane leaked</v>
          </cell>
          <cell r="C221" t="str">
            <v>kg/Mg</v>
          </cell>
          <cell r="D221">
            <v>1.3217834891566267</v>
          </cell>
          <cell r="E221">
            <v>0.63814374475680513</v>
          </cell>
          <cell r="F221">
            <v>0.45180456867469893</v>
          </cell>
          <cell r="G221">
            <v>0.31692721231593041</v>
          </cell>
        </row>
        <row r="222">
          <cell r="B222" t="str">
            <v>Mass of methane flared</v>
          </cell>
          <cell r="C222" t="str">
            <v>kg/Mg</v>
          </cell>
          <cell r="D222">
            <v>9.7151086453012052</v>
          </cell>
          <cell r="E222">
            <v>4.6903565239625173</v>
          </cell>
          <cell r="F222">
            <v>3.3207635797590371</v>
          </cell>
          <cell r="G222">
            <v>2.3294150105220885</v>
          </cell>
        </row>
        <row r="223">
          <cell r="B223" t="str">
            <v>Mass of methane combusted</v>
          </cell>
          <cell r="C223" t="str">
            <v>kg/Mg</v>
          </cell>
          <cell r="D223">
            <v>55.052282323373497</v>
          </cell>
          <cell r="E223">
            <v>26.57868696912093</v>
          </cell>
          <cell r="F223">
            <v>18.817660285301208</v>
          </cell>
          <cell r="G223">
            <v>13.200018392958501</v>
          </cell>
        </row>
        <row r="224">
          <cell r="B224" t="str">
            <v>Energy from combusted methane</v>
          </cell>
          <cell r="C224" t="str">
            <v>MJ/Mg</v>
          </cell>
          <cell r="D224">
            <v>2752.6141161686746</v>
          </cell>
          <cell r="E224">
            <v>1328.9343484560466</v>
          </cell>
          <cell r="F224">
            <v>940.88301426506041</v>
          </cell>
          <cell r="G224">
            <v>660.00091964792512</v>
          </cell>
        </row>
        <row r="225">
          <cell r="B225" t="str">
            <v>Electricity generation</v>
          </cell>
          <cell r="C225" t="str">
            <v>kWh/Mg</v>
          </cell>
          <cell r="D225">
            <v>221.73835935803211</v>
          </cell>
          <cell r="E225">
            <v>107.05304473673708</v>
          </cell>
          <cell r="F225">
            <v>75.793353926907642</v>
          </cell>
          <cell r="G225">
            <v>53.166740749416192</v>
          </cell>
        </row>
        <row r="227">
          <cell r="C227" t="str">
            <v>Food Waste</v>
          </cell>
          <cell r="D227" t="str">
            <v>Branches</v>
          </cell>
          <cell r="E227" t="str">
            <v>Grass</v>
          </cell>
          <cell r="F227" t="str">
            <v>Leaves</v>
          </cell>
        </row>
        <row r="228">
          <cell r="B228" t="str">
            <v>Electricity generation from engine</v>
          </cell>
          <cell r="C228">
            <v>221.73835935803211</v>
          </cell>
          <cell r="D228">
            <v>107.05304473673708</v>
          </cell>
          <cell r="E228">
            <v>75.793353926907642</v>
          </cell>
          <cell r="F228">
            <v>53.166740749416192</v>
          </cell>
        </row>
        <row r="229">
          <cell r="B229" t="str">
            <v>Pre-processing and reactor  use</v>
          </cell>
          <cell r="C229">
            <v>20</v>
          </cell>
          <cell r="D229">
            <v>20</v>
          </cell>
          <cell r="E229">
            <v>20</v>
          </cell>
          <cell r="F229">
            <v>20</v>
          </cell>
        </row>
        <row r="230">
          <cell r="B230" t="str">
            <v>Compost screening</v>
          </cell>
          <cell r="C230">
            <v>0</v>
          </cell>
          <cell r="D230">
            <v>0</v>
          </cell>
          <cell r="E230">
            <v>0</v>
          </cell>
          <cell r="F230">
            <v>0</v>
          </cell>
        </row>
        <row r="231">
          <cell r="B231" t="str">
            <v>Net electricity to grid</v>
          </cell>
          <cell r="C231">
            <v>201.73835935803211</v>
          </cell>
          <cell r="D231">
            <v>87.053044736737078</v>
          </cell>
          <cell r="E231">
            <v>55.793353926907642</v>
          </cell>
          <cell r="F231">
            <v>33.166740749416192</v>
          </cell>
        </row>
        <row r="233">
          <cell r="C233" t="str">
            <v>Food Waste</v>
          </cell>
          <cell r="D233" t="str">
            <v>Branches</v>
          </cell>
          <cell r="E233" t="str">
            <v>Grass</v>
          </cell>
          <cell r="F233" t="str">
            <v>Leaves</v>
          </cell>
        </row>
        <row r="243">
          <cell r="B243" t="str">
            <v>Increase humus formation carbon storage</v>
          </cell>
          <cell r="C243" t="str">
            <v>kg C/Mg</v>
          </cell>
          <cell r="D243">
            <v>5.3221262975999997</v>
          </cell>
          <cell r="E243">
            <v>5.3221262975999997</v>
          </cell>
          <cell r="F243">
            <v>5.3221262975999997</v>
          </cell>
          <cell r="G243">
            <v>5.3221262975999997</v>
          </cell>
        </row>
        <row r="245">
          <cell r="C245" t="str">
            <v>Units</v>
          </cell>
          <cell r="D245" t="str">
            <v>Food Waste</v>
          </cell>
          <cell r="E245" t="str">
            <v>Branches</v>
          </cell>
          <cell r="F245" t="str">
            <v>Grass</v>
          </cell>
          <cell r="G245" t="str">
            <v>Leaves</v>
          </cell>
        </row>
        <row r="246">
          <cell r="B246" t="str">
            <v>N2O emitted during curing</v>
          </cell>
          <cell r="C246" t="str">
            <v>kg N2O/Mg</v>
          </cell>
          <cell r="D246">
            <v>0</v>
          </cell>
          <cell r="E246">
            <v>0</v>
          </cell>
          <cell r="F246">
            <v>0</v>
          </cell>
          <cell r="G246">
            <v>0</v>
          </cell>
        </row>
        <row r="247">
          <cell r="B247" t="str">
            <v>N2O emitted after land application</v>
          </cell>
          <cell r="C247" t="str">
            <v>kg N2O/Mg</v>
          </cell>
          <cell r="D247">
            <v>0.4579527931477515</v>
          </cell>
          <cell r="E247">
            <v>0.29166096102783728</v>
          </cell>
          <cell r="F247">
            <v>0.26530396573875803</v>
          </cell>
          <cell r="G247">
            <v>0.26452365995717342</v>
          </cell>
        </row>
        <row r="248">
          <cell r="B248" t="str">
            <v>Offset N2O from equivalent fertilizer</v>
          </cell>
          <cell r="C248" t="str">
            <v>kg N2O/Mg</v>
          </cell>
          <cell r="D248">
            <v>0.14043885656531047</v>
          </cell>
          <cell r="E248">
            <v>8.9442694715203427E-2</v>
          </cell>
          <cell r="F248">
            <v>8.1359882826552474E-2</v>
          </cell>
          <cell r="G248">
            <v>8.1120589053533185E-2</v>
          </cell>
        </row>
        <row r="249">
          <cell r="B249" t="str">
            <v>Nitrogen fertilizer offset</v>
          </cell>
          <cell r="C249" t="str">
            <v>kg N/Mg</v>
          </cell>
          <cell r="D249">
            <v>1.9437759999999997</v>
          </cell>
          <cell r="E249">
            <v>1.2379520000000002</v>
          </cell>
          <cell r="F249">
            <v>1.1260800000000002</v>
          </cell>
          <cell r="G249">
            <v>1.122768</v>
          </cell>
        </row>
        <row r="250">
          <cell r="B250" t="str">
            <v>Phosphorus fertilizer offset</v>
          </cell>
          <cell r="C250" t="str">
            <v>kg P/Mg</v>
          </cell>
          <cell r="D250">
            <v>1.4177999999999999</v>
          </cell>
          <cell r="E250">
            <v>1.6651799999999999</v>
          </cell>
          <cell r="F250">
            <v>0.35639999999999999</v>
          </cell>
          <cell r="G250">
            <v>1.3424400000000001</v>
          </cell>
        </row>
        <row r="252">
          <cell r="C252" t="str">
            <v>Food Waste</v>
          </cell>
          <cell r="D252" t="str">
            <v>Branches</v>
          </cell>
          <cell r="E252" t="str">
            <v>Grass</v>
          </cell>
          <cell r="F252" t="str">
            <v>Leaves</v>
          </cell>
          <cell r="G252" t="str">
            <v>Mixed Yard Trimmings</v>
          </cell>
          <cell r="H252" t="str">
            <v>Mixed Organics</v>
          </cell>
        </row>
        <row r="253">
          <cell r="B253" t="str">
            <v>Net electricity export to grid</v>
          </cell>
          <cell r="C253">
            <v>-161.93548615349209</v>
          </cell>
          <cell r="D253">
            <v>-69.877524360980942</v>
          </cell>
          <cell r="E253">
            <v>-44.785354263008756</v>
          </cell>
          <cell r="F253">
            <v>-26.622960077967491</v>
          </cell>
          <cell r="G253">
            <v>-46.517798241241486</v>
          </cell>
          <cell r="H253">
            <v>-106.54277037186188</v>
          </cell>
        </row>
        <row r="254">
          <cell r="B254" t="str">
            <v>Total diesel fuel use</v>
          </cell>
          <cell r="C254">
            <v>20.758793411406305</v>
          </cell>
          <cell r="D254">
            <v>23.579889608320826</v>
          </cell>
          <cell r="E254">
            <v>20.650896085909398</v>
          </cell>
          <cell r="F254">
            <v>22.934754984134265</v>
          </cell>
          <cell r="G254">
            <v>21.954109191068468</v>
          </cell>
          <cell r="H254">
            <v>21.332464470407796</v>
          </cell>
        </row>
        <row r="255">
          <cell r="B255" t="str">
            <v>Leaked methane</v>
          </cell>
          <cell r="C255">
            <v>33.044587228915667</v>
          </cell>
          <cell r="D255">
            <v>15.953593618920129</v>
          </cell>
          <cell r="E255">
            <v>11.295114216867473</v>
          </cell>
          <cell r="F255">
            <v>7.9231803078982601</v>
          </cell>
          <cell r="G255">
            <v>11.616750590138334</v>
          </cell>
          <cell r="H255">
            <v>22.760668999247063</v>
          </cell>
        </row>
        <row r="256">
          <cell r="B256" t="str">
            <v>Curing GHG emissions (CH4 and N2O)</v>
          </cell>
          <cell r="C256">
            <v>0</v>
          </cell>
          <cell r="D256">
            <v>0</v>
          </cell>
          <cell r="E256">
            <v>0</v>
          </cell>
          <cell r="F256">
            <v>0</v>
          </cell>
          <cell r="G256">
            <v>0</v>
          </cell>
          <cell r="H256">
            <v>0</v>
          </cell>
        </row>
        <row r="257">
          <cell r="B257" t="str">
            <v>Soil carbon storage</v>
          </cell>
          <cell r="C257">
            <v>-86.206027052208853</v>
          </cell>
          <cell r="D257">
            <v>-822.3747934374536</v>
          </cell>
          <cell r="E257">
            <v>-105.1126188915663</v>
          </cell>
          <cell r="F257">
            <v>-636.91976388308785</v>
          </cell>
          <cell r="G257">
            <v>-417.37994877591854</v>
          </cell>
          <cell r="H257">
            <v>-245.14720194627103</v>
          </cell>
        </row>
        <row r="258">
          <cell r="B258" t="str">
            <v>Net N2O emissions after land application</v>
          </cell>
          <cell r="C258">
            <v>94.619153101567434</v>
          </cell>
          <cell r="D258">
            <v>60.261043361164887</v>
          </cell>
          <cell r="E258">
            <v>54.815336707837254</v>
          </cell>
          <cell r="F258">
            <v>54.654115129284783</v>
          </cell>
          <cell r="G258">
            <v>56.136457976531041</v>
          </cell>
          <cell r="H258">
            <v>76.150051596147208</v>
          </cell>
        </row>
        <row r="259">
          <cell r="B259" t="str">
            <v>Nitrogen fertilizer offset</v>
          </cell>
          <cell r="C259">
            <v>-17.299606399999998</v>
          </cell>
          <cell r="D259">
            <v>-11.017772800000001</v>
          </cell>
          <cell r="E259">
            <v>-10.022112000000002</v>
          </cell>
          <cell r="F259">
            <v>-9.9926352000000005</v>
          </cell>
          <cell r="G259">
            <v>-10.263658000000001</v>
          </cell>
          <cell r="H259">
            <v>-13.922825102217233</v>
          </cell>
        </row>
        <row r="260">
          <cell r="B260" t="str">
            <v>Phosphorus fertilizer offset</v>
          </cell>
          <cell r="C260">
            <v>-2.5520399999999999</v>
          </cell>
          <cell r="D260">
            <v>-2.9973239999999999</v>
          </cell>
          <cell r="E260">
            <v>-0.64151999999999998</v>
          </cell>
          <cell r="F260">
            <v>-2.4163920000000001</v>
          </cell>
          <cell r="G260">
            <v>-1.6741889999999999</v>
          </cell>
          <cell r="H260">
            <v>-2.1307306511366826</v>
          </cell>
        </row>
        <row r="261">
          <cell r="B261" t="str">
            <v>Total GHG Emissions</v>
          </cell>
          <cell r="C261">
            <v>-119.57062586381151</v>
          </cell>
          <cell r="D261">
            <v>-806.47288801002878</v>
          </cell>
          <cell r="E261">
            <v>-73.800258143960932</v>
          </cell>
          <cell r="F261">
            <v>-590.43970073973799</v>
          </cell>
          <cell r="G261">
            <v>-386.12827625942219</v>
          </cell>
          <cell r="H261">
            <v>-247.50034300568478</v>
          </cell>
        </row>
        <row r="265">
          <cell r="B265" t="str">
            <v>Cases</v>
          </cell>
          <cell r="C265" t="str">
            <v>Food Waste</v>
          </cell>
          <cell r="D265" t="str">
            <v>Branches</v>
          </cell>
          <cell r="E265" t="str">
            <v>Grass</v>
          </cell>
          <cell r="F265" t="str">
            <v>Leaves</v>
          </cell>
          <cell r="G265" t="str">
            <v>Mixed Yard Trimmings</v>
          </cell>
          <cell r="H265" t="str">
            <v>Mixed Organics</v>
          </cell>
        </row>
        <row r="266">
          <cell r="B266" t="str">
            <v>Base Case</v>
          </cell>
          <cell r="C266">
            <v>-87</v>
          </cell>
          <cell r="D266">
            <v>-278</v>
          </cell>
          <cell r="E266">
            <v>-24</v>
          </cell>
          <cell r="F266">
            <v>-168</v>
          </cell>
          <cell r="G266">
            <v>-123</v>
          </cell>
          <cell r="H266">
            <v>-105</v>
          </cell>
        </row>
        <row r="267">
          <cell r="B267" t="str">
            <v>Low food waste methane yield</v>
          </cell>
          <cell r="C267">
            <v>-61</v>
          </cell>
          <cell r="D267">
            <v>-278</v>
          </cell>
          <cell r="E267">
            <v>-24</v>
          </cell>
          <cell r="F267">
            <v>-168</v>
          </cell>
          <cell r="G267">
            <v>-123</v>
          </cell>
          <cell r="H267">
            <v>-91</v>
          </cell>
        </row>
        <row r="268">
          <cell r="B268" t="str">
            <v>High food waste methane yield</v>
          </cell>
          <cell r="C268">
            <v>-120</v>
          </cell>
          <cell r="D268">
            <v>-278</v>
          </cell>
          <cell r="E268">
            <v>-24</v>
          </cell>
          <cell r="F268">
            <v>-168</v>
          </cell>
          <cell r="G268">
            <v>-123</v>
          </cell>
          <cell r="H268">
            <v>-122</v>
          </cell>
        </row>
        <row r="269">
          <cell r="B269" t="str">
            <v>No methane leaks</v>
          </cell>
          <cell r="C269">
            <v>-124</v>
          </cell>
          <cell r="D269">
            <v>-296</v>
          </cell>
          <cell r="E269">
            <v>-36</v>
          </cell>
          <cell r="F269">
            <v>-176</v>
          </cell>
          <cell r="G269">
            <v>-136</v>
          </cell>
          <cell r="H269">
            <v>-130</v>
          </cell>
        </row>
        <row r="270">
          <cell r="B270" t="str">
            <v>High methane leaks</v>
          </cell>
          <cell r="C270">
            <v>-33</v>
          </cell>
          <cell r="D270">
            <v>-252</v>
          </cell>
          <cell r="E270">
            <v>-5</v>
          </cell>
          <cell r="F270">
            <v>-156</v>
          </cell>
          <cell r="G270">
            <v>-104</v>
          </cell>
          <cell r="H270">
            <v>-67</v>
          </cell>
        </row>
        <row r="271">
          <cell r="B271" t="str">
            <v>No increased humus formation benefit</v>
          </cell>
          <cell r="C271">
            <v>-57</v>
          </cell>
          <cell r="D271">
            <v>10</v>
          </cell>
          <cell r="E271">
            <v>13</v>
          </cell>
          <cell r="F271">
            <v>36</v>
          </cell>
          <cell r="G271">
            <v>18</v>
          </cell>
          <cell r="H271">
            <v>-21</v>
          </cell>
        </row>
        <row r="272">
          <cell r="H272">
            <v>-96</v>
          </cell>
        </row>
        <row r="277">
          <cell r="H277">
            <v>-21</v>
          </cell>
        </row>
        <row r="282">
          <cell r="B282" t="str">
            <v>Organics Generation</v>
          </cell>
          <cell r="C282" t="str">
            <v>Mass Generated in 2013 (million tons)</v>
          </cell>
          <cell r="D282" t="str">
            <v>Percent Generation</v>
          </cell>
          <cell r="G282" t="str">
            <v>Source</v>
          </cell>
        </row>
        <row r="283">
          <cell r="B283" t="str">
            <v>Yard Trimmings</v>
          </cell>
          <cell r="C283">
            <v>34.200000000000003</v>
          </cell>
          <cell r="D283">
            <v>47.993264103283749</v>
          </cell>
          <cell r="G283" t="str">
            <v>US EPA (2015) - EPA530-R-15-002</v>
          </cell>
        </row>
        <row r="284">
          <cell r="B284" t="str">
            <v>Food Waste</v>
          </cell>
          <cell r="C284">
            <v>37.06</v>
          </cell>
          <cell r="D284">
            <v>52.006735896716243</v>
          </cell>
          <cell r="G284" t="str">
            <v>US EPA (2015) - EPA530-R-15-002</v>
          </cell>
        </row>
        <row r="286">
          <cell r="B286" t="str">
            <v>Yard Trimmings Generation</v>
          </cell>
          <cell r="C286" t="str">
            <v>Percent Generation</v>
          </cell>
          <cell r="D286" t="str">
            <v>Source</v>
          </cell>
        </row>
        <row r="287">
          <cell r="B287" t="str">
            <v>Branches</v>
          </cell>
          <cell r="C287">
            <v>29.6</v>
          </cell>
          <cell r="D287" t="str">
            <v>Oshins and Block (2000)</v>
          </cell>
        </row>
        <row r="288">
          <cell r="B288" t="str">
            <v>Grass</v>
          </cell>
          <cell r="C288">
            <v>30.3</v>
          </cell>
          <cell r="D288" t="str">
            <v>Oshins and Block (2000)</v>
          </cell>
        </row>
        <row r="289">
          <cell r="B289" t="str">
            <v>Leaves</v>
          </cell>
          <cell r="C289">
            <v>40.1</v>
          </cell>
          <cell r="D289" t="str">
            <v>Oshins and Block (2000)</v>
          </cell>
        </row>
        <row r="291">
          <cell r="B291" t="str">
            <v>Food Waste Generation</v>
          </cell>
          <cell r="C291" t="str">
            <v>Percent Generation</v>
          </cell>
          <cell r="D291" t="str">
            <v>Source</v>
          </cell>
        </row>
        <row r="292">
          <cell r="B292" t="str">
            <v>Vegetable</v>
          </cell>
          <cell r="C292">
            <v>76</v>
          </cell>
          <cell r="D292" t="str">
            <v>Riber et al. (2009)</v>
          </cell>
          <cell r="L292" t="str">
            <v>redundant</v>
          </cell>
        </row>
        <row r="293">
          <cell r="B293" t="str">
            <v>Non-Vegetable</v>
          </cell>
          <cell r="C293">
            <v>24</v>
          </cell>
          <cell r="D293" t="str">
            <v>Riber et al. (2009)</v>
          </cell>
          <cell r="L293" t="str">
            <v>wrong/inconsistent with above</v>
          </cell>
        </row>
        <row r="295">
          <cell r="Q295" t="str">
            <v>P</v>
          </cell>
          <cell r="R295" t="str">
            <v>N</v>
          </cell>
        </row>
        <row r="296">
          <cell r="B296" t="str">
            <v>Material Properties</v>
          </cell>
          <cell r="C296" t="str">
            <v>Percent of Food Waste (%ww)</v>
          </cell>
          <cell r="D296" t="str">
            <v>Percent of Food Waste (%TS)</v>
          </cell>
          <cell r="E296" t="str">
            <v>Percent of Mixed Organics (%ww)</v>
          </cell>
          <cell r="F296" t="str">
            <v>Percent of Mixed Organics (%TS)</v>
          </cell>
          <cell r="G296" t="str">
            <v>Moisture Content (%ww)</v>
          </cell>
          <cell r="H296" t="str">
            <v>Solid Content (%ww)</v>
          </cell>
          <cell r="I296" t="str">
            <v>VS Content (%TS)</v>
          </cell>
          <cell r="J296" t="str">
            <v>Methane Potential (m3 CH4/dry Mg)</v>
          </cell>
          <cell r="K296" t="str">
            <v>N Content (%TS)</v>
          </cell>
          <cell r="L296" t="str">
            <v>C Content (%TS)</v>
          </cell>
          <cell r="M296" t="str">
            <v>P Content (%TS)</v>
          </cell>
          <cell r="N296" t="str">
            <v>N Content of Digestate (%TS)</v>
          </cell>
          <cell r="O296" t="str">
            <v>C Content of Digestate (%TS)</v>
          </cell>
          <cell r="P296" t="str">
            <v>P Content of Digestate (%TS)</v>
          </cell>
          <cell r="Q296" t="str">
            <v>%ww</v>
          </cell>
          <cell r="R296" t="str">
            <v>%ww</v>
          </cell>
        </row>
        <row r="297">
          <cell r="B297" t="str">
            <v>Branches</v>
          </cell>
          <cell r="E297">
            <v>14.206006174571989</v>
          </cell>
          <cell r="F297">
            <v>29.208919638084339</v>
          </cell>
          <cell r="G297">
            <v>15.9</v>
          </cell>
          <cell r="H297">
            <v>84.1</v>
          </cell>
          <cell r="I297">
            <v>90.6</v>
          </cell>
          <cell r="J297">
            <v>62.6</v>
          </cell>
          <cell r="K297">
            <v>0.8</v>
          </cell>
          <cell r="L297">
            <v>52.1</v>
          </cell>
          <cell r="M297">
            <v>0.19800000000000001</v>
          </cell>
          <cell r="N297">
            <v>0.7390124833652062</v>
          </cell>
          <cell r="O297">
            <v>38.850707630615318</v>
          </cell>
          <cell r="P297">
            <v>0.34647286748445399</v>
          </cell>
          <cell r="Q297">
            <v>0.166518</v>
          </cell>
          <cell r="R297">
            <v>0.62150949851013837</v>
          </cell>
        </row>
        <row r="298">
          <cell r="B298" t="str">
            <v>Grass</v>
          </cell>
          <cell r="E298">
            <v>14.541959023294975</v>
          </cell>
          <cell r="F298">
            <v>6.3994539844020943</v>
          </cell>
          <cell r="G298">
            <v>82</v>
          </cell>
          <cell r="H298">
            <v>18</v>
          </cell>
          <cell r="I298">
            <v>86.4</v>
          </cell>
          <cell r="J298">
            <v>194.8</v>
          </cell>
          <cell r="K298">
            <v>3.4</v>
          </cell>
          <cell r="L298">
            <v>57.8</v>
          </cell>
          <cell r="M298">
            <v>0.19800000000000001</v>
          </cell>
          <cell r="N298">
            <v>3.1408030543021259</v>
          </cell>
          <cell r="O298">
            <v>43.101168926095305</v>
          </cell>
          <cell r="P298">
            <v>0.34647286748445399</v>
          </cell>
          <cell r="Q298">
            <v>3.5639999999999998E-2</v>
          </cell>
          <cell r="R298">
            <v>0.56534454977438264</v>
          </cell>
        </row>
        <row r="299">
          <cell r="B299" t="str">
            <v>Leaves</v>
          </cell>
          <cell r="E299">
            <v>19.245298905416785</v>
          </cell>
          <cell r="F299">
            <v>29.07773904485806</v>
          </cell>
          <cell r="G299">
            <v>38.200000000000003</v>
          </cell>
          <cell r="H299">
            <v>61.8</v>
          </cell>
          <cell r="I299">
            <v>90.2</v>
          </cell>
          <cell r="J299">
            <v>65.3</v>
          </cell>
          <cell r="K299">
            <v>0.9</v>
          </cell>
          <cell r="L299">
            <v>48.6</v>
          </cell>
          <cell r="M299">
            <v>0.19800000000000001</v>
          </cell>
          <cell r="N299">
            <v>0.83138904378585687</v>
          </cell>
          <cell r="O299">
            <v>36.240775256197786</v>
          </cell>
          <cell r="P299">
            <v>0.34647286748445399</v>
          </cell>
          <cell r="Q299">
            <v>0.122364</v>
          </cell>
          <cell r="R299">
            <v>0.51379842905965956</v>
          </cell>
        </row>
        <row r="300">
          <cell r="B300" t="str">
            <v>Vegetable Food Waste</v>
          </cell>
          <cell r="C300">
            <v>76</v>
          </cell>
          <cell r="D300">
            <v>62.963923093540728</v>
          </cell>
          <cell r="E300">
            <v>39.525119281504345</v>
          </cell>
          <cell r="F300">
            <v>22.235008861472835</v>
          </cell>
          <cell r="G300">
            <v>76.989999999999995</v>
          </cell>
          <cell r="H300">
            <v>23.010000000000005</v>
          </cell>
          <cell r="I300">
            <v>96.4</v>
          </cell>
          <cell r="J300">
            <v>400</v>
          </cell>
          <cell r="K300">
            <v>1.9</v>
          </cell>
          <cell r="L300">
            <v>47.7</v>
          </cell>
          <cell r="M300">
            <v>0.23100000000000001</v>
          </cell>
          <cell r="N300">
            <v>1.7551546479923645</v>
          </cell>
          <cell r="O300">
            <v>35.569649788490416</v>
          </cell>
          <cell r="P300">
            <v>0.40421834539852963</v>
          </cell>
          <cell r="Q300">
            <v>5.3153100000000016E-2</v>
          </cell>
          <cell r="R300">
            <v>0.4038610845030432</v>
          </cell>
        </row>
        <row r="301">
          <cell r="B301" t="str">
            <v>Non-Vegetable Food Waste</v>
          </cell>
          <cell r="C301">
            <v>24</v>
          </cell>
          <cell r="D301">
            <v>37.036076906459265</v>
          </cell>
          <cell r="E301">
            <v>12.481616615211898</v>
          </cell>
          <cell r="F301">
            <v>13.078878471182673</v>
          </cell>
          <cell r="G301">
            <v>57.14</v>
          </cell>
          <cell r="H301">
            <v>42.86</v>
          </cell>
          <cell r="I301">
            <v>94.2</v>
          </cell>
          <cell r="J301">
            <v>400</v>
          </cell>
          <cell r="K301">
            <v>7</v>
          </cell>
          <cell r="L301">
            <v>56.5</v>
          </cell>
          <cell r="M301">
            <v>0.996</v>
          </cell>
          <cell r="N301">
            <v>6.4663592294455539</v>
          </cell>
          <cell r="O301">
            <v>42.13176547274022</v>
          </cell>
          <cell r="P301">
            <v>1.7428635152248289</v>
          </cell>
          <cell r="Q301">
            <v>0.42688559999999998</v>
          </cell>
          <cell r="R301">
            <v>2.7714815657403644</v>
          </cell>
        </row>
        <row r="302">
          <cell r="B302" t="str">
            <v>Food Waste</v>
          </cell>
          <cell r="G302">
            <v>72.225999999999999</v>
          </cell>
          <cell r="H302">
            <v>27.774000000000004</v>
          </cell>
          <cell r="I302">
            <v>95.585206308057892</v>
          </cell>
          <cell r="J302">
            <v>400</v>
          </cell>
          <cell r="K302">
            <v>3.7888399222294225</v>
          </cell>
          <cell r="L302">
            <v>50.959174767768417</v>
          </cell>
          <cell r="M302">
            <v>0.51432598833441334</v>
          </cell>
          <cell r="N302">
            <v>3.5</v>
          </cell>
          <cell r="O302">
            <v>38</v>
          </cell>
          <cell r="P302">
            <v>0.9</v>
          </cell>
          <cell r="Q302">
            <v>0.14284889999999995</v>
          </cell>
          <cell r="R302">
            <v>0.9720899999999999</v>
          </cell>
        </row>
        <row r="303">
          <cell r="B303" t="str">
            <v>Mixed Organics</v>
          </cell>
          <cell r="G303">
            <v>59.097250631490304</v>
          </cell>
          <cell r="H303">
            <v>40.902749368509681</v>
          </cell>
          <cell r="I303">
            <v>91.975382115403676</v>
          </cell>
          <cell r="J303">
            <v>190.99423298197041</v>
          </cell>
          <cell r="K303">
            <v>2.0509391053288391</v>
          </cell>
          <cell r="L303">
            <v>51.044178273368125</v>
          </cell>
          <cell r="M303">
            <v>0.30970700312432375</v>
          </cell>
        </row>
        <row r="305">
          <cell r="B305" t="str">
            <v>Sources</v>
          </cell>
        </row>
        <row r="306">
          <cell r="B306" t="str">
            <v>Moisture Content</v>
          </cell>
          <cell r="C306" t="str">
            <v>Riber et al. (2009) and NRAES (1998)</v>
          </cell>
        </row>
        <row r="307">
          <cell r="B307" t="str">
            <v>VS Content</v>
          </cell>
          <cell r="C307" t="str">
            <v>Riber et al. (2009) and NRAES (1998)</v>
          </cell>
        </row>
        <row r="308">
          <cell r="B308" t="str">
            <v>Methane Potential</v>
          </cell>
          <cell r="C308" t="str">
            <v>WARM Landfill Model</v>
          </cell>
        </row>
        <row r="309">
          <cell r="B309" t="str">
            <v>N Content</v>
          </cell>
          <cell r="C309" t="str">
            <v>Riber et al. (2009) and NRAES (1998)</v>
          </cell>
          <cell r="H309" t="str">
            <v>CH4 Emissions (MTCO2e/ton)</v>
          </cell>
          <cell r="I309" t="str">
            <v>N2O Emissions (MTCO2e/ton)</v>
          </cell>
          <cell r="J309" t="str">
            <v>CH4 Emitted (kg CH4/Mg)</v>
          </cell>
          <cell r="K309" t="str">
            <v>N2O Emitted (kg N2O/ton)</v>
          </cell>
        </row>
        <row r="310">
          <cell r="H310">
            <v>5.4999999999999997E-3</v>
          </cell>
          <cell r="I310">
            <v>3.9600000000000003E-2</v>
          </cell>
          <cell r="J310">
            <v>0.24244000000000002</v>
          </cell>
          <cell r="K310">
            <v>0.14644026845637584</v>
          </cell>
        </row>
        <row r="311">
          <cell r="H311">
            <v>1.3899999999999999E-2</v>
          </cell>
          <cell r="I311">
            <v>6.0900000000000003E-2</v>
          </cell>
          <cell r="J311">
            <v>0.61271200000000003</v>
          </cell>
          <cell r="K311">
            <v>0.22520738255033559</v>
          </cell>
        </row>
        <row r="312">
          <cell r="H312">
            <v>25</v>
          </cell>
          <cell r="I312">
            <v>298</v>
          </cell>
        </row>
        <row r="315">
          <cell r="H315" t="str">
            <v>Mass of Dewatered Digestate (Mg/Mg)</v>
          </cell>
          <cell r="I315" t="str">
            <v>Methane Emisssion (kg CH4/Mg Feedstock)</v>
          </cell>
          <cell r="J315" t="str">
            <v>N2O Emissions (kg N2O/Mg Feedstock)</v>
          </cell>
          <cell r="K315" t="str">
            <v>Methane Emisssion (kg CH4/Mg Digestate)</v>
          </cell>
          <cell r="L315" t="str">
            <v>N2O Emissions (kg N2O/Mg Digestate</v>
          </cell>
        </row>
        <row r="316">
          <cell r="H316">
            <v>0.22</v>
          </cell>
          <cell r="I316">
            <v>0.19</v>
          </cell>
          <cell r="J316">
            <v>8.8000000000000005E-3</v>
          </cell>
          <cell r="K316">
            <v>0.86363636363636365</v>
          </cell>
          <cell r="L316">
            <v>0.04</v>
          </cell>
        </row>
        <row r="317">
          <cell r="H317">
            <v>0.36</v>
          </cell>
          <cell r="I317">
            <v>0.31</v>
          </cell>
          <cell r="J317">
            <v>7.9000000000000001E-2</v>
          </cell>
          <cell r="K317">
            <v>0.86111111111111116</v>
          </cell>
          <cell r="L317">
            <v>0.21944444444444444</v>
          </cell>
        </row>
        <row r="320">
          <cell r="A320" t="str">
            <v>Increase Humus Formation Calculations</v>
          </cell>
        </row>
        <row r="322">
          <cell r="B322" t="str">
            <v>Legend</v>
          </cell>
        </row>
        <row r="323">
          <cell r="B323" t="str">
            <v>Inputs</v>
          </cell>
        </row>
        <row r="324">
          <cell r="B324" t="str">
            <v>Constants</v>
          </cell>
        </row>
        <row r="325">
          <cell r="B325" t="str">
            <v>Calculations</v>
          </cell>
        </row>
        <row r="327">
          <cell r="B327" t="str">
            <v>The WARM Composting Documentation calculates soil carbon storage due to increased humus formation. This was converted to a value per kg C applied to use in this model.</v>
          </cell>
        </row>
        <row r="329">
          <cell r="B329" t="str">
            <v>Parameter</v>
          </cell>
          <cell r="C329" t="str">
            <v>Value</v>
          </cell>
          <cell r="D329" t="str">
            <v>Units</v>
          </cell>
          <cell r="E329" t="str">
            <v>Source</v>
          </cell>
        </row>
        <row r="330">
          <cell r="B330" t="str">
            <v>Humus formation per ton incoming waste</v>
          </cell>
          <cell r="C330">
            <v>187</v>
          </cell>
          <cell r="D330" t="str">
            <v>kg CO2/Mg organic waste (converted from MT/tons)</v>
          </cell>
          <cell r="E330" t="str">
            <v xml:space="preserve">WARM Composting Documentation. </v>
          </cell>
        </row>
        <row r="331">
          <cell r="B331" t="str">
            <v>Mass organic waste per ton compost</v>
          </cell>
          <cell r="C331">
            <v>2.1</v>
          </cell>
          <cell r="D331" t="str">
            <v>Mg waste/Mg Compost</v>
          </cell>
          <cell r="E331" t="str">
            <v xml:space="preserve">WARM Composting Documentation. </v>
          </cell>
        </row>
        <row r="332">
          <cell r="B332" t="str">
            <v>Carbon content of compost</v>
          </cell>
          <cell r="C332">
            <v>0.21</v>
          </cell>
          <cell r="D332" t="str">
            <v>kg C/kg Compost</v>
          </cell>
          <cell r="E332" t="str">
            <v xml:space="preserve">WARM Composting Documentation. </v>
          </cell>
        </row>
        <row r="333">
          <cell r="B333" t="str">
            <v>Kg C per Kg CO2</v>
          </cell>
          <cell r="C333">
            <v>0.27272727272727271</v>
          </cell>
          <cell r="D333" t="str">
            <v>12/44</v>
          </cell>
        </row>
        <row r="334">
          <cell r="B334" t="str">
            <v>Humus formation per mass compost applied</v>
          </cell>
          <cell r="C334">
            <v>107.1</v>
          </cell>
          <cell r="D334" t="str">
            <v>kg C/Mg compost</v>
          </cell>
        </row>
        <row r="335">
          <cell r="B335" t="str">
            <v>Humus formation per C applied</v>
          </cell>
          <cell r="C335">
            <v>0.51</v>
          </cell>
          <cell r="D335" t="str">
            <v>kg C humus/kg C applied</v>
          </cell>
        </row>
        <row r="337">
          <cell r="A337" t="str">
            <v>Material Properties</v>
          </cell>
        </row>
        <row r="339">
          <cell r="C339" t="str">
            <v>Moisture Content (%ww)</v>
          </cell>
          <cell r="D339" t="str">
            <v>VS Content (%TS)</v>
          </cell>
          <cell r="E339" t="str">
            <v>Methane Yield (m3/Mg VS)</v>
          </cell>
          <cell r="F339" t="str">
            <v>Methane Yield (m3/Mg TS)</v>
          </cell>
          <cell r="G339" t="str">
            <v>Methane Yield (m3/Mg ww)</v>
          </cell>
          <cell r="H339" t="str">
            <v>Reference</v>
          </cell>
          <cell r="I339" t="str">
            <v>Notes</v>
          </cell>
          <cell r="M339" t="str">
            <v>Methane Yield (m3/Mg VS)</v>
          </cell>
          <cell r="N339" t="str">
            <v>Empircal Cumulative Frequency</v>
          </cell>
          <cell r="O339" t="str">
            <v>Modeled Cumulative Frequency</v>
          </cell>
          <cell r="P339" t="str">
            <v>Opt Model Cumulative Frequency</v>
          </cell>
          <cell r="Q339" t="str">
            <v>Modeled PDF</v>
          </cell>
          <cell r="R339" t="str">
            <v>LN(x)</v>
          </cell>
          <cell r="S339" t="str">
            <v>Squared Error</v>
          </cell>
        </row>
        <row r="340">
          <cell r="C340">
            <v>47</v>
          </cell>
          <cell r="D340">
            <v>97</v>
          </cell>
          <cell r="E340">
            <v>482</v>
          </cell>
          <cell r="F340">
            <v>467.54</v>
          </cell>
          <cell r="G340">
            <v>247.79620000000003</v>
          </cell>
          <cell r="H340" t="str">
            <v>Cho et al., 1995</v>
          </cell>
          <cell r="M340">
            <v>100</v>
          </cell>
          <cell r="O340">
            <v>6.3747336535518864E-7</v>
          </cell>
          <cell r="P340">
            <v>1.3160203791368491E-5</v>
          </cell>
          <cell r="Q340">
            <v>1.1684861518859878E-7</v>
          </cell>
        </row>
        <row r="341">
          <cell r="C341">
            <v>65</v>
          </cell>
          <cell r="D341">
            <v>99</v>
          </cell>
          <cell r="E341">
            <v>294</v>
          </cell>
          <cell r="F341">
            <v>291.06</v>
          </cell>
          <cell r="G341">
            <v>101.871</v>
          </cell>
          <cell r="H341" t="str">
            <v>Cho et al., 1995</v>
          </cell>
          <cell r="M341">
            <v>150</v>
          </cell>
          <cell r="O341">
            <v>3.7908627749221562E-4</v>
          </cell>
          <cell r="P341">
            <v>1.74539615873362E-3</v>
          </cell>
          <cell r="Q341">
            <v>3.3365417828037275E-5</v>
          </cell>
        </row>
        <row r="342">
          <cell r="C342">
            <v>95</v>
          </cell>
          <cell r="D342">
            <v>84</v>
          </cell>
          <cell r="E342">
            <v>277</v>
          </cell>
          <cell r="F342">
            <v>232.68</v>
          </cell>
          <cell r="G342">
            <v>11.634</v>
          </cell>
          <cell r="H342" t="str">
            <v>Cho et al., 1995</v>
          </cell>
          <cell r="M342">
            <v>200</v>
          </cell>
          <cell r="O342">
            <v>1.0159663715813068E-2</v>
          </cell>
          <cell r="P342">
            <v>2.216124028860424E-2</v>
          </cell>
          <cell r="Q342">
            <v>4.9185271046042344E-4</v>
          </cell>
        </row>
        <row r="343">
          <cell r="C343">
            <v>74</v>
          </cell>
          <cell r="D343">
            <v>95</v>
          </cell>
          <cell r="E343">
            <v>472</v>
          </cell>
          <cell r="F343">
            <v>448.4</v>
          </cell>
          <cell r="G343">
            <v>116.584</v>
          </cell>
          <cell r="H343" t="str">
            <v>Cho et al., 1995</v>
          </cell>
          <cell r="L343">
            <v>1</v>
          </cell>
          <cell r="M343">
            <v>219</v>
          </cell>
          <cell r="N343">
            <v>3.0769230769230771E-2</v>
          </cell>
          <cell r="O343">
            <v>2.3293762024602756E-2</v>
          </cell>
          <cell r="P343">
            <v>4.2353083122827151E-2</v>
          </cell>
          <cell r="Q343">
            <v>9.1547038701974149E-4</v>
          </cell>
          <cell r="R343">
            <v>5.389071729816501</v>
          </cell>
          <cell r="S343">
            <v>1.341856353499204E-4</v>
          </cell>
        </row>
        <row r="344">
          <cell r="C344">
            <v>85</v>
          </cell>
          <cell r="D344">
            <v>88</v>
          </cell>
          <cell r="E344">
            <v>489</v>
          </cell>
          <cell r="F344">
            <v>430.32</v>
          </cell>
          <cell r="G344">
            <v>64.548000000000002</v>
          </cell>
          <cell r="H344" t="str">
            <v>Heo et al., 2004</v>
          </cell>
          <cell r="L344">
            <v>2</v>
          </cell>
          <cell r="M344">
            <v>225</v>
          </cell>
          <cell r="N344">
            <v>6.1538461538461542E-2</v>
          </cell>
          <cell r="O344">
            <v>2.9269471888929616E-2</v>
          </cell>
          <cell r="P344">
            <v>5.0655729570720724E-2</v>
          </cell>
          <cell r="Q344">
            <v>1.0785466976934493E-3</v>
          </cell>
          <cell r="R344">
            <v>5.4161004022044201</v>
          </cell>
          <cell r="S344">
            <v>1.1843385508168793E-4</v>
          </cell>
        </row>
        <row r="345">
          <cell r="C345">
            <v>75.948125000000019</v>
          </cell>
          <cell r="D345">
            <v>93.8</v>
          </cell>
          <cell r="E345">
            <v>320</v>
          </cell>
          <cell r="F345">
            <v>300.16000000000003</v>
          </cell>
          <cell r="G345">
            <v>72.194107999999943</v>
          </cell>
          <cell r="H345" t="str">
            <v>Eleazer et al., 1997</v>
          </cell>
          <cell r="I345" t="str">
            <v>MC Not reported.</v>
          </cell>
          <cell r="L345">
            <v>3</v>
          </cell>
          <cell r="M345">
            <v>275</v>
          </cell>
          <cell r="N345">
            <v>9.2307692307692313E-2</v>
          </cell>
          <cell r="O345">
            <v>0.122790281485585</v>
          </cell>
          <cell r="P345">
            <v>0.1577159560822684</v>
          </cell>
          <cell r="Q345">
            <v>2.6911251165387105E-3</v>
          </cell>
          <cell r="R345">
            <v>5.6167710976665717</v>
          </cell>
          <cell r="S345">
            <v>4.2782409700045229E-3</v>
          </cell>
        </row>
        <row r="346">
          <cell r="C346">
            <v>70</v>
          </cell>
          <cell r="D346">
            <v>83</v>
          </cell>
          <cell r="E346">
            <v>445</v>
          </cell>
          <cell r="F346">
            <v>369.35</v>
          </cell>
          <cell r="G346">
            <v>110.80500000000001</v>
          </cell>
          <cell r="H346" t="str">
            <v>Zhang et al., 2007</v>
          </cell>
          <cell r="L346">
            <v>4</v>
          </cell>
          <cell r="M346">
            <v>277</v>
          </cell>
          <cell r="N346">
            <v>0.12307692307692308</v>
          </cell>
          <cell r="O346">
            <v>0.12823539274255391</v>
          </cell>
          <cell r="P346">
            <v>0.16330327311803169</v>
          </cell>
          <cell r="Q346">
            <v>2.7538354308155716E-3</v>
          </cell>
          <cell r="R346">
            <v>5.6240175061873385</v>
          </cell>
          <cell r="S346">
            <v>1.6181592376297987E-3</v>
          </cell>
        </row>
        <row r="347">
          <cell r="C347">
            <v>80.290000000000006</v>
          </cell>
          <cell r="D347">
            <v>86</v>
          </cell>
          <cell r="E347">
            <v>531</v>
          </cell>
          <cell r="F347">
            <v>456.66</v>
          </cell>
          <cell r="G347">
            <v>90.007685999999978</v>
          </cell>
          <cell r="H347" t="str">
            <v>Qiao et al., 2011</v>
          </cell>
          <cell r="L347">
            <v>5</v>
          </cell>
          <cell r="M347">
            <v>281</v>
          </cell>
          <cell r="N347">
            <v>0.15384615384615385</v>
          </cell>
          <cell r="O347">
            <v>0.13949711594585953</v>
          </cell>
          <cell r="P347">
            <v>0.17473200808067837</v>
          </cell>
          <cell r="Q347">
            <v>2.8763441632412936E-3</v>
          </cell>
          <cell r="R347">
            <v>5.6383546693337454</v>
          </cell>
          <cell r="S347">
            <v>4.3621890710580582E-4</v>
          </cell>
        </row>
        <row r="348">
          <cell r="H348" t="str">
            <v>Qiao et al., 2011</v>
          </cell>
          <cell r="L348">
            <v>6</v>
          </cell>
          <cell r="M348">
            <v>284</v>
          </cell>
          <cell r="N348">
            <v>0.18461538461538463</v>
          </cell>
          <cell r="O348">
            <v>0.14826034384076445</v>
          </cell>
          <cell r="P348">
            <v>0.18351672538249542</v>
          </cell>
          <cell r="Q348">
            <v>2.9653750134229153E-3</v>
          </cell>
          <cell r="R348">
            <v>5.6489742381612063</v>
          </cell>
        </row>
        <row r="349">
          <cell r="H349" t="str">
            <v>Browne and Murphy, 2013</v>
          </cell>
          <cell r="L349">
            <v>7</v>
          </cell>
          <cell r="M349">
            <v>288</v>
          </cell>
          <cell r="N349">
            <v>0.2153846153846154</v>
          </cell>
          <cell r="O349">
            <v>0.16035243208047298</v>
          </cell>
          <cell r="P349">
            <v>0.19549832710145959</v>
          </cell>
          <cell r="Q349">
            <v>3.0798187441439498E-3</v>
          </cell>
          <cell r="R349">
            <v>5.6629604801359461</v>
          </cell>
        </row>
        <row r="350">
          <cell r="H350" t="str">
            <v>Browne and Murphy, 2013</v>
          </cell>
          <cell r="L350">
            <v>8</v>
          </cell>
          <cell r="M350">
            <v>289</v>
          </cell>
          <cell r="N350">
            <v>0.24615384615384617</v>
          </cell>
          <cell r="O350">
            <v>0.16344617568837397</v>
          </cell>
          <cell r="P350">
            <v>0.19853960976478327</v>
          </cell>
          <cell r="Q350">
            <v>3.1076119387021314E-3</v>
          </cell>
          <cell r="R350">
            <v>5.6664266881124323</v>
          </cell>
        </row>
        <row r="351">
          <cell r="H351" t="str">
            <v>Mohan and Bindhu, 2008</v>
          </cell>
          <cell r="L351">
            <v>9</v>
          </cell>
          <cell r="M351">
            <v>294</v>
          </cell>
          <cell r="N351">
            <v>0.27692307692307694</v>
          </cell>
          <cell r="O351">
            <v>0.17932217840727624</v>
          </cell>
          <cell r="P351">
            <v>0.21400517320001369</v>
          </cell>
          <cell r="Q351">
            <v>3.2412823108439091E-3</v>
          </cell>
          <cell r="R351">
            <v>5.6835797673386814</v>
          </cell>
        </row>
        <row r="352">
          <cell r="H352" t="str">
            <v>Mohan and Bindhu, 2008</v>
          </cell>
          <cell r="L352">
            <v>10</v>
          </cell>
          <cell r="M352">
            <v>320</v>
          </cell>
          <cell r="N352">
            <v>0.30769230769230771</v>
          </cell>
          <cell r="O352">
            <v>0.27110548795519229</v>
          </cell>
          <cell r="P352">
            <v>0.29993093538616317</v>
          </cell>
          <cell r="Q352">
            <v>3.7690253672482731E-3</v>
          </cell>
          <cell r="R352">
            <v>5.768320995793772</v>
          </cell>
        </row>
        <row r="353">
          <cell r="H353" t="str">
            <v>Mohan and Bindhu, 2008</v>
          </cell>
          <cell r="L353">
            <v>11</v>
          </cell>
          <cell r="M353">
            <v>334</v>
          </cell>
          <cell r="N353">
            <v>0.33846153846153848</v>
          </cell>
          <cell r="O353">
            <v>0.32505911245000696</v>
          </cell>
          <cell r="P353">
            <v>0.34857259211461783</v>
          </cell>
          <cell r="Q353">
            <v>3.9229720892673811E-3</v>
          </cell>
          <cell r="R353">
            <v>5.8111409929767008</v>
          </cell>
        </row>
        <row r="354">
          <cell r="H354" t="str">
            <v>Davidsson et al., 2007</v>
          </cell>
          <cell r="L354">
            <v>12</v>
          </cell>
          <cell r="M354">
            <v>338</v>
          </cell>
          <cell r="N354">
            <v>0.36923076923076925</v>
          </cell>
          <cell r="O354">
            <v>0.34080715166944264</v>
          </cell>
          <cell r="P354">
            <v>0.36259661825640771</v>
          </cell>
          <cell r="Q354">
            <v>3.9497925167148989E-3</v>
          </cell>
          <cell r="R354">
            <v>5.8230458954830189</v>
          </cell>
        </row>
        <row r="355">
          <cell r="H355" t="str">
            <v>Davidsson et al., 2007</v>
          </cell>
          <cell r="L355">
            <v>13</v>
          </cell>
          <cell r="M355">
            <v>344</v>
          </cell>
          <cell r="N355">
            <v>0.4</v>
          </cell>
          <cell r="O355">
            <v>0.36459301904220298</v>
          </cell>
          <cell r="P355">
            <v>0.3836614269675957</v>
          </cell>
          <cell r="Q355">
            <v>3.9760715468581918E-3</v>
          </cell>
          <cell r="R355">
            <v>5.8406416573733981</v>
          </cell>
        </row>
        <row r="356">
          <cell r="H356" t="str">
            <v>Davidsson et al., 2007</v>
          </cell>
          <cell r="L356">
            <v>14</v>
          </cell>
          <cell r="M356">
            <v>349</v>
          </cell>
          <cell r="N356">
            <v>0.43076923076923079</v>
          </cell>
          <cell r="O356">
            <v>0.38450165023319616</v>
          </cell>
          <cell r="P356">
            <v>0.40120029541518548</v>
          </cell>
          <cell r="Q356">
            <v>3.9855309331721864E-3</v>
          </cell>
          <cell r="R356">
            <v>5.855071922202427</v>
          </cell>
        </row>
        <row r="357">
          <cell r="C357">
            <v>72</v>
          </cell>
          <cell r="D357">
            <v>92</v>
          </cell>
          <cell r="E357">
            <v>289</v>
          </cell>
          <cell r="F357">
            <v>265.88</v>
          </cell>
          <cell r="G357">
            <v>74.446400000000011</v>
          </cell>
          <cell r="H357" t="str">
            <v>Davidsson et al., 2007</v>
          </cell>
          <cell r="L357">
            <v>15</v>
          </cell>
          <cell r="M357">
            <v>357</v>
          </cell>
          <cell r="N357">
            <v>0.46153846153846156</v>
          </cell>
          <cell r="O357">
            <v>0.41637457661824018</v>
          </cell>
          <cell r="P357">
            <v>0.42913964077000055</v>
          </cell>
          <cell r="Q357">
            <v>3.978211923296537E-3</v>
          </cell>
          <cell r="R357">
            <v>5.8777357817796387</v>
          </cell>
          <cell r="S357">
            <v>1.0496835871868606E-3</v>
          </cell>
        </row>
        <row r="358">
          <cell r="C358">
            <v>68</v>
          </cell>
          <cell r="D358">
            <v>87</v>
          </cell>
          <cell r="E358">
            <v>284</v>
          </cell>
          <cell r="F358">
            <v>247.07999999999998</v>
          </cell>
          <cell r="G358">
            <v>79.065600000000003</v>
          </cell>
          <cell r="H358" t="str">
            <v>Davidsson et al., 2007</v>
          </cell>
          <cell r="L358">
            <v>16</v>
          </cell>
          <cell r="M358">
            <v>362.77836691410397</v>
          </cell>
          <cell r="N358">
            <v>0.49230769230769234</v>
          </cell>
          <cell r="O358">
            <v>0.43930630621642985</v>
          </cell>
          <cell r="P358">
            <v>0.44915937308255383</v>
          </cell>
          <cell r="Q358">
            <v>3.9567028184042102E-3</v>
          </cell>
          <cell r="R358">
            <v>5.8937920883322388</v>
          </cell>
          <cell r="S358">
            <v>1.8617774519544576E-3</v>
          </cell>
        </row>
        <row r="359">
          <cell r="C359">
            <v>75.948125000000019</v>
          </cell>
          <cell r="D359">
            <v>91.375124875124868</v>
          </cell>
          <cell r="E359">
            <v>630</v>
          </cell>
          <cell r="F359">
            <v>575.66328671328665</v>
          </cell>
          <cell r="G359">
            <v>138.45781414117121</v>
          </cell>
          <cell r="H359" t="str">
            <v>Agyeman and Tao, 2014</v>
          </cell>
          <cell r="I359" t="str">
            <v>Used average MC and VS</v>
          </cell>
          <cell r="L359">
            <v>17</v>
          </cell>
          <cell r="M359">
            <v>394.36170212765956</v>
          </cell>
          <cell r="N359">
            <v>0.52307692307692311</v>
          </cell>
          <cell r="O359">
            <v>0.56006970023844227</v>
          </cell>
          <cell r="P359">
            <v>0.5541748462366699</v>
          </cell>
          <cell r="Q359">
            <v>3.6406966038760387E-3</v>
          </cell>
          <cell r="R359">
            <v>5.9772685138747743</v>
          </cell>
          <cell r="S359">
            <v>9.6708082484951632E-4</v>
          </cell>
        </row>
        <row r="360">
          <cell r="C360">
            <v>75.948125000000019</v>
          </cell>
          <cell r="D360">
            <v>91.375124875124868</v>
          </cell>
          <cell r="E360">
            <v>560</v>
          </cell>
          <cell r="F360">
            <v>511.70069930069928</v>
          </cell>
          <cell r="G360">
            <v>123.07361256992996</v>
          </cell>
          <cell r="H360" t="str">
            <v>Agyeman and Tao, 2015</v>
          </cell>
          <cell r="I360" t="str">
            <v>Used average MC and VS</v>
          </cell>
          <cell r="L360">
            <v>18</v>
          </cell>
          <cell r="M360">
            <v>406.04453870625662</v>
          </cell>
          <cell r="N360">
            <v>0.55384615384615388</v>
          </cell>
          <cell r="O360">
            <v>0.60157283812804163</v>
          </cell>
          <cell r="P360">
            <v>0.590389109292347</v>
          </cell>
          <cell r="Q360">
            <v>3.4600070784080094E-3</v>
          </cell>
          <cell r="R360">
            <v>6.0064628548319288</v>
          </cell>
          <cell r="S360">
            <v>1.3353875927424558E-3</v>
          </cell>
        </row>
        <row r="361">
          <cell r="C361">
            <v>75.948125000000019</v>
          </cell>
          <cell r="D361">
            <v>91.375124875124868</v>
          </cell>
          <cell r="E361">
            <v>470</v>
          </cell>
          <cell r="F361">
            <v>429.4630869130869</v>
          </cell>
          <cell r="G361">
            <v>103.29392483547694</v>
          </cell>
          <cell r="H361" t="str">
            <v>Agyeman and Tao, 2016</v>
          </cell>
          <cell r="I361" t="str">
            <v>Used average MC and VS</v>
          </cell>
          <cell r="L361">
            <v>19</v>
          </cell>
          <cell r="M361">
            <v>415</v>
          </cell>
          <cell r="N361">
            <v>0.58461538461538465</v>
          </cell>
          <cell r="O361">
            <v>0.63187918681054966</v>
          </cell>
          <cell r="P361">
            <v>0.6169728778817839</v>
          </cell>
          <cell r="Q361">
            <v>3.3063961545088572E-3</v>
          </cell>
          <cell r="R361">
            <v>6.0282785202306979</v>
          </cell>
          <cell r="S361">
            <v>1.0470073704850729E-3</v>
          </cell>
        </row>
        <row r="362">
          <cell r="C362">
            <v>67</v>
          </cell>
          <cell r="D362">
            <v>89.9</v>
          </cell>
          <cell r="E362">
            <v>334</v>
          </cell>
          <cell r="F362">
            <v>300.26600000000002</v>
          </cell>
          <cell r="G362">
            <v>99.087780000000009</v>
          </cell>
          <cell r="H362" t="str">
            <v>Gray et al., 2008</v>
          </cell>
          <cell r="L362">
            <v>20</v>
          </cell>
          <cell r="M362">
            <v>426.6226622662266</v>
          </cell>
          <cell r="N362">
            <v>0.61538461538461542</v>
          </cell>
          <cell r="O362">
            <v>0.66908322203601633</v>
          </cell>
          <cell r="P362">
            <v>0.64984248376778775</v>
          </cell>
          <cell r="Q362">
            <v>3.0935342061192291E-3</v>
          </cell>
          <cell r="R362">
            <v>6.0558999276132095</v>
          </cell>
          <cell r="S362">
            <v>1.1873446935120272E-3</v>
          </cell>
        </row>
        <row r="363">
          <cell r="C363">
            <v>75.948125000000019</v>
          </cell>
          <cell r="D363">
            <v>91.375124875124868</v>
          </cell>
          <cell r="E363">
            <v>225</v>
          </cell>
          <cell r="F363">
            <v>205.59403096903094</v>
          </cell>
          <cell r="G363">
            <v>49.449219336132572</v>
          </cell>
          <cell r="H363" t="str">
            <v>Staley et al., 2006</v>
          </cell>
          <cell r="I363" t="str">
            <v>%VS and MC Not reported; Average of reported studies used.</v>
          </cell>
          <cell r="L363">
            <v>21</v>
          </cell>
          <cell r="M363">
            <v>445</v>
          </cell>
          <cell r="N363">
            <v>0.64615384615384619</v>
          </cell>
          <cell r="O363">
            <v>0.72270890296785495</v>
          </cell>
          <cell r="P363">
            <v>0.69786695172734592</v>
          </cell>
          <cell r="Q363">
            <v>2.7406792672523303E-3</v>
          </cell>
          <cell r="R363">
            <v>6.0980742821662401</v>
          </cell>
          <cell r="S363">
            <v>2.6742452880559289E-3</v>
          </cell>
        </row>
        <row r="364">
          <cell r="C364">
            <v>87.1</v>
          </cell>
          <cell r="D364">
            <v>94.2</v>
          </cell>
          <cell r="E364">
            <v>512.31422505307853</v>
          </cell>
          <cell r="F364">
            <v>482.6</v>
          </cell>
          <cell r="G364">
            <v>62.25540000000003</v>
          </cell>
          <cell r="H364" t="str">
            <v xml:space="preserve">Lopez, 2015 </v>
          </cell>
          <cell r="I364" t="str">
            <v>Grocery Store Shredded</v>
          </cell>
          <cell r="L364">
            <v>22</v>
          </cell>
          <cell r="M364">
            <v>454.55531453362255</v>
          </cell>
          <cell r="N364">
            <v>0.67692307692307696</v>
          </cell>
          <cell r="O364">
            <v>0.74801167376524935</v>
          </cell>
          <cell r="P364">
            <v>0.72088269739417776</v>
          </cell>
          <cell r="Q364">
            <v>2.5555570134391426E-3</v>
          </cell>
          <cell r="R364">
            <v>6.1193196103565688</v>
          </cell>
          <cell r="S364">
            <v>1.9324482319632247E-3</v>
          </cell>
        </row>
        <row r="365">
          <cell r="C365">
            <v>86.9</v>
          </cell>
          <cell r="D365">
            <v>94</v>
          </cell>
          <cell r="E365">
            <v>394.36170212765956</v>
          </cell>
          <cell r="F365">
            <v>370.7</v>
          </cell>
          <cell r="G365">
            <v>48.561699999999981</v>
          </cell>
          <cell r="H365" t="str">
            <v>Lopez, 2015</v>
          </cell>
          <cell r="I365" t="str">
            <v>Grocery Store Pumpable</v>
          </cell>
          <cell r="L365">
            <v>23</v>
          </cell>
          <cell r="M365">
            <v>470</v>
          </cell>
          <cell r="N365">
            <v>0.70769230769230773</v>
          </cell>
          <cell r="O365">
            <v>0.78520034241657588</v>
          </cell>
          <cell r="P365">
            <v>0.75526047291419141</v>
          </cell>
          <cell r="Q365">
            <v>2.2618434678349487E-3</v>
          </cell>
          <cell r="R365">
            <v>6.1527326947041043</v>
          </cell>
          <cell r="S365">
            <v>2.2627303425764235E-3</v>
          </cell>
        </row>
        <row r="366">
          <cell r="C366">
            <v>71.099999999999994</v>
          </cell>
          <cell r="D366">
            <v>94.3</v>
          </cell>
          <cell r="E366">
            <v>362.77836691410397</v>
          </cell>
          <cell r="F366">
            <v>342.1</v>
          </cell>
          <cell r="G366">
            <v>98.866900000000015</v>
          </cell>
          <cell r="H366" t="str">
            <v>Lopez, 2015</v>
          </cell>
          <cell r="I366" t="str">
            <v>Dining Hall Shredded</v>
          </cell>
          <cell r="L366">
            <v>24</v>
          </cell>
          <cell r="M366">
            <v>472</v>
          </cell>
          <cell r="N366">
            <v>0.7384615384615385</v>
          </cell>
          <cell r="O366">
            <v>0.78968680791757406</v>
          </cell>
          <cell r="P366">
            <v>0.75946010136650655</v>
          </cell>
          <cell r="Q366">
            <v>2.224661732917221E-3</v>
          </cell>
          <cell r="R366">
            <v>6.156978985585555</v>
          </cell>
          <cell r="S366">
            <v>4.4093964407389995E-4</v>
          </cell>
        </row>
        <row r="367">
          <cell r="C367">
            <v>71.900000000000006</v>
          </cell>
          <cell r="D367">
            <v>94.3</v>
          </cell>
          <cell r="E367">
            <v>406.04453870625662</v>
          </cell>
          <cell r="F367">
            <v>382.9</v>
          </cell>
          <cell r="G367">
            <v>107.59489999999997</v>
          </cell>
          <cell r="H367" t="str">
            <v>Lopez, 2015</v>
          </cell>
          <cell r="I367" t="str">
            <v>Dining Hall Pumpable</v>
          </cell>
          <cell r="L367">
            <v>25</v>
          </cell>
          <cell r="M367">
            <v>482</v>
          </cell>
          <cell r="N367">
            <v>0.76923076923076927</v>
          </cell>
          <cell r="O367">
            <v>0.81101778175082229</v>
          </cell>
          <cell r="P367">
            <v>0.77960830874621445</v>
          </cell>
          <cell r="Q367">
            <v>2.0426865948185084E-3</v>
          </cell>
          <cell r="R367">
            <v>6.1779441140506002</v>
          </cell>
          <cell r="S367">
            <v>1.0769332639462613E-4</v>
          </cell>
        </row>
        <row r="368">
          <cell r="C368">
            <v>72.7</v>
          </cell>
          <cell r="D368">
            <v>96.1</v>
          </cell>
          <cell r="E368">
            <v>515.60874089490119</v>
          </cell>
          <cell r="F368">
            <v>495.5</v>
          </cell>
          <cell r="G368">
            <v>135.27149999999997</v>
          </cell>
          <cell r="H368" t="str">
            <v>Lopez, 2015</v>
          </cell>
          <cell r="I368" t="str">
            <v>Hotel Shredded</v>
          </cell>
          <cell r="L368">
            <v>26</v>
          </cell>
          <cell r="M368">
            <v>489</v>
          </cell>
          <cell r="N368">
            <v>0.8</v>
          </cell>
          <cell r="O368">
            <v>0.82488401057044847</v>
          </cell>
          <cell r="P368">
            <v>0.79288443922146645</v>
          </cell>
          <cell r="Q368">
            <v>1.9197507862894587E-3</v>
          </cell>
          <cell r="R368">
            <v>6.1923624894748723</v>
          </cell>
          <cell r="S368">
            <v>5.0631205193005576E-5</v>
          </cell>
        </row>
        <row r="369">
          <cell r="C369">
            <v>73.2</v>
          </cell>
          <cell r="D369">
            <v>96.1</v>
          </cell>
          <cell r="E369">
            <v>507.7003121748179</v>
          </cell>
          <cell r="F369">
            <v>487.9</v>
          </cell>
          <cell r="G369">
            <v>130.75719999999998</v>
          </cell>
          <cell r="H369" t="str">
            <v>Lopez, 2015</v>
          </cell>
          <cell r="I369" t="str">
            <v>Hotel Pumpable</v>
          </cell>
          <cell r="L369">
            <v>27</v>
          </cell>
          <cell r="M369">
            <v>507.7003121748179</v>
          </cell>
          <cell r="N369">
            <v>0.83076923076923082</v>
          </cell>
          <cell r="O369">
            <v>0.85785983699499391</v>
          </cell>
          <cell r="P369">
            <v>0.82514677132805858</v>
          </cell>
          <cell r="Q369">
            <v>1.6123912764733359E-3</v>
          </cell>
          <cell r="R369">
            <v>6.2298913368336359</v>
          </cell>
          <cell r="S369">
            <v>3.1612050167626789E-5</v>
          </cell>
        </row>
        <row r="370">
          <cell r="C370">
            <v>84.5</v>
          </cell>
          <cell r="D370">
            <v>90.9</v>
          </cell>
          <cell r="E370">
            <v>426.6226622662266</v>
          </cell>
          <cell r="F370">
            <v>387.8</v>
          </cell>
          <cell r="G370">
            <v>60.109000000000002</v>
          </cell>
          <cell r="H370" t="str">
            <v>Lopez, 2015</v>
          </cell>
          <cell r="I370" t="str">
            <v>Restaurant Shredded</v>
          </cell>
          <cell r="L370">
            <v>28</v>
          </cell>
          <cell r="M370">
            <v>512.31422505307853</v>
          </cell>
          <cell r="N370">
            <v>0.86153846153846159</v>
          </cell>
          <cell r="O370">
            <v>0.86513531206764416</v>
          </cell>
          <cell r="P370">
            <v>0.83241942721277995</v>
          </cell>
          <cell r="Q370">
            <v>1.5416704873522479E-3</v>
          </cell>
          <cell r="R370">
            <v>6.2389381575967056</v>
          </cell>
          <cell r="S370">
            <v>8.479181600602254E-4</v>
          </cell>
        </row>
        <row r="371">
          <cell r="C371">
            <v>72</v>
          </cell>
          <cell r="D371">
            <v>88</v>
          </cell>
          <cell r="E371">
            <v>420</v>
          </cell>
          <cell r="F371">
            <v>370</v>
          </cell>
          <cell r="G371">
            <v>103</v>
          </cell>
          <cell r="H371" t="str">
            <v>EBMUD, 2008</v>
          </cell>
          <cell r="L371">
            <v>29</v>
          </cell>
          <cell r="M371">
            <v>515.60874089490119</v>
          </cell>
          <cell r="N371">
            <v>0.89230769230769236</v>
          </cell>
          <cell r="O371">
            <v>0.87013302158172035</v>
          </cell>
          <cell r="P371">
            <v>0.8374527220148541</v>
          </cell>
          <cell r="Q371">
            <v>1.4924672940611024E-3</v>
          </cell>
          <cell r="R371">
            <v>6.2453482237818871</v>
          </cell>
          <cell r="S371">
            <v>3.0090677658281676E-3</v>
          </cell>
        </row>
        <row r="372">
          <cell r="C372">
            <v>92.6</v>
          </cell>
          <cell r="D372">
            <v>88.1</v>
          </cell>
          <cell r="E372">
            <v>300</v>
          </cell>
          <cell r="F372">
            <v>264.29999999999995</v>
          </cell>
          <cell r="G372">
            <v>19.55820000000001</v>
          </cell>
          <cell r="H372" t="str">
            <v>Lin et al., 2011</v>
          </cell>
          <cell r="I372" t="str">
            <v>Fruit and vegetable waste</v>
          </cell>
          <cell r="L372">
            <v>30</v>
          </cell>
          <cell r="M372">
            <v>531</v>
          </cell>
          <cell r="N372">
            <v>0.92307692307692313</v>
          </cell>
          <cell r="O372">
            <v>0.89141595159060172</v>
          </cell>
          <cell r="P372">
            <v>0.85927470327256117</v>
          </cell>
          <cell r="Q372">
            <v>1.277124157227214E-3</v>
          </cell>
          <cell r="R372">
            <v>6.2747620212419388</v>
          </cell>
          <cell r="S372">
            <v>4.0707232519641172E-3</v>
          </cell>
        </row>
        <row r="373">
          <cell r="C373">
            <v>77.900000000000006</v>
          </cell>
          <cell r="D373">
            <v>92.5</v>
          </cell>
          <cell r="E373">
            <v>560</v>
          </cell>
          <cell r="F373">
            <v>518</v>
          </cell>
          <cell r="G373">
            <v>114.47799999999997</v>
          </cell>
          <cell r="H373" t="str">
            <v>Lin et al., 2011</v>
          </cell>
          <cell r="I373" t="str">
            <v>Food waste</v>
          </cell>
          <cell r="L373">
            <v>31</v>
          </cell>
          <cell r="M373">
            <v>560</v>
          </cell>
          <cell r="N373">
            <v>0.9538461538461539</v>
          </cell>
          <cell r="O373">
            <v>0.92330545342296699</v>
          </cell>
          <cell r="P373">
            <v>0.89347757048209309</v>
          </cell>
          <cell r="Q373">
            <v>9.3596195181216751E-4</v>
          </cell>
          <cell r="R373">
            <v>6.3279367837291947</v>
          </cell>
          <cell r="S373">
            <v>3.6443658573835601E-3</v>
          </cell>
        </row>
        <row r="374">
          <cell r="C374">
            <v>72</v>
          </cell>
          <cell r="D374">
            <v>86.071428571428569</v>
          </cell>
          <cell r="E374">
            <v>657</v>
          </cell>
          <cell r="F374">
            <v>565.48928571428576</v>
          </cell>
          <cell r="G374">
            <v>158.33700000000002</v>
          </cell>
          <cell r="H374" t="str">
            <v>El-Mashad and Zhang, 2010</v>
          </cell>
          <cell r="L374">
            <v>32</v>
          </cell>
          <cell r="M374">
            <v>630</v>
          </cell>
          <cell r="N374">
            <v>0.98461538461538467</v>
          </cell>
          <cell r="O374">
            <v>0.96830318949721628</v>
          </cell>
          <cell r="P374">
            <v>0.94714024039747557</v>
          </cell>
          <cell r="Q374">
            <v>4.1147682870737489E-4</v>
          </cell>
          <cell r="R374">
            <v>6.4457198193855785</v>
          </cell>
          <cell r="S374">
            <v>1.4043864341530855E-3</v>
          </cell>
        </row>
        <row r="375">
          <cell r="C375">
            <v>88.3</v>
          </cell>
          <cell r="D375">
            <v>92.307692307692307</v>
          </cell>
          <cell r="E375">
            <v>464</v>
          </cell>
          <cell r="F375">
            <v>428.30769230769226</v>
          </cell>
          <cell r="G375">
            <v>50.112000000000009</v>
          </cell>
          <cell r="H375" t="str">
            <v>Chu et al., 2008</v>
          </cell>
          <cell r="M375">
            <v>650</v>
          </cell>
          <cell r="O375">
            <v>0.97559155132828268</v>
          </cell>
          <cell r="P375">
            <v>0.95697156660003624</v>
          </cell>
          <cell r="Q375">
            <v>3.2080383286044357E-4</v>
          </cell>
          <cell r="R375">
            <v>6.4769723628896827</v>
          </cell>
        </row>
        <row r="376">
          <cell r="C376">
            <v>85.3</v>
          </cell>
          <cell r="D376">
            <v>92.2</v>
          </cell>
          <cell r="E376">
            <v>454.55531453362255</v>
          </cell>
          <cell r="F376">
            <v>419.1</v>
          </cell>
          <cell r="G376">
            <v>61.607700000000008</v>
          </cell>
          <cell r="H376" t="str">
            <v>Lopez, 2015</v>
          </cell>
          <cell r="I376" t="str">
            <v>Restaurant Pumpable</v>
          </cell>
          <cell r="M376">
            <v>700</v>
          </cell>
          <cell r="O376">
            <v>0.98745317944524535</v>
          </cell>
          <cell r="P376">
            <v>0.97446838983491935</v>
          </cell>
          <cell r="Q376">
            <v>1.6882029844628659E-4</v>
          </cell>
          <cell r="R376">
            <v>6.5510803350434044</v>
          </cell>
        </row>
        <row r="377">
          <cell r="B377" t="str">
            <v>Min</v>
          </cell>
          <cell r="C377">
            <v>47</v>
          </cell>
          <cell r="D377">
            <v>83</v>
          </cell>
          <cell r="E377">
            <v>219</v>
          </cell>
          <cell r="F377">
            <v>203.67</v>
          </cell>
          <cell r="G377">
            <v>11.634</v>
          </cell>
          <cell r="M377">
            <v>750</v>
          </cell>
          <cell r="O377">
            <v>0.99363274193139006</v>
          </cell>
          <cell r="P377">
            <v>0.98496413474235922</v>
          </cell>
          <cell r="Q377">
            <v>8.6985109712747996E-5</v>
          </cell>
          <cell r="R377">
            <v>6.620073206530356</v>
          </cell>
        </row>
        <row r="378">
          <cell r="B378" t="str">
            <v>Max</v>
          </cell>
          <cell r="C378">
            <v>95</v>
          </cell>
          <cell r="D378">
            <v>99</v>
          </cell>
          <cell r="E378">
            <v>657</v>
          </cell>
          <cell r="F378">
            <v>575.66328671328665</v>
          </cell>
          <cell r="G378">
            <v>247.79620000000003</v>
          </cell>
          <cell r="M378">
            <v>800</v>
          </cell>
          <cell r="O378">
            <v>0.9967950804719713</v>
          </cell>
          <cell r="P378">
            <v>0.99118391419953045</v>
          </cell>
          <cell r="Q378">
            <v>4.4183474013454329E-5</v>
          </cell>
          <cell r="R378">
            <v>6.6846117276679271</v>
          </cell>
        </row>
        <row r="379">
          <cell r="B379" t="str">
            <v>Mean</v>
          </cell>
          <cell r="C379">
            <v>75.948125000000019</v>
          </cell>
          <cell r="D379">
            <v>91.375124875124868</v>
          </cell>
          <cell r="E379">
            <v>404.02664493704515</v>
          </cell>
          <cell r="F379">
            <v>369.37594815994811</v>
          </cell>
          <cell r="G379">
            <v>89.535851591424603</v>
          </cell>
        </row>
        <row r="380">
          <cell r="B380" t="str">
            <v>Median</v>
          </cell>
          <cell r="C380">
            <v>72.95</v>
          </cell>
          <cell r="D380">
            <v>92.307692307692307</v>
          </cell>
          <cell r="E380">
            <v>406.04453870625662</v>
          </cell>
          <cell r="F380">
            <v>370</v>
          </cell>
          <cell r="G380">
            <v>87.255599999999987</v>
          </cell>
        </row>
        <row r="381">
          <cell r="B381" t="str">
            <v>StDev</v>
          </cell>
          <cell r="C381">
            <v>9.6539821091875169</v>
          </cell>
          <cell r="D381">
            <v>4.1213512624964412</v>
          </cell>
          <cell r="E381">
            <v>111.92099588352585</v>
          </cell>
          <cell r="F381">
            <v>103.28795762733341</v>
          </cell>
          <cell r="G381">
            <v>43.214347959416429</v>
          </cell>
        </row>
        <row r="384">
          <cell r="A384" t="str">
            <v>N2O Emissions and Fertilizer Emissions Factors Reported by Brown et al. (2010)</v>
          </cell>
        </row>
        <row r="395">
          <cell r="B395" t="str">
            <v>The values reported below do not appear to include the N2O emissions associated with N fertilizer production, so the value of 8.9 kg CO2e/kg NC reported by Boldrin et al. (2009) was used.</v>
          </cell>
        </row>
        <row r="396">
          <cell r="B396" t="str">
            <v>Source</v>
          </cell>
          <cell r="C396" t="str">
            <v>Nitrogen (kg CO2e/kg N)</v>
          </cell>
          <cell r="D396" t="str">
            <v>Phosphorus (kg CO2e/kg P)</v>
          </cell>
        </row>
        <row r="397">
          <cell r="B397" t="str">
            <v>Brown, S. and P. Leonard. 2004.</v>
          </cell>
          <cell r="D397">
            <v>3</v>
          </cell>
        </row>
        <row r="398">
          <cell r="B398" t="str">
            <v>Murray, A., A. Horvath, and K.L. Nelson. 2008.</v>
          </cell>
          <cell r="C398">
            <v>3.6</v>
          </cell>
          <cell r="D398">
            <v>4.8600000000000003</v>
          </cell>
        </row>
        <row r="399">
          <cell r="B399" t="str">
            <v>Kim, S. and B.E. Dale. 2008.</v>
          </cell>
          <cell r="C399">
            <v>3.9000000000000004</v>
          </cell>
        </row>
        <row r="400">
          <cell r="B400" t="str">
            <v>Recycled Organics Unit. 2006.</v>
          </cell>
          <cell r="C400">
            <v>3.96</v>
          </cell>
          <cell r="D400">
            <v>1.76</v>
          </cell>
        </row>
        <row r="401">
          <cell r="B401" t="str">
            <v>Schlesinger, W.H. 1999.</v>
          </cell>
          <cell r="C401">
            <v>4.5</v>
          </cell>
        </row>
        <row r="402">
          <cell r="B402" t="str">
            <v>Average</v>
          </cell>
          <cell r="C402">
            <v>3.99</v>
          </cell>
          <cell r="D402">
            <v>3.206666666666667</v>
          </cell>
        </row>
      </sheetData>
      <sheetData sheetId="7" refreshError="1">
        <row r="6">
          <cell r="B6">
            <v>100</v>
          </cell>
          <cell r="C6">
            <v>1</v>
          </cell>
          <cell r="D6">
            <v>0.84</v>
          </cell>
          <cell r="E6">
            <v>84</v>
          </cell>
          <cell r="F6">
            <v>0.84</v>
          </cell>
          <cell r="G6">
            <v>93.41429238673517</v>
          </cell>
          <cell r="H6">
            <v>0.93414292386735165</v>
          </cell>
        </row>
        <row r="7">
          <cell r="B7">
            <v>100</v>
          </cell>
          <cell r="C7">
            <v>1</v>
          </cell>
          <cell r="D7">
            <v>0.98</v>
          </cell>
          <cell r="E7">
            <v>98</v>
          </cell>
          <cell r="F7">
            <v>0.98</v>
          </cell>
          <cell r="G7" t="str">
            <v>NA</v>
          </cell>
          <cell r="H7" t="str">
            <v>NA</v>
          </cell>
        </row>
        <row r="8">
          <cell r="B8">
            <v>90</v>
          </cell>
          <cell r="C8">
            <v>0.9</v>
          </cell>
          <cell r="D8">
            <v>0.98</v>
          </cell>
          <cell r="E8">
            <v>88.2</v>
          </cell>
          <cell r="F8">
            <v>0.88200000000000001</v>
          </cell>
          <cell r="G8">
            <v>97.560975609756099</v>
          </cell>
          <cell r="H8">
            <v>0.87804878048780499</v>
          </cell>
        </row>
        <row r="9">
          <cell r="B9">
            <v>92.314026470123963</v>
          </cell>
          <cell r="C9">
            <v>0.92314026470123967</v>
          </cell>
          <cell r="D9">
            <v>0.92678405931417984</v>
          </cell>
          <cell r="E9">
            <v>85.555168183618136</v>
          </cell>
          <cell r="F9">
            <v>0.85555168183618135</v>
          </cell>
          <cell r="G9">
            <v>86.355785837651126</v>
          </cell>
          <cell r="H9">
            <v>0.85555168183618135</v>
          </cell>
        </row>
        <row r="10">
          <cell r="B10">
            <v>90</v>
          </cell>
          <cell r="C10">
            <v>0.9</v>
          </cell>
          <cell r="D10">
            <v>1</v>
          </cell>
          <cell r="E10">
            <v>90</v>
          </cell>
          <cell r="F10">
            <v>0.9</v>
          </cell>
          <cell r="G10">
            <v>86.355785837651126</v>
          </cell>
          <cell r="H10">
            <v>0.7772020725388602</v>
          </cell>
        </row>
        <row r="11">
          <cell r="B11">
            <v>94.671060666162404</v>
          </cell>
          <cell r="C11">
            <v>0.94671060666162399</v>
          </cell>
          <cell r="D11">
            <v>0.94215187488223096</v>
          </cell>
          <cell r="E11">
            <v>89.194517303714335</v>
          </cell>
          <cell r="F11">
            <v>0.89194517303714338</v>
          </cell>
          <cell r="G11">
            <v>86.355785837651126</v>
          </cell>
          <cell r="H11">
            <v>0.89194517303714338</v>
          </cell>
        </row>
        <row r="12">
          <cell r="B12">
            <v>100</v>
          </cell>
          <cell r="C12">
            <v>1</v>
          </cell>
          <cell r="D12" t="str">
            <v>NA</v>
          </cell>
          <cell r="E12" t="str">
            <v>NA</v>
          </cell>
          <cell r="F12" t="str">
            <v>NA</v>
          </cell>
          <cell r="G12">
            <v>93.45794392523365</v>
          </cell>
          <cell r="H12">
            <v>0.93457943925233655</v>
          </cell>
        </row>
        <row r="13">
          <cell r="B13">
            <v>95</v>
          </cell>
          <cell r="C13">
            <v>0.95</v>
          </cell>
          <cell r="D13" t="str">
            <v>NA</v>
          </cell>
          <cell r="E13" t="str">
            <v>NA</v>
          </cell>
          <cell r="F13" t="str">
            <v>NA</v>
          </cell>
          <cell r="G13">
            <v>70.921985815602838</v>
          </cell>
          <cell r="H13">
            <v>0.67375886524822692</v>
          </cell>
        </row>
        <row r="14">
          <cell r="B14">
            <v>95</v>
          </cell>
          <cell r="C14">
            <v>0.95</v>
          </cell>
          <cell r="D14">
            <v>0.85</v>
          </cell>
          <cell r="E14">
            <v>80.75</v>
          </cell>
          <cell r="F14">
            <v>0.8075</v>
          </cell>
          <cell r="G14">
            <v>94.250706880301607</v>
          </cell>
          <cell r="H14">
            <v>0.89538171536286526</v>
          </cell>
        </row>
        <row r="15">
          <cell r="B15">
            <v>91</v>
          </cell>
          <cell r="C15">
            <v>0.91</v>
          </cell>
          <cell r="D15" t="str">
            <v>NA</v>
          </cell>
          <cell r="E15" t="str">
            <v>NA</v>
          </cell>
          <cell r="F15" t="str">
            <v>NA</v>
          </cell>
          <cell r="G15">
            <v>65.573770491803288</v>
          </cell>
          <cell r="H15">
            <v>0.59672131147540997</v>
          </cell>
        </row>
        <row r="16">
          <cell r="B16">
            <v>95</v>
          </cell>
          <cell r="C16">
            <v>0.95</v>
          </cell>
          <cell r="D16" t="str">
            <v>NA</v>
          </cell>
          <cell r="E16" t="str">
            <v>NA</v>
          </cell>
          <cell r="F16" t="str">
            <v>NA</v>
          </cell>
          <cell r="G16">
            <v>71.428571428571431</v>
          </cell>
          <cell r="H16">
            <v>0.6785714285714286</v>
          </cell>
        </row>
        <row r="17">
          <cell r="B17">
            <v>95</v>
          </cell>
          <cell r="C17">
            <v>0.95</v>
          </cell>
          <cell r="D17" t="str">
            <v>NA</v>
          </cell>
          <cell r="E17" t="str">
            <v>NA</v>
          </cell>
          <cell r="F17" t="str">
            <v>NA</v>
          </cell>
          <cell r="G17">
            <v>69.444444444444443</v>
          </cell>
          <cell r="H17">
            <v>0.6597222222222221</v>
          </cell>
        </row>
        <row r="18">
          <cell r="B18">
            <v>88</v>
          </cell>
          <cell r="C18">
            <v>0.88</v>
          </cell>
          <cell r="D18">
            <v>0.90900000000000003</v>
          </cell>
          <cell r="E18">
            <v>79.992000000000004</v>
          </cell>
          <cell r="F18">
            <v>0.79992000000000008</v>
          </cell>
          <cell r="G18" t="str">
            <v>NA</v>
          </cell>
          <cell r="H18" t="str">
            <v>NA</v>
          </cell>
        </row>
        <row r="19">
          <cell r="B19">
            <v>88</v>
          </cell>
          <cell r="C19">
            <v>0.88</v>
          </cell>
          <cell r="D19">
            <v>0.90900000000000003</v>
          </cell>
          <cell r="E19">
            <v>79.992000000000004</v>
          </cell>
          <cell r="F19">
            <v>0.79992000000000008</v>
          </cell>
          <cell r="G19" t="str">
            <v>NA</v>
          </cell>
          <cell r="H19" t="str">
            <v>NA</v>
          </cell>
        </row>
        <row r="20">
          <cell r="B20" t="str">
            <v>Franklin data from: FAL (2003). Loss rates provided by in-house data from Franklin Associates, Ltd., Prairie Village, KS.</v>
          </cell>
        </row>
        <row r="23">
          <cell r="B23" t="str">
            <v>Material input (amt recycled/amt new material)</v>
          </cell>
          <cell r="C23" t="str">
            <v>Units</v>
          </cell>
          <cell r="D23" t="str">
            <v>retention rate (percent)</v>
          </cell>
          <cell r="E23" t="str">
            <v>loss rate (percent)</v>
          </cell>
        </row>
        <row r="24">
          <cell r="B24">
            <v>2122</v>
          </cell>
          <cell r="C24" t="str">
            <v>lb/ton</v>
          </cell>
          <cell r="D24">
            <v>94.250706880301607</v>
          </cell>
          <cell r="E24">
            <v>5.7492931196983932</v>
          </cell>
        </row>
        <row r="25">
          <cell r="B25">
            <v>2141</v>
          </cell>
          <cell r="C25" t="str">
            <v>lb/ton</v>
          </cell>
          <cell r="D25">
            <v>93.41429238673517</v>
          </cell>
          <cell r="E25">
            <v>6.5857076132648302</v>
          </cell>
        </row>
        <row r="26">
          <cell r="B26">
            <v>1.5249999999999999</v>
          </cell>
          <cell r="C26" t="str">
            <v>ton/ton</v>
          </cell>
          <cell r="D26">
            <v>65.573770491803288</v>
          </cell>
          <cell r="E26">
            <v>34.426229508196712</v>
          </cell>
        </row>
        <row r="27">
          <cell r="B27">
            <v>1.19</v>
          </cell>
          <cell r="C27" t="str">
            <v>ton/ton</v>
          </cell>
          <cell r="D27">
            <v>84.033613445378151</v>
          </cell>
          <cell r="E27">
            <v>15.966386554621849</v>
          </cell>
        </row>
        <row r="28">
          <cell r="B28">
            <v>2050</v>
          </cell>
          <cell r="C28" t="str">
            <v>lb/ton</v>
          </cell>
          <cell r="D28">
            <v>97.560975609756099</v>
          </cell>
          <cell r="E28">
            <v>2.4390243902439011</v>
          </cell>
        </row>
        <row r="29">
          <cell r="B29">
            <v>2140</v>
          </cell>
          <cell r="C29" t="str">
            <v>lb/ton</v>
          </cell>
          <cell r="D29">
            <v>93.45794392523365</v>
          </cell>
          <cell r="E29">
            <v>6.5420560747663501</v>
          </cell>
        </row>
        <row r="30">
          <cell r="B30">
            <v>1.41</v>
          </cell>
          <cell r="C30" t="str">
            <v>ton/ton</v>
          </cell>
          <cell r="D30">
            <v>70.921985815602838</v>
          </cell>
          <cell r="E30">
            <v>29.078014184397162</v>
          </cell>
        </row>
        <row r="31">
          <cell r="B31">
            <v>1.4</v>
          </cell>
          <cell r="C31" t="str">
            <v>ton/ton</v>
          </cell>
          <cell r="D31">
            <v>71.428571428571431</v>
          </cell>
          <cell r="E31">
            <v>28.571428571428569</v>
          </cell>
        </row>
        <row r="32">
          <cell r="B32">
            <v>1.44</v>
          </cell>
          <cell r="C32" t="str">
            <v>ton/ton</v>
          </cell>
          <cell r="D32">
            <v>69.444444444444443</v>
          </cell>
          <cell r="E32">
            <v>30.555555555555557</v>
          </cell>
        </row>
        <row r="33">
          <cell r="B33">
            <v>1.1579999999999999</v>
          </cell>
          <cell r="C33" t="str">
            <v>ton/ton</v>
          </cell>
          <cell r="D33">
            <v>86.355785837651126</v>
          </cell>
          <cell r="E33">
            <v>13.644214162348874</v>
          </cell>
        </row>
        <row r="34">
          <cell r="B34">
            <v>1.1579999999999999</v>
          </cell>
          <cell r="C34" t="str">
            <v>ton/ton</v>
          </cell>
          <cell r="D34">
            <v>86.355785837651126</v>
          </cell>
          <cell r="E34">
            <v>13.644214162348874</v>
          </cell>
        </row>
        <row r="35">
          <cell r="B35">
            <v>1.1579999999999999</v>
          </cell>
          <cell r="C35" t="str">
            <v>ton/ton</v>
          </cell>
          <cell r="D35">
            <v>86.355785837651126</v>
          </cell>
          <cell r="E35">
            <v>13.644214162348874</v>
          </cell>
        </row>
        <row r="39">
          <cell r="B39" t="str">
            <v xml:space="preserve">Percent of Recovered Materials Retained </v>
          </cell>
          <cell r="C39" t="str">
            <v>Tons of Product Produced per Ton of Recycled Inputs</v>
          </cell>
        </row>
        <row r="40">
          <cell r="B40" t="str">
            <v>NA</v>
          </cell>
          <cell r="C40" t="str">
            <v>NA</v>
          </cell>
        </row>
        <row r="41">
          <cell r="B41" t="str">
            <v>NA</v>
          </cell>
          <cell r="C41" t="str">
            <v>NA</v>
          </cell>
        </row>
        <row r="42">
          <cell r="B42">
            <v>100</v>
          </cell>
          <cell r="C42">
            <v>0.98</v>
          </cell>
        </row>
        <row r="45">
          <cell r="B45" t="str">
            <v>% of Total Carpet Disposal</v>
          </cell>
          <cell r="C45" t="str">
            <v>(carpet recycling method)/(total carpet recycling (3.6%))</v>
          </cell>
          <cell r="D45" t="str">
            <v>tons of product/ton of recycled input</v>
          </cell>
        </row>
        <row r="46">
          <cell r="B46">
            <v>2.6</v>
          </cell>
          <cell r="C46">
            <v>0.72222222222222221</v>
          </cell>
          <cell r="D46">
            <v>0.3</v>
          </cell>
        </row>
        <row r="47">
          <cell r="B47">
            <v>0.5</v>
          </cell>
          <cell r="C47">
            <v>0.1388888888888889</v>
          </cell>
          <cell r="D47">
            <v>1</v>
          </cell>
        </row>
        <row r="48">
          <cell r="B48">
            <v>0.5</v>
          </cell>
          <cell r="C48">
            <v>0.1388888888888889</v>
          </cell>
          <cell r="D48">
            <v>1</v>
          </cell>
        </row>
        <row r="51">
          <cell r="B51" t="str">
            <v>Percent of Recovered Materials Retained (b)</v>
          </cell>
          <cell r="C51" t="str">
            <v>Percent of Recovered Materials Retained (percent)</v>
          </cell>
          <cell r="D51" t="str">
            <v>Tons of Product Produced per Ton of Recycled Inputs (c)</v>
          </cell>
          <cell r="E51" t="str">
            <v>Tons of Product Made per Ton of Recovered Materials [b*c]</v>
          </cell>
          <cell r="F51" t="str">
            <v>Retention Rate (percent)</v>
          </cell>
        </row>
        <row r="52">
          <cell r="F52">
            <v>1</v>
          </cell>
        </row>
        <row r="53">
          <cell r="A53" t="str">
            <v>Aggregate</v>
          </cell>
          <cell r="B53">
            <v>100</v>
          </cell>
          <cell r="C53">
            <v>1</v>
          </cell>
          <cell r="D53">
            <v>1</v>
          </cell>
          <cell r="E53">
            <v>1</v>
          </cell>
          <cell r="F53">
            <v>1</v>
          </cell>
        </row>
        <row r="54">
          <cell r="A54" t="str">
            <v>Fly Ash</v>
          </cell>
          <cell r="B54">
            <v>100</v>
          </cell>
          <cell r="C54">
            <v>1</v>
          </cell>
          <cell r="D54">
            <v>1</v>
          </cell>
          <cell r="E54">
            <v>1</v>
          </cell>
          <cell r="F54">
            <v>1</v>
          </cell>
        </row>
        <row r="56">
          <cell r="A56" t="str">
            <v>Boxboard Loss Rate (from RPTA)</v>
          </cell>
        </row>
        <row r="57">
          <cell r="B57" t="str">
            <v>Retention Rate (percent)</v>
          </cell>
        </row>
        <row r="58">
          <cell r="A58" t="str">
            <v>Mixed Paper Stock</v>
          </cell>
          <cell r="B58">
            <v>0.98</v>
          </cell>
        </row>
        <row r="60">
          <cell r="A60" t="str">
            <v>Loss Rates for Secondary Products: Carpet and PCs</v>
          </cell>
        </row>
        <row r="61">
          <cell r="A61" t="str">
            <v>Type of Product (a)</v>
          </cell>
          <cell r="B61" t="str">
            <v>Percent of Recovered Materials Retained (b)</v>
          </cell>
          <cell r="C61" t="str">
            <v>Percent of Recovered Materials Retained (percent)</v>
          </cell>
          <cell r="D61" t="str">
            <v>Tons of Product Produced per Ton of Recycled Inputs (c)</v>
          </cell>
          <cell r="E61" t="str">
            <v>Tons of Product Made per Ton of Recovered Materials [b*c]</v>
          </cell>
          <cell r="F61" t="str">
            <v>Retention Rate (percent)</v>
          </cell>
        </row>
        <row r="62">
          <cell r="A62" t="str">
            <v>Carpet Pad/Cushion</v>
          </cell>
          <cell r="B62">
            <v>100</v>
          </cell>
          <cell r="C62">
            <v>1</v>
          </cell>
          <cell r="D62">
            <v>1</v>
          </cell>
          <cell r="E62">
            <v>100</v>
          </cell>
          <cell r="F62">
            <v>1</v>
          </cell>
        </row>
        <row r="63">
          <cell r="A63" t="str">
            <v>Molded Products (auto parts)</v>
          </cell>
          <cell r="B63">
            <v>100</v>
          </cell>
          <cell r="C63">
            <v>1</v>
          </cell>
          <cell r="D63">
            <v>0.995</v>
          </cell>
          <cell r="E63">
            <v>99.5</v>
          </cell>
          <cell r="F63">
            <v>0.995</v>
          </cell>
        </row>
        <row r="64">
          <cell r="A64" t="str">
            <v>Backing for Commercial Carpet Tiles</v>
          </cell>
          <cell r="B64">
            <v>100</v>
          </cell>
          <cell r="C64">
            <v>1</v>
          </cell>
          <cell r="D64">
            <v>1</v>
          </cell>
          <cell r="E64">
            <v>100</v>
          </cell>
          <cell r="F64">
            <v>1</v>
          </cell>
        </row>
        <row r="65">
          <cell r="A65" t="str">
            <v>Asphalt</v>
          </cell>
          <cell r="B65">
            <v>82.191780821917803</v>
          </cell>
          <cell r="C65">
            <v>0.82191780821917804</v>
          </cell>
          <cell r="D65">
            <v>0.65217391304347827</v>
          </cell>
          <cell r="E65">
            <v>53.603335318642046</v>
          </cell>
          <cell r="F65">
            <v>0.53603335318642042</v>
          </cell>
        </row>
        <row r="66">
          <cell r="A66" t="str">
            <v>Steel Sheet</v>
          </cell>
          <cell r="B66">
            <v>82.191780821917803</v>
          </cell>
          <cell r="C66">
            <v>0.82191780821917804</v>
          </cell>
          <cell r="D66">
            <v>1</v>
          </cell>
          <cell r="E66">
            <v>82.191780821917803</v>
          </cell>
          <cell r="F66">
            <v>0.82191780821917804</v>
          </cell>
        </row>
        <row r="67">
          <cell r="A67" t="str">
            <v>Lead Bullion</v>
          </cell>
          <cell r="B67">
            <v>82.191780821917803</v>
          </cell>
          <cell r="C67">
            <v>0.82191780821917804</v>
          </cell>
          <cell r="D67">
            <v>0.995</v>
          </cell>
          <cell r="E67">
            <v>81.780821917808211</v>
          </cell>
          <cell r="F67">
            <v>0.81780821917808211</v>
          </cell>
        </row>
        <row r="68">
          <cell r="A68" t="str">
            <v>CRT Glass</v>
          </cell>
          <cell r="B68">
            <v>82.191780821917803</v>
          </cell>
          <cell r="C68">
            <v>0.82191780821917804</v>
          </cell>
          <cell r="D68">
            <v>1</v>
          </cell>
          <cell r="E68">
            <v>82.191780821917803</v>
          </cell>
          <cell r="F68">
            <v>0.82191780821917804</v>
          </cell>
        </row>
        <row r="69">
          <cell r="A69" t="str">
            <v>Copper Wire</v>
          </cell>
          <cell r="B69">
            <v>82.191780821917803</v>
          </cell>
          <cell r="C69">
            <v>0.82191780821917804</v>
          </cell>
          <cell r="D69">
            <v>0.99</v>
          </cell>
          <cell r="E69">
            <v>81.36986301369862</v>
          </cell>
          <cell r="F69">
            <v>0.81369863013698618</v>
          </cell>
        </row>
        <row r="70">
          <cell r="A70" t="str">
            <v>Aluminum Sheet</v>
          </cell>
          <cell r="B70">
            <v>82.191780821917803</v>
          </cell>
          <cell r="C70">
            <v>0.82191780821917804</v>
          </cell>
          <cell r="D70">
            <v>1</v>
          </cell>
          <cell r="E70">
            <v>82.191780821917803</v>
          </cell>
          <cell r="F70">
            <v>0.82191780821917804</v>
          </cell>
        </row>
        <row r="72">
          <cell r="B72" t="str">
            <v>Recycling Rentention Rate</v>
          </cell>
          <cell r="C72" t="str">
            <v>Recycling Loss Rate</v>
          </cell>
        </row>
        <row r="73">
          <cell r="A73" t="str">
            <v>Drywall</v>
          </cell>
          <cell r="B73">
            <v>0.998</v>
          </cell>
          <cell r="C73">
            <v>2.0000000000000018E-3</v>
          </cell>
        </row>
        <row r="74">
          <cell r="A74" t="str">
            <v>Tires</v>
          </cell>
          <cell r="B74">
            <v>0.79998923743264505</v>
          </cell>
          <cell r="C74">
            <v>0.20001076256735495</v>
          </cell>
        </row>
        <row r="75">
          <cell r="A75" t="str">
            <v>Asphalt Shingles</v>
          </cell>
          <cell r="B75">
            <v>0.92800000000000005</v>
          </cell>
          <cell r="C75">
            <v>7.1999999999999995E-2</v>
          </cell>
        </row>
        <row r="76">
          <cell r="A76" t="str">
            <v>Asphalt Concrete</v>
          </cell>
          <cell r="B76">
            <v>1</v>
          </cell>
          <cell r="C76">
            <v>1</v>
          </cell>
        </row>
        <row r="79">
          <cell r="A79" t="str">
            <v>Type of Product and Type of Recycling (a)</v>
          </cell>
          <cell r="B79" t="str">
            <v>Percent of Recovered Materials Retained (b)</v>
          </cell>
          <cell r="C79" t="str">
            <v>Percent of Recovered Materials Retained (percent)</v>
          </cell>
          <cell r="D79" t="str">
            <v>Tons of Product Produced per Ton of Recycled Inputs (c)</v>
          </cell>
          <cell r="E79" t="str">
            <v>Tons of Product Made per Ton of Recovered Materials [b*c]</v>
          </cell>
          <cell r="F79" t="str">
            <v>Retention Rate (percent)</v>
          </cell>
        </row>
        <row r="80">
          <cell r="A80" t="str">
            <v>Aluminum Cans</v>
          </cell>
          <cell r="B80">
            <v>100</v>
          </cell>
          <cell r="C80">
            <v>1</v>
          </cell>
          <cell r="D80">
            <v>1</v>
          </cell>
          <cell r="E80">
            <v>100</v>
          </cell>
          <cell r="F80">
            <v>1</v>
          </cell>
        </row>
      </sheetData>
      <sheetData sheetId="8" refreshError="1">
        <row r="6">
          <cell r="B6" t="str">
            <v>Corn</v>
          </cell>
          <cell r="C6">
            <v>0.29599999999999993</v>
          </cell>
          <cell r="F6">
            <v>3024.9652831088001</v>
          </cell>
          <cell r="G6">
            <v>0.1612384673731776</v>
          </cell>
          <cell r="H6">
            <v>1.3073023609373853E-2</v>
          </cell>
          <cell r="L6" t="str">
            <v>Wheat</v>
          </cell>
          <cell r="M6">
            <v>3024.9652831088001</v>
          </cell>
          <cell r="N6">
            <v>0.1612384673731776</v>
          </cell>
          <cell r="O6">
            <v>1.3073023609373853E-2</v>
          </cell>
        </row>
        <row r="7">
          <cell r="B7" t="str">
            <v>Rice</v>
          </cell>
          <cell r="C7">
            <v>0.41040000000000004</v>
          </cell>
          <cell r="F7">
            <v>2688.9615459731908</v>
          </cell>
          <cell r="G7">
            <v>0.14332859980877122</v>
          </cell>
          <cell r="H7">
            <v>1.1620912799064869E-2</v>
          </cell>
          <cell r="L7" t="str">
            <v>Rice</v>
          </cell>
          <cell r="M7">
            <v>2688.9615459731908</v>
          </cell>
          <cell r="N7">
            <v>0.14332859980877122</v>
          </cell>
          <cell r="O7">
            <v>1.1620912799064869E-2</v>
          </cell>
        </row>
        <row r="8">
          <cell r="B8" t="str">
            <v>Total modeled in WARM</v>
          </cell>
          <cell r="F8">
            <v>18022.507184961611</v>
          </cell>
          <cell r="G8">
            <v>0.96064621070256861</v>
          </cell>
          <cell r="H8">
            <v>7.7888054862889078E-2</v>
          </cell>
          <cell r="L8" t="str">
            <v>Fruit and Vegetables</v>
          </cell>
          <cell r="M8">
            <v>67737.4351006176</v>
          </cell>
          <cell r="N8">
            <v>0.59557754287652542</v>
          </cell>
          <cell r="O8">
            <v>0.29274157070613654</v>
          </cell>
        </row>
        <row r="9">
          <cell r="B9" t="str">
            <v>Oats</v>
          </cell>
          <cell r="C9">
            <v>0.41920000000000002</v>
          </cell>
          <cell r="F9">
            <v>608.68078777031747</v>
          </cell>
          <cell r="G9">
            <v>3.2444259075503058E-2</v>
          </cell>
          <cell r="H9">
            <v>2.6305420275487611E-3</v>
          </cell>
          <cell r="L9" t="str">
            <v>Citrus</v>
          </cell>
          <cell r="M9">
            <v>14200.255154036282</v>
          </cell>
          <cell r="N9">
            <v>0.12485493524072828</v>
          </cell>
          <cell r="O9">
            <v>6.1369388906527843E-2</v>
          </cell>
        </row>
        <row r="10">
          <cell r="B10" t="str">
            <v>Other grains</v>
          </cell>
          <cell r="C10">
            <v>0.36787503890205847</v>
          </cell>
          <cell r="F10">
            <v>129.62842790828054</v>
          </cell>
          <cell r="G10">
            <v>6.909530221928778E-3</v>
          </cell>
          <cell r="H10">
            <v>5.6021651155922249E-4</v>
          </cell>
          <cell r="L10" t="str">
            <v>Apples</v>
          </cell>
          <cell r="M10">
            <v>5574.8084801006635</v>
          </cell>
          <cell r="N10">
            <v>4.901618627356763E-2</v>
          </cell>
          <cell r="O10">
            <v>2.4092707207268881E-2</v>
          </cell>
        </row>
        <row r="11">
          <cell r="B11" t="str">
            <v>Total</v>
          </cell>
          <cell r="C11">
            <v>0.53931827032506863</v>
          </cell>
          <cell r="F11">
            <v>42911.39270551323</v>
          </cell>
          <cell r="G11">
            <v>1</v>
          </cell>
          <cell r="H11">
            <v>0.18545060767565522</v>
          </cell>
          <cell r="L11" t="str">
            <v>Bananas</v>
          </cell>
          <cell r="M11">
            <v>4705.282186188937</v>
          </cell>
          <cell r="N11">
            <v>4.1370925823046738E-2</v>
          </cell>
          <cell r="O11">
            <v>2.0334866470135868E-2</v>
          </cell>
        </row>
        <row r="12">
          <cell r="B12" t="str">
            <v>Citrus</v>
          </cell>
          <cell r="C12">
            <v>0.5371636519865618</v>
          </cell>
          <cell r="D12">
            <v>3.715997608236965E-2</v>
          </cell>
          <cell r="E12">
            <v>0.28658098485404027</v>
          </cell>
          <cell r="F12">
            <v>14200.255154036282</v>
          </cell>
          <cell r="G12">
            <v>0.3309203980278142</v>
          </cell>
          <cell r="H12">
            <v>6.1369388906527843E-2</v>
          </cell>
          <cell r="L12" t="str">
            <v>Melons</v>
          </cell>
          <cell r="M12">
            <v>6312.5235661362058</v>
          </cell>
          <cell r="N12">
            <v>5.5502504180812789E-2</v>
          </cell>
          <cell r="O12">
            <v>2.7280898090181249E-2</v>
          </cell>
        </row>
        <row r="13">
          <cell r="B13" t="str">
            <v>Apples</v>
          </cell>
          <cell r="C13">
            <v>0.38576831208003715</v>
          </cell>
          <cell r="D13">
            <v>4.0000000000000036E-2</v>
          </cell>
          <cell r="E13">
            <v>0.19795357589275453</v>
          </cell>
          <cell r="F13">
            <v>5574.8084801006635</v>
          </cell>
          <cell r="G13">
            <v>0.12991441499833714</v>
          </cell>
          <cell r="H13">
            <v>2.4092707207268881E-2</v>
          </cell>
          <cell r="L13" t="str">
            <v>Potatoes</v>
          </cell>
          <cell r="M13">
            <v>18650.08315859249</v>
          </cell>
          <cell r="N13">
            <v>0.1639797947108291</v>
          </cell>
          <cell r="O13">
            <v>8.0600256409718268E-2</v>
          </cell>
        </row>
        <row r="14">
          <cell r="B14" t="str">
            <v>Bananas</v>
          </cell>
          <cell r="C14">
            <v>0.59505151427122105</v>
          </cell>
          <cell r="D14">
            <v>0</v>
          </cell>
          <cell r="E14">
            <v>0</v>
          </cell>
          <cell r="F14">
            <v>4705.282186188937</v>
          </cell>
          <cell r="G14">
            <v>0.10965111802545632</v>
          </cell>
          <cell r="H14">
            <v>2.0334866470135868E-2</v>
          </cell>
          <cell r="L14" t="str">
            <v>Tomatoes</v>
          </cell>
          <cell r="M14">
            <v>18294.482555563023</v>
          </cell>
          <cell r="N14">
            <v>0.16085319664754091</v>
          </cell>
          <cell r="O14">
            <v>7.9063453622304394E-2</v>
          </cell>
        </row>
        <row r="15">
          <cell r="B15" t="str">
            <v>Berries</v>
          </cell>
          <cell r="C15">
            <v>0.37964703318124116</v>
          </cell>
          <cell r="F15">
            <v>1666.6015986823209</v>
          </cell>
          <cell r="G15">
            <v>3.8838208074943155E-2</v>
          </cell>
          <cell r="H15">
            <v>7.2025692885317478E-3</v>
          </cell>
          <cell r="L15" t="str">
            <v>Beef</v>
          </cell>
          <cell r="M15">
            <v>12777.237868011462</v>
          </cell>
          <cell r="N15">
            <v>0.56737233424788613</v>
          </cell>
          <cell r="O15">
            <v>5.5219520449977862E-2</v>
          </cell>
        </row>
        <row r="16">
          <cell r="B16" t="str">
            <v>Melons</v>
          </cell>
          <cell r="C16">
            <v>0.79977943254883621</v>
          </cell>
          <cell r="D16">
            <v>9.2143966660352294E-2</v>
          </cell>
          <cell r="E16">
            <v>9.2143966660352294E-2</v>
          </cell>
          <cell r="F16">
            <v>6312.5235661362058</v>
          </cell>
          <cell r="G16">
            <v>0.14710600537850119</v>
          </cell>
          <cell r="H16">
            <v>2.7280898090181249E-2</v>
          </cell>
          <cell r="L16" t="str">
            <v>Chicken</v>
          </cell>
          <cell r="M16">
            <v>15134.160152193233</v>
          </cell>
          <cell r="N16">
            <v>0.85602531687258598</v>
          </cell>
          <cell r="O16">
            <v>6.540545575264739E-2</v>
          </cell>
        </row>
        <row r="17">
          <cell r="B17" t="str">
            <v>Other noncitrus</v>
          </cell>
          <cell r="C17">
            <v>0.56054893709545495</v>
          </cell>
          <cell r="F17">
            <v>10427.523777212638</v>
          </cell>
          <cell r="G17">
            <v>0.24300128986195585</v>
          </cell>
          <cell r="H17">
            <v>4.5064736870867747E-2</v>
          </cell>
          <cell r="L17" t="str">
            <v>Dairy</v>
          </cell>
          <cell r="M17">
            <v>24419.721001919137</v>
          </cell>
          <cell r="N17">
            <v>1</v>
          </cell>
          <cell r="O17">
            <v>0.10553495968202461</v>
          </cell>
        </row>
        <row r="18">
          <cell r="B18" t="str">
            <v>Total</v>
          </cell>
          <cell r="C18">
            <v>0.58352804861743823</v>
          </cell>
          <cell r="F18">
            <v>70822.638926134197</v>
          </cell>
          <cell r="G18">
            <v>1</v>
          </cell>
          <cell r="H18">
            <v>0.3060749278444565</v>
          </cell>
          <cell r="L18" t="str">
            <v>Total</v>
          </cell>
          <cell r="M18">
            <v>138091.06130770303</v>
          </cell>
          <cell r="O18">
            <v>0.59678956145367545</v>
          </cell>
        </row>
        <row r="19">
          <cell r="B19" t="str">
            <v>Potatoes</v>
          </cell>
          <cell r="C19">
            <v>0.5399712356999824</v>
          </cell>
          <cell r="D19">
            <v>4.0000000000000036E-2</v>
          </cell>
          <cell r="E19">
            <v>0.42191392305772468</v>
          </cell>
          <cell r="F19">
            <v>18650.08315859249</v>
          </cell>
          <cell r="G19">
            <v>0.26333504994136048</v>
          </cell>
          <cell r="H19">
            <v>8.0600256409718268E-2</v>
          </cell>
        </row>
        <row r="20">
          <cell r="B20" t="str">
            <v>Tomatoes</v>
          </cell>
          <cell r="C20">
            <v>0.6447866407805527</v>
          </cell>
          <cell r="D20">
            <v>0.15000000000000002</v>
          </cell>
          <cell r="E20">
            <v>0.49011691468881302</v>
          </cell>
          <cell r="F20">
            <v>18294.482555563023</v>
          </cell>
          <cell r="G20">
            <v>0.25831404806369329</v>
          </cell>
          <cell r="H20">
            <v>7.9063453622304394E-2</v>
          </cell>
          <cell r="L20" t="str">
            <v>WARM Non-Meat Weighted Shares</v>
          </cell>
        </row>
        <row r="21">
          <cell r="B21" t="str">
            <v>Onions</v>
          </cell>
          <cell r="C21">
            <v>0.62285276647278154</v>
          </cell>
          <cell r="F21">
            <v>4116.4624395846522</v>
          </cell>
          <cell r="G21">
            <v>5.812353933716017E-2</v>
          </cell>
          <cell r="H21">
            <v>1.7790158108685731E-2</v>
          </cell>
          <cell r="M21" t="str">
            <v>Total Losses (Millions of Lbs)</v>
          </cell>
          <cell r="N21" t="str">
            <v>Share in WARM</v>
          </cell>
        </row>
        <row r="22">
          <cell r="B22" t="str">
            <v>Lettuce, spinach, and other greens</v>
          </cell>
          <cell r="C22">
            <v>0.53913282123095008</v>
          </cell>
          <cell r="F22">
            <v>5219.1457825562957</v>
          </cell>
          <cell r="G22">
            <v>7.3693184293792013E-2</v>
          </cell>
          <cell r="H22">
            <v>2.2555636065350628E-2</v>
          </cell>
          <cell r="L22" t="str">
            <v>Grain</v>
          </cell>
          <cell r="M22">
            <v>18022.507184961611</v>
          </cell>
          <cell r="N22">
            <v>0.16357380887917955</v>
          </cell>
        </row>
        <row r="23">
          <cell r="B23" t="str">
            <v>Corn</v>
          </cell>
          <cell r="C23">
            <v>0.75257209961588201</v>
          </cell>
          <cell r="F23">
            <v>5723.1658019908382</v>
          </cell>
          <cell r="G23">
            <v>8.0809835509799643E-2</v>
          </cell>
          <cell r="H23">
            <v>2.4733864572784328E-2</v>
          </cell>
          <cell r="L23" t="str">
            <v>Fruit and Vegetables</v>
          </cell>
          <cell r="M23">
            <v>67737.4351006176</v>
          </cell>
          <cell r="N23">
            <v>0.61479072525268375</v>
          </cell>
        </row>
        <row r="24">
          <cell r="B24" t="str">
            <v>Legumes</v>
          </cell>
          <cell r="C24">
            <v>0.3329726369148942</v>
          </cell>
          <cell r="F24">
            <v>2004.7618813229483</v>
          </cell>
          <cell r="G24">
            <v>2.8306794433540557E-2</v>
          </cell>
          <cell r="H24">
            <v>8.6640000637537903E-3</v>
          </cell>
          <cell r="L24" t="str">
            <v>Dairy</v>
          </cell>
          <cell r="M24">
            <v>24419.721001919137</v>
          </cell>
          <cell r="N24">
            <v>0.22163546586813673</v>
          </cell>
        </row>
        <row r="25">
          <cell r="B25" t="str">
            <v>Other vegetables</v>
          </cell>
          <cell r="C25">
            <v>0.5891055730647734</v>
          </cell>
          <cell r="F25">
            <v>16814.537306523929</v>
          </cell>
          <cell r="G25">
            <v>0.23741754842065355</v>
          </cell>
          <cell r="H25">
            <v>7.2667559001859297E-2</v>
          </cell>
          <cell r="L25" t="str">
            <v>Non-Meat Total</v>
          </cell>
          <cell r="M25">
            <v>110179.66328749835</v>
          </cell>
          <cell r="N25">
            <v>1</v>
          </cell>
        </row>
        <row r="26">
          <cell r="B26" t="str">
            <v>Total</v>
          </cell>
          <cell r="F26">
            <v>113734.03163164743</v>
          </cell>
          <cell r="G26">
            <v>1</v>
          </cell>
          <cell r="H26">
            <v>0.49152553552011174</v>
          </cell>
        </row>
        <row r="27">
          <cell r="B27" t="str">
            <v>Potatoes</v>
          </cell>
          <cell r="C27">
            <v>0.5399712356999824</v>
          </cell>
          <cell r="F27">
            <v>18650.08315859249</v>
          </cell>
          <cell r="G27">
            <v>0.1639797947108291</v>
          </cell>
          <cell r="H27">
            <v>8.0600256409718268E-2</v>
          </cell>
          <cell r="L27" t="str">
            <v>WARM Food Weighted Shares</v>
          </cell>
        </row>
        <row r="28">
          <cell r="B28" t="str">
            <v>Tomatoes</v>
          </cell>
          <cell r="C28">
            <v>0.6447866407805527</v>
          </cell>
          <cell r="F28">
            <v>18294.482555563023</v>
          </cell>
          <cell r="G28">
            <v>0.16085319664754091</v>
          </cell>
          <cell r="H28">
            <v>7.9063453622304394E-2</v>
          </cell>
          <cell r="M28" t="str">
            <v>Total Losses (Millions of Lbs)</v>
          </cell>
          <cell r="N28" t="str">
            <v>Share in WARM</v>
          </cell>
        </row>
        <row r="29">
          <cell r="B29" t="str">
            <v>Citrus</v>
          </cell>
          <cell r="C29">
            <v>0.5371636519865618</v>
          </cell>
          <cell r="F29">
            <v>14200.255154036282</v>
          </cell>
          <cell r="G29">
            <v>0.12485493524072828</v>
          </cell>
          <cell r="H29">
            <v>6.1369388906527843E-2</v>
          </cell>
          <cell r="L29" t="str">
            <v>Beef</v>
          </cell>
          <cell r="M29">
            <v>12777.237868011462</v>
          </cell>
          <cell r="N29">
            <v>9.2527624503807901E-2</v>
          </cell>
        </row>
        <row r="30">
          <cell r="B30" t="str">
            <v>Melons</v>
          </cell>
          <cell r="C30">
            <v>0.79977943254883621</v>
          </cell>
          <cell r="F30">
            <v>6312.5235661362058</v>
          </cell>
          <cell r="G30">
            <v>5.5502504180812789E-2</v>
          </cell>
          <cell r="H30">
            <v>2.7280898090181249E-2</v>
          </cell>
          <cell r="L30" t="str">
            <v>Poultry</v>
          </cell>
          <cell r="M30">
            <v>15134.160152193233</v>
          </cell>
          <cell r="N30">
            <v>0.10959550899873499</v>
          </cell>
        </row>
        <row r="31">
          <cell r="B31" t="str">
            <v>Apples</v>
          </cell>
          <cell r="C31">
            <v>0.38576831208003715</v>
          </cell>
          <cell r="F31">
            <v>5574.8084801006635</v>
          </cell>
          <cell r="G31">
            <v>4.901618627356763E-2</v>
          </cell>
          <cell r="H31">
            <v>2.4092707207268881E-2</v>
          </cell>
          <cell r="L31" t="str">
            <v>Grain</v>
          </cell>
          <cell r="M31">
            <v>18022.507184961611</v>
          </cell>
          <cell r="N31">
            <v>0.13051175806957371</v>
          </cell>
        </row>
        <row r="32">
          <cell r="B32" t="str">
            <v>Bananas</v>
          </cell>
          <cell r="C32">
            <v>0.59505151427122105</v>
          </cell>
          <cell r="F32">
            <v>4705.282186188937</v>
          </cell>
          <cell r="G32">
            <v>4.1370925823046738E-2</v>
          </cell>
          <cell r="H32">
            <v>2.0334866470135868E-2</v>
          </cell>
          <cell r="L32" t="str">
            <v>Fruit and Vegetables</v>
          </cell>
          <cell r="M32">
            <v>67737.4351006176</v>
          </cell>
          <cell r="N32">
            <v>0.4905272974163104</v>
          </cell>
        </row>
        <row r="33">
          <cell r="B33" t="str">
            <v>Total modeled in WARM</v>
          </cell>
          <cell r="F33">
            <v>67737.4351006176</v>
          </cell>
          <cell r="G33">
            <v>0.59557754287652542</v>
          </cell>
          <cell r="H33">
            <v>0.29274157070613654</v>
          </cell>
          <cell r="L33" t="str">
            <v>Dairy</v>
          </cell>
          <cell r="M33">
            <v>24419.721001919137</v>
          </cell>
          <cell r="N33">
            <v>0.17683781101157306</v>
          </cell>
        </row>
        <row r="34">
          <cell r="B34" t="str">
            <v>Other vegetables</v>
          </cell>
          <cell r="C34">
            <v>0.5891055730647734</v>
          </cell>
          <cell r="F34">
            <v>16814.537306523929</v>
          </cell>
          <cell r="G34">
            <v>0.14784086227578294</v>
          </cell>
          <cell r="H34">
            <v>7.2667559001859297E-2</v>
          </cell>
          <cell r="L34" t="str">
            <v>Total</v>
          </cell>
          <cell r="M34">
            <v>138091.06130770303</v>
          </cell>
          <cell r="N34">
            <v>1</v>
          </cell>
        </row>
        <row r="35">
          <cell r="B35" t="str">
            <v>Other noncitrus</v>
          </cell>
          <cell r="C35">
            <v>0.56054893709545495</v>
          </cell>
          <cell r="F35">
            <v>10427.523777212638</v>
          </cell>
          <cell r="G35">
            <v>9.1683409333315966E-2</v>
          </cell>
          <cell r="H35">
            <v>4.5064736870867747E-2</v>
          </cell>
          <cell r="N35">
            <v>1.0000000000000002</v>
          </cell>
        </row>
        <row r="36">
          <cell r="B36" t="str">
            <v>Corn</v>
          </cell>
          <cell r="C36">
            <v>0.75257209961588201</v>
          </cell>
          <cell r="F36">
            <v>5723.1658019908382</v>
          </cell>
          <cell r="G36">
            <v>5.0320609582596737E-2</v>
          </cell>
          <cell r="H36">
            <v>2.4733864572784328E-2</v>
          </cell>
        </row>
        <row r="37">
          <cell r="B37" t="str">
            <v>Lettuce, spinach, and other greens</v>
          </cell>
          <cell r="C37">
            <v>0.53913282123095008</v>
          </cell>
          <cell r="F37">
            <v>5219.1457825562957</v>
          </cell>
          <cell r="G37">
            <v>4.5889042247791251E-2</v>
          </cell>
          <cell r="H37">
            <v>2.2555636065350628E-2</v>
          </cell>
          <cell r="L37" t="str">
            <v>WARM Meat-Only Weighted Shares</v>
          </cell>
        </row>
        <row r="38">
          <cell r="B38" t="str">
            <v>Onions</v>
          </cell>
          <cell r="C38">
            <v>0.62285276647278154</v>
          </cell>
          <cell r="F38">
            <v>4116.4624395846522</v>
          </cell>
          <cell r="G38">
            <v>3.6193761713439625E-2</v>
          </cell>
          <cell r="H38">
            <v>1.7790158108685731E-2</v>
          </cell>
          <cell r="M38" t="str">
            <v>Total Losses (Millions of Lbs)</v>
          </cell>
          <cell r="N38" t="str">
            <v>Share in WARM</v>
          </cell>
        </row>
        <row r="39">
          <cell r="B39" t="str">
            <v>Legumes</v>
          </cell>
          <cell r="C39">
            <v>0.3329726369148942</v>
          </cell>
          <cell r="F39">
            <v>2004.7618813229483</v>
          </cell>
          <cell r="G39">
            <v>1.762675474141116E-2</v>
          </cell>
          <cell r="H39">
            <v>8.6640000637537903E-3</v>
          </cell>
          <cell r="L39" t="str">
            <v>Beef</v>
          </cell>
          <cell r="M39">
            <v>12777.237868011462</v>
          </cell>
          <cell r="N39">
            <v>0.45777849818780797</v>
          </cell>
        </row>
        <row r="40">
          <cell r="B40" t="str">
            <v>Berries</v>
          </cell>
          <cell r="C40">
            <v>0.37964703318124116</v>
          </cell>
          <cell r="F40">
            <v>1666.6015986823209</v>
          </cell>
          <cell r="G40">
            <v>1.4653499702533847E-2</v>
          </cell>
          <cell r="H40">
            <v>7.2025692885317478E-3</v>
          </cell>
          <cell r="L40" t="str">
            <v>Poultry</v>
          </cell>
          <cell r="M40">
            <v>15134.160152193233</v>
          </cell>
          <cell r="N40">
            <v>0.54222150181219209</v>
          </cell>
        </row>
        <row r="41">
          <cell r="B41" t="str">
            <v>Total</v>
          </cell>
          <cell r="C41">
            <v>0.49573148796144417</v>
          </cell>
          <cell r="F41">
            <v>22520.022737712585</v>
          </cell>
          <cell r="G41">
            <v>1</v>
          </cell>
          <cell r="H41">
            <v>9.7325014134108864E-2</v>
          </cell>
          <cell r="L41" t="str">
            <v>Meat-Only Total</v>
          </cell>
          <cell r="M41">
            <v>27911.398020204695</v>
          </cell>
          <cell r="N41">
            <v>1</v>
          </cell>
        </row>
        <row r="42">
          <cell r="B42" t="str">
            <v>Beef</v>
          </cell>
          <cell r="C42">
            <v>0.48805211014222272</v>
          </cell>
          <cell r="F42">
            <v>12777.237868011462</v>
          </cell>
          <cell r="G42">
            <v>0.56737233424788613</v>
          </cell>
          <cell r="H42">
            <v>5.5219520449977862E-2</v>
          </cell>
        </row>
        <row r="43">
          <cell r="B43" t="str">
            <v>Pork</v>
          </cell>
          <cell r="C43">
            <v>0.50495934843875212</v>
          </cell>
          <cell r="F43">
            <v>9484.3209117998867</v>
          </cell>
          <cell r="G43">
            <v>0.42115059217578893</v>
          </cell>
          <cell r="H43">
            <v>4.0988487336096981E-2</v>
          </cell>
        </row>
        <row r="44">
          <cell r="B44" t="str">
            <v>Lamb</v>
          </cell>
          <cell r="C44">
            <v>0.53834476404349185</v>
          </cell>
          <cell r="F44">
            <v>170.29722469764206</v>
          </cell>
          <cell r="G44">
            <v>7.5620360903303234E-3</v>
          </cell>
          <cell r="H44">
            <v>7.3597526937404015E-4</v>
          </cell>
        </row>
        <row r="45">
          <cell r="B45" t="str">
            <v>Veal</v>
          </cell>
          <cell r="C45">
            <v>0.59126653063548229</v>
          </cell>
          <cell r="F45">
            <v>88.16673320360141</v>
          </cell>
          <cell r="G45">
            <v>3.9150374859948621E-3</v>
          </cell>
          <cell r="H45">
            <v>3.8103107866001599E-4</v>
          </cell>
        </row>
        <row r="46">
          <cell r="B46" t="str">
            <v>Total</v>
          </cell>
          <cell r="C46">
            <v>0.50799061948355606</v>
          </cell>
          <cell r="F46">
            <v>17679.57074854348</v>
          </cell>
          <cell r="G46">
            <v>1</v>
          </cell>
          <cell r="H46">
            <v>7.6405982934711014E-2</v>
          </cell>
        </row>
        <row r="47">
          <cell r="B47" t="str">
            <v>Chicken</v>
          </cell>
          <cell r="C47">
            <v>0.50862139652308491</v>
          </cell>
          <cell r="F47">
            <v>15134.160152193233</v>
          </cell>
          <cell r="G47">
            <v>0.85602531687258598</v>
          </cell>
          <cell r="H47">
            <v>6.540545575264739E-2</v>
          </cell>
        </row>
        <row r="48">
          <cell r="B48" t="str">
            <v>Turkey</v>
          </cell>
          <cell r="C48">
            <v>0.50427229882115943</v>
          </cell>
          <cell r="F48">
            <v>2545.4105963502466</v>
          </cell>
          <cell r="G48">
            <v>0.1439746831274141</v>
          </cell>
          <cell r="H48">
            <v>1.1000527182063628E-2</v>
          </cell>
        </row>
        <row r="49">
          <cell r="B49" t="str">
            <v>Total</v>
          </cell>
          <cell r="C49">
            <v>0.31238309497720407</v>
          </cell>
          <cell r="F49">
            <v>24419.721001919137</v>
          </cell>
          <cell r="G49">
            <v>1</v>
          </cell>
          <cell r="H49">
            <v>0.10553495968202461</v>
          </cell>
        </row>
        <row r="50">
          <cell r="B50" t="str">
            <v>Fluid milk</v>
          </cell>
          <cell r="C50">
            <v>0.31555612234272018</v>
          </cell>
          <cell r="F50">
            <v>16937.523366740901</v>
          </cell>
          <cell r="G50">
            <v>0.69360019983069365</v>
          </cell>
          <cell r="H50">
            <v>7.319906912457648E-2</v>
          </cell>
        </row>
        <row r="51">
          <cell r="B51" t="str">
            <v>Other dairy products</v>
          </cell>
          <cell r="C51">
            <v>0.35100859026789982</v>
          </cell>
          <cell r="F51">
            <v>1387.4497590746453</v>
          </cell>
          <cell r="G51">
            <v>5.6816773580894153E-2</v>
          </cell>
          <cell r="H51">
            <v>5.9961559091223854E-3</v>
          </cell>
        </row>
        <row r="52">
          <cell r="B52" t="str">
            <v>Cheese</v>
          </cell>
          <cell r="C52">
            <v>0.27737403155778395</v>
          </cell>
          <cell r="F52">
            <v>2669.4636592750867</v>
          </cell>
          <cell r="G52">
            <v>0.10931589509418616</v>
          </cell>
          <cell r="H52">
            <v>1.1536648581369368E-2</v>
          </cell>
        </row>
        <row r="53">
          <cell r="B53" t="str">
            <v>Yogurt</v>
          </cell>
          <cell r="C53">
            <v>0.30480000000000002</v>
          </cell>
          <cell r="F53">
            <v>1271.9205007035434</v>
          </cell>
          <cell r="G53">
            <v>5.2085791668282519E-2</v>
          </cell>
          <cell r="H53">
            <v>5.4968719237185291E-3</v>
          </cell>
        </row>
        <row r="54">
          <cell r="A54" t="str">
            <v>Other Foods</v>
          </cell>
          <cell r="B54" t="str">
            <v>Total</v>
          </cell>
          <cell r="F54">
            <v>34275.711275816822</v>
          </cell>
          <cell r="G54">
            <v>1</v>
          </cell>
          <cell r="H54">
            <v>0.1481296943270467</v>
          </cell>
        </row>
        <row r="55">
          <cell r="A55" t="str">
            <v>Not Modeled in WARM</v>
          </cell>
          <cell r="B55" t="str">
            <v>Eggs</v>
          </cell>
          <cell r="C55">
            <v>0.41737250000000004</v>
          </cell>
          <cell r="F55">
            <v>4144.6580346078108</v>
          </cell>
          <cell r="G55">
            <v>0.12092113862366638</v>
          </cell>
          <cell r="H55">
            <v>1.7912011302002144E-2</v>
          </cell>
        </row>
        <row r="56">
          <cell r="B56" t="str">
            <v>Fish and shellfish</v>
          </cell>
          <cell r="C56">
            <v>0.3984870304109881</v>
          </cell>
          <cell r="F56">
            <v>1941.1200950391219</v>
          </cell>
          <cell r="G56">
            <v>5.6632525563624886E-2</v>
          </cell>
          <cell r="H56">
            <v>8.3889587007084133E-3</v>
          </cell>
        </row>
        <row r="57">
          <cell r="B57" t="str">
            <v>Peanuts, tree nuts, and coconut</v>
          </cell>
          <cell r="C57">
            <v>0.1554848485336848</v>
          </cell>
          <cell r="F57">
            <v>553.67033596447664</v>
          </cell>
          <cell r="G57">
            <v>1.6153430967751146E-2</v>
          </cell>
          <cell r="H57">
            <v>2.3928027915860279E-3</v>
          </cell>
        </row>
        <row r="58">
          <cell r="B58" t="str">
            <v>Caloric Sweeteners</v>
          </cell>
          <cell r="C58">
            <v>0.4106764961202054</v>
          </cell>
          <cell r="F58">
            <v>16689.905133648965</v>
          </cell>
          <cell r="G58">
            <v>0.48693096400962227</v>
          </cell>
          <cell r="H58">
            <v>7.2128934857119534E-2</v>
          </cell>
        </row>
        <row r="59">
          <cell r="B59" t="str">
            <v>Added fats and oils</v>
          </cell>
          <cell r="C59">
            <v>0.38327744593499247</v>
          </cell>
          <cell r="F59">
            <v>9916.800305684932</v>
          </cell>
          <cell r="G59">
            <v>0.28932442060456132</v>
          </cell>
          <cell r="H59">
            <v>4.2857537985503569E-2</v>
          </cell>
        </row>
        <row r="60">
          <cell r="B60" t="str">
            <v>Dairy fats</v>
          </cell>
          <cell r="C60">
            <v>0.23086357195390833</v>
          </cell>
          <cell r="F60">
            <v>1029.5573708715187</v>
          </cell>
          <cell r="G60">
            <v>3.0037520230774072E-2</v>
          </cell>
          <cell r="H60">
            <v>4.4494486901270449E-3</v>
          </cell>
        </row>
        <row r="61">
          <cell r="A61" t="str">
            <v>Total</v>
          </cell>
          <cell r="F61">
            <v>231389.87379627966</v>
          </cell>
        </row>
        <row r="62">
          <cell r="A62" t="str">
            <v>Source: USDA. 2012. “Food Availability (per Capita) Data System – 2010”. U.S. Department of Agriculture Economic Research Service. Retrieved from: http://www.ers.usda.gov/data-products/food-availability-(per-capita)-data-system.aspx#.UqoMEtJDvy4.</v>
          </cell>
        </row>
        <row r="64">
          <cell r="A64" t="str">
            <v>U.S. Population - 2010</v>
          </cell>
          <cell r="B64">
            <v>308745538</v>
          </cell>
        </row>
      </sheetData>
      <sheetData sheetId="9" refreshError="1">
        <row r="8">
          <cell r="B8" t="str">
            <v>Process Energy Per Ton Made from Virgin Inputs</v>
          </cell>
          <cell r="C8" t="str">
            <v>Gasoline</v>
          </cell>
          <cell r="D8" t="str">
            <v>LPG</v>
          </cell>
          <cell r="E8" t="str">
            <v>Distillate Fuel</v>
          </cell>
          <cell r="F8" t="str">
            <v>Residual Fuel</v>
          </cell>
          <cell r="G8" t="str">
            <v>Biomass/ Hydro</v>
          </cell>
          <cell r="H8" t="str">
            <v>Diesel</v>
          </cell>
          <cell r="I8" t="str">
            <v>Electricity</v>
          </cell>
          <cell r="J8" t="str">
            <v>Coal</v>
          </cell>
          <cell r="K8" t="str">
            <v>Natural Gas</v>
          </cell>
          <cell r="L8" t="str">
            <v>Nuclear</v>
          </cell>
          <cell r="M8" t="str">
            <v>Other</v>
          </cell>
          <cell r="N8" t="str">
            <v>Total</v>
          </cell>
        </row>
        <row r="9">
          <cell r="B9" t="str">
            <v>(Million BTUs)</v>
          </cell>
          <cell r="C9" t="str">
            <v>%</v>
          </cell>
          <cell r="D9" t="str">
            <v>%</v>
          </cell>
          <cell r="E9" t="str">
            <v>%</v>
          </cell>
          <cell r="F9" t="str">
            <v>%</v>
          </cell>
          <cell r="G9" t="str">
            <v>%</v>
          </cell>
          <cell r="H9" t="str">
            <v>%</v>
          </cell>
          <cell r="I9" t="str">
            <v>%</v>
          </cell>
          <cell r="J9" t="str">
            <v>%</v>
          </cell>
          <cell r="K9" t="str">
            <v>%</v>
          </cell>
          <cell r="L9" t="str">
            <v>%</v>
          </cell>
          <cell r="M9" t="str">
            <v>%</v>
          </cell>
          <cell r="N9" t="str">
            <v>%</v>
          </cell>
        </row>
        <row r="10">
          <cell r="B10">
            <v>22.802060027575713</v>
          </cell>
          <cell r="C10">
            <v>19.459811115911265</v>
          </cell>
          <cell r="D10">
            <v>11.519057925379974</v>
          </cell>
          <cell r="E10">
            <v>0</v>
          </cell>
          <cell r="F10">
            <v>0</v>
          </cell>
          <cell r="G10">
            <v>1.2394300337903092</v>
          </cell>
          <cell r="H10">
            <v>1.2132759754099554</v>
          </cell>
          <cell r="I10">
            <v>23.709855127868469</v>
          </cell>
          <cell r="J10">
            <v>11.287128689768723</v>
          </cell>
          <cell r="K10">
            <v>25.081959204777711</v>
          </cell>
          <cell r="L10">
            <v>6.4574857817853282</v>
          </cell>
          <cell r="M10">
            <v>3.199614530826296E-2</v>
          </cell>
          <cell r="N10">
            <v>99.999999999999986</v>
          </cell>
        </row>
        <row r="13">
          <cell r="B13" t="str">
            <v>Process Energy Per Ton Made from Virgin Inputs (Million BTUs)</v>
          </cell>
          <cell r="C13" t="str">
            <v>Gasoline</v>
          </cell>
          <cell r="D13" t="str">
            <v>LPG</v>
          </cell>
          <cell r="E13" t="str">
            <v>Distillate Fuel</v>
          </cell>
          <cell r="F13" t="str">
            <v>Residual Fuel</v>
          </cell>
          <cell r="G13" t="str">
            <v>Biomass/ Hydro</v>
          </cell>
          <cell r="H13" t="str">
            <v>Diesel</v>
          </cell>
          <cell r="I13" t="str">
            <v>Electricity</v>
          </cell>
          <cell r="J13" t="str">
            <v>Coal</v>
          </cell>
          <cell r="K13" t="str">
            <v>Natural Gas</v>
          </cell>
          <cell r="L13" t="str">
            <v>Nuclear</v>
          </cell>
          <cell r="M13" t="str">
            <v>Other</v>
          </cell>
          <cell r="N13" t="str">
            <v>check</v>
          </cell>
        </row>
        <row r="14">
          <cell r="B14">
            <v>3.6784294895421543</v>
          </cell>
          <cell r="C14">
            <v>1.1905216860398655</v>
          </cell>
          <cell r="D14">
            <v>0</v>
          </cell>
          <cell r="E14">
            <v>0</v>
          </cell>
          <cell r="F14">
            <v>7.0445890369430003E-3</v>
          </cell>
          <cell r="G14">
            <v>1.7706009447355253E-3</v>
          </cell>
          <cell r="H14">
            <v>2.3284970317845164</v>
          </cell>
          <cell r="I14">
            <v>0</v>
          </cell>
          <cell r="J14">
            <v>2.6099491595930811E-2</v>
          </cell>
          <cell r="K14">
            <v>0.11073988572581535</v>
          </cell>
          <cell r="L14">
            <v>1.3692934520663997E-2</v>
          </cell>
          <cell r="M14">
            <v>6.326989368381641E-5</v>
          </cell>
          <cell r="N14">
            <v>0</v>
          </cell>
        </row>
        <row r="17">
          <cell r="B17" t="str">
            <v>Process Energy Per Ton Made from Virgin Inputs</v>
          </cell>
          <cell r="C17" t="str">
            <v>Gasoline</v>
          </cell>
          <cell r="D17" t="str">
            <v>LPG</v>
          </cell>
          <cell r="E17" t="str">
            <v>Distillate Fuel</v>
          </cell>
          <cell r="F17" t="str">
            <v>Residual Fuel</v>
          </cell>
          <cell r="G17" t="str">
            <v>Biomass/ Hydro</v>
          </cell>
          <cell r="H17" t="str">
            <v>Diesel</v>
          </cell>
          <cell r="I17" t="str">
            <v>Electricity</v>
          </cell>
          <cell r="J17" t="str">
            <v>Coal</v>
          </cell>
          <cell r="K17" t="str">
            <v>Natural Gas</v>
          </cell>
          <cell r="L17" t="str">
            <v>Nuclear</v>
          </cell>
          <cell r="M17" t="str">
            <v>Other</v>
          </cell>
          <cell r="N17" t="str">
            <v>Total</v>
          </cell>
        </row>
        <row r="18">
          <cell r="B18" t="str">
            <v>(Million BTUs)</v>
          </cell>
          <cell r="C18" t="str">
            <v>%</v>
          </cell>
          <cell r="D18" t="str">
            <v>%</v>
          </cell>
          <cell r="E18" t="str">
            <v>%</v>
          </cell>
          <cell r="F18" t="str">
            <v>%</v>
          </cell>
          <cell r="G18" t="str">
            <v>%</v>
          </cell>
          <cell r="H18" t="str">
            <v>%</v>
          </cell>
          <cell r="I18" t="str">
            <v>%</v>
          </cell>
          <cell r="J18" t="str">
            <v>%</v>
          </cell>
          <cell r="K18" t="str">
            <v>%</v>
          </cell>
          <cell r="L18" t="str">
            <v>%</v>
          </cell>
          <cell r="M18" t="str">
            <v>%</v>
          </cell>
          <cell r="N18" t="str">
            <v>%</v>
          </cell>
        </row>
        <row r="19">
          <cell r="B19">
            <v>3.6784294895421543</v>
          </cell>
          <cell r="C19">
            <v>32.364945132822079</v>
          </cell>
          <cell r="D19">
            <v>0</v>
          </cell>
          <cell r="E19">
            <v>0</v>
          </cell>
          <cell r="F19">
            <v>0.19151078080933459</v>
          </cell>
          <cell r="G19">
            <v>4.8134698511127581E-2</v>
          </cell>
          <cell r="H19">
            <v>63.301390944273315</v>
          </cell>
          <cell r="I19">
            <v>0</v>
          </cell>
          <cell r="J19">
            <v>0.70952811981668173</v>
          </cell>
          <cell r="K19">
            <v>3.0105208225589473</v>
          </cell>
          <cell r="L19">
            <v>0.37224947656583529</v>
          </cell>
          <cell r="M19">
            <v>1.7200246426822623E-3</v>
          </cell>
          <cell r="N19">
            <v>100</v>
          </cell>
        </row>
        <row r="23">
          <cell r="B23" t="str">
            <v>CO2 Emissions (MT/Ton)</v>
          </cell>
          <cell r="C23" t="str">
            <v>CH4 Emissions (MT/Ton)</v>
          </cell>
          <cell r="D23" t="str">
            <v>CF4 Emissions (MT/Ton)</v>
          </cell>
          <cell r="E23" t="str">
            <v>C2F6 Emissions (MT/Ton)</v>
          </cell>
          <cell r="F23" t="str">
            <v>N2O Emissions (MT/Ton)</v>
          </cell>
        </row>
        <row r="24">
          <cell r="B24">
            <v>5.4249589543682149E-2</v>
          </cell>
          <cell r="C24">
            <v>1.7002225703258154E-3</v>
          </cell>
          <cell r="F24">
            <v>2.5501085437131762E-3</v>
          </cell>
        </row>
        <row r="25">
          <cell r="B25">
            <v>1.3743377373134412E-2</v>
          </cell>
          <cell r="F25">
            <v>3.9847655607571712E-6</v>
          </cell>
        </row>
        <row r="30">
          <cell r="B30" t="str">
            <v>Gasoline</v>
          </cell>
          <cell r="C30" t="str">
            <v>Diesel</v>
          </cell>
          <cell r="D30" t="str">
            <v>Residual Fuel</v>
          </cell>
          <cell r="E30" t="str">
            <v>LPG</v>
          </cell>
          <cell r="F30" t="str">
            <v>Electricity</v>
          </cell>
          <cell r="G30" t="str">
            <v>Biomass/ Hydro</v>
          </cell>
          <cell r="H30" t="str">
            <v>Coal</v>
          </cell>
          <cell r="I30" t="str">
            <v>Natural Gas</v>
          </cell>
          <cell r="J30" t="str">
            <v>Nuclear</v>
          </cell>
          <cell r="K30" t="str">
            <v>Other</v>
          </cell>
          <cell r="L30" t="str">
            <v>Total</v>
          </cell>
          <cell r="N30" t="str">
            <v>Constants</v>
          </cell>
        </row>
        <row r="31">
          <cell r="B31" t="str">
            <v>MJ/kg</v>
          </cell>
          <cell r="C31" t="str">
            <v>MJ/kg</v>
          </cell>
          <cell r="D31" t="str">
            <v>MJ/kg</v>
          </cell>
          <cell r="E31" t="str">
            <v>MJ/kg</v>
          </cell>
          <cell r="F31" t="str">
            <v>MJ/kg</v>
          </cell>
          <cell r="G31" t="str">
            <v>MJ/kg</v>
          </cell>
          <cell r="H31" t="str">
            <v>MJ/kg</v>
          </cell>
          <cell r="I31" t="str">
            <v>MJ/kg</v>
          </cell>
          <cell r="J31" t="str">
            <v>MJ/kg</v>
          </cell>
          <cell r="K31" t="str">
            <v>MJ/kg</v>
          </cell>
          <cell r="L31" t="str">
            <v>MJ/kg</v>
          </cell>
          <cell r="N31" t="str">
            <v>kg N2O/kg N2O-N</v>
          </cell>
          <cell r="O31">
            <v>1.5714285714285714</v>
          </cell>
        </row>
        <row r="32">
          <cell r="B32">
            <v>5.1605075624281262</v>
          </cell>
          <cell r="C32">
            <v>0.38281378303142594</v>
          </cell>
          <cell r="D32">
            <v>0</v>
          </cell>
          <cell r="E32">
            <v>2.0603633433183315E-2</v>
          </cell>
          <cell r="F32">
            <v>0.45777253516428518</v>
          </cell>
          <cell r="G32">
            <v>0.33038636512304398</v>
          </cell>
          <cell r="H32">
            <v>3.0109394654820094</v>
          </cell>
          <cell r="I32">
            <v>5.8412618175554964</v>
          </cell>
          <cell r="J32">
            <v>1.7220382031974093</v>
          </cell>
          <cell r="K32">
            <v>8.5301848958047027E-3</v>
          </cell>
          <cell r="L32">
            <v>16.934853550310784</v>
          </cell>
          <cell r="N32" t="str">
            <v>GWP N2O</v>
          </cell>
          <cell r="O32">
            <v>298</v>
          </cell>
        </row>
        <row r="33">
          <cell r="B33">
            <v>0</v>
          </cell>
          <cell r="C33">
            <v>-6.1067605274538694E-2</v>
          </cell>
          <cell r="D33">
            <v>0</v>
          </cell>
          <cell r="E33">
            <v>3.0341118096867459</v>
          </cell>
          <cell r="F33">
            <v>2.5553652077127089</v>
          </cell>
          <cell r="G33">
            <v>-1.7044460449243855E-3</v>
          </cell>
          <cell r="H33">
            <v>-1.7728862629589854E-2</v>
          </cell>
          <cell r="I33">
            <v>0.81017171310896274</v>
          </cell>
          <cell r="J33">
            <v>-9.5907383847581955E-3</v>
          </cell>
          <cell r="K33">
            <v>-4.5192474843673852E-5</v>
          </cell>
          <cell r="L33">
            <v>6.3095118856997621</v>
          </cell>
          <cell r="N33" t="str">
            <v>kg CO2/kg CO2-C</v>
          </cell>
          <cell r="O33">
            <v>3.6666666666666665</v>
          </cell>
        </row>
        <row r="34">
          <cell r="B34">
            <v>0</v>
          </cell>
          <cell r="C34">
            <v>0</v>
          </cell>
          <cell r="D34">
            <v>0</v>
          </cell>
          <cell r="E34">
            <v>0</v>
          </cell>
          <cell r="F34">
            <v>3.2744303102063874</v>
          </cell>
          <cell r="G34">
            <v>0</v>
          </cell>
          <cell r="H34">
            <v>0</v>
          </cell>
          <cell r="I34">
            <v>0</v>
          </cell>
          <cell r="J34">
            <v>0</v>
          </cell>
          <cell r="K34">
            <v>0</v>
          </cell>
          <cell r="L34">
            <v>3.2744303102063874</v>
          </cell>
          <cell r="N34" t="str">
            <v>Share of Nitrogen in Urea</v>
          </cell>
          <cell r="O34">
            <v>0.46666666666666667</v>
          </cell>
        </row>
        <row r="35">
          <cell r="B35">
            <v>5.1605075624281262</v>
          </cell>
          <cell r="C35">
            <v>0.32174617775688724</v>
          </cell>
          <cell r="D35">
            <v>0</v>
          </cell>
          <cell r="E35">
            <v>3.054715443119929</v>
          </cell>
          <cell r="F35">
            <v>6.2875680530833815</v>
          </cell>
          <cell r="G35">
            <v>0.32868191907811961</v>
          </cell>
          <cell r="H35">
            <v>2.9932106028524195</v>
          </cell>
          <cell r="I35">
            <v>6.651433530664459</v>
          </cell>
          <cell r="J35">
            <v>1.7124474648126511</v>
          </cell>
          <cell r="K35">
            <v>8.4849924209610284E-3</v>
          </cell>
          <cell r="L35">
            <v>26.518795746216934</v>
          </cell>
        </row>
        <row r="36">
          <cell r="B36">
            <v>0.19459811115911263</v>
          </cell>
          <cell r="C36">
            <v>1.2132759754099554E-2</v>
          </cell>
          <cell r="D36">
            <v>0</v>
          </cell>
          <cell r="E36">
            <v>0.11519057925379973</v>
          </cell>
          <cell r="F36">
            <v>0.2370985512786847</v>
          </cell>
          <cell r="G36">
            <v>1.2394300337903091E-2</v>
          </cell>
          <cell r="H36">
            <v>0.11287128689768723</v>
          </cell>
          <cell r="I36">
            <v>0.25081959204777715</v>
          </cell>
          <cell r="J36">
            <v>6.4574857817853284E-2</v>
          </cell>
          <cell r="K36">
            <v>3.1996145308262964E-4</v>
          </cell>
          <cell r="L36">
            <v>1</v>
          </cell>
        </row>
        <row r="39">
          <cell r="B39" t="str">
            <v>Gasoline</v>
          </cell>
          <cell r="C39" t="str">
            <v>Diesel</v>
          </cell>
          <cell r="D39" t="str">
            <v>Residual Fuel</v>
          </cell>
          <cell r="E39" t="str">
            <v>LPG</v>
          </cell>
          <cell r="F39" t="str">
            <v>Electricity</v>
          </cell>
          <cell r="G39" t="str">
            <v>Biomass/ Hydro</v>
          </cell>
          <cell r="H39" t="str">
            <v>Coal</v>
          </cell>
          <cell r="I39" t="str">
            <v>Natural Gas</v>
          </cell>
          <cell r="J39" t="str">
            <v>Nuclear</v>
          </cell>
          <cell r="K39" t="str">
            <v>Other</v>
          </cell>
          <cell r="L39" t="str">
            <v>Total</v>
          </cell>
        </row>
        <row r="40">
          <cell r="B40" t="str">
            <v>MJ/kg</v>
          </cell>
          <cell r="C40" t="str">
            <v>MJ/kg</v>
          </cell>
          <cell r="D40" t="str">
            <v>MJ/kg</v>
          </cell>
          <cell r="E40" t="str">
            <v>MJ/kg</v>
          </cell>
          <cell r="F40" t="str">
            <v>MJ/kg</v>
          </cell>
          <cell r="G40" t="str">
            <v>MJ/kg</v>
          </cell>
          <cell r="H40" t="str">
            <v>MJ/kg</v>
          </cell>
          <cell r="I40" t="str">
            <v>MJ/kg</v>
          </cell>
          <cell r="J40" t="str">
            <v>MJ/kg</v>
          </cell>
          <cell r="K40" t="str">
            <v>MJ/kg</v>
          </cell>
          <cell r="L40" t="str">
            <v>MJ/kg</v>
          </cell>
        </row>
        <row r="41">
          <cell r="B41">
            <v>1.3845767174260708</v>
          </cell>
          <cell r="C41">
            <v>0</v>
          </cell>
          <cell r="D41">
            <v>0</v>
          </cell>
          <cell r="E41">
            <v>0</v>
          </cell>
          <cell r="F41">
            <v>0</v>
          </cell>
          <cell r="G41">
            <v>1.077837224637579E-3</v>
          </cell>
          <cell r="H41">
            <v>1.6404530053201163E-2</v>
          </cell>
          <cell r="I41">
            <v>5.6405213678361391E-2</v>
          </cell>
          <cell r="J41">
            <v>8.0222968703293953E-3</v>
          </cell>
          <cell r="K41">
            <v>3.7932908184306312E-5</v>
          </cell>
          <cell r="L41">
            <v>1.4665245281607848</v>
          </cell>
        </row>
        <row r="42">
          <cell r="B42">
            <v>0</v>
          </cell>
          <cell r="C42">
            <v>0</v>
          </cell>
          <cell r="D42">
            <v>0</v>
          </cell>
          <cell r="E42">
            <v>0</v>
          </cell>
          <cell r="F42">
            <v>0</v>
          </cell>
          <cell r="G42">
            <v>0</v>
          </cell>
          <cell r="H42">
            <v>0</v>
          </cell>
          <cell r="I42">
            <v>0</v>
          </cell>
          <cell r="J42">
            <v>0</v>
          </cell>
          <cell r="K42">
            <v>0</v>
          </cell>
          <cell r="L42">
            <v>0</v>
          </cell>
        </row>
        <row r="43">
          <cell r="B43">
            <v>0</v>
          </cell>
          <cell r="C43">
            <v>2.7080420412405632</v>
          </cell>
          <cell r="D43">
            <v>8.1928570296195442E-3</v>
          </cell>
          <cell r="E43">
            <v>0</v>
          </cell>
          <cell r="F43">
            <v>0</v>
          </cell>
          <cell r="G43">
            <v>9.8137166897624244E-4</v>
          </cell>
          <cell r="H43">
            <v>1.3949178597489583E-2</v>
          </cell>
          <cell r="I43">
            <v>7.2385273100938868E-2</v>
          </cell>
          <cell r="J43">
            <v>7.9025859376568742E-3</v>
          </cell>
          <cell r="K43">
            <v>3.5649977987245194E-5</v>
          </cell>
          <cell r="L43">
            <v>2.8114889575532316</v>
          </cell>
        </row>
        <row r="44">
          <cell r="B44">
            <v>1.3845767174260708</v>
          </cell>
          <cell r="C44">
            <v>2.7080420412405632</v>
          </cell>
          <cell r="D44">
            <v>8.1928570296195442E-3</v>
          </cell>
          <cell r="E44">
            <v>0</v>
          </cell>
          <cell r="F44">
            <v>0</v>
          </cell>
          <cell r="G44">
            <v>2.0592088936138217E-3</v>
          </cell>
          <cell r="H44">
            <v>3.0353708650690748E-2</v>
          </cell>
          <cell r="I44">
            <v>0.12879048677930027</v>
          </cell>
          <cell r="J44">
            <v>1.5924882807986269E-2</v>
          </cell>
          <cell r="K44">
            <v>7.3582886171551505E-5</v>
          </cell>
          <cell r="L44">
            <v>4.2780134857140162</v>
          </cell>
        </row>
        <row r="45">
          <cell r="B45">
            <v>0.32364945132822082</v>
          </cell>
          <cell r="C45">
            <v>0.63301390944273306</v>
          </cell>
          <cell r="D45">
            <v>1.915107808093346E-3</v>
          </cell>
          <cell r="E45">
            <v>0</v>
          </cell>
          <cell r="F45">
            <v>0</v>
          </cell>
          <cell r="G45">
            <v>4.8134698511127582E-4</v>
          </cell>
          <cell r="H45">
            <v>7.0952811981668173E-3</v>
          </cell>
          <cell r="I45">
            <v>3.0105208225589469E-2</v>
          </cell>
          <cell r="J45">
            <v>3.7224947656583529E-3</v>
          </cell>
          <cell r="K45">
            <v>1.7200246426822624E-5</v>
          </cell>
          <cell r="L45">
            <v>1</v>
          </cell>
        </row>
        <row r="51">
          <cell r="B51" t="str">
            <v>Unit</v>
          </cell>
          <cell r="C51" t="str">
            <v>Nitrogen Fertilizer Emissions, Unspecified</v>
          </cell>
          <cell r="D51" t="str">
            <v>On Farm Gaseous Emissions</v>
          </cell>
          <cell r="E51" t="str">
            <v>Other Emissions</v>
          </cell>
          <cell r="F51" t="str">
            <v>Total</v>
          </cell>
        </row>
        <row r="52">
          <cell r="B52" t="str">
            <v>kg CO2e/kg</v>
          </cell>
          <cell r="C52">
            <v>5.9804542484545378E-2</v>
          </cell>
          <cell r="D52">
            <v>0</v>
          </cell>
          <cell r="E52">
            <v>0</v>
          </cell>
          <cell r="F52">
            <v>5.9804542484545378E-2</v>
          </cell>
        </row>
        <row r="53">
          <cell r="A53" t="str">
            <v>Broiler Farm</v>
          </cell>
          <cell r="B53" t="str">
            <v>kg CO2e/kg</v>
          </cell>
          <cell r="C53">
            <v>-4.6063175391418336E-6</v>
          </cell>
          <cell r="D53">
            <v>0</v>
          </cell>
          <cell r="E53">
            <v>0</v>
          </cell>
          <cell r="F53">
            <v>-4.6063175391418336E-6</v>
          </cell>
        </row>
        <row r="54">
          <cell r="A54" t="str">
            <v>Processing</v>
          </cell>
          <cell r="B54" t="str">
            <v>kg CO2e/kg</v>
          </cell>
          <cell r="C54">
            <v>0</v>
          </cell>
          <cell r="D54">
            <v>0</v>
          </cell>
          <cell r="E54">
            <v>0</v>
          </cell>
          <cell r="F54">
            <v>0</v>
          </cell>
        </row>
        <row r="55">
          <cell r="A55" t="str">
            <v>Poultry: Upstream Total</v>
          </cell>
          <cell r="B55" t="str">
            <v>kg CO2e/kg</v>
          </cell>
          <cell r="C55">
            <v>5.9799936167006233E-2</v>
          </cell>
          <cell r="D55">
            <v>0</v>
          </cell>
          <cell r="E55">
            <v>0</v>
          </cell>
          <cell r="F55">
            <v>5.9799936167006233E-2</v>
          </cell>
        </row>
        <row r="56">
          <cell r="A56" t="str">
            <v>Relative share: Upstream Total</v>
          </cell>
          <cell r="B56" t="str">
            <v>%</v>
          </cell>
          <cell r="C56">
            <v>1</v>
          </cell>
          <cell r="D56">
            <v>0</v>
          </cell>
          <cell r="E56">
            <v>0</v>
          </cell>
          <cell r="F56">
            <v>0</v>
          </cell>
        </row>
        <row r="59">
          <cell r="A59" t="str">
            <v>Process Non-Energy N2O Emissions</v>
          </cell>
        </row>
        <row r="60">
          <cell r="B60" t="str">
            <v>Unit</v>
          </cell>
          <cell r="C60" t="str">
            <v>Nitrogen Fertilizer Emissions, Unspecified</v>
          </cell>
          <cell r="D60" t="str">
            <v>On Farm Gaseous Emissions</v>
          </cell>
          <cell r="E60" t="str">
            <v>Other Emissions</v>
          </cell>
          <cell r="F60" t="str">
            <v>Total</v>
          </cell>
        </row>
        <row r="61">
          <cell r="A61" t="str">
            <v>Feed Inputs</v>
          </cell>
          <cell r="B61" t="str">
            <v>kg CO2e/kg</v>
          </cell>
          <cell r="C61">
            <v>0.29958859223417988</v>
          </cell>
          <cell r="D61">
            <v>0</v>
          </cell>
          <cell r="E61">
            <v>0</v>
          </cell>
          <cell r="F61">
            <v>0.29958859223417988</v>
          </cell>
        </row>
        <row r="62">
          <cell r="A62" t="str">
            <v>Broiler Farm</v>
          </cell>
          <cell r="B62" t="str">
            <v>kg CO2e/kg</v>
          </cell>
          <cell r="C62">
            <v>0.12420453943927726</v>
          </cell>
          <cell r="D62">
            <v>0.41388888888888886</v>
          </cell>
          <cell r="E62">
            <v>0</v>
          </cell>
          <cell r="F62">
            <v>0.53809342832816609</v>
          </cell>
        </row>
        <row r="63">
          <cell r="A63" t="str">
            <v>Processing</v>
          </cell>
          <cell r="B63" t="str">
            <v>kg CO2e/kg</v>
          </cell>
          <cell r="C63">
            <v>0</v>
          </cell>
          <cell r="D63">
            <v>0</v>
          </cell>
          <cell r="E63">
            <v>0</v>
          </cell>
          <cell r="F63">
            <v>0</v>
          </cell>
        </row>
        <row r="64">
          <cell r="A64" t="str">
            <v>Poultry: Upstream Total</v>
          </cell>
          <cell r="B64" t="str">
            <v>kg CO2e/kg</v>
          </cell>
          <cell r="C64">
            <v>0.42379313167345711</v>
          </cell>
          <cell r="D64">
            <v>0.41388888888888886</v>
          </cell>
          <cell r="E64">
            <v>0</v>
          </cell>
          <cell r="F64">
            <v>0.83768202056234597</v>
          </cell>
        </row>
        <row r="65">
          <cell r="A65" t="str">
            <v>Relative share: Upstream Total</v>
          </cell>
          <cell r="B65" t="str">
            <v>%</v>
          </cell>
          <cell r="C65">
            <v>0.50591169593082552</v>
          </cell>
          <cell r="D65">
            <v>0.49408830406917448</v>
          </cell>
          <cell r="E65">
            <v>0</v>
          </cell>
          <cell r="F65">
            <v>1</v>
          </cell>
        </row>
        <row r="68">
          <cell r="A68" t="str">
            <v>Process Non-Energy CH4 Emissions</v>
          </cell>
        </row>
        <row r="69">
          <cell r="B69" t="str">
            <v>Unit</v>
          </cell>
          <cell r="C69" t="str">
            <v>Nitrogen Fertilizer Emissions, Unspecified</v>
          </cell>
          <cell r="D69" t="str">
            <v>On Farm Gaseous Emissions</v>
          </cell>
          <cell r="E69" t="str">
            <v>Other Emissions</v>
          </cell>
          <cell r="F69" t="str">
            <v>Total</v>
          </cell>
        </row>
        <row r="70">
          <cell r="A70" t="str">
            <v>Feed Inputs</v>
          </cell>
          <cell r="B70" t="str">
            <v>kg CO2e/kg</v>
          </cell>
          <cell r="C70">
            <v>1.2135092516633885E-2</v>
          </cell>
          <cell r="D70">
            <v>0</v>
          </cell>
          <cell r="E70">
            <v>0</v>
          </cell>
          <cell r="F70">
            <v>1.2135092516633885E-2</v>
          </cell>
        </row>
        <row r="71">
          <cell r="A71" t="str">
            <v>Broiler Farm</v>
          </cell>
          <cell r="B71" t="str">
            <v>kg CO2e/kg</v>
          </cell>
          <cell r="C71">
            <v>-2.9504798790646565E-6</v>
          </cell>
          <cell r="D71">
            <v>3.4722222222222224E-2</v>
          </cell>
          <cell r="E71">
            <v>0</v>
          </cell>
          <cell r="F71">
            <v>3.4719271742343162E-2</v>
          </cell>
        </row>
        <row r="72">
          <cell r="A72" t="str">
            <v>Processing</v>
          </cell>
          <cell r="B72" t="str">
            <v>kg CO2e/kg</v>
          </cell>
          <cell r="C72">
            <v>0</v>
          </cell>
          <cell r="D72">
            <v>0</v>
          </cell>
          <cell r="E72">
            <v>0</v>
          </cell>
          <cell r="F72">
            <v>0</v>
          </cell>
        </row>
        <row r="73">
          <cell r="A73" t="str">
            <v>Poultry: Upstream Total</v>
          </cell>
          <cell r="B73" t="str">
            <v>kg CO2e/kg</v>
          </cell>
          <cell r="C73">
            <v>1.213214203675482E-2</v>
          </cell>
          <cell r="D73">
            <v>3.4722222222222224E-2</v>
          </cell>
          <cell r="E73">
            <v>0</v>
          </cell>
          <cell r="F73">
            <v>4.6854364258977044E-2</v>
          </cell>
        </row>
        <row r="74">
          <cell r="A74" t="str">
            <v>Relative share: Upstream Total</v>
          </cell>
          <cell r="B74" t="str">
            <v>%</v>
          </cell>
          <cell r="C74">
            <v>0.25893301997861101</v>
          </cell>
          <cell r="D74">
            <v>0.74106698002138904</v>
          </cell>
          <cell r="E74">
            <v>0</v>
          </cell>
          <cell r="F74">
            <v>1</v>
          </cell>
        </row>
        <row r="77">
          <cell r="A77" t="str">
            <v>Transport Non-Energy Emissions - Poultry</v>
          </cell>
        </row>
        <row r="78">
          <cell r="B78" t="str">
            <v>Unit</v>
          </cell>
          <cell r="C78" t="str">
            <v>Dinitrogen monoxide</v>
          </cell>
          <cell r="D78" t="str">
            <v>Ethane, 1-chloro-1,1-difluoro-, HCFC-142b</v>
          </cell>
          <cell r="E78" t="str">
            <v>Ethane, 1,1,1-trifluoro-, HFC-143a</v>
          </cell>
          <cell r="F78" t="str">
            <v>Ethane, 1,1,1,2-tetrafluoro-, HFC-134a</v>
          </cell>
          <cell r="G78" t="str">
            <v>Ethane, 2-chloro-1,1,1,2-tetrafluoro-, HCFC-124</v>
          </cell>
          <cell r="H78" t="str">
            <v>Ethane, pentafluoro-, HFC-125</v>
          </cell>
          <cell r="I78" t="str">
            <v>Methane, chlorodifluoro-, HCFC-22</v>
          </cell>
          <cell r="J78" t="str">
            <v>Remaining substances</v>
          </cell>
          <cell r="K78" t="str">
            <v>Total</v>
          </cell>
        </row>
        <row r="79">
          <cell r="A79" t="str">
            <v>Poultry - Refrigerants</v>
          </cell>
          <cell r="B79" t="str">
            <v>kg CO2e/kg</v>
          </cell>
          <cell r="C79">
            <v>1.3089507404033681E-3</v>
          </cell>
          <cell r="D79">
            <v>2.0172874277074582E-4</v>
          </cell>
          <cell r="E79">
            <v>5.9922146891751953E-3</v>
          </cell>
          <cell r="F79">
            <v>1.2563186839583667E-3</v>
          </cell>
          <cell r="G79">
            <v>1.8426645044324581E-4</v>
          </cell>
          <cell r="H79">
            <v>5.0753625319711112E-3</v>
          </cell>
          <cell r="I79">
            <v>2.2892410670694308E-3</v>
          </cell>
          <cell r="J79">
            <v>1.5034816332026667E-4</v>
          </cell>
          <cell r="K79">
            <v>1.6458431069111729E-2</v>
          </cell>
        </row>
        <row r="80">
          <cell r="A80" t="str">
            <v>Relative share</v>
          </cell>
          <cell r="C80">
            <v>7.9530711943736496E-2</v>
          </cell>
          <cell r="D80">
            <v>1.2256863483745977E-2</v>
          </cell>
          <cell r="E80">
            <v>0.36408176842694634</v>
          </cell>
          <cell r="F80">
            <v>7.6332833833484645E-2</v>
          </cell>
          <cell r="G80">
            <v>1.1195869744174271E-2</v>
          </cell>
          <cell r="H80">
            <v>0.30837462639414459</v>
          </cell>
          <cell r="I80">
            <v>0.13909230214329185</v>
          </cell>
          <cell r="J80">
            <v>9.1350240304758912E-3</v>
          </cell>
          <cell r="K80">
            <v>1</v>
          </cell>
        </row>
        <row r="83">
          <cell r="B83" t="str">
            <v>Soy</v>
          </cell>
          <cell r="C83" t="str">
            <v>Poultry Litter</v>
          </cell>
          <cell r="D83" t="str">
            <v>Synthetic Fertilizer Offset</v>
          </cell>
        </row>
        <row r="84">
          <cell r="B84" t="str">
            <v>kg-N/kg feed</v>
          </cell>
          <cell r="C84" t="str">
            <v>kg-N/kg fertilizer</v>
          </cell>
          <cell r="D84" t="str">
            <v>kg-N/kg fertilizer</v>
          </cell>
        </row>
        <row r="85">
          <cell r="B85">
            <v>2.3999999999999998E-3</v>
          </cell>
          <cell r="D85">
            <v>0.03</v>
          </cell>
        </row>
        <row r="89">
          <cell r="B89">
            <v>2.3999999999999998E-3</v>
          </cell>
          <cell r="C89">
            <v>0</v>
          </cell>
          <cell r="D89">
            <v>0.03</v>
          </cell>
        </row>
        <row r="92">
          <cell r="B92" t="str">
            <v>Soy</v>
          </cell>
          <cell r="C92" t="str">
            <v>Poultry Litter</v>
          </cell>
          <cell r="D92" t="str">
            <v>Synthetic Fertilizer Offset</v>
          </cell>
        </row>
        <row r="93">
          <cell r="A93" t="str">
            <v>Organic Fertilizer (Fon)</v>
          </cell>
          <cell r="B93" t="str">
            <v>kg-N/kg feed</v>
          </cell>
          <cell r="C93" t="str">
            <v>kg-N/kg fertilizer</v>
          </cell>
          <cell r="D93" t="str">
            <v>kg-N/kg fertilizer</v>
          </cell>
        </row>
        <row r="94">
          <cell r="A94" t="str">
            <v>Poultry Litter</v>
          </cell>
          <cell r="C94">
            <v>0.03</v>
          </cell>
        </row>
        <row r="98">
          <cell r="B98">
            <v>0</v>
          </cell>
          <cell r="C98">
            <v>0.03</v>
          </cell>
          <cell r="D98">
            <v>0</v>
          </cell>
        </row>
        <row r="101">
          <cell r="B101" t="str">
            <v>Soy</v>
          </cell>
          <cell r="C101" t="str">
            <v>Poultry Litter</v>
          </cell>
          <cell r="D101" t="str">
            <v>Synthetic Fertilizer Offset</v>
          </cell>
        </row>
        <row r="102">
          <cell r="A102" t="str">
            <v>Crop Residues (Fcr)</v>
          </cell>
          <cell r="B102" t="str">
            <v>kg-N/kg feed</v>
          </cell>
          <cell r="C102" t="str">
            <v>kg-N/kg fertilizer</v>
          </cell>
          <cell r="D102" t="str">
            <v>kg-N/kg fertilizer</v>
          </cell>
        </row>
        <row r="105">
          <cell r="B105">
            <v>0</v>
          </cell>
          <cell r="C105">
            <v>0</v>
          </cell>
          <cell r="D105">
            <v>0</v>
          </cell>
        </row>
        <row r="108">
          <cell r="B108" t="str">
            <v>Soy</v>
          </cell>
          <cell r="C108" t="str">
            <v>Poultry Litter</v>
          </cell>
          <cell r="D108" t="str">
            <v>Synthetic Fertilizer Offset</v>
          </cell>
        </row>
        <row r="109">
          <cell r="A109" t="str">
            <v>Limestone and Dolomite (Mlimestone + Mdolomite)</v>
          </cell>
          <cell r="B109" t="str">
            <v>kg-liming material/kg feed</v>
          </cell>
          <cell r="C109" t="str">
            <v>kg-liming material/kg fertilizer</v>
          </cell>
          <cell r="D109" t="str">
            <v>kg-liming material/kg fertilizer</v>
          </cell>
        </row>
        <row r="112">
          <cell r="B112">
            <v>0</v>
          </cell>
          <cell r="C112">
            <v>0</v>
          </cell>
          <cell r="D112">
            <v>0</v>
          </cell>
        </row>
        <row r="115">
          <cell r="B115" t="str">
            <v>Soy</v>
          </cell>
          <cell r="C115" t="str">
            <v>Poultry Litter</v>
          </cell>
          <cell r="D115" t="str">
            <v>Synthetic Fertilizer Offset</v>
          </cell>
        </row>
        <row r="116">
          <cell r="A116" t="str">
            <v>Urea (Murea)</v>
          </cell>
          <cell r="B116" t="str">
            <v>kg-urea/kg feed</v>
          </cell>
          <cell r="C116" t="str">
            <v>kg-urea/kg fertilizer</v>
          </cell>
          <cell r="D116" t="str">
            <v>kg-urea/kg fertilizer</v>
          </cell>
        </row>
        <row r="129">
          <cell r="A129" t="str">
            <v>Total N2O (kg-N2O/kg)</v>
          </cell>
          <cell r="B129">
            <v>3.7714285714285711E-5</v>
          </cell>
          <cell r="C129">
            <v>9.4285714285714285E-4</v>
          </cell>
          <cell r="D129">
            <v>4.7142857142857143E-4</v>
          </cell>
        </row>
        <row r="131">
          <cell r="A131" t="str">
            <v>Indirect Emissions</v>
          </cell>
        </row>
        <row r="132">
          <cell r="A132" t="str">
            <v>Volatization N2O-N = [(Fsn * FracGasf) + (Fon)*FracGASM)]* EF4</v>
          </cell>
          <cell r="B132" t="str">
            <v>Soy</v>
          </cell>
          <cell r="C132" t="str">
            <v>Poultry Litter</v>
          </cell>
          <cell r="D132" t="str">
            <v>Synthetic Fertilizer Offset</v>
          </cell>
        </row>
        <row r="133">
          <cell r="A133" t="str">
            <v>Leaching N2O-N = [(Fsn+Fon+Fcr)* Frac Leach * EF5</v>
          </cell>
        </row>
        <row r="134">
          <cell r="A134" t="str">
            <v>Fsn (kg-N/kg)</v>
          </cell>
          <cell r="B134">
            <v>2.3999999999999998E-3</v>
          </cell>
          <cell r="C134">
            <v>0</v>
          </cell>
          <cell r="D134">
            <v>0.03</v>
          </cell>
        </row>
        <row r="135">
          <cell r="A135" t="str">
            <v>Fon (kg-N/kg)</v>
          </cell>
          <cell r="B135">
            <v>0</v>
          </cell>
          <cell r="C135">
            <v>0.03</v>
          </cell>
          <cell r="D135">
            <v>0</v>
          </cell>
        </row>
        <row r="136">
          <cell r="A136" t="str">
            <v>Fcr (kg-N/kg)</v>
          </cell>
          <cell r="B136">
            <v>0</v>
          </cell>
          <cell r="C136">
            <v>0</v>
          </cell>
          <cell r="D136">
            <v>0</v>
          </cell>
        </row>
        <row r="137">
          <cell r="A137" t="str">
            <v>Frac GASF (kg N volatilised / kg-N)</v>
          </cell>
          <cell r="B137">
            <v>0.1</v>
          </cell>
          <cell r="C137">
            <v>0.1</v>
          </cell>
          <cell r="D137">
            <v>0.1</v>
          </cell>
        </row>
        <row r="138">
          <cell r="A138" t="str">
            <v>Frac GASM (kg N volatilised / kg-N)</v>
          </cell>
          <cell r="B138">
            <v>0.2</v>
          </cell>
          <cell r="C138">
            <v>0.2</v>
          </cell>
          <cell r="D138">
            <v>0.2</v>
          </cell>
        </row>
        <row r="139">
          <cell r="A139" t="str">
            <v>EF4 (kg N2O-N/kg N volatised)</v>
          </cell>
          <cell r="B139">
            <v>0.01</v>
          </cell>
          <cell r="C139">
            <v>0.01</v>
          </cell>
          <cell r="D139">
            <v>0.01</v>
          </cell>
        </row>
        <row r="140">
          <cell r="A140" t="str">
            <v>Frac Leach (kg N leached and runoff/ kg-N)</v>
          </cell>
          <cell r="B140">
            <v>0.3</v>
          </cell>
          <cell r="C140">
            <v>0.3</v>
          </cell>
          <cell r="D140">
            <v>0.3</v>
          </cell>
        </row>
        <row r="141">
          <cell r="A141" t="str">
            <v>EF5 (kg N2O-N / kg N leached and runoff)</v>
          </cell>
          <cell r="B141">
            <v>7.4999999999999997E-3</v>
          </cell>
          <cell r="C141">
            <v>7.4999999999999997E-3</v>
          </cell>
          <cell r="D141">
            <v>7.4999999999999997E-3</v>
          </cell>
        </row>
        <row r="142">
          <cell r="A142" t="str">
            <v>Volatilization (kg N2O-N/kg)</v>
          </cell>
          <cell r="B142">
            <v>2.3999999999999999E-6</v>
          </cell>
          <cell r="C142">
            <v>6.0000000000000002E-5</v>
          </cell>
          <cell r="D142">
            <v>3.0000000000000001E-5</v>
          </cell>
        </row>
        <row r="143">
          <cell r="A143" t="str">
            <v>Leaching (kg N2O-N/kg)</v>
          </cell>
          <cell r="B143">
            <v>5.3999999999999991E-6</v>
          </cell>
          <cell r="C143">
            <v>6.7499999999999987E-5</v>
          </cell>
          <cell r="D143">
            <v>6.7499999999999987E-5</v>
          </cell>
        </row>
        <row r="144">
          <cell r="A144" t="str">
            <v>Total Indirect N2O (kg-N2O/kg)</v>
          </cell>
          <cell r="B144">
            <v>1.2257142857142855E-5</v>
          </cell>
          <cell r="C144">
            <v>2.0035714285714283E-4</v>
          </cell>
          <cell r="D144">
            <v>1.5321428571428569E-4</v>
          </cell>
        </row>
        <row r="145">
          <cell r="A145" t="str">
            <v>2006 IPCC Guidelines for National Greenhouse Gas Inventories. Table 11.3 DEFAULT EMISSION, VOLATILISATION AND LEACHING FACTORS FOR INDIRECT SOIL N2O EMISSIONS.</v>
          </cell>
        </row>
        <row r="146">
          <cell r="A146" t="str">
            <v>http://www.ipcc-nggip.iges.or.jp/public/2006gl/pdf/4_Volume4/V4_11_Ch11_N2O&amp;CO2.pdf</v>
          </cell>
        </row>
        <row r="148">
          <cell r="A148" t="str">
            <v>Limestone and Dolomite Emissions</v>
          </cell>
        </row>
        <row r="149">
          <cell r="A149" t="str">
            <v>Lime Application CO2-C = (Mlimestone * EFLimestone) + (Mdolomite*Efdolomite)</v>
          </cell>
          <cell r="B149" t="str">
            <v>Soy</v>
          </cell>
          <cell r="C149" t="str">
            <v>Poultry Litter</v>
          </cell>
          <cell r="D149" t="str">
            <v>Synthetic Fertilizer Offset</v>
          </cell>
        </row>
        <row r="150">
          <cell r="A150" t="str">
            <v>M limestone (kgLimestone/kg)</v>
          </cell>
          <cell r="B150">
            <v>0</v>
          </cell>
          <cell r="C150">
            <v>0</v>
          </cell>
          <cell r="D150">
            <v>0</v>
          </cell>
        </row>
        <row r="151">
          <cell r="A151" t="str">
            <v>M dolomite (kgDolomite/kg)</v>
          </cell>
          <cell r="B151">
            <v>0</v>
          </cell>
          <cell r="C151">
            <v>0</v>
          </cell>
          <cell r="D151">
            <v>0</v>
          </cell>
        </row>
        <row r="152">
          <cell r="A152" t="str">
            <v>EF limestone (kg-C/kgLimestone)</v>
          </cell>
          <cell r="B152">
            <v>0.12</v>
          </cell>
          <cell r="C152">
            <v>0.12</v>
          </cell>
          <cell r="D152">
            <v>0.12</v>
          </cell>
        </row>
        <row r="153">
          <cell r="A153" t="str">
            <v>Ef dolomite (kg-C/kgDolomite)</v>
          </cell>
          <cell r="B153">
            <v>0.13</v>
          </cell>
          <cell r="C153">
            <v>0.13</v>
          </cell>
          <cell r="D153">
            <v>0.13</v>
          </cell>
        </row>
        <row r="154">
          <cell r="A154" t="str">
            <v>Total Limestone+Dolomite CO2 Emissions (kg-CO2/kg)</v>
          </cell>
          <cell r="B154">
            <v>0</v>
          </cell>
          <cell r="C154">
            <v>0</v>
          </cell>
          <cell r="D154">
            <v>0</v>
          </cell>
        </row>
        <row r="156">
          <cell r="A156" t="str">
            <v>Urea</v>
          </cell>
        </row>
        <row r="157">
          <cell r="A157" t="str">
            <v>Urea CO2-C = Murea * EFurea</v>
          </cell>
          <cell r="B157" t="str">
            <v>Soy</v>
          </cell>
          <cell r="C157" t="str">
            <v>Poultry Litter</v>
          </cell>
          <cell r="D157" t="str">
            <v>Synthetic Fertilizer Offset</v>
          </cell>
        </row>
        <row r="162">
          <cell r="D162" t="str">
            <v>Synthetic Fertilizer Offset</v>
          </cell>
        </row>
        <row r="163">
          <cell r="D163">
            <v>4.7142857142857143E-4</v>
          </cell>
        </row>
        <row r="164">
          <cell r="D164">
            <v>1.5321428571428569E-4</v>
          </cell>
        </row>
        <row r="165">
          <cell r="D165">
            <v>0</v>
          </cell>
        </row>
        <row r="166">
          <cell r="D166">
            <v>0</v>
          </cell>
        </row>
        <row r="167">
          <cell r="A167" t="str">
            <v>Total Fertilizer Emissions (kg CO2e/kg)</v>
          </cell>
          <cell r="B167">
            <v>1.4891485714285712E-2</v>
          </cell>
          <cell r="C167">
            <v>0.34067785714285709</v>
          </cell>
          <cell r="D167">
            <v>0.18614357142857144</v>
          </cell>
        </row>
      </sheetData>
      <sheetData sheetId="10" refreshError="1">
        <row r="6">
          <cell r="B6" t="str">
            <v>Subcategory</v>
          </cell>
          <cell r="C6" t="str">
            <v>Units</v>
          </cell>
          <cell r="E6" t="str">
            <v>Share of total</v>
          </cell>
          <cell r="G6" t="str">
            <v>Category</v>
          </cell>
          <cell r="H6" t="str">
            <v>Energy Source</v>
          </cell>
          <cell r="I6" t="str">
            <v>Mmbtu/ton</v>
          </cell>
          <cell r="J6" t="str">
            <v>%</v>
          </cell>
          <cell r="M6" t="str">
            <v>Coal</v>
          </cell>
          <cell r="N6">
            <v>1301107</v>
          </cell>
          <cell r="O6">
            <v>0.52868070270962131</v>
          </cell>
          <cell r="P6" t="str">
            <v>Coal</v>
          </cell>
          <cell r="Q6" t="str">
            <v>Gasoline</v>
          </cell>
          <cell r="R6">
            <v>0</v>
          </cell>
        </row>
        <row r="7">
          <cell r="C7" t="str">
            <v>MJ/lb beef</v>
          </cell>
          <cell r="D7" t="str">
            <v>Mmbtu/ton</v>
          </cell>
          <cell r="M7" t="str">
            <v>Petroleum Liquids</v>
          </cell>
          <cell r="N7">
            <v>11688</v>
          </cell>
          <cell r="O7">
            <v>4.7492020666017893E-3</v>
          </cell>
          <cell r="P7" t="str">
            <v>Diesel</v>
          </cell>
          <cell r="Q7" t="str">
            <v>LPG</v>
          </cell>
          <cell r="R7">
            <v>0</v>
          </cell>
        </row>
        <row r="8">
          <cell r="M8" t="str">
            <v>Petroleum Coke</v>
          </cell>
          <cell r="N8">
            <v>9428</v>
          </cell>
          <cell r="O8">
            <v>3.830892974325947E-3</v>
          </cell>
          <cell r="P8" t="str">
            <v>Coal</v>
          </cell>
          <cell r="Q8" t="str">
            <v>Distillate Fuel</v>
          </cell>
          <cell r="R8">
            <v>0</v>
          </cell>
        </row>
        <row r="9">
          <cell r="B9" t="str">
            <v>Diesel (assumed)</v>
          </cell>
          <cell r="C9">
            <v>0.86</v>
          </cell>
          <cell r="D9">
            <v>1.630245450987263</v>
          </cell>
          <cell r="E9">
            <v>1</v>
          </cell>
          <cell r="G9" t="str">
            <v>Transport</v>
          </cell>
          <cell r="H9" t="str">
            <v>Diesel</v>
          </cell>
          <cell r="I9">
            <v>1.630245450987263</v>
          </cell>
          <cell r="J9">
            <v>1</v>
          </cell>
          <cell r="K9">
            <v>100</v>
          </cell>
          <cell r="M9" t="str">
            <v>Natural gas</v>
          </cell>
          <cell r="N9">
            <v>414843</v>
          </cell>
          <cell r="O9">
            <v>0.16856376051636601</v>
          </cell>
          <cell r="P9" t="str">
            <v>Natural Gas</v>
          </cell>
          <cell r="Q9" t="str">
            <v>Residual Fuel</v>
          </cell>
          <cell r="R9">
            <v>0</v>
          </cell>
        </row>
        <row r="10">
          <cell r="G10" t="str">
            <v>Non Transport</v>
          </cell>
          <cell r="H10" t="str">
            <v>Gasoline</v>
          </cell>
          <cell r="I10">
            <v>5.5542083388286985</v>
          </cell>
          <cell r="J10">
            <v>8.9220462850182744E-2</v>
          </cell>
          <cell r="K10">
            <v>8.9220462850182738</v>
          </cell>
          <cell r="M10" t="str">
            <v>Other Gas</v>
          </cell>
          <cell r="N10">
            <v>29</v>
          </cell>
          <cell r="O10">
            <v>1.1783612246017445E-5</v>
          </cell>
          <cell r="P10" t="str">
            <v>Natural Gas</v>
          </cell>
          <cell r="Q10" t="str">
            <v>Biomass/Hydro</v>
          </cell>
          <cell r="R10">
            <v>0.11765530496191659</v>
          </cell>
        </row>
        <row r="11">
          <cell r="B11" t="str">
            <v>Natural Gas</v>
          </cell>
          <cell r="C11">
            <v>7.84</v>
          </cell>
          <cell r="D11">
            <v>14.86177248341877</v>
          </cell>
          <cell r="E11">
            <v>0.23873325213154703</v>
          </cell>
          <cell r="H11" t="str">
            <v>LPG</v>
          </cell>
          <cell r="I11">
            <v>1.8956342453340269E-2</v>
          </cell>
          <cell r="J11">
            <v>3.0450669914738139E-4</v>
          </cell>
          <cell r="K11">
            <v>3.0450669914738139E-2</v>
          </cell>
          <cell r="M11" t="str">
            <v>Nuclear</v>
          </cell>
          <cell r="N11">
            <v>415298</v>
          </cell>
          <cell r="O11">
            <v>0.16874864132919146</v>
          </cell>
          <cell r="P11" t="str">
            <v>Nuclear</v>
          </cell>
          <cell r="Q11" t="str">
            <v>Diesel</v>
          </cell>
          <cell r="R11">
            <v>4.7492020666017893E-3</v>
          </cell>
        </row>
        <row r="12">
          <cell r="B12" t="str">
            <v>LPG</v>
          </cell>
          <cell r="C12">
            <v>0.01</v>
          </cell>
          <cell r="D12">
            <v>1.8956342453340269E-2</v>
          </cell>
          <cell r="E12">
            <v>3.0450669914738139E-4</v>
          </cell>
          <cell r="H12" t="str">
            <v>Distillate Fuel</v>
          </cell>
          <cell r="I12">
            <v>0</v>
          </cell>
          <cell r="J12">
            <v>0</v>
          </cell>
          <cell r="K12">
            <v>0</v>
          </cell>
          <cell r="M12" t="str">
            <v>Hydroelectric Conventional</v>
          </cell>
          <cell r="N12">
            <v>291413</v>
          </cell>
          <cell r="O12">
            <v>0.11841026880857522</v>
          </cell>
          <cell r="P12" t="str">
            <v>Biomass/Hydro</v>
          </cell>
          <cell r="Q12" t="str">
            <v>Electricity</v>
          </cell>
          <cell r="R12">
            <v>0</v>
          </cell>
        </row>
        <row r="13">
          <cell r="B13" t="str">
            <v>Diesel</v>
          </cell>
          <cell r="C13">
            <v>4.78</v>
          </cell>
          <cell r="D13">
            <v>9.0611316926966481</v>
          </cell>
          <cell r="E13">
            <v>0.14555420219244833</v>
          </cell>
          <cell r="H13" t="str">
            <v>Residual Fuel</v>
          </cell>
          <cell r="I13">
            <v>0.28434513680010404</v>
          </cell>
          <cell r="J13">
            <v>4.5676004872107212E-3</v>
          </cell>
          <cell r="K13">
            <v>0.45676004872107212</v>
          </cell>
          <cell r="M13" t="str">
            <v>Other Renewables</v>
          </cell>
          <cell r="N13">
            <v>21933</v>
          </cell>
          <cell r="O13">
            <v>8.9120678411000204E-3</v>
          </cell>
          <cell r="P13" t="str">
            <v>N/A (Sum of below)</v>
          </cell>
          <cell r="Q13" t="str">
            <v>Coal</v>
          </cell>
          <cell r="R13">
            <v>0.53251159568394724</v>
          </cell>
        </row>
        <row r="14">
          <cell r="B14" t="str">
            <v>Lubricant Oil</v>
          </cell>
          <cell r="C14">
            <v>0.15</v>
          </cell>
          <cell r="D14">
            <v>0.28434513680010404</v>
          </cell>
          <cell r="E14">
            <v>4.5676004872107212E-3</v>
          </cell>
          <cell r="H14" t="str">
            <v>Biomass/Hydro</v>
          </cell>
          <cell r="I14">
            <v>3.8205283142074977</v>
          </cell>
          <cell r="J14">
            <v>6.1371357308088612E-2</v>
          </cell>
          <cell r="K14">
            <v>6.1371357308088612</v>
          </cell>
          <cell r="M14" t="str">
            <v>Wood and Wood-Derived Fuels</v>
          </cell>
          <cell r="N14">
            <v>2023</v>
          </cell>
          <cell r="O14">
            <v>8.2200853702390651E-4</v>
          </cell>
          <cell r="P14" t="str">
            <v>Biomass/Hydro</v>
          </cell>
          <cell r="Q14" t="str">
            <v>Natural Gas</v>
          </cell>
          <cell r="R14">
            <v>0.16857554412861203</v>
          </cell>
        </row>
        <row r="15">
          <cell r="B15" t="str">
            <v>Gasoline</v>
          </cell>
          <cell r="C15">
            <v>2.93</v>
          </cell>
          <cell r="D15">
            <v>5.5542083388286985</v>
          </cell>
          <cell r="E15">
            <v>8.9220462850182758E-2</v>
          </cell>
          <cell r="H15" t="str">
            <v>Diesel</v>
          </cell>
          <cell r="I15">
            <v>9.2153488014893039</v>
          </cell>
          <cell r="J15">
            <v>0.14803148085873602</v>
          </cell>
          <cell r="K15">
            <v>14.803148085873602</v>
          </cell>
          <cell r="M15" t="str">
            <v>Other Biomass</v>
          </cell>
          <cell r="N15">
            <v>1417</v>
          </cell>
          <cell r="O15">
            <v>5.7577167422781788E-4</v>
          </cell>
          <cell r="P15" t="str">
            <v>Biomass/Hydro</v>
          </cell>
          <cell r="Q15" t="str">
            <v>Nuclear</v>
          </cell>
          <cell r="R15">
            <v>0.16874864132919146</v>
          </cell>
        </row>
        <row r="16">
          <cell r="B16" t="str">
            <v>Electricity</v>
          </cell>
          <cell r="C16">
            <v>4.8600000000000003</v>
          </cell>
          <cell r="D16">
            <v>9.2127824323233707</v>
          </cell>
          <cell r="E16">
            <v>0.14799025578562738</v>
          </cell>
          <cell r="H16" t="str">
            <v>Electricity</v>
          </cell>
          <cell r="I16">
            <v>0</v>
          </cell>
          <cell r="J16">
            <v>0</v>
          </cell>
          <cell r="K16">
            <v>0</v>
          </cell>
          <cell r="M16" t="str">
            <v>Geothermal</v>
          </cell>
          <cell r="N16">
            <v>1137</v>
          </cell>
          <cell r="O16">
            <v>4.6199886633523562E-4</v>
          </cell>
          <cell r="P16" t="str">
            <v>Other</v>
          </cell>
          <cell r="Q16" t="str">
            <v>Other</v>
          </cell>
          <cell r="R16">
            <v>7.7597118297308655E-3</v>
          </cell>
        </row>
        <row r="17">
          <cell r="B17" t="str">
            <v>Other (inc. Pre-Chain)</v>
          </cell>
          <cell r="C17">
            <v>12.269999999999982</v>
          </cell>
          <cell r="D17">
            <v>23.259432190248475</v>
          </cell>
          <cell r="E17">
            <v>0.37362971985383642</v>
          </cell>
          <cell r="H17" t="str">
            <v>Coal</v>
          </cell>
          <cell r="I17">
            <v>17.291830824057339</v>
          </cell>
          <cell r="J17">
            <v>0.27776868556839251</v>
          </cell>
          <cell r="K17">
            <v>27.776868556839251</v>
          </cell>
          <cell r="M17" t="str">
            <v>Solar Thermal and Photovoltaic</v>
          </cell>
          <cell r="N17">
            <v>216</v>
          </cell>
          <cell r="O17">
            <v>8.7767594659991999E-5</v>
          </cell>
          <cell r="P17" t="str">
            <v>Other</v>
          </cell>
        </row>
        <row r="18">
          <cell r="C18">
            <v>32.839999999999982</v>
          </cell>
          <cell r="D18">
            <v>62.252628616769407</v>
          </cell>
          <cell r="E18">
            <v>1</v>
          </cell>
          <cell r="H18" t="str">
            <v>Natural Gas</v>
          </cell>
          <cell r="I18">
            <v>20.335793732479893</v>
          </cell>
          <cell r="J18">
            <v>0.326665623353323</v>
          </cell>
          <cell r="K18">
            <v>32.666562335332301</v>
          </cell>
          <cell r="M18" t="str">
            <v>Wind</v>
          </cell>
          <cell r="N18">
            <v>17140</v>
          </cell>
          <cell r="O18">
            <v>6.9645211688530682E-3</v>
          </cell>
          <cell r="P18" t="str">
            <v>Other</v>
          </cell>
        </row>
        <row r="19">
          <cell r="C19">
            <v>33.680000000000007</v>
          </cell>
          <cell r="H19" t="str">
            <v>Nuclear</v>
          </cell>
          <cell r="I19">
            <v>5.4796420985089025</v>
          </cell>
          <cell r="J19">
            <v>8.8022662179325459E-2</v>
          </cell>
          <cell r="K19">
            <v>8.8022662179325462</v>
          </cell>
          <cell r="M19" t="str">
            <v>Hydroelectric Pumped Storage</v>
          </cell>
          <cell r="N19">
            <v>-5298</v>
          </cell>
          <cell r="O19">
            <v>-2.1527440579103591E-3</v>
          </cell>
          <cell r="P19" t="str">
            <v>Biomass/Hydro</v>
          </cell>
        </row>
        <row r="20">
          <cell r="H20" t="str">
            <v>Other</v>
          </cell>
          <cell r="I20">
            <v>0.25197502794433035</v>
          </cell>
          <cell r="J20">
            <v>4.0476206955934726E-3</v>
          </cell>
          <cell r="K20">
            <v>0.40476206955934724</v>
          </cell>
          <cell r="M20" t="str">
            <v>Other Energy Sources</v>
          </cell>
          <cell r="N20">
            <v>604</v>
          </cell>
          <cell r="O20">
            <v>2.4542419988257019E-4</v>
          </cell>
          <cell r="P20" t="str">
            <v>Other</v>
          </cell>
        </row>
        <row r="21">
          <cell r="H21" t="str">
            <v>Total</v>
          </cell>
          <cell r="I21">
            <v>62.252628616769414</v>
          </cell>
          <cell r="M21" t="str">
            <v>Total</v>
          </cell>
          <cell r="N21">
            <v>2461045</v>
          </cell>
          <cell r="O21">
            <v>1</v>
          </cell>
        </row>
        <row r="22">
          <cell r="H22" t="str">
            <v>Check</v>
          </cell>
          <cell r="I22">
            <v>62.252628616769407</v>
          </cell>
        </row>
        <row r="23">
          <cell r="B23">
            <v>2011</v>
          </cell>
          <cell r="M23" t="str">
            <v>Check:</v>
          </cell>
          <cell r="N23">
            <v>2461045</v>
          </cell>
        </row>
        <row r="24">
          <cell r="M24" t="str">
            <v>Source: EIA Electric Power Annual 2011. 2013. Retrieved from: http://www.eia.gov/electricity/annual/archive/2011/pdf/epa.pdf</v>
          </cell>
        </row>
        <row r="25">
          <cell r="C25" t="str">
            <v>Units</v>
          </cell>
        </row>
        <row r="26">
          <cell r="C26" t="str">
            <v>kg gas/lb beef</v>
          </cell>
          <cell r="D26" t="str">
            <v>metric ton gas/short ton</v>
          </cell>
          <cell r="E26" t="str">
            <v>MTCO2e/short ton</v>
          </cell>
        </row>
        <row r="27">
          <cell r="C27">
            <v>0.33100000000000002</v>
          </cell>
          <cell r="D27">
            <v>0.66200000000000003</v>
          </cell>
          <cell r="E27">
            <v>16.55</v>
          </cell>
          <cell r="F27">
            <v>0.63443992007127592</v>
          </cell>
        </row>
        <row r="28">
          <cell r="C28">
            <v>1.6E-2</v>
          </cell>
          <cell r="D28">
            <v>3.2000000000000001E-2</v>
          </cell>
          <cell r="E28">
            <v>9.5359999999999996</v>
          </cell>
          <cell r="F28">
            <v>0.36556006512384814</v>
          </cell>
        </row>
        <row r="29">
          <cell r="C29">
            <v>0</v>
          </cell>
          <cell r="D29">
            <v>0</v>
          </cell>
          <cell r="E29">
            <v>0</v>
          </cell>
        </row>
        <row r="30">
          <cell r="C30">
            <v>1.931E-7</v>
          </cell>
          <cell r="D30">
            <v>3.862E-7</v>
          </cell>
          <cell r="E30">
            <v>3.862E-7</v>
          </cell>
        </row>
        <row r="31">
          <cell r="C31" t="str">
            <v>--</v>
          </cell>
          <cell r="D31" t="str">
            <v>--</v>
          </cell>
          <cell r="E31">
            <v>26.086000386199999</v>
          </cell>
        </row>
        <row r="34">
          <cell r="K34" t="str">
            <v>Table for Energy Emissions</v>
          </cell>
        </row>
        <row r="35">
          <cell r="M35" t="str">
            <v>Type of Product</v>
          </cell>
          <cell r="N35" t="str">
            <v>Process Energy Per Ton Made from Virgin Inputs (Million BTUs/short ton)</v>
          </cell>
          <cell r="O35" t="str">
            <v>Share of each fuel type (percentage * 100)</v>
          </cell>
        </row>
        <row r="36">
          <cell r="O36" t="str">
            <v>Gasoline</v>
          </cell>
          <cell r="P36" t="str">
            <v>LPG</v>
          </cell>
          <cell r="Q36" t="str">
            <v>Distillate Fuel</v>
          </cell>
          <cell r="R36" t="str">
            <v>Residual Fuel</v>
          </cell>
          <cell r="S36" t="str">
            <v>Biomass/Hydro</v>
          </cell>
          <cell r="T36" t="str">
            <v>Diesel</v>
          </cell>
          <cell r="U36" t="str">
            <v>Electricity</v>
          </cell>
          <cell r="V36" t="str">
            <v>Coal</v>
          </cell>
          <cell r="W36" t="str">
            <v>Natural Gas</v>
          </cell>
          <cell r="X36" t="str">
            <v>Nuclear</v>
          </cell>
          <cell r="Y36" t="str">
            <v>Other</v>
          </cell>
        </row>
        <row r="37">
          <cell r="C37" t="str">
            <v>Mmbtu/ton</v>
          </cell>
          <cell r="D37" t="str">
            <v>%</v>
          </cell>
          <cell r="M37" t="str">
            <v>Beef</v>
          </cell>
          <cell r="N37">
            <v>62.252628616769414</v>
          </cell>
          <cell r="O37">
            <v>8.9220462850182738</v>
          </cell>
          <cell r="P37">
            <v>3.0450669914738139E-2</v>
          </cell>
          <cell r="Q37">
            <v>0</v>
          </cell>
          <cell r="R37">
            <v>0.45676004872107212</v>
          </cell>
          <cell r="S37">
            <v>6.1371357308088612</v>
          </cell>
          <cell r="T37">
            <v>14.803148085873602</v>
          </cell>
          <cell r="U37">
            <v>0</v>
          </cell>
          <cell r="V37">
            <v>27.776868556839251</v>
          </cell>
          <cell r="W37">
            <v>32.666562335332301</v>
          </cell>
          <cell r="X37">
            <v>8.8022662179325462</v>
          </cell>
          <cell r="Y37">
            <v>0.40476206955934724</v>
          </cell>
        </row>
        <row r="38">
          <cell r="B38" t="str">
            <v>Diesel</v>
          </cell>
          <cell r="C38">
            <v>1.630245450987263</v>
          </cell>
          <cell r="D38">
            <v>1</v>
          </cell>
        </row>
        <row r="39">
          <cell r="K39" t="str">
            <v>Table for Non-Energy Process Emissions</v>
          </cell>
        </row>
        <row r="40">
          <cell r="M40" t="str">
            <v>CO2 Emissions (MT/Ton)</v>
          </cell>
          <cell r="N40" t="str">
            <v>CH4 Emissions (MT/Ton)</v>
          </cell>
          <cell r="O40" t="str">
            <v>CF4 Emissions (MT/Ton)</v>
          </cell>
          <cell r="P40" t="str">
            <v>C2F6 Emissions (MT/Ton)</v>
          </cell>
          <cell r="Q40" t="str">
            <v>N2O Emissions (MT/Ton)</v>
          </cell>
        </row>
        <row r="41">
          <cell r="B41" t="str">
            <v>Total</v>
          </cell>
          <cell r="C41">
            <v>23.259432190248475</v>
          </cell>
          <cell r="M41">
            <v>3.862E-7</v>
          </cell>
          <cell r="N41">
            <v>0.66200000000000003</v>
          </cell>
          <cell r="O41">
            <v>0</v>
          </cell>
          <cell r="P41">
            <v>0</v>
          </cell>
          <cell r="Q41">
            <v>3.2000000000000001E-2</v>
          </cell>
        </row>
        <row r="42">
          <cell r="B42" t="str">
            <v>Gasoline</v>
          </cell>
          <cell r="C42">
            <v>0</v>
          </cell>
          <cell r="D42">
            <v>0</v>
          </cell>
        </row>
        <row r="43">
          <cell r="B43" t="str">
            <v>LPG</v>
          </cell>
          <cell r="C43">
            <v>0</v>
          </cell>
          <cell r="D43">
            <v>0</v>
          </cell>
          <cell r="K43" t="str">
            <v>Data for bar chart of process and transportation energy, by fuel mix (million BTUs per short ton)</v>
          </cell>
        </row>
        <row r="44">
          <cell r="B44" t="str">
            <v>Distillate Fuel</v>
          </cell>
          <cell r="C44">
            <v>0</v>
          </cell>
          <cell r="D44">
            <v>0</v>
          </cell>
          <cell r="M44" t="str">
            <v>Gasoline</v>
          </cell>
          <cell r="N44" t="str">
            <v>LPG</v>
          </cell>
          <cell r="O44" t="str">
            <v>Distillate Fuel</v>
          </cell>
          <cell r="P44" t="str">
            <v>Residual Fuel</v>
          </cell>
          <cell r="Q44" t="str">
            <v>Biomass/Hydro</v>
          </cell>
          <cell r="R44" t="str">
            <v>Diesel</v>
          </cell>
          <cell r="S44" t="str">
            <v>Electricity</v>
          </cell>
          <cell r="T44" t="str">
            <v>Coal</v>
          </cell>
          <cell r="U44" t="str">
            <v>Natural Gas</v>
          </cell>
          <cell r="V44" t="str">
            <v>Nuclear</v>
          </cell>
          <cell r="W44" t="str">
            <v>Other</v>
          </cell>
        </row>
        <row r="45">
          <cell r="B45" t="str">
            <v>Residual Fuel</v>
          </cell>
          <cell r="C45">
            <v>0</v>
          </cell>
          <cell r="D45">
            <v>0</v>
          </cell>
          <cell r="M45">
            <v>5.5542083388286985</v>
          </cell>
          <cell r="N45">
            <v>1.8956342453340269E-2</v>
          </cell>
          <cell r="O45">
            <v>0</v>
          </cell>
          <cell r="P45">
            <v>0.28434513680010404</v>
          </cell>
          <cell r="Q45">
            <v>3.8205283142074977</v>
          </cell>
          <cell r="R45">
            <v>10.845594252476566</v>
          </cell>
          <cell r="S45">
            <v>0</v>
          </cell>
          <cell r="T45">
            <v>17.291830824057339</v>
          </cell>
          <cell r="U45">
            <v>20.335793732479893</v>
          </cell>
          <cell r="V45">
            <v>5.4796420985089025</v>
          </cell>
          <cell r="W45">
            <v>0.25197502794433035</v>
          </cell>
        </row>
        <row r="46">
          <cell r="B46" t="str">
            <v>Biomass/Hydro</v>
          </cell>
          <cell r="C46">
            <v>2.7365955875847039</v>
          </cell>
          <cell r="D46">
            <v>4.3959518632238584E-2</v>
          </cell>
        </row>
        <row r="47">
          <cell r="B47" t="str">
            <v>Diesel</v>
          </cell>
          <cell r="C47">
            <v>0.11046374342591224</v>
          </cell>
          <cell r="D47">
            <v>1.7744430376736874E-3</v>
          </cell>
        </row>
        <row r="48">
          <cell r="B48" t="str">
            <v>Electricity</v>
          </cell>
          <cell r="C48">
            <v>0</v>
          </cell>
          <cell r="D48">
            <v>0</v>
          </cell>
        </row>
        <row r="49">
          <cell r="B49" t="str">
            <v>Coal</v>
          </cell>
          <cell r="C49">
            <v>12.385917350331784</v>
          </cell>
          <cell r="D49">
            <v>0.1989621583143126</v>
          </cell>
        </row>
        <row r="50">
          <cell r="B50" t="str">
            <v>Natural Gas</v>
          </cell>
          <cell r="C50">
            <v>3.9209714375936908</v>
          </cell>
          <cell r="D50">
            <v>6.2984833326981349E-2</v>
          </cell>
        </row>
        <row r="51">
          <cell r="B51" t="str">
            <v>Nuclear</v>
          </cell>
          <cell r="C51">
            <v>3.92499758019289</v>
          </cell>
          <cell r="D51">
            <v>6.3049507585541328E-2</v>
          </cell>
        </row>
        <row r="52">
          <cell r="B52" t="str">
            <v>Other</v>
          </cell>
          <cell r="C52">
            <v>0.180486491119494</v>
          </cell>
          <cell r="D52">
            <v>2.8992589570888436E-3</v>
          </cell>
        </row>
        <row r="53">
          <cell r="A53" t="str">
            <v>Process energy</v>
          </cell>
          <cell r="B53" t="str">
            <v>Natural Gas</v>
          </cell>
          <cell r="C53">
            <v>14.86177248341877</v>
          </cell>
          <cell r="D53">
            <v>0.238733252131547</v>
          </cell>
        </row>
        <row r="54">
          <cell r="B54" t="str">
            <v>LPG</v>
          </cell>
          <cell r="C54">
            <v>1.8956342453340269E-2</v>
          </cell>
          <cell r="D54">
            <v>3.0450669914738139E-4</v>
          </cell>
        </row>
        <row r="55">
          <cell r="B55" t="str">
            <v>Diesel</v>
          </cell>
          <cell r="C55">
            <v>9.0611316926966481</v>
          </cell>
          <cell r="D55">
            <v>0.1455542021924483</v>
          </cell>
        </row>
        <row r="56">
          <cell r="B56" t="str">
            <v>Residual Fuel</v>
          </cell>
          <cell r="C56">
            <v>0.28434513680010404</v>
          </cell>
          <cell r="D56">
            <v>4.5676004872107212E-3</v>
          </cell>
        </row>
        <row r="57">
          <cell r="B57" t="str">
            <v>Gasoline</v>
          </cell>
          <cell r="C57">
            <v>5.5542083388286985</v>
          </cell>
          <cell r="D57">
            <v>8.9220462850182744E-2</v>
          </cell>
          <cell r="E57" t="str">
            <v>Note: Residual Fuel is a proxy for lubricant oil</v>
          </cell>
        </row>
        <row r="58">
          <cell r="A58" t="str">
            <v>Electricity</v>
          </cell>
          <cell r="C58">
            <v>9.2127824323233707</v>
          </cell>
        </row>
        <row r="59">
          <cell r="B59" t="str">
            <v>Gasoline</v>
          </cell>
          <cell r="C59">
            <v>0</v>
          </cell>
          <cell r="D59">
            <v>0</v>
          </cell>
        </row>
        <row r="60">
          <cell r="B60" t="str">
            <v>LPG</v>
          </cell>
          <cell r="C60">
            <v>0</v>
          </cell>
          <cell r="D60">
            <v>0</v>
          </cell>
        </row>
        <row r="61">
          <cell r="B61" t="str">
            <v>Distillate Fuel</v>
          </cell>
          <cell r="C61">
            <v>0</v>
          </cell>
          <cell r="D61">
            <v>0</v>
          </cell>
        </row>
        <row r="62">
          <cell r="B62" t="str">
            <v>Residual Fuel</v>
          </cell>
          <cell r="C62">
            <v>0</v>
          </cell>
          <cell r="D62">
            <v>0</v>
          </cell>
        </row>
        <row r="63">
          <cell r="B63" t="str">
            <v>Biomass/Hydro</v>
          </cell>
          <cell r="C63">
            <v>1.0839327266227938</v>
          </cell>
          <cell r="D63">
            <v>1.7411838675850028E-2</v>
          </cell>
        </row>
        <row r="64">
          <cell r="B64" t="str">
            <v>Diesel</v>
          </cell>
          <cell r="C64">
            <v>4.3753365366742812E-2</v>
          </cell>
          <cell r="D64">
            <v>7.0283562861402885E-4</v>
          </cell>
        </row>
        <row r="65">
          <cell r="B65" t="str">
            <v>Electricity</v>
          </cell>
          <cell r="C65">
            <v>0</v>
          </cell>
          <cell r="D65">
            <v>0</v>
          </cell>
        </row>
        <row r="66">
          <cell r="B66" t="str">
            <v>Coal</v>
          </cell>
          <cell r="C66">
            <v>4.9059134737255548</v>
          </cell>
        </row>
        <row r="67">
          <cell r="B67" t="str">
            <v>Natural Gas</v>
          </cell>
          <cell r="C67">
            <v>1.55304981146743</v>
          </cell>
          <cell r="D67">
            <v>2.4947537894794605E-2</v>
          </cell>
        </row>
        <row r="68">
          <cell r="B68" t="str">
            <v>Nuclear</v>
          </cell>
          <cell r="C68">
            <v>1.5546445183160125</v>
          </cell>
          <cell r="D68">
            <v>2.497315459378413E-2</v>
          </cell>
        </row>
        <row r="69">
          <cell r="B69" t="str">
            <v>Other</v>
          </cell>
          <cell r="C69">
            <v>7.1488536824836357E-2</v>
          </cell>
          <cell r="D69">
            <v>1.1483617385046293E-3</v>
          </cell>
        </row>
        <row r="70">
          <cell r="A70" t="str">
            <v>Total</v>
          </cell>
          <cell r="C70">
            <v>62.252628616769414</v>
          </cell>
          <cell r="D70">
            <v>1</v>
          </cell>
        </row>
      </sheetData>
      <sheetData sheetId="11" refreshError="1">
        <row r="7">
          <cell r="B7" t="str">
            <v>Weighting</v>
          </cell>
          <cell r="C7" t="str">
            <v>Petroleum</v>
          </cell>
          <cell r="D7" t="str">
            <v>Biomass/Hydro</v>
          </cell>
          <cell r="E7" t="str">
            <v>Coal</v>
          </cell>
          <cell r="F7" t="str">
            <v>Natural Gas</v>
          </cell>
          <cell r="G7" t="str">
            <v>Nuclear</v>
          </cell>
          <cell r="H7" t="str">
            <v>Other</v>
          </cell>
          <cell r="I7" t="str">
            <v>Total</v>
          </cell>
        </row>
        <row r="8">
          <cell r="B8" t="str">
            <v>%</v>
          </cell>
          <cell r="C8" t="str">
            <v>MJ/kg</v>
          </cell>
          <cell r="D8" t="str">
            <v>MJ/kg</v>
          </cell>
          <cell r="E8" t="str">
            <v>MJ/kg</v>
          </cell>
          <cell r="F8" t="str">
            <v>MJ/kg</v>
          </cell>
          <cell r="G8" t="str">
            <v>MJ/kg</v>
          </cell>
          <cell r="H8" t="str">
            <v>MJ/kg</v>
          </cell>
          <cell r="I8" t="str">
            <v>MJ/kg</v>
          </cell>
          <cell r="J8" t="str">
            <v>Check</v>
          </cell>
        </row>
        <row r="9">
          <cell r="B9">
            <v>0.27532904266141084</v>
          </cell>
          <cell r="C9">
            <v>0.544802045492635</v>
          </cell>
          <cell r="D9">
            <v>0.23138183741041951</v>
          </cell>
          <cell r="E9">
            <v>0.35775204484828682</v>
          </cell>
          <cell r="F9">
            <v>0.53945186188372196</v>
          </cell>
          <cell r="G9">
            <v>0.19312469047188899</v>
          </cell>
          <cell r="H9">
            <v>8.6981946111730642E-4</v>
          </cell>
          <cell r="I9">
            <v>1.8673822995680696</v>
          </cell>
          <cell r="J9">
            <v>1.86738229956807</v>
          </cell>
        </row>
        <row r="10">
          <cell r="B10">
            <v>0.27007935166704033</v>
          </cell>
          <cell r="C10">
            <v>2.1695296705077092</v>
          </cell>
          <cell r="D10">
            <v>5.2768786337208606E-2</v>
          </cell>
          <cell r="E10">
            <v>0.64995841036771307</v>
          </cell>
          <cell r="F10">
            <v>0.86633523103892929</v>
          </cell>
          <cell r="G10">
            <v>0.33712398312284653</v>
          </cell>
          <cell r="H10">
            <v>1.5762788978313015E-3</v>
          </cell>
          <cell r="I10">
            <v>4.0772923602722377</v>
          </cell>
          <cell r="J10">
            <v>4.0772923602722404</v>
          </cell>
        </row>
        <row r="11">
          <cell r="B11">
            <v>0.20963674123390025</v>
          </cell>
          <cell r="C11">
            <v>3.1133497607130693</v>
          </cell>
          <cell r="D11">
            <v>5.5929076323607003E-2</v>
          </cell>
          <cell r="E11">
            <v>0.67669288937224714</v>
          </cell>
          <cell r="F11">
            <v>0.75506110619771949</v>
          </cell>
          <cell r="G11">
            <v>0.36324128706049041</v>
          </cell>
          <cell r="H11">
            <v>1.6925737272668522E-3</v>
          </cell>
          <cell r="I11">
            <v>4.9659666933944004</v>
          </cell>
          <cell r="J11">
            <v>4.9659666933943996</v>
          </cell>
        </row>
        <row r="12">
          <cell r="B12">
            <v>9.3191062766984675E-2</v>
          </cell>
          <cell r="C12">
            <v>1.3145306806870558</v>
          </cell>
          <cell r="D12">
            <v>7.1238114997833821E-2</v>
          </cell>
          <cell r="E12">
            <v>0.17356573936301661</v>
          </cell>
          <cell r="F12">
            <v>0.30216237535341017</v>
          </cell>
          <cell r="G12">
            <v>8.0870348477946996E-2</v>
          </cell>
          <cell r="H12">
            <v>4.071117147841424E-4</v>
          </cell>
          <cell r="I12">
            <v>1.9427743705940475</v>
          </cell>
          <cell r="J12">
            <v>1.9427743705940499</v>
          </cell>
        </row>
        <row r="13">
          <cell r="B13">
            <v>8.2300259403383216E-2</v>
          </cell>
          <cell r="C13">
            <v>2.7108734275283091</v>
          </cell>
          <cell r="D13">
            <v>7.7347256761813157E-2</v>
          </cell>
          <cell r="E13">
            <v>0.90323682159681484</v>
          </cell>
          <cell r="F13">
            <v>0.76304412134166566</v>
          </cell>
          <cell r="G13">
            <v>0.485293106515579</v>
          </cell>
          <cell r="H13">
            <v>2.7224332444844073E-3</v>
          </cell>
          <cell r="I13">
            <v>4.9425171669886661</v>
          </cell>
          <cell r="J13">
            <v>4.9425171669886696</v>
          </cell>
        </row>
        <row r="14">
          <cell r="B14">
            <v>6.9463542267280756E-2</v>
          </cell>
          <cell r="C14">
            <v>0.82716969147404196</v>
          </cell>
          <cell r="D14">
            <v>0.14237830533006901</v>
          </cell>
          <cell r="E14">
            <v>0.263648549529864</v>
          </cell>
          <cell r="F14">
            <v>1.2211582237227041</v>
          </cell>
          <cell r="G14">
            <v>0.1860735589803206</v>
          </cell>
          <cell r="H14">
            <v>1.0050207071310453E-2</v>
          </cell>
          <cell r="I14">
            <v>2.6504785361083103</v>
          </cell>
          <cell r="J14">
            <v>2.6504785361083099</v>
          </cell>
        </row>
        <row r="15">
          <cell r="B15">
            <v>1</v>
          </cell>
          <cell r="C15">
            <v>1.7916837249100996</v>
          </cell>
          <cell r="D15">
            <v>0.11257724505840312</v>
          </cell>
          <cell r="E15">
            <v>0.52472492884030031</v>
          </cell>
          <cell r="F15">
            <v>0.71657810985405035</v>
          </cell>
          <cell r="G15">
            <v>0.28077325343905901</v>
          </cell>
          <cell r="H15">
            <v>1.9801517020607284E-3</v>
          </cell>
          <cell r="I15">
            <v>3.4283174138039731</v>
          </cell>
        </row>
        <row r="16">
          <cell r="C16">
            <v>0.52261313893980821</v>
          </cell>
          <cell r="D16">
            <v>3.2837462658829565E-2</v>
          </cell>
          <cell r="E16">
            <v>0.15305611047784487</v>
          </cell>
          <cell r="F16">
            <v>0.20901743431596481</v>
          </cell>
          <cell r="G16">
            <v>8.1898266569057326E-2</v>
          </cell>
          <cell r="H16">
            <v>5.7758703849524915E-4</v>
          </cell>
          <cell r="I16">
            <v>1</v>
          </cell>
        </row>
        <row r="19">
          <cell r="B19" t="str">
            <v>Gasoline</v>
          </cell>
          <cell r="C19" t="str">
            <v>LPG</v>
          </cell>
          <cell r="D19" t="str">
            <v>Distillate Fuel</v>
          </cell>
          <cell r="E19" t="str">
            <v>Residual Fuel</v>
          </cell>
          <cell r="F19" t="str">
            <v>Biomass/Hydro</v>
          </cell>
          <cell r="G19" t="str">
            <v>Diesel</v>
          </cell>
          <cell r="H19" t="str">
            <v>Electricity</v>
          </cell>
          <cell r="I19" t="str">
            <v>Coal</v>
          </cell>
          <cell r="J19" t="str">
            <v>Natural Gas</v>
          </cell>
          <cell r="K19" t="str">
            <v>Nuclear</v>
          </cell>
          <cell r="L19" t="str">
            <v>Other</v>
          </cell>
          <cell r="M19" t="str">
            <v>Total</v>
          </cell>
        </row>
        <row r="20">
          <cell r="B20">
            <v>0</v>
          </cell>
          <cell r="C20">
            <v>0</v>
          </cell>
          <cell r="D20">
            <v>0</v>
          </cell>
          <cell r="E20">
            <v>0</v>
          </cell>
          <cell r="F20">
            <v>12.390705291784052</v>
          </cell>
          <cell r="G20">
            <v>29.174639045183685</v>
          </cell>
          <cell r="H20">
            <v>0</v>
          </cell>
          <cell r="I20">
            <v>19.157943444737363</v>
          </cell>
          <cell r="J20">
            <v>28.888131905743059</v>
          </cell>
          <cell r="K20">
            <v>10.342000698869173</v>
          </cell>
          <cell r="L20">
            <v>4.6579613682666797E-2</v>
          </cell>
          <cell r="M20">
            <v>100</v>
          </cell>
        </row>
        <row r="21">
          <cell r="B21">
            <v>0</v>
          </cell>
          <cell r="C21">
            <v>0</v>
          </cell>
          <cell r="D21">
            <v>0</v>
          </cell>
          <cell r="E21">
            <v>0</v>
          </cell>
          <cell r="F21">
            <v>1.294211493180373</v>
          </cell>
          <cell r="G21">
            <v>53.210059000106902</v>
          </cell>
          <cell r="H21">
            <v>0</v>
          </cell>
          <cell r="I21">
            <v>15.940932190703045</v>
          </cell>
          <cell r="J21">
            <v>21.247807478320851</v>
          </cell>
          <cell r="K21">
            <v>8.2683298948014858</v>
          </cell>
          <cell r="L21">
            <v>3.8659942887344347E-2</v>
          </cell>
          <cell r="M21">
            <v>100</v>
          </cell>
        </row>
        <row r="22">
          <cell r="B22">
            <v>0</v>
          </cell>
          <cell r="C22">
            <v>0</v>
          </cell>
          <cell r="D22">
            <v>0</v>
          </cell>
          <cell r="E22">
            <v>0</v>
          </cell>
          <cell r="F22">
            <v>1.1262475118490505</v>
          </cell>
          <cell r="G22">
            <v>62.693730202708899</v>
          </cell>
          <cell r="H22">
            <v>0</v>
          </cell>
          <cell r="I22">
            <v>13.626609503288986</v>
          </cell>
          <cell r="J22">
            <v>15.204715472660785</v>
          </cell>
          <cell r="K22">
            <v>7.3146138403156131</v>
          </cell>
          <cell r="L22">
            <v>3.4083469176671474E-2</v>
          </cell>
          <cell r="M22">
            <v>100</v>
          </cell>
        </row>
        <row r="23">
          <cell r="B23">
            <v>0</v>
          </cell>
          <cell r="C23">
            <v>0</v>
          </cell>
          <cell r="D23">
            <v>0</v>
          </cell>
          <cell r="E23">
            <v>0</v>
          </cell>
          <cell r="F23">
            <v>3.666823902770096</v>
          </cell>
          <cell r="G23">
            <v>67.66255004100698</v>
          </cell>
          <cell r="H23">
            <v>0</v>
          </cell>
          <cell r="I23">
            <v>8.9339113172439539</v>
          </cell>
          <cell r="J23">
            <v>15.553137818109942</v>
          </cell>
          <cell r="K23">
            <v>4.1626217486706416</v>
          </cell>
          <cell r="L23">
            <v>2.0955172198388571E-2</v>
          </cell>
          <cell r="M23">
            <v>100</v>
          </cell>
        </row>
        <row r="24">
          <cell r="B24">
            <v>0</v>
          </cell>
          <cell r="C24">
            <v>0</v>
          </cell>
          <cell r="D24">
            <v>0</v>
          </cell>
          <cell r="E24">
            <v>0</v>
          </cell>
          <cell r="F24">
            <v>1.5649365323082656</v>
          </cell>
          <cell r="G24">
            <v>54.848032610475819</v>
          </cell>
          <cell r="H24">
            <v>0</v>
          </cell>
          <cell r="I24">
            <v>18.274834281397776</v>
          </cell>
          <cell r="J24">
            <v>15.438370683628127</v>
          </cell>
          <cell r="K24">
            <v>9.8187439743634553</v>
          </cell>
          <cell r="L24">
            <v>5.5081917826561799E-2</v>
          </cell>
          <cell r="M24">
            <v>100</v>
          </cell>
        </row>
        <row r="25">
          <cell r="B25">
            <v>0</v>
          </cell>
          <cell r="C25">
            <v>0</v>
          </cell>
          <cell r="D25">
            <v>0</v>
          </cell>
          <cell r="E25">
            <v>0</v>
          </cell>
          <cell r="F25">
            <v>5.3717962017199596</v>
          </cell>
          <cell r="G25">
            <v>31.208315034634186</v>
          </cell>
          <cell r="H25">
            <v>0</v>
          </cell>
          <cell r="I25">
            <v>9.9472056060102396</v>
          </cell>
          <cell r="J25">
            <v>46.073122535665846</v>
          </cell>
          <cell r="K25">
            <v>7.0203759979709872</v>
          </cell>
          <cell r="L25">
            <v>0.37918462399877201</v>
          </cell>
          <cell r="M25">
            <v>99.999999999999986</v>
          </cell>
        </row>
        <row r="26">
          <cell r="B26">
            <v>0</v>
          </cell>
          <cell r="C26">
            <v>0</v>
          </cell>
          <cell r="D26">
            <v>0</v>
          </cell>
          <cell r="E26">
            <v>0</v>
          </cell>
          <cell r="F26">
            <v>3.2837462658829564</v>
          </cell>
          <cell r="G26">
            <v>52.26131389398082</v>
          </cell>
          <cell r="H26">
            <v>0</v>
          </cell>
          <cell r="I26">
            <v>15.305611047784486</v>
          </cell>
          <cell r="J26">
            <v>20.901743431596483</v>
          </cell>
          <cell r="K26">
            <v>8.1898266569057334</v>
          </cell>
          <cell r="L26">
            <v>5.7758703849524917E-2</v>
          </cell>
          <cell r="M26">
            <v>100.00000000000001</v>
          </cell>
        </row>
        <row r="27">
          <cell r="G27">
            <v>48.533865340661748</v>
          </cell>
        </row>
        <row r="32">
          <cell r="B32" t="str">
            <v>Weighting</v>
          </cell>
          <cell r="C32" t="str">
            <v>Nitrogen Fertilizer Emissions, Unspecified</v>
          </cell>
          <cell r="D32" t="str">
            <v>Soil Emissions</v>
          </cell>
          <cell r="E32" t="str">
            <v>Other Emissions</v>
          </cell>
          <cell r="F32" t="str">
            <v>Total</v>
          </cell>
          <cell r="H32" t="str">
            <v>Industrial Process Emissions</v>
          </cell>
        </row>
        <row r="33">
          <cell r="B33" t="str">
            <v>%</v>
          </cell>
          <cell r="C33" t="str">
            <v>kg CO2e/kg</v>
          </cell>
          <cell r="D33" t="str">
            <v>kg CO2e/kg</v>
          </cell>
          <cell r="F33" t="str">
            <v>kg CO2e/kg</v>
          </cell>
          <cell r="H33" t="str">
            <v>Type of Product</v>
          </cell>
          <cell r="I33" t="str">
            <v>CO2 Emissions (MT/Ton)</v>
          </cell>
          <cell r="J33" t="str">
            <v>CH4 Emissions (MT/Ton)</v>
          </cell>
          <cell r="K33" t="str">
            <v>CF4 Emissions (MT/Ton)</v>
          </cell>
          <cell r="L33" t="str">
            <v>C2F6 Emissions (MT/Ton)</v>
          </cell>
          <cell r="M33" t="str">
            <v>N2O Emissions (MT/Ton)</v>
          </cell>
        </row>
        <row r="34">
          <cell r="B34">
            <v>0.27532904266141084</v>
          </cell>
          <cell r="C34">
            <v>0</v>
          </cell>
          <cell r="D34">
            <v>5.5615999999999999E-3</v>
          </cell>
          <cell r="E34">
            <v>0</v>
          </cell>
          <cell r="F34">
            <v>5.5615999999999999E-3</v>
          </cell>
          <cell r="H34" t="str">
            <v>Potatoes</v>
          </cell>
          <cell r="I34">
            <v>5.0453986499840002E-3</v>
          </cell>
          <cell r="J34">
            <v>0</v>
          </cell>
          <cell r="K34">
            <v>0</v>
          </cell>
          <cell r="L34">
            <v>0</v>
          </cell>
          <cell r="M34">
            <v>1.3084032098525388E-4</v>
          </cell>
        </row>
        <row r="35">
          <cell r="B35">
            <v>0.27007935166704033</v>
          </cell>
          <cell r="C35">
            <v>0</v>
          </cell>
          <cell r="D35">
            <v>2.1538E-3</v>
          </cell>
          <cell r="E35">
            <v>0</v>
          </cell>
          <cell r="F35">
            <v>2.1538E-3</v>
          </cell>
          <cell r="H35" t="str">
            <v>Tomatoes</v>
          </cell>
          <cell r="I35">
            <v>1.953894493012E-3</v>
          </cell>
          <cell r="J35">
            <v>1.1418464342705936E-4</v>
          </cell>
          <cell r="K35">
            <v>0</v>
          </cell>
          <cell r="L35">
            <v>0</v>
          </cell>
          <cell r="M35">
            <v>2.1461038743371752E-4</v>
          </cell>
        </row>
        <row r="36">
          <cell r="B36">
            <v>0.20963674123390025</v>
          </cell>
          <cell r="C36">
            <v>0</v>
          </cell>
          <cell r="D36">
            <v>5.4299999999999999E-3</v>
          </cell>
          <cell r="E36">
            <v>0</v>
          </cell>
          <cell r="F36">
            <v>5.4299999999999999E-3</v>
          </cell>
          <cell r="H36" t="str">
            <v>Citrus</v>
          </cell>
          <cell r="I36">
            <v>4.9260131382E-3</v>
          </cell>
          <cell r="J36">
            <v>7.3249403202307279E-5</v>
          </cell>
          <cell r="K36">
            <v>0</v>
          </cell>
          <cell r="L36">
            <v>0</v>
          </cell>
          <cell r="M36">
            <v>1.396831287188096E-4</v>
          </cell>
        </row>
        <row r="37">
          <cell r="B37">
            <v>9.3191062766984675E-2</v>
          </cell>
          <cell r="C37">
            <v>0</v>
          </cell>
          <cell r="D37">
            <v>4.5128E-3</v>
          </cell>
          <cell r="E37">
            <v>0</v>
          </cell>
          <cell r="F37">
            <v>4.5128E-3</v>
          </cell>
          <cell r="H37" t="str">
            <v>Melons</v>
          </cell>
          <cell r="I37">
            <v>4.0939432946720004E-3</v>
          </cell>
          <cell r="J37">
            <v>8.0501428666176212E-5</v>
          </cell>
          <cell r="K37">
            <v>0</v>
          </cell>
          <cell r="L37">
            <v>0</v>
          </cell>
          <cell r="M37">
            <v>1.1053741632490603E-4</v>
          </cell>
        </row>
        <row r="38">
          <cell r="B38">
            <v>8.2300259403383216E-2</v>
          </cell>
          <cell r="C38">
            <v>0</v>
          </cell>
          <cell r="D38">
            <v>0</v>
          </cell>
          <cell r="E38">
            <v>0</v>
          </cell>
          <cell r="F38">
            <v>0</v>
          </cell>
          <cell r="H38" t="str">
            <v>Apples</v>
          </cell>
          <cell r="I38">
            <v>0</v>
          </cell>
          <cell r="J38">
            <v>1.51459516340884E-4</v>
          </cell>
          <cell r="K38">
            <v>0</v>
          </cell>
          <cell r="L38">
            <v>0</v>
          </cell>
          <cell r="M38">
            <v>2.2958400586662368E-5</v>
          </cell>
        </row>
        <row r="39">
          <cell r="B39">
            <v>6.9463542267280756E-2</v>
          </cell>
          <cell r="C39">
            <v>0</v>
          </cell>
          <cell r="D39">
            <v>8.8708999999999993E-3</v>
          </cell>
          <cell r="E39">
            <v>1.7748113013950122E-2</v>
          </cell>
          <cell r="F39">
            <v>2.6619013013950123E-2</v>
          </cell>
          <cell r="H39" t="str">
            <v>Bananas</v>
          </cell>
          <cell r="I39">
            <v>2.414836240011696E-2</v>
          </cell>
          <cell r="J39">
            <v>1.3452319090922837E-6</v>
          </cell>
          <cell r="K39">
            <v>0</v>
          </cell>
          <cell r="L39">
            <v>0</v>
          </cell>
          <cell r="M39">
            <v>2.2918030483226942E-4</v>
          </cell>
        </row>
        <row r="40">
          <cell r="B40">
            <v>1</v>
          </cell>
          <cell r="C40">
            <v>0</v>
          </cell>
          <cell r="D40">
            <v>4.2880511813399216E-3</v>
          </cell>
          <cell r="E40">
            <v>1.2328467985089999E-3</v>
          </cell>
          <cell r="F40">
            <v>5.5208979798489211E-3</v>
          </cell>
          <cell r="H40" t="str">
            <v>Fruits &amp; Vegetables (weighted average)</v>
          </cell>
          <cell r="I40">
            <v>5.0084743984157689E-3</v>
          </cell>
          <cell r="J40">
            <v>6.6255296400975888E-5</v>
          </cell>
          <cell r="K40">
            <v>0</v>
          </cell>
          <cell r="L40">
            <v>0</v>
          </cell>
          <cell r="M40">
            <v>1.5137894794560748E-4</v>
          </cell>
        </row>
        <row r="41">
          <cell r="C41">
            <v>0</v>
          </cell>
          <cell r="D41">
            <v>0.77669451545584689</v>
          </cell>
          <cell r="E41">
            <v>0.22330548454415322</v>
          </cell>
          <cell r="F41">
            <v>1</v>
          </cell>
          <cell r="H41" t="str">
            <v>Transport</v>
          </cell>
          <cell r="I41">
            <v>9.6002498523993611E-3</v>
          </cell>
          <cell r="J41">
            <v>0</v>
          </cell>
          <cell r="K41">
            <v>0</v>
          </cell>
          <cell r="L41">
            <v>0</v>
          </cell>
          <cell r="M41">
            <v>0</v>
          </cell>
        </row>
        <row r="45">
          <cell r="B45" t="str">
            <v>Weighting</v>
          </cell>
          <cell r="C45" t="str">
            <v>Nitrogen Fertilizer Emissions, Unspecified</v>
          </cell>
          <cell r="D45" t="str">
            <v>Soil Emissions</v>
          </cell>
          <cell r="E45" t="str">
            <v>Other Emissions</v>
          </cell>
          <cell r="F45" t="str">
            <v>Total</v>
          </cell>
        </row>
        <row r="46">
          <cell r="B46" t="str">
            <v>%</v>
          </cell>
          <cell r="C46" t="str">
            <v>kg CO2e/kg</v>
          </cell>
          <cell r="D46" t="str">
            <v>kg CO2e/kg</v>
          </cell>
          <cell r="F46" t="str">
            <v>kg CO2e/kg</v>
          </cell>
        </row>
        <row r="47">
          <cell r="B47">
            <v>0.27532904266141084</v>
          </cell>
          <cell r="C47">
            <v>6.7627877447136711E-3</v>
          </cell>
          <cell r="D47">
            <v>3.6216788447899155E-2</v>
          </cell>
          <cell r="F47">
            <v>4.2979576192612827E-2</v>
          </cell>
        </row>
        <row r="48">
          <cell r="B48">
            <v>0.27007935166704033</v>
          </cell>
          <cell r="C48">
            <v>1.1476202337995485E-2</v>
          </cell>
          <cell r="D48">
            <v>5.9020900000000001E-2</v>
          </cell>
          <cell r="F48">
            <v>7.0497102337995485E-2</v>
          </cell>
        </row>
        <row r="49">
          <cell r="B49">
            <v>0.20963674123390025</v>
          </cell>
          <cell r="C49">
            <v>1.1458839234151209E-2</v>
          </cell>
          <cell r="D49">
            <v>3.4425499999999998E-2</v>
          </cell>
          <cell r="F49">
            <v>4.5884339234151209E-2</v>
          </cell>
        </row>
        <row r="50">
          <cell r="B50">
            <v>9.3191062766984675E-2</v>
          </cell>
          <cell r="C50">
            <v>0</v>
          </cell>
          <cell r="D50">
            <v>3.6310299999999997E-2</v>
          </cell>
          <cell r="F50">
            <v>3.6310299999999997E-2</v>
          </cell>
        </row>
        <row r="51">
          <cell r="B51">
            <v>8.2300259403383216E-2</v>
          </cell>
          <cell r="C51">
            <v>1.10567849284875E-5</v>
          </cell>
          <cell r="D51">
            <v>7.5305199999999997E-3</v>
          </cell>
          <cell r="F51">
            <v>7.5415767849284871E-3</v>
          </cell>
        </row>
        <row r="52">
          <cell r="B52">
            <v>6.9463542267280756E-2</v>
          </cell>
          <cell r="C52">
            <v>2.2149156592797498E-2</v>
          </cell>
          <cell r="D52">
            <v>5.3134000000000001E-2</v>
          </cell>
          <cell r="F52">
            <v>7.5283156592797495E-2</v>
          </cell>
        </row>
        <row r="53">
          <cell r="A53" t="str">
            <v>Fruits and vegetables weighted average</v>
          </cell>
          <cell r="B53">
            <v>1</v>
          </cell>
          <cell r="C53">
            <v>8.9031397293267422E-3</v>
          </cell>
          <cell r="D53">
            <v>4.0823144784443877E-2</v>
          </cell>
          <cell r="F53">
            <v>4.9726284513770619E-2</v>
          </cell>
        </row>
        <row r="54">
          <cell r="A54" t="str">
            <v>Relative share</v>
          </cell>
          <cell r="C54">
            <v>0.17904293104507357</v>
          </cell>
          <cell r="D54">
            <v>0.82095706895492648</v>
          </cell>
          <cell r="E54">
            <v>0</v>
          </cell>
          <cell r="F54">
            <v>1</v>
          </cell>
          <cell r="H54" t="str">
            <v>Weighted Fruit Loss Rates</v>
          </cell>
          <cell r="I54" t="str">
            <v>Total Losses (Millions of Lbs)</v>
          </cell>
          <cell r="J54" t="str">
            <v>Percent of Category</v>
          </cell>
          <cell r="K54" t="str">
            <v>Loss Rates</v>
          </cell>
          <cell r="L54" t="str">
            <v>Weighted Loss Rates</v>
          </cell>
        </row>
        <row r="55">
          <cell r="H55" t="str">
            <v>Fruit and Vegetables</v>
          </cell>
          <cell r="I55">
            <v>67737.4351006176</v>
          </cell>
          <cell r="J55">
            <v>1</v>
          </cell>
          <cell r="L55">
            <v>7.1194165303529316E-2</v>
          </cell>
        </row>
        <row r="56">
          <cell r="A56" t="str">
            <v xml:space="preserve">Process Non-Energy CH4 Emissions </v>
          </cell>
          <cell r="H56" t="str">
            <v>Citrus</v>
          </cell>
          <cell r="I56">
            <v>14200.255154036282</v>
          </cell>
          <cell r="J56">
            <v>0.20963674123390022</v>
          </cell>
          <cell r="K56">
            <v>3.715997608236965E-2</v>
          </cell>
          <cell r="L56">
            <v>7.790096290237648E-3</v>
          </cell>
        </row>
        <row r="57">
          <cell r="H57" t="str">
            <v>Apples</v>
          </cell>
          <cell r="I57">
            <v>5574.8084801006635</v>
          </cell>
          <cell r="J57">
            <v>8.2300259403383202E-2</v>
          </cell>
          <cell r="K57">
            <v>4.0000000000000036E-2</v>
          </cell>
          <cell r="L57">
            <v>3.2920103761353309E-3</v>
          </cell>
        </row>
        <row r="58">
          <cell r="B58" t="str">
            <v>Weighting</v>
          </cell>
          <cell r="C58" t="str">
            <v>Production Emissions, Unspecified</v>
          </cell>
          <cell r="D58" t="str">
            <v>Soil Emissions</v>
          </cell>
          <cell r="E58" t="str">
            <v>Other Emissions</v>
          </cell>
          <cell r="F58" t="str">
            <v>Total</v>
          </cell>
          <cell r="H58" t="str">
            <v>Bananas</v>
          </cell>
          <cell r="I58">
            <v>4705.282186188937</v>
          </cell>
          <cell r="J58">
            <v>6.9463542267280742E-2</v>
          </cell>
          <cell r="K58">
            <v>0</v>
          </cell>
          <cell r="L58">
            <v>0</v>
          </cell>
        </row>
        <row r="59">
          <cell r="B59" t="str">
            <v>%</v>
          </cell>
          <cell r="D59" t="str">
            <v>kg CO2e/kg</v>
          </cell>
          <cell r="F59" t="str">
            <v>kg CO2e/kg</v>
          </cell>
          <cell r="G59" t="str">
            <v>Check</v>
          </cell>
          <cell r="H59" t="str">
            <v>Melons</v>
          </cell>
          <cell r="I59">
            <v>6312.5235661362058</v>
          </cell>
          <cell r="J59">
            <v>9.3191062766984675E-2</v>
          </cell>
          <cell r="K59">
            <v>9.2143966660352294E-2</v>
          </cell>
          <cell r="L59">
            <v>8.5869941806438338E-3</v>
          </cell>
        </row>
        <row r="60">
          <cell r="A60" t="str">
            <v>Potatoes</v>
          </cell>
          <cell r="B60">
            <v>0.27532904266141084</v>
          </cell>
          <cell r="C60">
            <v>0</v>
          </cell>
          <cell r="D60" t="str">
            <v>NA</v>
          </cell>
          <cell r="E60" t="str">
            <v>NA</v>
          </cell>
          <cell r="F60">
            <v>0</v>
          </cell>
          <cell r="H60" t="str">
            <v>Potatoes</v>
          </cell>
          <cell r="I60">
            <v>18650.08315859249</v>
          </cell>
          <cell r="J60">
            <v>0.27532904266141084</v>
          </cell>
          <cell r="K60">
            <v>4.0000000000000036E-2</v>
          </cell>
          <cell r="L60">
            <v>1.1013161706456444E-2</v>
          </cell>
        </row>
        <row r="61">
          <cell r="A61" t="str">
            <v>Tomatoes</v>
          </cell>
          <cell r="B61">
            <v>0.27007935166704033</v>
          </cell>
          <cell r="C61">
            <v>3.14667559958789E-3</v>
          </cell>
          <cell r="D61" t="str">
            <v>NA</v>
          </cell>
          <cell r="E61" t="str">
            <v>NA</v>
          </cell>
          <cell r="F61">
            <v>3.14667559958789E-3</v>
          </cell>
          <cell r="H61" t="str">
            <v>Tomatoes</v>
          </cell>
          <cell r="I61">
            <v>18294.482555563023</v>
          </cell>
          <cell r="J61">
            <v>0.27007935166704033</v>
          </cell>
          <cell r="K61">
            <v>0.15000000000000002</v>
          </cell>
          <cell r="L61">
            <v>4.0511902750056054E-2</v>
          </cell>
        </row>
        <row r="62">
          <cell r="A62" t="str">
            <v>Citrus</v>
          </cell>
          <cell r="B62">
            <v>0.20963674123390025</v>
          </cell>
          <cell r="C62">
            <v>2.0185911417091099E-3</v>
          </cell>
          <cell r="D62" t="str">
            <v>NA</v>
          </cell>
          <cell r="E62" t="str">
            <v>NA</v>
          </cell>
          <cell r="F62">
            <v>2.0185911417091099E-3</v>
          </cell>
        </row>
        <row r="63">
          <cell r="A63" t="str">
            <v>Melons</v>
          </cell>
          <cell r="B63">
            <v>9.3191062766984675E-2</v>
          </cell>
          <cell r="C63">
            <v>2.2184408841074699E-3</v>
          </cell>
          <cell r="D63" t="str">
            <v>NA</v>
          </cell>
          <cell r="E63" t="str">
            <v>NA</v>
          </cell>
          <cell r="F63">
            <v>2.2184408841074699E-3</v>
          </cell>
        </row>
        <row r="64">
          <cell r="A64" t="str">
            <v>Apples</v>
          </cell>
          <cell r="B64">
            <v>8.2300259403383216E-2</v>
          </cell>
          <cell r="C64">
            <v>4.1738884502423397E-3</v>
          </cell>
          <cell r="D64" t="str">
            <v>NA</v>
          </cell>
          <cell r="E64" t="str">
            <v>NA</v>
          </cell>
          <cell r="F64">
            <v>4.1738884502423397E-3</v>
          </cell>
        </row>
        <row r="65">
          <cell r="A65" t="str">
            <v>Bananas</v>
          </cell>
          <cell r="B65">
            <v>6.9463542267280756E-2</v>
          </cell>
          <cell r="C65">
            <v>3.7071608730220803E-5</v>
          </cell>
          <cell r="D65" t="str">
            <v>NA</v>
          </cell>
          <cell r="E65" t="str">
            <v>NA</v>
          </cell>
          <cell r="F65">
            <v>3.7071608730220803E-5</v>
          </cell>
        </row>
        <row r="66">
          <cell r="A66" t="str">
            <v>Fruits and vegetables weighted average</v>
          </cell>
          <cell r="B66">
            <v>1</v>
          </cell>
          <cell r="C66">
            <v>1.8258490657860902E-3</v>
          </cell>
          <cell r="D66">
            <v>0</v>
          </cell>
          <cell r="E66">
            <v>0</v>
          </cell>
          <cell r="F66">
            <v>1.8258490657860902E-3</v>
          </cell>
        </row>
        <row r="67">
          <cell r="A67" t="str">
            <v>Relative share</v>
          </cell>
          <cell r="C67">
            <v>1</v>
          </cell>
          <cell r="D67">
            <v>0</v>
          </cell>
          <cell r="E67">
            <v>0</v>
          </cell>
          <cell r="F67">
            <v>1</v>
          </cell>
        </row>
        <row r="70">
          <cell r="A70" t="str">
            <v>Cumulative Energy Demand - Transportation</v>
          </cell>
        </row>
        <row r="72">
          <cell r="B72" t="str">
            <v>Petroleum</v>
          </cell>
          <cell r="C72" t="str">
            <v>Biomass/Hydro</v>
          </cell>
          <cell r="D72" t="str">
            <v>Coal</v>
          </cell>
          <cell r="E72" t="str">
            <v>Natural Gas</v>
          </cell>
          <cell r="F72" t="str">
            <v>Nuclear</v>
          </cell>
          <cell r="G72" t="str">
            <v>Other</v>
          </cell>
          <cell r="H72" t="str">
            <v>Total</v>
          </cell>
        </row>
        <row r="73">
          <cell r="B73" t="str">
            <v>MJ/kg</v>
          </cell>
          <cell r="C73" t="str">
            <v>MJ/kg</v>
          </cell>
          <cell r="D73" t="str">
            <v>MJ/kg</v>
          </cell>
          <cell r="E73" t="str">
            <v>MJ/kg</v>
          </cell>
          <cell r="F73" t="str">
            <v>MJ/kg</v>
          </cell>
          <cell r="G73" t="str">
            <v>MJ/kg</v>
          </cell>
          <cell r="H73" t="str">
            <v>MJ/kg</v>
          </cell>
          <cell r="I73" t="str">
            <v>Check</v>
          </cell>
        </row>
        <row r="74">
          <cell r="A74" t="str">
            <v>Transport</v>
          </cell>
          <cell r="B74">
            <v>2.2880332083867803</v>
          </cell>
          <cell r="C74">
            <v>1.830654394382522E-3</v>
          </cell>
          <cell r="D74">
            <v>2.60267077914886E-2</v>
          </cell>
          <cell r="E74">
            <v>0.1364929471450799</v>
          </cell>
          <cell r="F74">
            <v>1.4739470619114799E-2</v>
          </cell>
          <cell r="G74">
            <v>6.6448165718163609E-5</v>
          </cell>
          <cell r="H74">
            <v>2.4671894365025642</v>
          </cell>
          <cell r="I74">
            <v>2.4671894365025602</v>
          </cell>
        </row>
        <row r="76">
          <cell r="A76" t="str">
            <v>WARM Input (%)</v>
          </cell>
        </row>
        <row r="77">
          <cell r="B77" t="str">
            <v>Gasoline</v>
          </cell>
          <cell r="C77" t="str">
            <v>LPG</v>
          </cell>
          <cell r="D77" t="str">
            <v>Distillate Fuel</v>
          </cell>
          <cell r="E77" t="str">
            <v>Residual Fuel</v>
          </cell>
          <cell r="F77" t="str">
            <v>Biomass/Hydro</v>
          </cell>
          <cell r="G77" t="str">
            <v>Diesel</v>
          </cell>
          <cell r="H77" t="str">
            <v>Electricity</v>
          </cell>
          <cell r="I77" t="str">
            <v>Coal</v>
          </cell>
          <cell r="J77" t="str">
            <v>Natural Gas</v>
          </cell>
          <cell r="K77" t="str">
            <v>Nuclear</v>
          </cell>
          <cell r="L77" t="str">
            <v>Other</v>
          </cell>
          <cell r="M77" t="str">
            <v>Total</v>
          </cell>
        </row>
        <row r="78">
          <cell r="A78" t="str">
            <v>Potatoes</v>
          </cell>
          <cell r="B78">
            <v>0</v>
          </cell>
          <cell r="C78">
            <v>0</v>
          </cell>
          <cell r="D78">
            <v>0</v>
          </cell>
          <cell r="E78">
            <v>0</v>
          </cell>
          <cell r="F78">
            <v>7.4199993210801812E-2</v>
          </cell>
          <cell r="G78">
            <v>92.7384486385548</v>
          </cell>
          <cell r="H78">
            <v>0</v>
          </cell>
          <cell r="I78">
            <v>1.0549132306752866</v>
          </cell>
          <cell r="J78">
            <v>5.5323253709520346</v>
          </cell>
          <cell r="K78">
            <v>0.59741949284644968</v>
          </cell>
          <cell r="L78">
            <v>2.6932737606220922E-3</v>
          </cell>
          <cell r="M78">
            <v>100</v>
          </cell>
        </row>
        <row r="84">
          <cell r="B84" t="str">
            <v>Dinitrogen monoxide</v>
          </cell>
          <cell r="C84" t="str">
            <v>Ethane, 1,1,1-trifluoro-, HFC-143a</v>
          </cell>
          <cell r="D84" t="str">
            <v>Ethane, 1,1,1,2-tetrafluoro-, HFC-134a</v>
          </cell>
          <cell r="E84" t="str">
            <v>Ethane, pentafluoro-, HFC-125</v>
          </cell>
          <cell r="F84" t="str">
            <v>Methane, chlorodifluoro-, HCFC-22</v>
          </cell>
          <cell r="G84" t="str">
            <v>Remaining substances</v>
          </cell>
          <cell r="H84" t="str">
            <v>Total</v>
          </cell>
        </row>
        <row r="85">
          <cell r="B85" t="str">
            <v>kg CO2e/kg</v>
          </cell>
          <cell r="C85" t="str">
            <v>kg CO2e/kg</v>
          </cell>
          <cell r="D85" t="str">
            <v>kg CO2e/kg</v>
          </cell>
          <cell r="E85" t="str">
            <v>kg CO2e/kg</v>
          </cell>
          <cell r="F85" t="str">
            <v>kg CO2e/kg</v>
          </cell>
          <cell r="G85" t="str">
            <v>kg CO2e/kg</v>
          </cell>
          <cell r="H85" t="str">
            <v>kg CO2e/kg</v>
          </cell>
          <cell r="I85" t="str">
            <v>Check</v>
          </cell>
        </row>
        <row r="86">
          <cell r="B86">
            <v>0</v>
          </cell>
          <cell r="C86">
            <v>4.3143950000000004E-3</v>
          </cell>
          <cell r="D86">
            <v>5.7100300000000005E-4</v>
          </cell>
          <cell r="E86">
            <v>3.6542609999999998E-3</v>
          </cell>
          <cell r="F86">
            <v>1.648245E-3</v>
          </cell>
          <cell r="G86">
            <v>3.9456000000000002E-4</v>
          </cell>
          <cell r="H86">
            <v>1.0582464000000001E-2</v>
          </cell>
          <cell r="I86">
            <v>0</v>
          </cell>
        </row>
        <row r="87">
          <cell r="B87">
            <v>0</v>
          </cell>
          <cell r="C87">
            <v>0</v>
          </cell>
          <cell r="D87">
            <v>0</v>
          </cell>
          <cell r="E87">
            <v>0</v>
          </cell>
          <cell r="F87">
            <v>0</v>
          </cell>
          <cell r="G87">
            <v>0</v>
          </cell>
          <cell r="H87">
            <v>0</v>
          </cell>
          <cell r="I87">
            <v>0</v>
          </cell>
        </row>
        <row r="88">
          <cell r="B88">
            <v>0</v>
          </cell>
          <cell r="C88">
            <v>4.3143950000000004E-3</v>
          </cell>
          <cell r="D88">
            <v>5.7100300000000005E-4</v>
          </cell>
          <cell r="E88">
            <v>3.6542609999999998E-3</v>
          </cell>
          <cell r="F88">
            <v>1.648245E-3</v>
          </cell>
          <cell r="G88">
            <v>3.9456000000000002E-4</v>
          </cell>
          <cell r="H88">
            <v>1.0582464000000001E-2</v>
          </cell>
          <cell r="I88">
            <v>0</v>
          </cell>
        </row>
        <row r="89">
          <cell r="B89">
            <v>0</v>
          </cell>
          <cell r="C89">
            <v>0.40769285867639143</v>
          </cell>
          <cell r="D89">
            <v>5.3957471530259871E-2</v>
          </cell>
          <cell r="E89">
            <v>0.34531286853420901</v>
          </cell>
          <cell r="F89">
            <v>0.15575247881778759</v>
          </cell>
          <cell r="G89">
            <v>3.7284322441352026E-2</v>
          </cell>
          <cell r="H89">
            <v>1</v>
          </cell>
          <cell r="I89">
            <v>0</v>
          </cell>
        </row>
        <row r="98">
          <cell r="A98" t="str">
            <v>Fertilizer Calculations</v>
          </cell>
        </row>
        <row r="99">
          <cell r="A99" t="str">
            <v>These calculations are shown here for documentation purposes. Total fertilizer emissions from each grain type are brought into SimaPro to calculate the process non-energy emissions above.</v>
          </cell>
        </row>
        <row r="100">
          <cell r="B100" t="str">
            <v>Potatoes</v>
          </cell>
          <cell r="C100" t="str">
            <v>Tomatoes</v>
          </cell>
          <cell r="D100" t="str">
            <v>Citrus</v>
          </cell>
          <cell r="E100" t="str">
            <v>Melons</v>
          </cell>
          <cell r="F100" t="str">
            <v>Apples</v>
          </cell>
          <cell r="G100" t="str">
            <v>Bananas</v>
          </cell>
          <cell r="N100" t="str">
            <v>N2O Conversions</v>
          </cell>
        </row>
        <row r="101">
          <cell r="A101" t="str">
            <v>Synthetic Fertilizers (Fsn)</v>
          </cell>
          <cell r="B101" t="str">
            <v>kg-N/kg produce</v>
          </cell>
          <cell r="C101" t="str">
            <v>kg-N/kg produce</v>
          </cell>
          <cell r="D101" t="str">
            <v>kg-N/kg produce</v>
          </cell>
          <cell r="E101" t="str">
            <v>kg-N/kg produce</v>
          </cell>
          <cell r="F101" t="str">
            <v>kg-N/kg produce</v>
          </cell>
          <cell r="G101" t="str">
            <v>kg-N/kg produce</v>
          </cell>
          <cell r="N101" t="str">
            <v>Properties of Compounds</v>
          </cell>
          <cell r="O101" t="str">
            <v>Formula</v>
          </cell>
          <cell r="P101" t="str">
            <v>Molar Mass (g/mol)</v>
          </cell>
          <cell r="Q101" t="str">
            <v>Mass of N in the Compound</v>
          </cell>
          <cell r="R101" t="str">
            <v>Ratio of N to the compound</v>
          </cell>
          <cell r="S101" t="str">
            <v>Emission Factor</v>
          </cell>
          <cell r="T101" t="str">
            <v>Notes</v>
          </cell>
        </row>
        <row r="102">
          <cell r="A102" t="str">
            <v>UN 32 (32-0-0)</v>
          </cell>
          <cell r="C102" t="str">
            <v>Total</v>
          </cell>
          <cell r="D102">
            <v>3.8787878787878791E-3</v>
          </cell>
          <cell r="N102" t="str">
            <v>Anhydrous Ammonia</v>
          </cell>
          <cell r="O102" t="str">
            <v>NH3</v>
          </cell>
          <cell r="P102">
            <v>17</v>
          </cell>
          <cell r="Q102">
            <v>14</v>
          </cell>
          <cell r="R102">
            <v>0.82352941176470584</v>
          </cell>
          <cell r="T102" t="str">
            <v>Gaseous fertilizer spray</v>
          </cell>
        </row>
        <row r="103">
          <cell r="A103" t="str">
            <v>Urea Low Biuret (46-0-0)</v>
          </cell>
          <cell r="D103">
            <v>1.4545454545454547E-3</v>
          </cell>
          <cell r="N103" t="str">
            <v>Aqueous Ammonia</v>
          </cell>
          <cell r="O103" t="str">
            <v>NH4OH</v>
          </cell>
          <cell r="P103">
            <v>35</v>
          </cell>
          <cell r="Q103">
            <v>14</v>
          </cell>
          <cell r="R103">
            <v>0.4</v>
          </cell>
          <cell r="T103" t="str">
            <v>ammonium hydroxide</v>
          </cell>
        </row>
        <row r="104">
          <cell r="A104" t="str">
            <v>Calcium Nitratre (15.5-0-0-19Ca)</v>
          </cell>
          <cell r="F104">
            <v>1.1666653806371725E-3</v>
          </cell>
          <cell r="N104" t="str">
            <v>Ammonium Nitrate</v>
          </cell>
          <cell r="O104" t="str">
            <v>NH4NO3</v>
          </cell>
          <cell r="P104">
            <v>80</v>
          </cell>
          <cell r="Q104">
            <v>28</v>
          </cell>
          <cell r="R104">
            <v>0.35</v>
          </cell>
        </row>
        <row r="105">
          <cell r="A105" t="str">
            <v>8-8-8</v>
          </cell>
          <cell r="C105">
            <v>0.1134766785306083</v>
          </cell>
          <cell r="N105" t="str">
            <v>Ammonium Sulfate</v>
          </cell>
          <cell r="O105" t="str">
            <v>(NH4)2(SO4)</v>
          </cell>
          <cell r="P105">
            <v>132</v>
          </cell>
          <cell r="Q105">
            <v>28</v>
          </cell>
          <cell r="R105">
            <v>0.21212121212121213</v>
          </cell>
        </row>
        <row r="106">
          <cell r="A106" t="str">
            <v>10-34-00</v>
          </cell>
          <cell r="C106">
            <v>3.6310299999999997E-2</v>
          </cell>
          <cell r="N106" t="str">
            <v>Nitrogen Solutions</v>
          </cell>
          <cell r="R106">
            <v>0.3</v>
          </cell>
          <cell r="T106" t="str">
            <v>Source: LCA Digital Commons Documentation</v>
          </cell>
        </row>
        <row r="107">
          <cell r="A107" t="str">
            <v>Zinc Chelate 6%</v>
          </cell>
          <cell r="C107">
            <v>0.12500944110656811</v>
          </cell>
          <cell r="N107" t="str">
            <v>Sodium Nitrate</v>
          </cell>
          <cell r="O107" t="str">
            <v>NaNO3</v>
          </cell>
          <cell r="P107">
            <v>85</v>
          </cell>
          <cell r="Q107">
            <v>14</v>
          </cell>
          <cell r="R107">
            <v>0.16470588235294117</v>
          </cell>
        </row>
        <row r="108">
          <cell r="A108" t="str">
            <v>CAN 17</v>
          </cell>
          <cell r="C108">
            <v>0</v>
          </cell>
          <cell r="N108" t="str">
            <v>Urea</v>
          </cell>
          <cell r="O108" t="str">
            <v>CH4N2O</v>
          </cell>
          <cell r="P108">
            <v>60</v>
          </cell>
          <cell r="Q108">
            <v>28</v>
          </cell>
          <cell r="R108">
            <v>0.46666666666666667</v>
          </cell>
        </row>
        <row r="109">
          <cell r="A109" t="str">
            <v>Diammonium Phosphate, as N</v>
          </cell>
          <cell r="B109">
            <v>1.6933E-3</v>
          </cell>
        </row>
        <row r="110">
          <cell r="A110" t="str">
            <v>Urea</v>
          </cell>
          <cell r="B110">
            <v>8.2271999999999998E-4</v>
          </cell>
          <cell r="G110">
            <v>4.693473132372214E-3</v>
          </cell>
        </row>
        <row r="111">
          <cell r="A111" t="str">
            <v>Ammonium Nitrate</v>
          </cell>
          <cell r="B111">
            <v>1.1360999999999999E-3</v>
          </cell>
          <cell r="G111">
            <v>3.5406902577544775E-3</v>
          </cell>
        </row>
        <row r="113">
          <cell r="N113" t="str">
            <v>Organic Fertilizer (Fon)</v>
          </cell>
          <cell r="O113" t="str">
            <v>Dry Fraction</v>
          </cell>
          <cell r="P113" t="str">
            <v>Percent</v>
          </cell>
        </row>
        <row r="114">
          <cell r="N114" t="str">
            <v xml:space="preserve"> sewage sludge; at point-of-sale</v>
          </cell>
          <cell r="P114">
            <v>0.12000000000000001</v>
          </cell>
        </row>
        <row r="115">
          <cell r="N115" t="str">
            <v xml:space="preserve"> dairy manure; from semi-solid to solid storage; at point-of-sale</v>
          </cell>
          <cell r="O115">
            <v>0.10500000000000001</v>
          </cell>
          <cell r="P115">
            <v>8.1000000000000003E-2</v>
          </cell>
        </row>
        <row r="116">
          <cell r="N116" t="str">
            <v xml:space="preserve"> dairy manure; from slurry storage; at point-of-sale</v>
          </cell>
          <cell r="O116">
            <v>0.10500000000000001</v>
          </cell>
          <cell r="P116">
            <v>8.1000000000000003E-2</v>
          </cell>
        </row>
        <row r="117">
          <cell r="N117" t="str">
            <v xml:space="preserve"> hog manure; from semi-solid to solid storage; at point-of-sale</v>
          </cell>
          <cell r="O117">
            <v>0.1</v>
          </cell>
          <cell r="P117">
            <v>7.4500000000000011E-2</v>
          </cell>
        </row>
        <row r="118">
          <cell r="B118">
            <v>3.65212E-3</v>
          </cell>
          <cell r="C118">
            <v>0.27479641963717638</v>
          </cell>
          <cell r="D118">
            <v>5.333333333333334E-3</v>
          </cell>
          <cell r="E118">
            <v>0</v>
          </cell>
          <cell r="F118">
            <v>1.1666653806371725E-3</v>
          </cell>
          <cell r="G118">
            <v>8.2341633901266906E-3</v>
          </cell>
          <cell r="N118" t="str">
            <v xml:space="preserve"> hog manure; from slurry storage; at point-of-sale</v>
          </cell>
          <cell r="O118">
            <v>0.1</v>
          </cell>
          <cell r="P118">
            <v>7.4500000000000011E-2</v>
          </cell>
        </row>
        <row r="119">
          <cell r="N119" t="str">
            <v xml:space="preserve"> unspecified manure; from semi-solid to solid storage; at point-of-sale</v>
          </cell>
          <cell r="O119">
            <v>0.13100000000000001</v>
          </cell>
          <cell r="P119">
            <v>6.6700000000000009E-2</v>
          </cell>
        </row>
        <row r="120">
          <cell r="N120" t="str">
            <v xml:space="preserve"> unspecified animal manure; from slurry storage; at point-of-sale</v>
          </cell>
          <cell r="O120">
            <v>0.13100000000000001</v>
          </cell>
          <cell r="P120">
            <v>6.6700000000000009E-2</v>
          </cell>
        </row>
        <row r="121">
          <cell r="N121" t="str">
            <v xml:space="preserve"> beef manure; from lagoon storage; at point-of-sale</v>
          </cell>
          <cell r="O121">
            <v>0.1</v>
          </cell>
          <cell r="P121">
            <v>4.9000000000000002E-2</v>
          </cell>
        </row>
        <row r="122">
          <cell r="N122" t="str">
            <v xml:space="preserve"> dairy manure; from lagoon storage; at point-of-sale</v>
          </cell>
          <cell r="O122">
            <v>0.1</v>
          </cell>
          <cell r="P122">
            <v>8.1000000000000003E-2</v>
          </cell>
        </row>
        <row r="123">
          <cell r="N123" t="str">
            <v xml:space="preserve"> hog manure; from lagoon storage; at point-of-sale</v>
          </cell>
          <cell r="O123">
            <v>0.1</v>
          </cell>
          <cell r="P123">
            <v>7.4500000000000011E-2</v>
          </cell>
        </row>
        <row r="124">
          <cell r="N124" t="str">
            <v xml:space="preserve"> unspecified animal manure; from lagoon storage; at point-of-sale</v>
          </cell>
          <cell r="O124">
            <v>0.13100000000000001</v>
          </cell>
          <cell r="P124">
            <v>6.6700000000000009E-2</v>
          </cell>
        </row>
        <row r="125">
          <cell r="N125" t="str">
            <v xml:space="preserve"> beef manure; from unspecified storage; at point-of-sale</v>
          </cell>
          <cell r="O125">
            <v>0.1</v>
          </cell>
          <cell r="P125">
            <v>4.9000000000000002E-2</v>
          </cell>
        </row>
        <row r="126">
          <cell r="N126" t="str">
            <v xml:space="preserve"> dairy manure; from unspecified storage; at point-of-sale</v>
          </cell>
          <cell r="O126">
            <v>0.10500000000000001</v>
          </cell>
          <cell r="P126">
            <v>8.1000000000000003E-2</v>
          </cell>
        </row>
        <row r="127">
          <cell r="N127" t="str">
            <v xml:space="preserve"> hog manure; from unspecified storage; at point-of-sale</v>
          </cell>
          <cell r="O127">
            <v>0.1</v>
          </cell>
          <cell r="P127">
            <v>7.4500000000000011E-2</v>
          </cell>
        </row>
        <row r="129">
          <cell r="N129" t="str">
            <v xml:space="preserve"> unspecified animal manure; from unspecified storage; at point-of-sale</v>
          </cell>
          <cell r="O129">
            <v>0.13100000000000001</v>
          </cell>
          <cell r="P129">
            <v>6.6700000000000009E-2</v>
          </cell>
        </row>
        <row r="139">
          <cell r="B139">
            <v>0</v>
          </cell>
          <cell r="C139">
            <v>0</v>
          </cell>
          <cell r="D139">
            <v>0</v>
          </cell>
          <cell r="E139">
            <v>5.230772057210795E-3</v>
          </cell>
          <cell r="F139">
            <v>0</v>
          </cell>
          <cell r="G139">
            <v>0</v>
          </cell>
        </row>
        <row r="142">
          <cell r="B142" t="str">
            <v>Potatoes</v>
          </cell>
          <cell r="C142" t="str">
            <v>Tomatoes</v>
          </cell>
          <cell r="D142" t="str">
            <v>Citrus</v>
          </cell>
          <cell r="E142" t="str">
            <v>Melons</v>
          </cell>
          <cell r="F142" t="str">
            <v>Apples</v>
          </cell>
          <cell r="G142" t="str">
            <v>Bananas</v>
          </cell>
        </row>
        <row r="143">
          <cell r="A143" t="str">
            <v>Crop Residues (Fcr)</v>
          </cell>
          <cell r="B143" t="str">
            <v>kg-N/kg produce</v>
          </cell>
          <cell r="C143" t="str">
            <v>kg-N/kg produce</v>
          </cell>
          <cell r="D143" t="str">
            <v>kg-N/kg produce</v>
          </cell>
          <cell r="E143" t="str">
            <v>kg-N/kg produce</v>
          </cell>
          <cell r="F143" t="str">
            <v>kg-N/kg produce</v>
          </cell>
          <cell r="G143" t="str">
            <v>kg-N/kg produce</v>
          </cell>
        </row>
        <row r="146">
          <cell r="B146">
            <v>0</v>
          </cell>
          <cell r="C146">
            <v>0</v>
          </cell>
          <cell r="D146">
            <v>0</v>
          </cell>
          <cell r="E146">
            <v>0</v>
          </cell>
          <cell r="F146">
            <v>0</v>
          </cell>
          <cell r="G146">
            <v>0</v>
          </cell>
        </row>
        <row r="149">
          <cell r="B149" t="str">
            <v>Potatoes</v>
          </cell>
          <cell r="C149" t="str">
            <v>Tomatoes</v>
          </cell>
          <cell r="D149" t="str">
            <v>Citrus</v>
          </cell>
          <cell r="E149" t="str">
            <v>Melons</v>
          </cell>
          <cell r="F149" t="str">
            <v>Apples</v>
          </cell>
          <cell r="G149" t="str">
            <v>Bananas</v>
          </cell>
        </row>
        <row r="150">
          <cell r="A150" t="str">
            <v>Limestone and Dolomite (Mlimestone + Mdolomite)</v>
          </cell>
          <cell r="B150" t="str">
            <v>kg-liming material/kg produce</v>
          </cell>
          <cell r="C150" t="str">
            <v>kg-liming material/kg produce</v>
          </cell>
          <cell r="D150" t="str">
            <v>kg-liming material/kg produce</v>
          </cell>
          <cell r="E150" t="str">
            <v>kg-liming material/kg produce</v>
          </cell>
          <cell r="F150" t="str">
            <v>kg-liming material/kg produce</v>
          </cell>
          <cell r="G150" t="str">
            <v>kg-liming material/kg produce</v>
          </cell>
        </row>
        <row r="151">
          <cell r="A151" t="str">
            <v>Lime</v>
          </cell>
          <cell r="B151">
            <v>9.7017000000000006E-3</v>
          </cell>
          <cell r="E151">
            <v>1.0256410256410256E-2</v>
          </cell>
          <cell r="G151">
            <v>3.3986456968108343E-3</v>
          </cell>
        </row>
        <row r="153">
          <cell r="B153">
            <v>9.7017000000000006E-3</v>
          </cell>
          <cell r="C153">
            <v>0</v>
          </cell>
          <cell r="D153">
            <v>0</v>
          </cell>
          <cell r="E153">
            <v>1.0256410256410256E-2</v>
          </cell>
          <cell r="F153">
            <v>0</v>
          </cell>
          <cell r="G153">
            <v>3.3986456968108343E-3</v>
          </cell>
        </row>
        <row r="155">
          <cell r="N155" t="str">
            <v>Constants</v>
          </cell>
        </row>
        <row r="156">
          <cell r="B156" t="str">
            <v>Potatoes</v>
          </cell>
          <cell r="C156" t="str">
            <v>Tomatoes</v>
          </cell>
          <cell r="D156" t="str">
            <v>Citrus</v>
          </cell>
          <cell r="E156" t="str">
            <v>Melons</v>
          </cell>
          <cell r="F156" t="str">
            <v>Apples</v>
          </cell>
          <cell r="G156" t="str">
            <v>Bananas</v>
          </cell>
          <cell r="N156" t="str">
            <v>kg N2O/kg N2O-N</v>
          </cell>
          <cell r="O156">
            <v>1.5714285714285714</v>
          </cell>
        </row>
        <row r="157">
          <cell r="A157" t="str">
            <v>Urea (Murea)</v>
          </cell>
          <cell r="B157" t="str">
            <v>kg-urea/kg produce</v>
          </cell>
          <cell r="C157" t="str">
            <v>kg-urea/kg produce</v>
          </cell>
          <cell r="D157" t="str">
            <v>kg-urea/kg produce</v>
          </cell>
          <cell r="E157" t="str">
            <v>kg-urea/kg produce</v>
          </cell>
          <cell r="F157" t="str">
            <v>kg-urea/kg produce</v>
          </cell>
          <cell r="G157" t="str">
            <v>kg-urea/kg produce</v>
          </cell>
          <cell r="N157" t="str">
            <v>GWP N2O</v>
          </cell>
          <cell r="O157">
            <v>298</v>
          </cell>
        </row>
        <row r="158">
          <cell r="N158" t="str">
            <v>kg CO2/kg CO2-C</v>
          </cell>
          <cell r="O158">
            <v>3.6666666666666665</v>
          </cell>
        </row>
        <row r="159">
          <cell r="N159" t="str">
            <v>Share of Nitrogen in Urea</v>
          </cell>
          <cell r="O159">
            <v>0.46666666666666667</v>
          </cell>
        </row>
        <row r="165">
          <cell r="D165" t="str">
            <v>Citrus</v>
          </cell>
          <cell r="E165" t="str">
            <v>Melons</v>
          </cell>
          <cell r="F165" t="str">
            <v>Apples</v>
          </cell>
          <cell r="G165" t="str">
            <v>Bananas</v>
          </cell>
        </row>
        <row r="166">
          <cell r="D166">
            <v>5.333333333333334E-3</v>
          </cell>
          <cell r="E166">
            <v>0</v>
          </cell>
          <cell r="F166">
            <v>1.1666653806371725E-3</v>
          </cell>
          <cell r="G166">
            <v>8.2341633901266906E-3</v>
          </cell>
        </row>
        <row r="167">
          <cell r="A167" t="str">
            <v>Fon (kg-N/kg)</v>
          </cell>
          <cell r="B167">
            <v>0</v>
          </cell>
          <cell r="C167">
            <v>0</v>
          </cell>
          <cell r="D167">
            <v>0</v>
          </cell>
          <cell r="E167">
            <v>5.230772057210795E-3</v>
          </cell>
          <cell r="F167">
            <v>0</v>
          </cell>
          <cell r="G167">
            <v>0</v>
          </cell>
        </row>
        <row r="168">
          <cell r="A168" t="str">
            <v>Fcr (kg-N/kg)</v>
          </cell>
          <cell r="B168">
            <v>0</v>
          </cell>
          <cell r="C168">
            <v>0</v>
          </cell>
          <cell r="D168">
            <v>0</v>
          </cell>
          <cell r="E168">
            <v>0</v>
          </cell>
          <cell r="F168">
            <v>0</v>
          </cell>
          <cell r="G168">
            <v>0</v>
          </cell>
        </row>
        <row r="169">
          <cell r="A169" t="str">
            <v>Ef1 (kg-N2O-N/kg-N)</v>
          </cell>
          <cell r="B169">
            <v>0.01</v>
          </cell>
          <cell r="C169">
            <v>0.01</v>
          </cell>
          <cell r="D169">
            <v>0.01</v>
          </cell>
          <cell r="E169">
            <v>0.01</v>
          </cell>
          <cell r="F169">
            <v>0.01</v>
          </cell>
          <cell r="G169">
            <v>0.01</v>
          </cell>
        </row>
        <row r="170">
          <cell r="A170" t="str">
            <v>Total N2O (kg-N2O/kg)</v>
          </cell>
          <cell r="B170">
            <v>5.7390457142857143E-5</v>
          </cell>
          <cell r="C170">
            <v>4.3182294514413433E-3</v>
          </cell>
          <cell r="D170">
            <v>8.3809523809523815E-5</v>
          </cell>
          <cell r="E170">
            <v>8.2197846613312495E-5</v>
          </cell>
          <cell r="F170">
            <v>1.8333313124298424E-5</v>
          </cell>
          <cell r="G170">
            <v>1.2939399613056229E-4</v>
          </cell>
        </row>
        <row r="172">
          <cell r="A172" t="str">
            <v>Indirect Emissions</v>
          </cell>
        </row>
        <row r="173">
          <cell r="A173" t="str">
            <v>Volatization N2O-N = [(Fsn * FracGasf) + (Fon)*FracGASM)]* EF4</v>
          </cell>
          <cell r="B173" t="str">
            <v>Potatoes</v>
          </cell>
          <cell r="C173" t="str">
            <v>Tomatoes</v>
          </cell>
          <cell r="D173" t="str">
            <v>Citrus</v>
          </cell>
          <cell r="E173" t="str">
            <v>Melons</v>
          </cell>
          <cell r="F173" t="str">
            <v>Apples</v>
          </cell>
          <cell r="G173" t="str">
            <v>Bananas</v>
          </cell>
        </row>
        <row r="174">
          <cell r="A174" t="str">
            <v>Leaching N2O-N = [(Fsn+Fon+Fcr)* Frac Leach * EF5</v>
          </cell>
          <cell r="C174" t="str">
            <v>Tomatoes</v>
          </cell>
          <cell r="D174" t="str">
            <v>Citrus</v>
          </cell>
          <cell r="E174" t="str">
            <v>Melons</v>
          </cell>
          <cell r="F174" t="str">
            <v>Apples</v>
          </cell>
          <cell r="G174" t="str">
            <v>Bananas</v>
          </cell>
        </row>
        <row r="175">
          <cell r="A175" t="str">
            <v>Fsn (kg-N/kg)</v>
          </cell>
          <cell r="B175">
            <v>3.65212E-3</v>
          </cell>
          <cell r="C175">
            <v>0.27479641963717638</v>
          </cell>
          <cell r="D175">
            <v>5.333333333333334E-3</v>
          </cell>
          <cell r="E175">
            <v>0</v>
          </cell>
          <cell r="F175">
            <v>1.1666653806371725E-3</v>
          </cell>
          <cell r="G175">
            <v>8.2341633901266906E-3</v>
          </cell>
        </row>
        <row r="176">
          <cell r="A176" t="str">
            <v>Fon (kg-N/kg)</v>
          </cell>
          <cell r="B176">
            <v>0</v>
          </cell>
          <cell r="C176">
            <v>0</v>
          </cell>
          <cell r="D176">
            <v>0</v>
          </cell>
          <cell r="E176">
            <v>5.230772057210795E-3</v>
          </cell>
          <cell r="F176">
            <v>0</v>
          </cell>
          <cell r="G176">
            <v>0</v>
          </cell>
        </row>
        <row r="177">
          <cell r="A177" t="str">
            <v>Fcr (kg-N/kg)</v>
          </cell>
          <cell r="B177">
            <v>0</v>
          </cell>
          <cell r="C177">
            <v>0</v>
          </cell>
          <cell r="D177">
            <v>0</v>
          </cell>
          <cell r="E177">
            <v>0</v>
          </cell>
          <cell r="F177">
            <v>0</v>
          </cell>
          <cell r="G177">
            <v>0</v>
          </cell>
        </row>
        <row r="178">
          <cell r="A178" t="str">
            <v>Frac GASF (kg N volatilised / kg-N)</v>
          </cell>
          <cell r="B178">
            <v>0.1</v>
          </cell>
          <cell r="C178">
            <v>0.1</v>
          </cell>
          <cell r="D178">
            <v>0.1</v>
          </cell>
          <cell r="E178">
            <v>0.1</v>
          </cell>
          <cell r="F178">
            <v>0.1</v>
          </cell>
          <cell r="G178">
            <v>0.1</v>
          </cell>
        </row>
        <row r="179">
          <cell r="A179" t="str">
            <v>Frac GASM (kg N volatilised / kg-N)</v>
          </cell>
          <cell r="B179">
            <v>0.2</v>
          </cell>
          <cell r="C179">
            <v>0.2</v>
          </cell>
          <cell r="D179">
            <v>0.2</v>
          </cell>
          <cell r="E179">
            <v>0.2</v>
          </cell>
          <cell r="F179">
            <v>0.2</v>
          </cell>
          <cell r="G179">
            <v>0.2</v>
          </cell>
        </row>
        <row r="180">
          <cell r="A180" t="str">
            <v>EF4 (kg N2O-N/kg N volatised)</v>
          </cell>
          <cell r="B180">
            <v>0.01</v>
          </cell>
          <cell r="C180">
            <v>0.01</v>
          </cell>
          <cell r="D180">
            <v>0.01</v>
          </cell>
          <cell r="E180">
            <v>0.01</v>
          </cell>
          <cell r="F180">
            <v>0.01</v>
          </cell>
          <cell r="G180">
            <v>0.01</v>
          </cell>
        </row>
        <row r="181">
          <cell r="A181" t="str">
            <v>Frac Leach (kg N leached and runoff/ kg-N)</v>
          </cell>
          <cell r="B181">
            <v>0.3</v>
          </cell>
          <cell r="C181">
            <v>0.3</v>
          </cell>
          <cell r="D181">
            <v>0.3</v>
          </cell>
          <cell r="E181">
            <v>0.3</v>
          </cell>
          <cell r="F181">
            <v>0.3</v>
          </cell>
          <cell r="G181">
            <v>0.3</v>
          </cell>
        </row>
        <row r="182">
          <cell r="A182" t="str">
            <v>EF5 (kg N2O-N / kg N leached and runoff)</v>
          </cell>
          <cell r="B182">
            <v>7.4999999999999997E-3</v>
          </cell>
          <cell r="C182">
            <v>7.4999999999999997E-3</v>
          </cell>
          <cell r="D182">
            <v>7.4999999999999997E-3</v>
          </cell>
          <cell r="E182">
            <v>7.4999999999999997E-3</v>
          </cell>
          <cell r="F182">
            <v>7.4999999999999997E-3</v>
          </cell>
          <cell r="G182">
            <v>7.4999999999999997E-3</v>
          </cell>
        </row>
        <row r="183">
          <cell r="A183" t="str">
            <v>Volatilization (kg N2O-N/kg)</v>
          </cell>
          <cell r="B183">
            <v>3.6521200000000003E-6</v>
          </cell>
          <cell r="C183">
            <v>2.7479641963717641E-4</v>
          </cell>
          <cell r="D183">
            <v>5.3333333333333345E-6</v>
          </cell>
          <cell r="E183">
            <v>1.0461544114421591E-5</v>
          </cell>
          <cell r="F183">
            <v>1.1666653806371725E-6</v>
          </cell>
          <cell r="G183">
            <v>8.234163390126691E-6</v>
          </cell>
        </row>
        <row r="184">
          <cell r="A184" t="str">
            <v>Leaching (kg N2O-N/kg)</v>
          </cell>
          <cell r="B184">
            <v>8.217269999999998E-6</v>
          </cell>
          <cell r="C184">
            <v>6.1829194418364683E-4</v>
          </cell>
          <cell r="D184">
            <v>1.2E-5</v>
          </cell>
          <cell r="E184">
            <v>1.1769237128724288E-5</v>
          </cell>
          <cell r="F184">
            <v>2.6249971064336378E-6</v>
          </cell>
          <cell r="G184">
            <v>1.8526867627785052E-5</v>
          </cell>
        </row>
        <row r="185">
          <cell r="A185" t="str">
            <v>Total Indirect N2O (kg-N2O/kg)</v>
          </cell>
          <cell r="B185">
            <v>1.8651898571428567E-5</v>
          </cell>
          <cell r="C185">
            <v>1.4034245717184366E-3</v>
          </cell>
          <cell r="D185">
            <v>2.7238095238095241E-5</v>
          </cell>
          <cell r="E185">
            <v>3.4934084810657813E-5</v>
          </cell>
          <cell r="F185">
            <v>5.9583267653969872E-6</v>
          </cell>
          <cell r="G185">
            <v>4.2053048742432737E-5</v>
          </cell>
        </row>
        <row r="187">
          <cell r="A187" t="str">
            <v>Limestone and Dolomite Emissions</v>
          </cell>
        </row>
        <row r="188">
          <cell r="A188" t="str">
            <v>Lime Application CO2-C = (Mlimestone * EFLimestone) + (Mdolomite*Efdolomite)</v>
          </cell>
          <cell r="B188" t="str">
            <v>Potatoes</v>
          </cell>
          <cell r="C188" t="str">
            <v>Tomatoes</v>
          </cell>
          <cell r="D188" t="str">
            <v>Citrus</v>
          </cell>
          <cell r="E188" t="str">
            <v>Melons</v>
          </cell>
          <cell r="F188" t="str">
            <v>Apples</v>
          </cell>
          <cell r="G188" t="str">
            <v>Bananas</v>
          </cell>
        </row>
        <row r="189">
          <cell r="A189" t="str">
            <v>M limestone (kgLimestone/kg)</v>
          </cell>
          <cell r="B189">
            <v>9.7017000000000006E-3</v>
          </cell>
          <cell r="C189">
            <v>0</v>
          </cell>
          <cell r="D189">
            <v>0</v>
          </cell>
          <cell r="E189">
            <v>1.0256410256410256E-2</v>
          </cell>
          <cell r="F189">
            <v>0</v>
          </cell>
          <cell r="G189">
            <v>3.3986456968108343E-3</v>
          </cell>
        </row>
        <row r="190">
          <cell r="A190" t="str">
            <v>M dolomite (kgDolomite/kg)</v>
          </cell>
          <cell r="B190">
            <v>0</v>
          </cell>
          <cell r="C190">
            <v>0</v>
          </cell>
          <cell r="D190">
            <v>0</v>
          </cell>
          <cell r="E190">
            <v>0</v>
          </cell>
          <cell r="F190">
            <v>0</v>
          </cell>
          <cell r="G190">
            <v>0</v>
          </cell>
        </row>
        <row r="191">
          <cell r="A191" t="str">
            <v>EF limestone (kg-C/kgLimestone)</v>
          </cell>
          <cell r="B191">
            <v>0.12</v>
          </cell>
          <cell r="C191">
            <v>0.12</v>
          </cell>
          <cell r="D191">
            <v>0.12</v>
          </cell>
          <cell r="E191">
            <v>0.12</v>
          </cell>
          <cell r="F191">
            <v>0.12</v>
          </cell>
          <cell r="G191">
            <v>0.12</v>
          </cell>
        </row>
        <row r="192">
          <cell r="A192" t="str">
            <v>Ef dolomite (kg-C/kgDolomite)</v>
          </cell>
          <cell r="B192">
            <v>0.13</v>
          </cell>
          <cell r="C192">
            <v>0.13</v>
          </cell>
          <cell r="D192">
            <v>0.13</v>
          </cell>
          <cell r="E192">
            <v>0.13</v>
          </cell>
          <cell r="F192">
            <v>0.13</v>
          </cell>
          <cell r="G192">
            <v>0.13</v>
          </cell>
        </row>
        <row r="193">
          <cell r="A193" t="str">
            <v>Total Limestone+Dolomite CO2 Emissions (kg-CO2/kg)</v>
          </cell>
          <cell r="B193">
            <v>4.2687480000000002E-3</v>
          </cell>
          <cell r="C193">
            <v>0</v>
          </cell>
          <cell r="D193">
            <v>0</v>
          </cell>
          <cell r="E193">
            <v>4.5128205128205125E-3</v>
          </cell>
          <cell r="F193">
            <v>0</v>
          </cell>
          <cell r="G193">
            <v>1.4954041065967669E-3</v>
          </cell>
        </row>
        <row r="195">
          <cell r="A195" t="str">
            <v>Urea</v>
          </cell>
        </row>
        <row r="205">
          <cell r="A205" t="str">
            <v>Urea Application Emissions (kg CO2/kg)</v>
          </cell>
          <cell r="B205">
            <v>1.2928457142857141E-3</v>
          </cell>
          <cell r="C205">
            <v>0</v>
          </cell>
          <cell r="D205">
            <v>5.4299516908212567E-3</v>
          </cell>
          <cell r="E205">
            <v>0</v>
          </cell>
          <cell r="F205">
            <v>0</v>
          </cell>
          <cell r="G205">
            <v>7.3754577794420502E-3</v>
          </cell>
        </row>
        <row r="206">
          <cell r="A206" t="str">
            <v>Total Fertilizer Emissions (kg CO2e/kg)</v>
          </cell>
          <cell r="B206">
            <v>2.8222215717142854E-2</v>
          </cell>
          <cell r="C206">
            <v>1.7050528989016145</v>
          </cell>
          <cell r="D206">
            <v>3.8522142167011733E-2</v>
          </cell>
          <cell r="E206">
            <v>3.9418136077163671E-2</v>
          </cell>
          <cell r="F206">
            <v>7.2389086871292325E-3</v>
          </cell>
          <cell r="G206">
            <v>5.996208125819133E-2</v>
          </cell>
        </row>
        <row r="208">
          <cell r="A208" t="str">
            <v>Sum CO2 (kg CO2e/kg)</v>
          </cell>
          <cell r="B208">
            <v>5.561593714285714E-3</v>
          </cell>
          <cell r="C208">
            <v>0</v>
          </cell>
          <cell r="D208">
            <v>5.4299516908212567E-3</v>
          </cell>
          <cell r="E208">
            <v>4.5128205128205125E-3</v>
          </cell>
          <cell r="F208">
            <v>0</v>
          </cell>
          <cell r="G208">
            <v>8.8708618860388177E-3</v>
          </cell>
        </row>
        <row r="209">
          <cell r="A209" t="str">
            <v>Sum N2O (kg CO2e/kg)</v>
          </cell>
          <cell r="B209">
            <v>2.266062200285714E-2</v>
          </cell>
          <cell r="C209">
            <v>1.7050528989016145</v>
          </cell>
          <cell r="D209">
            <v>3.3092190476190476E-2</v>
          </cell>
          <cell r="E209">
            <v>3.4905315564343155E-2</v>
          </cell>
          <cell r="F209">
            <v>7.2389086871292325E-3</v>
          </cell>
          <cell r="G209">
            <v>5.1091219372152517E-2</v>
          </cell>
        </row>
        <row r="213">
          <cell r="A213" t="str">
            <v>Banana Transport Calculations</v>
          </cell>
        </row>
        <row r="214">
          <cell r="A214" t="str">
            <v>These calculations calculate retail transportation emissions for bananas.</v>
          </cell>
        </row>
        <row r="216">
          <cell r="A216" t="str">
            <v>Constants</v>
          </cell>
        </row>
        <row r="217">
          <cell r="A217" t="str">
            <v>TEU Banana Weight Capacity</v>
          </cell>
          <cell r="B217">
            <v>7500</v>
          </cell>
          <cell r="C217" t="str">
            <v>kg</v>
          </cell>
        </row>
        <row r="218">
          <cell r="A218" t="str">
            <v>Source: Analysis of Recent Shipping Manifests, http://hep.ph.liv.ac.uk/~coleman/gravity/004.pdf</v>
          </cell>
        </row>
        <row r="219">
          <cell r="A219" t="str">
            <v>Note: 15 mt bananas per TEU for 40 foot TEU, divided by 1/2 to correspond w/ BSR data for 20 foot TEUs</v>
          </cell>
        </row>
        <row r="222">
          <cell r="A222" t="str">
            <v xml:space="preserve">CO2 Emissions by Trade Lane </v>
          </cell>
          <cell r="B222">
            <v>2011</v>
          </cell>
          <cell r="D222">
            <v>2010</v>
          </cell>
          <cell r="F222">
            <v>2009</v>
          </cell>
        </row>
        <row r="223">
          <cell r="A223" t="str">
            <v>(g CO2 / TEU-km)</v>
          </cell>
          <cell r="B223" t="str">
            <v>(2,000+ vessels)</v>
          </cell>
          <cell r="D223" t="str">
            <v>(1,900+ vessels)</v>
          </cell>
          <cell r="F223" t="str">
            <v>(1,026 vessels)</v>
          </cell>
        </row>
        <row r="224">
          <cell r="B224" t="str">
            <v>Dry Container</v>
          </cell>
          <cell r="C224" t="str">
            <v>Refrigerated</v>
          </cell>
          <cell r="D224" t="str">
            <v>Dry Container</v>
          </cell>
          <cell r="E224" t="str">
            <v>Refrigerated</v>
          </cell>
          <cell r="F224" t="str">
            <v>Dry Container</v>
          </cell>
          <cell r="G224" t="str">
            <v>Refrigerated</v>
          </cell>
        </row>
        <row r="225">
          <cell r="A225" t="str">
            <v>North America--South America (EC/WC)*</v>
          </cell>
          <cell r="B225">
            <v>71.400000000000006</v>
          </cell>
          <cell r="C225">
            <v>97</v>
          </cell>
          <cell r="D225">
            <v>77.8</v>
          </cell>
          <cell r="E225">
            <v>110.6</v>
          </cell>
          <cell r="F225">
            <v>84.96</v>
          </cell>
          <cell r="G225">
            <v>112.84</v>
          </cell>
        </row>
        <row r="227">
          <cell r="A227" t="str">
            <v>Source: BSR, 2012, Clean Cargo Working Group Global Trade Lane Emissions Factors. Retrieved from: https://www.bsr.org/reports/BSR_CCWG_TradeLaneEmissionsFactorsReport.pdf</v>
          </cell>
        </row>
        <row r="228">
          <cell r="A228" t="str">
            <v>Note: “Dry” = non-refrigerated cargo; “TEU” = twenty-foot equivalent unit, used to describe capacity of container 
vessels</v>
          </cell>
        </row>
        <row r="230">
          <cell r="A230" t="str">
            <v>Outputs</v>
          </cell>
        </row>
        <row r="232">
          <cell r="A232" t="str">
            <v xml:space="preserve">CO2 Emissions by Trade Lane </v>
          </cell>
          <cell r="B232">
            <v>2011</v>
          </cell>
          <cell r="D232">
            <v>2010</v>
          </cell>
          <cell r="F232">
            <v>2009</v>
          </cell>
        </row>
        <row r="233">
          <cell r="A233" t="str">
            <v>(g CO2 / kg*km)</v>
          </cell>
          <cell r="B233" t="str">
            <v>(2,000+ vessels)</v>
          </cell>
          <cell r="D233" t="str">
            <v>(1,900+ vessels)</v>
          </cell>
          <cell r="F233" t="str">
            <v>(1,026 vessels)</v>
          </cell>
        </row>
        <row r="242">
          <cell r="H242" t="str">
            <v>ICF Calcs</v>
          </cell>
          <cell r="I242" t="str">
            <v>AVG Distance from Guatemala + Costa Rica</v>
          </cell>
        </row>
        <row r="243">
          <cell r="A243" t="str">
            <v>B_A_COS_HOUSTO</v>
          </cell>
          <cell r="B243" t="str">
            <v>Bananas</v>
          </cell>
          <cell r="C243" t="str">
            <v>Air</v>
          </cell>
          <cell r="D243" t="str">
            <v>COSTA RICA</v>
          </cell>
          <cell r="E243" t="str">
            <v>HOUSTON</v>
          </cell>
          <cell r="F243">
            <v>2376.25</v>
          </cell>
          <cell r="I243">
            <v>3093.4575000000004</v>
          </cell>
        </row>
        <row r="244">
          <cell r="A244" t="str">
            <v>B_A_COS_MIAMI</v>
          </cell>
          <cell r="B244" t="str">
            <v>Bananas</v>
          </cell>
          <cell r="C244" t="str">
            <v>Air</v>
          </cell>
          <cell r="D244" t="str">
            <v>COSTA RICA</v>
          </cell>
          <cell r="E244" t="str">
            <v>MIAMI AIRPORT</v>
          </cell>
          <cell r="F244">
            <v>1729.82</v>
          </cell>
          <cell r="I244" t="str">
            <v>This is the weighted average of total ship transport distance from Guatemala and Costa Rica, the two largest producers who ship to the United States</v>
          </cell>
        </row>
        <row r="245">
          <cell r="A245" t="str">
            <v>B_A_DOM_ATLANT</v>
          </cell>
          <cell r="B245" t="str">
            <v>Bananas</v>
          </cell>
          <cell r="C245" t="str">
            <v>Air</v>
          </cell>
          <cell r="D245" t="str">
            <v>DOMINICAN REPUBLIC</v>
          </cell>
          <cell r="E245" t="str">
            <v>ATLANTA</v>
          </cell>
          <cell r="F245">
            <v>2092.21</v>
          </cell>
        </row>
        <row r="246">
          <cell r="A246" t="str">
            <v>B_A_DOM_MIAMI</v>
          </cell>
          <cell r="B246" t="str">
            <v>Bananas</v>
          </cell>
          <cell r="C246" t="str">
            <v>Air</v>
          </cell>
          <cell r="D246" t="str">
            <v>DOMINICAN REPUBLIC</v>
          </cell>
          <cell r="E246" t="str">
            <v>MIAMI AIRPORT</v>
          </cell>
          <cell r="F246">
            <v>1221.1099999999999</v>
          </cell>
          <cell r="H246" t="str">
            <v>Source: Personal Correspondence w/ Greta Bernatz, Dept. of Resource Analysis at St. Mary's University, author of "Apples, Bananas, and Oranges: Using GIS to Determine Distance Travelled, Energy Use, and Emissions from Imported Fruit"</v>
          </cell>
        </row>
        <row r="247">
          <cell r="A247" t="str">
            <v>B_A_DOM_NEWARK</v>
          </cell>
          <cell r="B247" t="str">
            <v>Bananas</v>
          </cell>
          <cell r="C247" t="str">
            <v>Air</v>
          </cell>
          <cell r="D247" t="str">
            <v>DOMINICAN REPUBLIC</v>
          </cell>
          <cell r="E247" t="str">
            <v>NEWARK AIRPORT</v>
          </cell>
          <cell r="F247">
            <v>2391.08</v>
          </cell>
        </row>
        <row r="248">
          <cell r="A248" t="str">
            <v>B_A_DOM_NEWYOR</v>
          </cell>
          <cell r="B248" t="str">
            <v>Bananas</v>
          </cell>
          <cell r="C248" t="str">
            <v>Air</v>
          </cell>
          <cell r="D248" t="str">
            <v>DOMINICAN REPUBLIC</v>
          </cell>
          <cell r="E248" t="str">
            <v>NEW YORK JFK AIRPORT</v>
          </cell>
          <cell r="F248">
            <v>2396.5700000000002</v>
          </cell>
        </row>
        <row r="249">
          <cell r="A249" t="str">
            <v>B_A_GUA_LOSANG</v>
          </cell>
          <cell r="B249" t="str">
            <v>Bananas</v>
          </cell>
          <cell r="C249" t="str">
            <v>Air</v>
          </cell>
          <cell r="D249" t="str">
            <v>GUATEMALA</v>
          </cell>
          <cell r="E249" t="str">
            <v>LOS ANGELES AIRPORT</v>
          </cell>
          <cell r="F249">
            <v>3531.49</v>
          </cell>
        </row>
        <row r="250">
          <cell r="A250" t="str">
            <v>B_A_JAM_NEWYOR</v>
          </cell>
          <cell r="B250" t="str">
            <v>Bananas</v>
          </cell>
          <cell r="C250" t="str">
            <v>Air</v>
          </cell>
          <cell r="D250" t="str">
            <v>JAMAICA</v>
          </cell>
          <cell r="E250" t="str">
            <v>NEW YORK JFK AIRPORT</v>
          </cell>
          <cell r="F250">
            <v>2549.64</v>
          </cell>
        </row>
        <row r="251">
          <cell r="A251" t="str">
            <v>B_A_MEX_HOUSTO</v>
          </cell>
          <cell r="B251" t="str">
            <v>Bananas</v>
          </cell>
          <cell r="C251" t="str">
            <v>Air</v>
          </cell>
          <cell r="D251" t="str">
            <v>MEXICO</v>
          </cell>
          <cell r="E251" t="str">
            <v>HOUSTON</v>
          </cell>
          <cell r="F251">
            <v>1322.91</v>
          </cell>
        </row>
        <row r="252">
          <cell r="A252" t="str">
            <v>B_A_MEX_LOSANG</v>
          </cell>
          <cell r="B252" t="str">
            <v>Bananas</v>
          </cell>
          <cell r="C252" t="str">
            <v>Air</v>
          </cell>
          <cell r="D252" t="str">
            <v>MEXICO</v>
          </cell>
          <cell r="E252" t="str">
            <v>LOS ANGELES AIRPORT</v>
          </cell>
          <cell r="F252">
            <v>2948.25</v>
          </cell>
        </row>
        <row r="253">
          <cell r="A253" t="str">
            <v>B_A_MEX_PHOENI</v>
          </cell>
          <cell r="B253" t="str">
            <v>Bananas</v>
          </cell>
          <cell r="C253" t="str">
            <v>Air</v>
          </cell>
          <cell r="D253" t="str">
            <v>MEXICO</v>
          </cell>
          <cell r="E253" t="str">
            <v>PHOENIX</v>
          </cell>
          <cell r="F253">
            <v>2432.2800000000002</v>
          </cell>
        </row>
        <row r="254">
          <cell r="A254" t="str">
            <v>B_I_MEX_BLAINE_A</v>
          </cell>
          <cell r="B254" t="str">
            <v>Bananas</v>
          </cell>
          <cell r="C254" t="str">
            <v>Air</v>
          </cell>
          <cell r="D254" t="str">
            <v>MEXICO</v>
          </cell>
          <cell r="E254" t="str">
            <v>BLAINE (WASHINGTON)</v>
          </cell>
          <cell r="F254">
            <v>4302.0600000000004</v>
          </cell>
        </row>
        <row r="255">
          <cell r="A255" t="str">
            <v>B_B_BEL_SFLORI</v>
          </cell>
          <cell r="B255" t="str">
            <v>Bananas</v>
          </cell>
          <cell r="C255" t="str">
            <v>Boat</v>
          </cell>
          <cell r="D255" t="str">
            <v>BELIZE</v>
          </cell>
          <cell r="E255" t="str">
            <v>SOUTH FLORIDA/TAMPA</v>
          </cell>
          <cell r="F255">
            <v>1372.33</v>
          </cell>
        </row>
        <row r="256">
          <cell r="A256" t="str">
            <v>B_B_COL_CORPUS</v>
          </cell>
          <cell r="B256" t="str">
            <v>Bananas</v>
          </cell>
          <cell r="C256" t="str">
            <v>Boat</v>
          </cell>
          <cell r="D256" t="str">
            <v>COLOMBIA</v>
          </cell>
          <cell r="E256" t="str">
            <v>CORPUS CHRISTI (TEXAS)</v>
          </cell>
          <cell r="F256">
            <v>3650.29</v>
          </cell>
        </row>
        <row r="257">
          <cell r="A257" t="str">
            <v>B_B_COL_ELIZAB</v>
          </cell>
          <cell r="B257" t="str">
            <v>Bananas</v>
          </cell>
          <cell r="C257" t="str">
            <v>Boat</v>
          </cell>
          <cell r="D257" t="str">
            <v>COLOMBIA</v>
          </cell>
          <cell r="E257" t="str">
            <v>ELIZABETH (NEW JERSEY)</v>
          </cell>
          <cell r="F257">
            <v>4389.24</v>
          </cell>
        </row>
        <row r="258">
          <cell r="A258" t="str">
            <v>B_B_COL_FREEPO</v>
          </cell>
          <cell r="B258" t="str">
            <v>Bananas</v>
          </cell>
          <cell r="C258" t="str">
            <v>Boat</v>
          </cell>
          <cell r="D258" t="str">
            <v>COLOMBIA</v>
          </cell>
          <cell r="E258" t="str">
            <v>FREEPORT (TEXAS)</v>
          </cell>
          <cell r="F258">
            <v>3524.349999999999</v>
          </cell>
        </row>
        <row r="259">
          <cell r="A259" t="str">
            <v>B_B_COL_GALVES</v>
          </cell>
          <cell r="B259" t="str">
            <v>Bananas</v>
          </cell>
          <cell r="C259" t="str">
            <v>Boat</v>
          </cell>
          <cell r="D259" t="str">
            <v>COLOMBIA</v>
          </cell>
          <cell r="E259" t="str">
            <v>GALVESTON (TEXAS)</v>
          </cell>
          <cell r="F259">
            <v>3524.349999999999</v>
          </cell>
        </row>
        <row r="260">
          <cell r="A260" t="str">
            <v>B_B_COL_GULFPO</v>
          </cell>
          <cell r="B260" t="str">
            <v>Bananas</v>
          </cell>
          <cell r="C260" t="str">
            <v>Boat</v>
          </cell>
          <cell r="D260" t="str">
            <v>COLOMBIA</v>
          </cell>
          <cell r="E260" t="str">
            <v>GULFPORT (MISSISSIPPI)</v>
          </cell>
          <cell r="F260">
            <v>3224.3300000000004</v>
          </cell>
        </row>
        <row r="261">
          <cell r="A261" t="str">
            <v>B_B_COL_NEWHAV</v>
          </cell>
          <cell r="B261" t="str">
            <v>Bananas</v>
          </cell>
          <cell r="C261" t="str">
            <v>Boat</v>
          </cell>
          <cell r="D261" t="str">
            <v>COLOMBIA</v>
          </cell>
          <cell r="E261" t="str">
            <v>NEW HAVEN (CONNECTICUT)</v>
          </cell>
          <cell r="F261">
            <v>4552.21</v>
          </cell>
        </row>
        <row r="262">
          <cell r="A262" t="str">
            <v>B_B_COL_PHILAD</v>
          </cell>
          <cell r="B262" t="str">
            <v>Bananas</v>
          </cell>
          <cell r="C262" t="str">
            <v>Boat</v>
          </cell>
          <cell r="D262" t="str">
            <v>COLOMBIA</v>
          </cell>
          <cell r="E262" t="str">
            <v>PHILADELPHIA-CAMDEN</v>
          </cell>
          <cell r="F262">
            <v>4335.53</v>
          </cell>
        </row>
        <row r="263">
          <cell r="A263" t="str">
            <v>B_B_COL_SFLORI</v>
          </cell>
          <cell r="B263" t="str">
            <v>Bananas</v>
          </cell>
          <cell r="C263" t="str">
            <v>Boat</v>
          </cell>
          <cell r="D263" t="str">
            <v>COLOMBIA</v>
          </cell>
          <cell r="E263" t="str">
            <v>SOUTH FLORIDA/TAMPA</v>
          </cell>
          <cell r="F263">
            <v>2983.5700000000011</v>
          </cell>
        </row>
        <row r="264">
          <cell r="A264" t="str">
            <v>B_B_COL_WILMIN</v>
          </cell>
          <cell r="B264" t="str">
            <v>Bananas</v>
          </cell>
          <cell r="C264" t="str">
            <v>Boat</v>
          </cell>
          <cell r="D264" t="str">
            <v>COLOMBIA</v>
          </cell>
          <cell r="E264" t="str">
            <v>WILMINGTON (DELAWARE)</v>
          </cell>
          <cell r="F264">
            <v>3718.8099999999995</v>
          </cell>
        </row>
        <row r="265">
          <cell r="A265" t="str">
            <v>B_B_COS_BROOKL</v>
          </cell>
          <cell r="B265" t="str">
            <v>Bananas</v>
          </cell>
          <cell r="C265" t="str">
            <v>Boat</v>
          </cell>
          <cell r="D265" t="str">
            <v>COSTA RICA</v>
          </cell>
          <cell r="E265" t="str">
            <v>BROOKLYN (NYC)</v>
          </cell>
          <cell r="F265">
            <v>3791.04</v>
          </cell>
        </row>
        <row r="266">
          <cell r="A266" t="str">
            <v>B_B_COS_CORPUS</v>
          </cell>
          <cell r="B266" t="str">
            <v>Bananas</v>
          </cell>
          <cell r="C266" t="str">
            <v>Boat</v>
          </cell>
          <cell r="D266" t="str">
            <v>COSTA RICA</v>
          </cell>
          <cell r="E266" t="str">
            <v>CORPUS CHRISTI (TEXAS)</v>
          </cell>
          <cell r="F266">
            <v>2770.59</v>
          </cell>
        </row>
        <row r="267">
          <cell r="A267" t="str">
            <v>B_B_COS_ELIZAB</v>
          </cell>
          <cell r="B267" t="str">
            <v>Bananas</v>
          </cell>
          <cell r="C267" t="str">
            <v>Boat</v>
          </cell>
          <cell r="D267" t="str">
            <v>COSTA RICA</v>
          </cell>
          <cell r="E267" t="str">
            <v>ELIZABETH (NEW JERSEY)</v>
          </cell>
          <cell r="F267">
            <v>3791.04</v>
          </cell>
        </row>
        <row r="268">
          <cell r="A268" t="str">
            <v>B_B_COS_FREEPO</v>
          </cell>
          <cell r="B268" t="str">
            <v>Bananas</v>
          </cell>
          <cell r="C268" t="str">
            <v>Boat</v>
          </cell>
          <cell r="D268" t="str">
            <v>COSTA RICA</v>
          </cell>
          <cell r="E268" t="str">
            <v>FREEPORT (TEXAS)</v>
          </cell>
          <cell r="F268">
            <v>2644.6500000000005</v>
          </cell>
        </row>
        <row r="269">
          <cell r="A269" t="str">
            <v>B_B_COS_GALVES</v>
          </cell>
          <cell r="B269" t="str">
            <v>Bananas</v>
          </cell>
          <cell r="C269" t="str">
            <v>Boat</v>
          </cell>
          <cell r="D269" t="str">
            <v>COSTA RICA</v>
          </cell>
          <cell r="E269" t="str">
            <v>GALVESTON (TEXAS)</v>
          </cell>
          <cell r="F269">
            <v>2644.6500000000005</v>
          </cell>
        </row>
        <row r="270">
          <cell r="A270" t="str">
            <v>B_B_COS_GULFPO</v>
          </cell>
          <cell r="B270" t="str">
            <v>Bananas</v>
          </cell>
          <cell r="C270" t="str">
            <v>Boat</v>
          </cell>
          <cell r="D270" t="str">
            <v>COSTA RICA</v>
          </cell>
          <cell r="E270" t="str">
            <v>GULFPORT (MISSISSIPPI)</v>
          </cell>
          <cell r="F270">
            <v>2344.6300000000006</v>
          </cell>
        </row>
        <row r="271">
          <cell r="A271" t="str">
            <v>B_B_COS_LOSANG</v>
          </cell>
          <cell r="B271" t="str">
            <v>Bananas</v>
          </cell>
          <cell r="C271" t="str">
            <v>Boat</v>
          </cell>
          <cell r="D271" t="str">
            <v>COSTA RICA</v>
          </cell>
          <cell r="E271" t="str">
            <v>LOS ANGELES-LONG BEACH</v>
          </cell>
          <cell r="F271">
            <v>4628.1500000000005</v>
          </cell>
        </row>
        <row r="281">
          <cell r="A281" t="str">
            <v>B_B_ECU_CORPUS</v>
          </cell>
          <cell r="B281" t="str">
            <v>Bananas</v>
          </cell>
          <cell r="C281" t="str">
            <v>Boat</v>
          </cell>
          <cell r="D281" t="str">
            <v>ECUADOR</v>
          </cell>
          <cell r="E281" t="str">
            <v>CORPUS CHRISTI (TEXAS)</v>
          </cell>
          <cell r="F281">
            <v>4524.4399999999996</v>
          </cell>
        </row>
        <row r="282">
          <cell r="A282" t="str">
            <v>B_B_ECU_ELIZAB</v>
          </cell>
          <cell r="B282" t="str">
            <v>Bananas</v>
          </cell>
          <cell r="C282" t="str">
            <v>Boat</v>
          </cell>
          <cell r="D282" t="str">
            <v>ECUADOR</v>
          </cell>
          <cell r="E282" t="str">
            <v>ELIZABETH (NEW JERSEY)</v>
          </cell>
          <cell r="F282">
            <v>5263.39</v>
          </cell>
        </row>
        <row r="283">
          <cell r="A283" t="str">
            <v>B_B_ECU_FREEPO</v>
          </cell>
          <cell r="B283" t="str">
            <v>Bananas</v>
          </cell>
          <cell r="C283" t="str">
            <v>Boat</v>
          </cell>
          <cell r="D283" t="str">
            <v>ECUADOR</v>
          </cell>
          <cell r="E283" t="str">
            <v>FREEPORT (TEXAS)</v>
          </cell>
          <cell r="F283">
            <v>4398.5</v>
          </cell>
        </row>
        <row r="284">
          <cell r="A284" t="str">
            <v>B_B_ECU_GALVES</v>
          </cell>
          <cell r="B284" t="str">
            <v>Bananas</v>
          </cell>
          <cell r="C284" t="str">
            <v>Boat</v>
          </cell>
          <cell r="D284" t="str">
            <v>ECUADOR</v>
          </cell>
          <cell r="E284" t="str">
            <v>GALVESTON (TEXAS)</v>
          </cell>
          <cell r="F284">
            <v>4398.5</v>
          </cell>
        </row>
        <row r="285">
          <cell r="A285" t="str">
            <v>B_B_ECU_GULFPO</v>
          </cell>
          <cell r="B285" t="str">
            <v>Bananas</v>
          </cell>
          <cell r="C285" t="str">
            <v>Boat</v>
          </cell>
          <cell r="D285" t="str">
            <v>ECUADOR</v>
          </cell>
          <cell r="E285" t="str">
            <v>GULFPORT (MISSISSIPPI)</v>
          </cell>
          <cell r="F285">
            <v>4098.4799999999996</v>
          </cell>
        </row>
        <row r="286">
          <cell r="A286" t="str">
            <v>B_B_ECU_HOUSTO</v>
          </cell>
          <cell r="B286" t="str">
            <v>Bananas</v>
          </cell>
          <cell r="C286" t="str">
            <v>Boat</v>
          </cell>
          <cell r="D286" t="str">
            <v>ECUADOR</v>
          </cell>
          <cell r="E286" t="str">
            <v>HOUSTON</v>
          </cell>
          <cell r="F286">
            <v>4485.55</v>
          </cell>
        </row>
        <row r="287">
          <cell r="A287" t="str">
            <v>B_B_ECU_LOSANG</v>
          </cell>
          <cell r="B287" t="str">
            <v>Bananas</v>
          </cell>
          <cell r="C287" t="str">
            <v>Boat</v>
          </cell>
          <cell r="D287" t="str">
            <v>ECUADOR</v>
          </cell>
          <cell r="E287" t="str">
            <v>LOS ANGELES-LONG BEACH</v>
          </cell>
          <cell r="F287">
            <v>5959.7399999999989</v>
          </cell>
        </row>
        <row r="288">
          <cell r="A288" t="str">
            <v>B_B_ECU_OAKLAN</v>
          </cell>
          <cell r="B288" t="str">
            <v>Bananas</v>
          </cell>
          <cell r="C288" t="str">
            <v>Boat</v>
          </cell>
          <cell r="D288" t="str">
            <v>ECUADOR</v>
          </cell>
          <cell r="E288" t="str">
            <v>OAKLAND</v>
          </cell>
          <cell r="F288">
            <v>6570.9</v>
          </cell>
        </row>
        <row r="289">
          <cell r="A289" t="str">
            <v>B_B_ECU_PHILAD</v>
          </cell>
          <cell r="B289" t="str">
            <v>Bananas</v>
          </cell>
          <cell r="C289" t="str">
            <v>Boat</v>
          </cell>
          <cell r="D289" t="str">
            <v>ECUADOR</v>
          </cell>
          <cell r="E289" t="str">
            <v>PHILADELPHIA-CAMDEN</v>
          </cell>
          <cell r="F289">
            <v>5209.68</v>
          </cell>
        </row>
        <row r="290">
          <cell r="A290" t="str">
            <v>B_B_ECU_PORTHU</v>
          </cell>
          <cell r="B290" t="str">
            <v>Bananas</v>
          </cell>
          <cell r="C290" t="str">
            <v>Boat</v>
          </cell>
          <cell r="D290" t="str">
            <v>ECUADOR</v>
          </cell>
          <cell r="E290" t="str">
            <v>PORT HUENEME (CALIF)</v>
          </cell>
          <cell r="F290">
            <v>6043.0800000000008</v>
          </cell>
        </row>
        <row r="291">
          <cell r="A291" t="str">
            <v>B_B_ECU_SANDIE</v>
          </cell>
          <cell r="B291" t="str">
            <v>Bananas</v>
          </cell>
          <cell r="C291" t="str">
            <v>Boat</v>
          </cell>
          <cell r="D291" t="str">
            <v>ECUADOR</v>
          </cell>
          <cell r="E291" t="str">
            <v>SAN DIEGO</v>
          </cell>
          <cell r="F291">
            <v>5763.4199999999992</v>
          </cell>
        </row>
        <row r="292">
          <cell r="A292" t="str">
            <v>B_B_ECU_SFLORI</v>
          </cell>
          <cell r="B292" t="str">
            <v>Bananas</v>
          </cell>
          <cell r="C292" t="str">
            <v>Boat</v>
          </cell>
          <cell r="D292" t="str">
            <v>ECUADOR</v>
          </cell>
          <cell r="E292" t="str">
            <v>SOUTH FLORIDA/TAMPA</v>
          </cell>
          <cell r="F292">
            <v>3857.7200000000007</v>
          </cell>
        </row>
        <row r="293">
          <cell r="A293" t="str">
            <v>B_B_ECU_WILMIN</v>
          </cell>
          <cell r="B293" t="str">
            <v>Bananas</v>
          </cell>
          <cell r="C293" t="str">
            <v>Boat</v>
          </cell>
          <cell r="D293" t="str">
            <v>ECUADOR</v>
          </cell>
          <cell r="E293" t="str">
            <v>WILMINGTON (DELAWARE)</v>
          </cell>
          <cell r="F293">
            <v>4592.96</v>
          </cell>
        </row>
        <row r="294">
          <cell r="A294" t="str">
            <v>B_B_ELS_GALVES</v>
          </cell>
          <cell r="B294" t="str">
            <v>Bananas</v>
          </cell>
          <cell r="C294" t="str">
            <v>Boat</v>
          </cell>
          <cell r="D294" t="str">
            <v>EL SALVADOR</v>
          </cell>
          <cell r="E294" t="str">
            <v>GALVESTON (TEXAS)</v>
          </cell>
          <cell r="F294">
            <v>4120.7</v>
          </cell>
        </row>
        <row r="295">
          <cell r="A295" t="str">
            <v>B_B_GUA_FREEPO</v>
          </cell>
          <cell r="B295" t="str">
            <v>Bananas</v>
          </cell>
          <cell r="C295" t="str">
            <v>Boat</v>
          </cell>
          <cell r="D295" t="str">
            <v>GUATEMALA</v>
          </cell>
          <cell r="E295" t="str">
            <v>FREEPORT (TEXAS)</v>
          </cell>
          <cell r="F295">
            <v>1931.6399999999996</v>
          </cell>
        </row>
        <row r="296">
          <cell r="A296" t="str">
            <v>B_B_GUA_GALVES</v>
          </cell>
          <cell r="B296" t="str">
            <v>Bananas</v>
          </cell>
          <cell r="C296" t="str">
            <v>Boat</v>
          </cell>
          <cell r="D296" t="str">
            <v>GUATEMALA</v>
          </cell>
          <cell r="E296" t="str">
            <v>GALVESTON (TEXAS)</v>
          </cell>
          <cell r="F296">
            <v>1931.6399999999996</v>
          </cell>
        </row>
        <row r="297">
          <cell r="A297" t="str">
            <v>B_B_GUA_GULFPO</v>
          </cell>
          <cell r="B297" t="str">
            <v>Bananas</v>
          </cell>
          <cell r="C297" t="str">
            <v>Boat</v>
          </cell>
          <cell r="D297" t="str">
            <v>GUATEMALA</v>
          </cell>
          <cell r="E297" t="str">
            <v>GULFPORT (MISSISSIPPI)</v>
          </cell>
          <cell r="F297">
            <v>1802</v>
          </cell>
        </row>
        <row r="298">
          <cell r="A298" t="str">
            <v>B_B_GUA_HOUSTO</v>
          </cell>
          <cell r="B298" t="str">
            <v>Bananas</v>
          </cell>
          <cell r="C298" t="str">
            <v>Boat</v>
          </cell>
          <cell r="D298" t="str">
            <v>GUATEMALA</v>
          </cell>
          <cell r="E298" t="str">
            <v>HOUSTON</v>
          </cell>
          <cell r="F298">
            <v>2018.68</v>
          </cell>
        </row>
        <row r="299">
          <cell r="A299" t="str">
            <v>B_B_GUA_LOSANG</v>
          </cell>
          <cell r="B299" t="str">
            <v>Bananas</v>
          </cell>
          <cell r="C299" t="str">
            <v>Boat</v>
          </cell>
          <cell r="D299" t="str">
            <v>GUATEMALA</v>
          </cell>
          <cell r="E299" t="str">
            <v>LOS ANGELES-LONG BEACH</v>
          </cell>
          <cell r="F299">
            <v>3804.0100000000007</v>
          </cell>
        </row>
        <row r="300">
          <cell r="A300" t="str">
            <v>B_B_GUA_NEWORL</v>
          </cell>
          <cell r="B300" t="str">
            <v>Bananas</v>
          </cell>
          <cell r="C300" t="str">
            <v>Boat</v>
          </cell>
          <cell r="D300" t="str">
            <v>GUATEMALA</v>
          </cell>
          <cell r="E300" t="str">
            <v>NEW ORLEANS</v>
          </cell>
          <cell r="F300">
            <v>1768.66</v>
          </cell>
        </row>
        <row r="301">
          <cell r="A301" t="str">
            <v>B_B_GUA_PHILAD</v>
          </cell>
          <cell r="B301" t="str">
            <v>Bananas</v>
          </cell>
          <cell r="C301" t="str">
            <v>Boat</v>
          </cell>
          <cell r="D301" t="str">
            <v>GUATEMALA</v>
          </cell>
          <cell r="E301" t="str">
            <v>PHILADELPHIA-CAMDEN</v>
          </cell>
          <cell r="F301">
            <v>3289.150000000001</v>
          </cell>
        </row>
        <row r="302">
          <cell r="A302" t="str">
            <v>B_B_GUA_PORTHU</v>
          </cell>
          <cell r="B302" t="str">
            <v>Bananas</v>
          </cell>
          <cell r="C302" t="str">
            <v>Boat</v>
          </cell>
          <cell r="D302" t="str">
            <v>GUATEMALA</v>
          </cell>
          <cell r="E302" t="str">
            <v>PORT HUENEME (CALIF)</v>
          </cell>
          <cell r="F302">
            <v>3887.349999999999</v>
          </cell>
        </row>
        <row r="303">
          <cell r="A303" t="str">
            <v>B_B_GUA_SANDIE</v>
          </cell>
          <cell r="B303" t="str">
            <v>Bananas</v>
          </cell>
          <cell r="C303" t="str">
            <v>Boat</v>
          </cell>
          <cell r="D303" t="str">
            <v>GUATEMALA</v>
          </cell>
          <cell r="E303" t="str">
            <v>SAN DIEGO</v>
          </cell>
          <cell r="F303">
            <v>3691.0400000000004</v>
          </cell>
        </row>
        <row r="304">
          <cell r="A304" t="str">
            <v>B_B_GUA_SFLORI</v>
          </cell>
          <cell r="B304" t="str">
            <v>Bananas</v>
          </cell>
          <cell r="C304" t="str">
            <v>Boat</v>
          </cell>
          <cell r="D304" t="str">
            <v>GUATEMALA</v>
          </cell>
          <cell r="E304" t="str">
            <v>SOUTH FLORIDA/TAMPA</v>
          </cell>
          <cell r="F304">
            <v>1561.2400000000007</v>
          </cell>
        </row>
        <row r="305">
          <cell r="A305" t="str">
            <v>B_B_GUA_WILMIN</v>
          </cell>
          <cell r="B305" t="str">
            <v>Bananas</v>
          </cell>
          <cell r="C305" t="str">
            <v>Boat</v>
          </cell>
          <cell r="D305" t="str">
            <v>GUATEMALA</v>
          </cell>
          <cell r="E305" t="str">
            <v>WILMINGTON (DELAWARE)</v>
          </cell>
          <cell r="F305">
            <v>3241</v>
          </cell>
        </row>
        <row r="306">
          <cell r="A306" t="str">
            <v>B_B_HON_FREEPO</v>
          </cell>
          <cell r="B306" t="str">
            <v>Bananas</v>
          </cell>
          <cell r="C306" t="str">
            <v>Boat</v>
          </cell>
          <cell r="D306" t="str">
            <v>HONDURAS</v>
          </cell>
          <cell r="E306" t="str">
            <v>FREEPORT (TEXAS)</v>
          </cell>
          <cell r="F306">
            <v>1853.8499999999997</v>
          </cell>
        </row>
        <row r="307">
          <cell r="A307" t="str">
            <v>B_B_HON_GALVES</v>
          </cell>
          <cell r="B307" t="str">
            <v>Bananas</v>
          </cell>
          <cell r="C307" t="str">
            <v>Boat</v>
          </cell>
          <cell r="D307" t="str">
            <v>HONDURAS</v>
          </cell>
          <cell r="E307" t="str">
            <v>GALVESTON (TEXAS)</v>
          </cell>
          <cell r="F307">
            <v>1853.8499999999997</v>
          </cell>
        </row>
        <row r="308">
          <cell r="A308" t="str">
            <v>B_B_HON_GULFPO</v>
          </cell>
          <cell r="B308" t="str">
            <v>Bananas</v>
          </cell>
          <cell r="C308" t="str">
            <v>Boat</v>
          </cell>
          <cell r="D308" t="str">
            <v>HONDURAS</v>
          </cell>
          <cell r="E308" t="str">
            <v>GULFPORT (MISSISSIPPI)</v>
          </cell>
          <cell r="F308">
            <v>1727.92</v>
          </cell>
        </row>
        <row r="309">
          <cell r="A309" t="str">
            <v>B_B_HON_NORFOL</v>
          </cell>
          <cell r="B309" t="str">
            <v>Bananas</v>
          </cell>
          <cell r="C309" t="str">
            <v>Boat</v>
          </cell>
          <cell r="D309" t="str">
            <v>HONDURAS</v>
          </cell>
          <cell r="E309" t="str">
            <v>NORFOLK</v>
          </cell>
          <cell r="F309">
            <v>2903.94</v>
          </cell>
        </row>
        <row r="319">
          <cell r="A319" t="str">
            <v>B_B_PAN_ELIZAB</v>
          </cell>
          <cell r="B319" t="str">
            <v>Bananas</v>
          </cell>
          <cell r="C319" t="str">
            <v>Boat</v>
          </cell>
          <cell r="D319" t="str">
            <v>PANAMA</v>
          </cell>
          <cell r="E319" t="str">
            <v>ELIZABETH (NEW JERSEY)</v>
          </cell>
          <cell r="F319">
            <v>3655.85</v>
          </cell>
        </row>
        <row r="320">
          <cell r="A320" t="str">
            <v>B_B_PAN_FREEPO</v>
          </cell>
          <cell r="B320" t="str">
            <v>Bananas</v>
          </cell>
          <cell r="C320" t="str">
            <v>Boat</v>
          </cell>
          <cell r="D320" t="str">
            <v>PANAMA</v>
          </cell>
          <cell r="E320" t="str">
            <v>FREEPORT (TEXAS)</v>
          </cell>
          <cell r="F320">
            <v>2792.81</v>
          </cell>
        </row>
        <row r="321">
          <cell r="A321" t="str">
            <v>B_B_PAN_GALVES</v>
          </cell>
          <cell r="B321" t="str">
            <v>Bananas</v>
          </cell>
          <cell r="C321" t="str">
            <v>Boat</v>
          </cell>
          <cell r="D321" t="str">
            <v>PANAMA</v>
          </cell>
          <cell r="E321" t="str">
            <v>GALVESTON (TEXAS)</v>
          </cell>
          <cell r="F321">
            <v>2792.81</v>
          </cell>
        </row>
        <row r="322">
          <cell r="A322" t="str">
            <v>B_B_PAN_GULFPO</v>
          </cell>
          <cell r="B322" t="str">
            <v>Bananas</v>
          </cell>
          <cell r="C322" t="str">
            <v>Boat</v>
          </cell>
          <cell r="D322" t="str">
            <v>PANAMA</v>
          </cell>
          <cell r="E322" t="str">
            <v>GULFPORT (MISSISSIPPI)</v>
          </cell>
          <cell r="F322">
            <v>2570.58</v>
          </cell>
        </row>
        <row r="323">
          <cell r="A323" t="str">
            <v>B_B_PAN_LOSANG</v>
          </cell>
          <cell r="B323" t="str">
            <v>Bananas</v>
          </cell>
          <cell r="C323" t="str">
            <v>Boat</v>
          </cell>
          <cell r="D323" t="str">
            <v>PANAMA</v>
          </cell>
          <cell r="E323" t="str">
            <v>LOS ANGELES-LONG BEACH</v>
          </cell>
          <cell r="F323">
            <v>5404.14</v>
          </cell>
        </row>
        <row r="324">
          <cell r="A324" t="str">
            <v>B_B_PAN_OAKLAN</v>
          </cell>
          <cell r="B324" t="str">
            <v>Bananas</v>
          </cell>
          <cell r="C324" t="str">
            <v>Boat</v>
          </cell>
          <cell r="D324" t="str">
            <v>PANAMA</v>
          </cell>
          <cell r="E324" t="str">
            <v>OAKLAND</v>
          </cell>
          <cell r="F324">
            <v>6019</v>
          </cell>
        </row>
        <row r="325">
          <cell r="A325" t="str">
            <v>B_B_PAN_PHILAD</v>
          </cell>
          <cell r="B325" t="str">
            <v>Bananas</v>
          </cell>
          <cell r="C325" t="str">
            <v>Boat</v>
          </cell>
          <cell r="D325" t="str">
            <v>PANAMA</v>
          </cell>
          <cell r="E325" t="str">
            <v>PHILADELPHIA-CAMDEN</v>
          </cell>
          <cell r="F325">
            <v>3603.99</v>
          </cell>
        </row>
        <row r="326">
          <cell r="A326" t="str">
            <v>B_B_PAN_SFLORI</v>
          </cell>
          <cell r="B326" t="str">
            <v>Bananas</v>
          </cell>
          <cell r="C326" t="str">
            <v>Boat</v>
          </cell>
          <cell r="D326" t="str">
            <v>PANAMA</v>
          </cell>
          <cell r="E326" t="str">
            <v>SOUTH FLORIDA/TAMPA</v>
          </cell>
          <cell r="F326">
            <v>2252.0300000000002</v>
          </cell>
        </row>
        <row r="327">
          <cell r="A327" t="str">
            <v>B_B_PAN_WILMIN</v>
          </cell>
          <cell r="B327" t="str">
            <v>Bananas</v>
          </cell>
          <cell r="C327" t="str">
            <v>Boat</v>
          </cell>
          <cell r="D327" t="str">
            <v>PANAMA</v>
          </cell>
          <cell r="E327" t="str">
            <v>WILMINGTON (DELAWARE)</v>
          </cell>
          <cell r="F327">
            <v>3555.84</v>
          </cell>
        </row>
        <row r="328">
          <cell r="A328" t="str">
            <v>B_B_PER_BROOKL</v>
          </cell>
          <cell r="B328" t="str">
            <v>Bananas</v>
          </cell>
          <cell r="C328" t="str">
            <v>Boat</v>
          </cell>
          <cell r="D328" t="str">
            <v>PERU</v>
          </cell>
          <cell r="E328" t="str">
            <v>BROOKLYN (NYC)</v>
          </cell>
          <cell r="F328">
            <v>6080.12</v>
          </cell>
        </row>
        <row r="329">
          <cell r="A329" t="str">
            <v>B_B_PER_ELIZAB</v>
          </cell>
          <cell r="B329" t="str">
            <v>Bananas</v>
          </cell>
          <cell r="C329" t="str">
            <v>Boat</v>
          </cell>
          <cell r="D329" t="str">
            <v>PERU</v>
          </cell>
          <cell r="E329" t="str">
            <v>ELIZABETH (NEW JERSEY)</v>
          </cell>
          <cell r="F329">
            <v>6080.12</v>
          </cell>
        </row>
        <row r="330">
          <cell r="A330" t="str">
            <v>B_B_PER_LOSANG</v>
          </cell>
          <cell r="B330" t="str">
            <v>Bananas</v>
          </cell>
          <cell r="C330" t="str">
            <v>Boat</v>
          </cell>
          <cell r="D330" t="str">
            <v>PERU</v>
          </cell>
          <cell r="E330" t="str">
            <v>LOS ANGELES-LONG BEACH</v>
          </cell>
          <cell r="F330">
            <v>6620.9</v>
          </cell>
        </row>
        <row r="331">
          <cell r="A331" t="str">
            <v>B_B_PER_PHILAD</v>
          </cell>
          <cell r="B331" t="str">
            <v>Bananas</v>
          </cell>
          <cell r="C331" t="str">
            <v>Boat</v>
          </cell>
          <cell r="D331" t="str">
            <v>PERU</v>
          </cell>
          <cell r="E331" t="str">
            <v>PHILADELPHIA-CAMDEN</v>
          </cell>
          <cell r="F331">
            <v>6026.41</v>
          </cell>
        </row>
        <row r="332">
          <cell r="A332" t="str">
            <v>B_B_PER_SANDIE</v>
          </cell>
          <cell r="B332" t="str">
            <v>Bananas</v>
          </cell>
          <cell r="C332" t="str">
            <v>Boat</v>
          </cell>
          <cell r="D332" t="str">
            <v>PERU</v>
          </cell>
          <cell r="E332" t="str">
            <v>SAN DIEGO</v>
          </cell>
          <cell r="F332">
            <v>6491.2600000000011</v>
          </cell>
        </row>
        <row r="333">
          <cell r="A333" t="str">
            <v>B_B_PER_SFLORI</v>
          </cell>
          <cell r="B333" t="str">
            <v>Bananas</v>
          </cell>
          <cell r="C333" t="str">
            <v>Boat</v>
          </cell>
          <cell r="D333" t="str">
            <v>PERU</v>
          </cell>
          <cell r="E333" t="str">
            <v>SOUTH FLORIDA/TAMPA</v>
          </cell>
          <cell r="F333">
            <v>4674.45</v>
          </cell>
        </row>
        <row r="334">
          <cell r="A334" t="str">
            <v>B_B_PER_WILMIN</v>
          </cell>
          <cell r="B334" t="str">
            <v>Bananas</v>
          </cell>
          <cell r="C334" t="str">
            <v>Boat</v>
          </cell>
          <cell r="D334" t="str">
            <v>PERU</v>
          </cell>
          <cell r="E334" t="str">
            <v>WILMINGTON (DELAWARE)</v>
          </cell>
          <cell r="F334">
            <v>5409.6900000000005</v>
          </cell>
        </row>
        <row r="335">
          <cell r="A335" t="str">
            <v>B_I_COL_CHAMPL_B</v>
          </cell>
          <cell r="B335" t="str">
            <v>Bananas</v>
          </cell>
          <cell r="C335" t="str">
            <v>Boat</v>
          </cell>
          <cell r="D335" t="str">
            <v>COLOMBIA</v>
          </cell>
          <cell r="E335" t="str">
            <v>CHAMPLAIN (NEW YORK)</v>
          </cell>
          <cell r="F335">
            <v>6585.71</v>
          </cell>
        </row>
        <row r="336">
          <cell r="A336" t="str">
            <v>B_I_COS_CHAMPL_B</v>
          </cell>
          <cell r="B336" t="str">
            <v>Bananas</v>
          </cell>
          <cell r="C336" t="str">
            <v>Boat</v>
          </cell>
          <cell r="D336" t="str">
            <v>COSTA RICA</v>
          </cell>
          <cell r="E336" t="str">
            <v>CHAMPLAIN (NEW YORK)</v>
          </cell>
          <cell r="F336">
            <v>6043.08</v>
          </cell>
        </row>
        <row r="337">
          <cell r="A337" t="str">
            <v>B_I_ECU_CHAMPL_B</v>
          </cell>
          <cell r="B337" t="str">
            <v>Bananas</v>
          </cell>
          <cell r="C337" t="str">
            <v>Boat</v>
          </cell>
          <cell r="D337" t="str">
            <v>ECUADOR</v>
          </cell>
          <cell r="E337" t="str">
            <v>CHAMPLAIN (NEW YORK)</v>
          </cell>
          <cell r="F337">
            <v>7459.86</v>
          </cell>
        </row>
        <row r="338">
          <cell r="A338" t="str">
            <v>B_T_MEX_BLAINE</v>
          </cell>
          <cell r="B338" t="str">
            <v>Bananas</v>
          </cell>
          <cell r="C338" t="str">
            <v>Truck</v>
          </cell>
          <cell r="D338" t="str">
            <v>MEXICO</v>
          </cell>
          <cell r="E338" t="str">
            <v>BLAINE (WASHINGTON)</v>
          </cell>
          <cell r="F338">
            <v>2373.4499999999998</v>
          </cell>
        </row>
        <row r="339">
          <cell r="A339" t="str">
            <v>B_T_MEX_CALEXI</v>
          </cell>
          <cell r="B339" t="str">
            <v>Bananas</v>
          </cell>
          <cell r="C339" t="str">
            <v>Truck</v>
          </cell>
          <cell r="D339" t="str">
            <v>MEXICO</v>
          </cell>
          <cell r="E339" t="str">
            <v>MEXICO CROSSINGS THROUGH CALEXICO</v>
          </cell>
          <cell r="F339">
            <v>3276.29</v>
          </cell>
        </row>
        <row r="340">
          <cell r="A340" t="str">
            <v>B_T_MEX_NOGALE</v>
          </cell>
          <cell r="B340" t="str">
            <v>Bananas</v>
          </cell>
          <cell r="C340" t="str">
            <v>Truck</v>
          </cell>
          <cell r="D340" t="str">
            <v>MEXICO</v>
          </cell>
          <cell r="E340" t="str">
            <v>MEXICO CROSSINGS THRU NOGALES</v>
          </cell>
          <cell r="F340">
            <v>2785.93</v>
          </cell>
        </row>
        <row r="341">
          <cell r="A341" t="str">
            <v>B_T_MEX_OTAYME</v>
          </cell>
          <cell r="B341" t="str">
            <v>Bananas</v>
          </cell>
          <cell r="C341" t="str">
            <v>Truck</v>
          </cell>
          <cell r="D341" t="str">
            <v>MEXICO</v>
          </cell>
          <cell r="E341" t="str">
            <v>MEXICO CROSSINGS THROUGH OTAY MESA</v>
          </cell>
          <cell r="F341">
            <v>3583.1999999999994</v>
          </cell>
        </row>
        <row r="342">
          <cell r="A342" t="str">
            <v>B_T_MEX_SANLUI</v>
          </cell>
          <cell r="B342" t="str">
            <v>Bananas</v>
          </cell>
          <cell r="C342" t="str">
            <v>Truck</v>
          </cell>
          <cell r="D342" t="str">
            <v>MEXICO</v>
          </cell>
          <cell r="E342" t="str">
            <v>MEXICO CROSSINGS THROUGH SAN LUIS</v>
          </cell>
          <cell r="F342">
            <v>3193.74</v>
          </cell>
        </row>
        <row r="343">
          <cell r="A343" t="str">
            <v>B_T_MEX_TEXAS</v>
          </cell>
          <cell r="B343" t="str">
            <v>Bananas</v>
          </cell>
          <cell r="C343" t="str">
            <v>Truck</v>
          </cell>
          <cell r="D343" t="str">
            <v>MEXICO</v>
          </cell>
          <cell r="E343" t="str">
            <v>MEXICO CROSSINGS THRU TEXAS</v>
          </cell>
          <cell r="F343">
            <v>1245.7900000000002</v>
          </cell>
        </row>
      </sheetData>
      <sheetData sheetId="12" refreshError="1">
        <row r="7">
          <cell r="B7" t="str">
            <v>Weighting</v>
          </cell>
          <cell r="C7" t="str">
            <v>Petroleum</v>
          </cell>
          <cell r="D7" t="str">
            <v>Biomass/Hydro</v>
          </cell>
          <cell r="E7" t="str">
            <v>Coal</v>
          </cell>
          <cell r="F7" t="str">
            <v>Natural Gas</v>
          </cell>
          <cell r="G7" t="str">
            <v>Nuclear</v>
          </cell>
          <cell r="H7" t="str">
            <v>Other</v>
          </cell>
          <cell r="I7" t="str">
            <v>Total</v>
          </cell>
          <cell r="L7" t="str">
            <v>Weighting</v>
          </cell>
          <cell r="M7">
            <v>2000</v>
          </cell>
          <cell r="N7">
            <v>2001</v>
          </cell>
          <cell r="O7">
            <v>2005</v>
          </cell>
        </row>
        <row r="8">
          <cell r="B8" t="str">
            <v>%</v>
          </cell>
          <cell r="C8" t="str">
            <v>MJ/kg</v>
          </cell>
          <cell r="D8" t="str">
            <v>MJ/kg</v>
          </cell>
          <cell r="E8" t="str">
            <v>MJ/kg</v>
          </cell>
          <cell r="F8" t="str">
            <v>MJ/kg</v>
          </cell>
          <cell r="G8" t="str">
            <v>MJ/kg</v>
          </cell>
          <cell r="H8" t="str">
            <v>MJ/kg</v>
          </cell>
          <cell r="I8" t="str">
            <v>MJ/kg</v>
          </cell>
          <cell r="J8" t="str">
            <v>Check</v>
          </cell>
          <cell r="L8" t="str">
            <v>IL</v>
          </cell>
          <cell r="M8">
            <v>0.15768558332939564</v>
          </cell>
          <cell r="N8">
            <v>0.15585692009639465</v>
          </cell>
          <cell r="O8">
            <v>0.16149411709114966</v>
          </cell>
        </row>
        <row r="9">
          <cell r="B9">
            <v>0.16330387941218166</v>
          </cell>
          <cell r="C9">
            <v>1.0827466778099999</v>
          </cell>
          <cell r="D9">
            <v>0.12996664473175798</v>
          </cell>
          <cell r="E9">
            <v>1.9764420842768913</v>
          </cell>
          <cell r="F9">
            <v>2.9301902395631902</v>
          </cell>
          <cell r="G9">
            <v>0</v>
          </cell>
          <cell r="H9">
            <v>2.6634570671451043</v>
          </cell>
          <cell r="I9">
            <v>8.7828027135269444</v>
          </cell>
          <cell r="J9">
            <v>8.7828027135269604</v>
          </cell>
          <cell r="L9" t="str">
            <v>IA</v>
          </cell>
          <cell r="M9">
            <v>0.16330387941218166</v>
          </cell>
          <cell r="N9">
            <v>0.15729338940603885</v>
          </cell>
          <cell r="O9">
            <v>0.20436611066483959</v>
          </cell>
        </row>
        <row r="10">
          <cell r="B10">
            <v>0.15729338940603885</v>
          </cell>
          <cell r="C10">
            <v>2.8846647685575122</v>
          </cell>
          <cell r="D10">
            <v>0.19635933146762427</v>
          </cell>
          <cell r="E10">
            <v>1.8503267828965697</v>
          </cell>
          <cell r="F10">
            <v>2.5290383576632509</v>
          </cell>
          <cell r="G10">
            <v>1.0687618287124001</v>
          </cell>
          <cell r="H10">
            <v>4.3936439700059853E-3</v>
          </cell>
          <cell r="I10">
            <v>8.5335447132673625</v>
          </cell>
          <cell r="J10">
            <v>8.5335447132673696</v>
          </cell>
          <cell r="L10" t="str">
            <v>Total</v>
          </cell>
          <cell r="M10">
            <v>0.3209894627415773</v>
          </cell>
          <cell r="N10">
            <v>0.3131503095024335</v>
          </cell>
          <cell r="O10">
            <v>0.36586022775598925</v>
          </cell>
        </row>
        <row r="11">
          <cell r="B11">
            <v>0.20436611066483959</v>
          </cell>
          <cell r="C11">
            <v>2.6403315447910645</v>
          </cell>
          <cell r="D11">
            <v>0.17273866648192371</v>
          </cell>
          <cell r="E11">
            <v>1.5891741614925206</v>
          </cell>
          <cell r="F11">
            <v>2.3293534169780146</v>
          </cell>
          <cell r="G11">
            <v>0.91395969092773099</v>
          </cell>
          <cell r="H11">
            <v>3.7663881743986924E-3</v>
          </cell>
          <cell r="I11">
            <v>7.6493238688456531</v>
          </cell>
          <cell r="J11">
            <v>7.6493238688456602</v>
          </cell>
        </row>
        <row r="12">
          <cell r="B12">
            <v>0.15768558332939564</v>
          </cell>
          <cell r="C12">
            <v>3.0538077739194605</v>
          </cell>
          <cell r="D12">
            <v>0.19648625163704084</v>
          </cell>
          <cell r="E12">
            <v>1.8147729900045002</v>
          </cell>
          <cell r="F12">
            <v>3.3335857841156069</v>
          </cell>
          <cell r="G12">
            <v>1.0452246551936109</v>
          </cell>
          <cell r="H12">
            <v>4.3155668887721313E-3</v>
          </cell>
          <cell r="I12">
            <v>9.4481930217589909</v>
          </cell>
          <cell r="J12">
            <v>9.4481930217589891</v>
          </cell>
        </row>
        <row r="13">
          <cell r="B13">
            <v>0.15585692009639465</v>
          </cell>
          <cell r="C13">
            <v>1.9591534230981027</v>
          </cell>
          <cell r="D13">
            <v>5.5205954176497436E-2</v>
          </cell>
          <cell r="E13">
            <v>0.26865109544304117</v>
          </cell>
          <cell r="F13">
            <v>2.1045084537076981</v>
          </cell>
          <cell r="G13">
            <v>0.1244922632716326</v>
          </cell>
          <cell r="H13">
            <v>5.9422289069675966E-4</v>
          </cell>
          <cell r="I13">
            <v>4.5126054125876696</v>
          </cell>
          <cell r="J13">
            <v>4.5126054125876696</v>
          </cell>
          <cell r="K13" t="str">
            <v>Note: This data year is a bit of an outlier due to signifcantly less irrigation</v>
          </cell>
        </row>
        <row r="14">
          <cell r="B14">
            <v>0.16149411709114966</v>
          </cell>
          <cell r="C14">
            <v>3.1482794284833178</v>
          </cell>
          <cell r="D14">
            <v>0.20766619636053002</v>
          </cell>
          <cell r="E14">
            <v>1.9010644848583294</v>
          </cell>
          <cell r="F14">
            <v>3.4221939621469986</v>
          </cell>
          <cell r="G14">
            <v>1.0973104369413178</v>
          </cell>
          <cell r="H14">
            <v>4.5266169484924198E-3</v>
          </cell>
          <cell r="I14">
            <v>9.7810411257389855</v>
          </cell>
          <cell r="J14">
            <v>9.7810411257389909</v>
          </cell>
        </row>
        <row r="15">
          <cell r="B15">
            <v>1</v>
          </cell>
          <cell r="C15">
            <v>2.4654674057141146</v>
          </cell>
          <cell r="D15">
            <v>0.1605361597227149</v>
          </cell>
          <cell r="E15">
            <v>1.573623573910875</v>
          </cell>
          <cell r="F15">
            <v>2.7586781642329155</v>
          </cell>
          <cell r="G15">
            <v>0.71632057822786788</v>
          </cell>
          <cell r="H15">
            <v>0.43791782340628321</v>
          </cell>
          <cell r="I15">
            <v>8.1125437052147706</v>
          </cell>
        </row>
        <row r="16">
          <cell r="C16">
            <v>0.30390805834787721</v>
          </cell>
          <cell r="D16">
            <v>1.9788634188746709E-2</v>
          </cell>
          <cell r="E16">
            <v>0.19397412588351845</v>
          </cell>
          <cell r="F16">
            <v>0.34005094634616612</v>
          </cell>
          <cell r="G16">
            <v>8.8297900665535348E-2</v>
          </cell>
          <cell r="H16">
            <v>5.3980334568156242E-2</v>
          </cell>
          <cell r="I16">
            <v>1</v>
          </cell>
        </row>
        <row r="19">
          <cell r="B19" t="str">
            <v>LPG</v>
          </cell>
          <cell r="C19" t="str">
            <v>Distillate Fuel</v>
          </cell>
          <cell r="D19" t="str">
            <v>Residual Fuel</v>
          </cell>
          <cell r="E19" t="str">
            <v>Biomass/Hydro</v>
          </cell>
          <cell r="F19" t="str">
            <v>Diesel</v>
          </cell>
          <cell r="G19" t="str">
            <v>Electricity</v>
          </cell>
          <cell r="H19" t="str">
            <v>Coal</v>
          </cell>
          <cell r="I19" t="str">
            <v>Natural Gas</v>
          </cell>
          <cell r="J19" t="str">
            <v>Nuclear</v>
          </cell>
          <cell r="K19" t="str">
            <v>Other</v>
          </cell>
          <cell r="L19" t="str">
            <v>Total</v>
          </cell>
        </row>
        <row r="20">
          <cell r="B20">
            <v>0</v>
          </cell>
          <cell r="C20">
            <v>0</v>
          </cell>
          <cell r="D20">
            <v>0</v>
          </cell>
          <cell r="E20">
            <v>1.9788634188746708</v>
          </cell>
          <cell r="F20">
            <v>30.39080583478772</v>
          </cell>
          <cell r="G20">
            <v>0</v>
          </cell>
          <cell r="H20">
            <v>19.397412588351845</v>
          </cell>
          <cell r="I20">
            <v>34.005094634616611</v>
          </cell>
          <cell r="J20">
            <v>8.8297900665535352</v>
          </cell>
          <cell r="K20">
            <v>5.3980334568156243</v>
          </cell>
          <cell r="L20">
            <v>100</v>
          </cell>
        </row>
        <row r="24">
          <cell r="B24" t="str">
            <v>Weighting</v>
          </cell>
          <cell r="C24" t="str">
            <v>Petroleum</v>
          </cell>
          <cell r="D24" t="str">
            <v>Biomass/Hydro</v>
          </cell>
          <cell r="E24" t="str">
            <v>Coal</v>
          </cell>
          <cell r="F24" t="str">
            <v>Natural Gas</v>
          </cell>
          <cell r="G24" t="str">
            <v>Nuclear</v>
          </cell>
          <cell r="H24" t="str">
            <v>Other</v>
          </cell>
          <cell r="I24" t="str">
            <v>Total</v>
          </cell>
        </row>
        <row r="25">
          <cell r="B25" t="str">
            <v>%</v>
          </cell>
          <cell r="C25" t="str">
            <v>MJ/kg</v>
          </cell>
          <cell r="D25" t="str">
            <v>MJ/kg</v>
          </cell>
          <cell r="E25" t="str">
            <v>MJ/kg</v>
          </cell>
          <cell r="F25" t="str">
            <v>MJ/kg</v>
          </cell>
          <cell r="G25" t="str">
            <v>MJ/kg</v>
          </cell>
          <cell r="H25" t="str">
            <v>MJ/kg</v>
          </cell>
          <cell r="I25" t="str">
            <v>MJ/kg</v>
          </cell>
          <cell r="J25" t="str">
            <v>Check</v>
          </cell>
        </row>
        <row r="26">
          <cell r="B26">
            <v>1</v>
          </cell>
          <cell r="C26">
            <v>2.9120356173731579</v>
          </cell>
          <cell r="D26">
            <v>0.30695458589356767</v>
          </cell>
          <cell r="E26">
            <v>2.3907822210055816</v>
          </cell>
          <cell r="F26">
            <v>4.2795301842046385</v>
          </cell>
          <cell r="G26">
            <v>1.33424782610464</v>
          </cell>
          <cell r="H26">
            <v>5.6887576692260505E-3</v>
          </cell>
          <cell r="I26">
            <v>11.229239192250812</v>
          </cell>
          <cell r="J26">
            <v>11.2292391922508</v>
          </cell>
        </row>
        <row r="27">
          <cell r="C27">
            <v>0.259326172282689</v>
          </cell>
          <cell r="D27">
            <v>2.7335296776418657E-2</v>
          </cell>
          <cell r="E27">
            <v>0.21290687463986313</v>
          </cell>
          <cell r="F27">
            <v>0.38110597796847184</v>
          </cell>
          <cell r="G27">
            <v>0.11881907609781714</v>
          </cell>
          <cell r="H27">
            <v>5.0660223474016002E-4</v>
          </cell>
          <cell r="I27">
            <v>1</v>
          </cell>
        </row>
        <row r="30">
          <cell r="B30" t="str">
            <v>LPG</v>
          </cell>
          <cell r="C30" t="str">
            <v>Distillate Fuel</v>
          </cell>
          <cell r="D30" t="str">
            <v>Residual Fuel</v>
          </cell>
          <cell r="E30" t="str">
            <v>Biomass/Hydro</v>
          </cell>
          <cell r="F30" t="str">
            <v>Diesel</v>
          </cell>
          <cell r="G30" t="str">
            <v>Electricity</v>
          </cell>
          <cell r="H30" t="str">
            <v>Coal</v>
          </cell>
          <cell r="I30" t="str">
            <v>Natural Gas</v>
          </cell>
          <cell r="J30" t="str">
            <v>Nuclear</v>
          </cell>
          <cell r="K30" t="str">
            <v>Other</v>
          </cell>
          <cell r="L30" t="str">
            <v>Total</v>
          </cell>
        </row>
        <row r="31">
          <cell r="B31">
            <v>0</v>
          </cell>
          <cell r="C31">
            <v>0</v>
          </cell>
          <cell r="D31">
            <v>0</v>
          </cell>
          <cell r="E31">
            <v>2.7335296776418656</v>
          </cell>
          <cell r="F31">
            <v>25.932617228268899</v>
          </cell>
          <cell r="G31">
            <v>0</v>
          </cell>
          <cell r="H31">
            <v>21.290687463986313</v>
          </cell>
          <cell r="I31">
            <v>38.110597796847188</v>
          </cell>
          <cell r="J31">
            <v>11.881907609781713</v>
          </cell>
          <cell r="K31">
            <v>5.0660223474016004E-2</v>
          </cell>
          <cell r="L31">
            <v>100</v>
          </cell>
        </row>
        <row r="35">
          <cell r="B35" t="str">
            <v>Weighting</v>
          </cell>
          <cell r="C35" t="str">
            <v>Petroleum</v>
          </cell>
          <cell r="D35" t="str">
            <v>Biomass/Hydro</v>
          </cell>
          <cell r="E35" t="str">
            <v>Coal</v>
          </cell>
          <cell r="F35" t="str">
            <v>Natural Gas</v>
          </cell>
          <cell r="G35" t="str">
            <v>Nuclear</v>
          </cell>
          <cell r="H35" t="str">
            <v>Other</v>
          </cell>
          <cell r="I35" t="str">
            <v>Total</v>
          </cell>
          <cell r="L35" t="str">
            <v>Weighting</v>
          </cell>
          <cell r="M35">
            <v>2000</v>
          </cell>
          <cell r="N35">
            <v>2001</v>
          </cell>
          <cell r="O35">
            <v>2005</v>
          </cell>
        </row>
        <row r="36">
          <cell r="B36" t="str">
            <v>%</v>
          </cell>
          <cell r="C36" t="str">
            <v>MJ/kg</v>
          </cell>
          <cell r="D36" t="str">
            <v>MJ/kg</v>
          </cell>
          <cell r="E36" t="str">
            <v>MJ/kg</v>
          </cell>
          <cell r="F36" t="str">
            <v>MJ/kg</v>
          </cell>
          <cell r="G36" t="str">
            <v>MJ/kg</v>
          </cell>
          <cell r="H36" t="str">
            <v>MJ/kg</v>
          </cell>
          <cell r="I36" t="str">
            <v>MJ/kg</v>
          </cell>
          <cell r="J36" t="str">
            <v>Check</v>
          </cell>
          <cell r="L36" t="str">
            <v>KS</v>
          </cell>
          <cell r="M36">
            <v>0.337048163581742</v>
          </cell>
          <cell r="N36">
            <v>0.30477759472817134</v>
          </cell>
          <cell r="O36">
            <v>0.35817424169008627</v>
          </cell>
        </row>
        <row r="37">
          <cell r="B37">
            <v>0.337048163581742</v>
          </cell>
          <cell r="C37">
            <v>1.1975514066924109</v>
          </cell>
          <cell r="D37">
            <v>0.48140117873614213</v>
          </cell>
          <cell r="E37">
            <v>0.27563241010336176</v>
          </cell>
          <cell r="F37">
            <v>2.1695513575265832</v>
          </cell>
          <cell r="G37">
            <v>0.11400305806250939</v>
          </cell>
          <cell r="H37">
            <v>5.4132734742148045E-4</v>
          </cell>
          <cell r="I37">
            <v>4.2386807384684291</v>
          </cell>
          <cell r="J37">
            <v>4.2386807384684397</v>
          </cell>
        </row>
        <row r="38">
          <cell r="B38">
            <v>0.30477759472817134</v>
          </cell>
          <cell r="C38">
            <v>1.3990197623987908</v>
          </cell>
          <cell r="D38">
            <v>0.4820800645003479</v>
          </cell>
          <cell r="E38">
            <v>0.28543413536897444</v>
          </cell>
          <cell r="F38">
            <v>2.1930804856983714</v>
          </cell>
          <cell r="G38">
            <v>0.11925125521398039</v>
          </cell>
          <cell r="H38">
            <v>5.6390160331261634E-4</v>
          </cell>
          <cell r="I38">
            <v>4.4794296047837783</v>
          </cell>
          <cell r="J38">
            <v>4.4794296047837801</v>
          </cell>
        </row>
        <row r="39">
          <cell r="B39">
            <v>0.35817424169008627</v>
          </cell>
          <cell r="C39">
            <v>1.5965643858660519</v>
          </cell>
          <cell r="D39">
            <v>2.5602015350044506E-2</v>
          </cell>
          <cell r="E39">
            <v>0.28778970100342682</v>
          </cell>
          <cell r="F39">
            <v>2.4746153924146874</v>
          </cell>
          <cell r="G39">
            <v>0.1150832405111787</v>
          </cell>
          <cell r="H39">
            <v>5.525633268646914E-4</v>
          </cell>
          <cell r="I39">
            <v>4.5002072984722536</v>
          </cell>
          <cell r="J39">
            <v>4.5002072984722501</v>
          </cell>
        </row>
        <row r="40">
          <cell r="B40">
            <v>0.99999999999999967</v>
          </cell>
          <cell r="C40">
            <v>1.4018706187984615</v>
          </cell>
          <cell r="D40">
            <v>0.3183525681976605</v>
          </cell>
          <cell r="E40">
            <v>0.28297418480313802</v>
          </cell>
          <cell r="F40">
            <v>2.2859885879797956</v>
          </cell>
          <cell r="G40">
            <v>0.11598948449643298</v>
          </cell>
          <cell r="H40">
            <v>5.5223191325147632E-4</v>
          </cell>
          <cell r="I40">
            <v>4.4057276761887403</v>
          </cell>
        </row>
        <row r="41">
          <cell r="C41">
            <v>0.31819275312340156</v>
          </cell>
          <cell r="D41">
            <v>7.2258793914620145E-2</v>
          </cell>
          <cell r="E41">
            <v>6.4228705358368929E-2</v>
          </cell>
          <cell r="F41">
            <v>0.51886742803797947</v>
          </cell>
          <cell r="G41">
            <v>2.6326975478605141E-2</v>
          </cell>
          <cell r="H41">
            <v>1.2534408702473304E-4</v>
          </cell>
          <cell r="I41">
            <v>1</v>
          </cell>
        </row>
        <row r="44">
          <cell r="B44" t="str">
            <v>LPG</v>
          </cell>
          <cell r="C44" t="str">
            <v>Distillate Fuel</v>
          </cell>
          <cell r="D44" t="str">
            <v>Residual Fuel</v>
          </cell>
          <cell r="E44" t="str">
            <v>Biomass/Hydro</v>
          </cell>
          <cell r="F44" t="str">
            <v>Diesel</v>
          </cell>
          <cell r="G44" t="str">
            <v>Electricity</v>
          </cell>
          <cell r="H44" t="str">
            <v>Coal</v>
          </cell>
          <cell r="I44" t="str">
            <v>Natural Gas</v>
          </cell>
          <cell r="J44" t="str">
            <v>Nuclear</v>
          </cell>
          <cell r="K44" t="str">
            <v>Other</v>
          </cell>
          <cell r="L44" t="str">
            <v>Total</v>
          </cell>
        </row>
        <row r="45">
          <cell r="B45">
            <v>0</v>
          </cell>
          <cell r="C45">
            <v>0</v>
          </cell>
          <cell r="D45">
            <v>0</v>
          </cell>
          <cell r="E45">
            <v>7.2258793914620147</v>
          </cell>
          <cell r="F45">
            <v>31.819275312340157</v>
          </cell>
          <cell r="G45">
            <v>0</v>
          </cell>
          <cell r="H45">
            <v>6.4228705358368927</v>
          </cell>
          <cell r="I45">
            <v>51.886742803797944</v>
          </cell>
          <cell r="J45">
            <v>2.6326975478605141</v>
          </cell>
          <cell r="K45">
            <v>1.2534408702473304E-2</v>
          </cell>
          <cell r="L45">
            <v>100</v>
          </cell>
        </row>
        <row r="52">
          <cell r="B52" t="str">
            <v>Weighting</v>
          </cell>
          <cell r="C52" t="str">
            <v>nitrogenous fertilizer, anhydrous ammonia; at point-of-sale/kg</v>
          </cell>
          <cell r="D52" t="str">
            <v>nitrogenous fertilizer, aqueous ammonia; at point-of-sale/kg</v>
          </cell>
          <cell r="E52" t="str">
            <v>nitrogenous fertilizer, ammonium nitrate; at point-of-sale/kg</v>
          </cell>
          <cell r="F52" t="str">
            <v>nitrogenous fertilizer, ammonium sulfate; at point-of-sale/kg</v>
          </cell>
          <cell r="G52" t="str">
            <v>nitrogenous fertilizer, nitrogen solutions; at point-of-sale/kg</v>
          </cell>
          <cell r="H52" t="str">
            <v>nitrogenous fertilizer, sodium nitrate; at point-of-sale/kg</v>
          </cell>
          <cell r="I52" t="str">
            <v>nitrogenous fertilizer, urea; at point-of-sale/kg</v>
          </cell>
          <cell r="J52" t="str">
            <v>Soil Emissions, Corn</v>
          </cell>
          <cell r="K52" t="str">
            <v>Total</v>
          </cell>
        </row>
        <row r="53">
          <cell r="B53" t="str">
            <v>%</v>
          </cell>
          <cell r="C53" t="str">
            <v>kg CO2e/kg</v>
          </cell>
          <cell r="D53" t="str">
            <v>kg CO2e/kg</v>
          </cell>
          <cell r="E53" t="str">
            <v>kg CO2e/kg</v>
          </cell>
          <cell r="F53" t="str">
            <v>kg CO2e/kg</v>
          </cell>
          <cell r="G53" t="str">
            <v>kg CO2e/kg</v>
          </cell>
          <cell r="H53" t="str">
            <v>kg CO2e/kg</v>
          </cell>
          <cell r="I53" t="str">
            <v>kg CO2e/kg</v>
          </cell>
          <cell r="J53" t="str">
            <v>kg CO2e/kg</v>
          </cell>
          <cell r="K53" t="str">
            <v>kg CO2e/kg</v>
          </cell>
          <cell r="L53" t="str">
            <v>Check</v>
          </cell>
        </row>
        <row r="54">
          <cell r="A54" t="str">
            <v>Iowa 2000</v>
          </cell>
          <cell r="B54">
            <v>0.16330387941218166</v>
          </cell>
          <cell r="C54">
            <v>3.2787110070000001E-3</v>
          </cell>
          <cell r="D54">
            <v>2.4858338076E-4</v>
          </cell>
          <cell r="E54">
            <v>1.2520288637999999E-3</v>
          </cell>
          <cell r="F54">
            <v>8.269559298E-4</v>
          </cell>
          <cell r="G54">
            <v>7.6745483100000003E-3</v>
          </cell>
          <cell r="H54">
            <v>1.9655408916E-5</v>
          </cell>
          <cell r="I54">
            <v>3.4634559960000002E-3</v>
          </cell>
          <cell r="J54">
            <v>1.37162454E-2</v>
          </cell>
          <cell r="K54">
            <v>3.0480184296276001E-2</v>
          </cell>
          <cell r="L54">
            <v>3.0480184296276001E-2</v>
          </cell>
        </row>
        <row r="55">
          <cell r="A55" t="str">
            <v>Iowa 2001</v>
          </cell>
          <cell r="B55">
            <v>0.15729338940603885</v>
          </cell>
          <cell r="C55">
            <v>2.5641966636E-3</v>
          </cell>
          <cell r="D55">
            <v>2.3488354889999999E-4</v>
          </cell>
          <cell r="E55">
            <v>1.0852799957999999E-3</v>
          </cell>
          <cell r="F55">
            <v>8.0112352319999997E-4</v>
          </cell>
          <cell r="G55">
            <v>6.6070821960000003E-3</v>
          </cell>
          <cell r="H55">
            <v>1.7833472514E-5</v>
          </cell>
          <cell r="I55">
            <v>3.5100636714000002E-3</v>
          </cell>
          <cell r="J55">
            <v>1.3225277208E-2</v>
          </cell>
          <cell r="K55">
            <v>2.8045740279414002E-2</v>
          </cell>
          <cell r="L55">
            <v>2.8045740279413998E-2</v>
          </cell>
        </row>
        <row r="56">
          <cell r="A56" t="str">
            <v>Iowa 2005</v>
          </cell>
          <cell r="B56">
            <v>0.20436611066483959</v>
          </cell>
          <cell r="C56">
            <v>2.5261997904E-3</v>
          </cell>
          <cell r="D56">
            <v>2.7478026576000002E-4</v>
          </cell>
          <cell r="E56">
            <v>9.2987551800000003E-4</v>
          </cell>
          <cell r="F56">
            <v>7.7374208340000002E-4</v>
          </cell>
          <cell r="G56">
            <v>6.8631282720000002E-3</v>
          </cell>
          <cell r="H56">
            <v>1.398230262E-5</v>
          </cell>
          <cell r="I56">
            <v>3.4116545034000001E-3</v>
          </cell>
          <cell r="J56">
            <v>1.2991828278E-2</v>
          </cell>
          <cell r="K56">
            <v>2.7785191013579999E-2</v>
          </cell>
          <cell r="L56">
            <v>2.7785191013579999E-2</v>
          </cell>
        </row>
        <row r="57">
          <cell r="A57" t="str">
            <v>Illinois 2000</v>
          </cell>
          <cell r="B57">
            <v>0.15768558332939564</v>
          </cell>
          <cell r="C57">
            <v>3.9797852094000004E-3</v>
          </cell>
          <cell r="D57">
            <v>3.0173799941999999E-4</v>
          </cell>
          <cell r="E57">
            <v>1.5197382486E-3</v>
          </cell>
          <cell r="F57">
            <v>1.0037735136000001E-3</v>
          </cell>
          <cell r="G57">
            <v>9.3156123060000005E-3</v>
          </cell>
          <cell r="H57">
            <v>2.3858300465999999E-5</v>
          </cell>
          <cell r="I57">
            <v>4.2040305450000001E-3</v>
          </cell>
          <cell r="J57">
            <v>1.6320925763999999E-2</v>
          </cell>
          <cell r="K57">
            <v>3.6669461886485996E-2</v>
          </cell>
          <cell r="L57">
            <v>3.6669461886486003E-2</v>
          </cell>
        </row>
        <row r="58">
          <cell r="A58" t="str">
            <v>Illinois 2001</v>
          </cell>
          <cell r="B58">
            <v>0.15585692009639465</v>
          </cell>
          <cell r="C58">
            <v>3.3059102076000001E-3</v>
          </cell>
          <cell r="D58">
            <v>3.0282687864000002E-4</v>
          </cell>
          <cell r="E58">
            <v>1.3991870178000001E-3</v>
          </cell>
          <cell r="F58">
            <v>1.0328406660000001E-3</v>
          </cell>
          <cell r="G58">
            <v>8.5183158059999996E-3</v>
          </cell>
          <cell r="H58">
            <v>2.2991753069999999E-5</v>
          </cell>
          <cell r="I58">
            <v>4.5253638143999998E-3</v>
          </cell>
          <cell r="J58">
            <v>1.6228757688000001E-2</v>
          </cell>
          <cell r="K58">
            <v>3.5336193831510002E-2</v>
          </cell>
          <cell r="L58">
            <v>3.5336193831510002E-2</v>
          </cell>
        </row>
        <row r="59">
          <cell r="A59" t="str">
            <v>Illinois 2005</v>
          </cell>
          <cell r="B59">
            <v>0.16149411709114966</v>
          </cell>
          <cell r="C59">
            <v>3.4642305126000002E-3</v>
          </cell>
          <cell r="D59">
            <v>3.7681143786E-4</v>
          </cell>
          <cell r="E59">
            <v>1.2751732422E-3</v>
          </cell>
          <cell r="F59">
            <v>1.0610421822E-3</v>
          </cell>
          <cell r="G59">
            <v>9.411743484E-3</v>
          </cell>
          <cell r="H59">
            <v>1.9174297428000001E-5</v>
          </cell>
          <cell r="I59">
            <v>4.6785358620000002E-3</v>
          </cell>
          <cell r="J59">
            <v>1.6980666846000001E-2</v>
          </cell>
          <cell r="K59">
            <v>3.7267377864288E-2</v>
          </cell>
          <cell r="L59">
            <v>3.7267377864288E-2</v>
          </cell>
        </row>
        <row r="60">
          <cell r="A60" t="str">
            <v>Corn Weighted Avg</v>
          </cell>
          <cell r="B60">
            <v>1</v>
          </cell>
          <cell r="C60">
            <v>3.1572836205364689E-3</v>
          </cell>
          <cell r="D60">
            <v>2.8932626170399567E-4</v>
          </cell>
          <cell r="E60">
            <v>1.2288503509636328E-3</v>
          </cell>
          <cell r="F60">
            <v>9.0979125356498896E-4</v>
          </cell>
          <cell r="G60">
            <v>8.0116421271055442E-3</v>
          </cell>
          <cell r="H60">
            <v>1.9314470749924463E-5</v>
          </cell>
          <cell r="I60">
            <v>3.9387124675816839E-3</v>
          </cell>
          <cell r="J60">
            <v>1.4820470867998781E-2</v>
          </cell>
          <cell r="K60">
            <v>3.237539142020502E-2</v>
          </cell>
        </row>
        <row r="61">
          <cell r="A61" t="str">
            <v>Relative share</v>
          </cell>
          <cell r="C61">
            <v>9.752109494392254E-2</v>
          </cell>
          <cell r="D61">
            <v>8.9366104628292239E-3</v>
          </cell>
          <cell r="E61">
            <v>3.795630869799229E-2</v>
          </cell>
          <cell r="F61">
            <v>2.810132059120685E-2</v>
          </cell>
          <cell r="G61">
            <v>0.24746085763477726</v>
          </cell>
          <cell r="H61">
            <v>5.9657875635352403E-4</v>
          </cell>
          <cell r="I61">
            <v>0.12165760149307692</v>
          </cell>
          <cell r="J61">
            <v>0.4577696274198414</v>
          </cell>
          <cell r="K61">
            <v>1</v>
          </cell>
        </row>
        <row r="63">
          <cell r="A63" t="str">
            <v>Process Non-Energy N2O Emissions - Corn</v>
          </cell>
        </row>
        <row r="65">
          <cell r="B65" t="str">
            <v>Weighting</v>
          </cell>
          <cell r="C65" t="str">
            <v>nitrogenous fertilizer, anhydrous ammonia; at point-of-sale/kg</v>
          </cell>
          <cell r="D65" t="str">
            <v>nitrogenous fertilizer, aqueous ammonia; at point-of-sale/kg</v>
          </cell>
          <cell r="E65" t="str">
            <v>nitrogenous fertilizer, ammonium nitrate; at point-of-sale/kg</v>
          </cell>
          <cell r="F65" t="str">
            <v>nitrogenous fertilizer, ammonium sulfate; at point-of-sale/kg</v>
          </cell>
          <cell r="G65" t="str">
            <v>nitrogenous fertilizer, nitrogen solutions; at point-of-sale/kg</v>
          </cell>
          <cell r="H65" t="str">
            <v>nitrogenous fertilizer, sodium nitrate; at point-of-sale/kg</v>
          </cell>
          <cell r="I65" t="str">
            <v>nitrogenous fertilizer, urea; at point-of-sale/kg</v>
          </cell>
          <cell r="J65" t="str">
            <v>Soil Emissions, Corn</v>
          </cell>
          <cell r="K65" t="str">
            <v>Total</v>
          </cell>
        </row>
        <row r="66">
          <cell r="B66" t="str">
            <v>%</v>
          </cell>
          <cell r="C66" t="str">
            <v>kg CO2e/kg</v>
          </cell>
          <cell r="D66" t="str">
            <v>kg CO2e/kg</v>
          </cell>
          <cell r="E66" t="str">
            <v>kg CO2e/kg</v>
          </cell>
          <cell r="F66" t="str">
            <v>kg CO2e/kg</v>
          </cell>
          <cell r="G66" t="str">
            <v>kg CO2e/kg</v>
          </cell>
          <cell r="H66" t="str">
            <v>kg CO2e/kg</v>
          </cell>
          <cell r="I66" t="str">
            <v>kg CO2e/kg</v>
          </cell>
          <cell r="J66" t="str">
            <v>kg CO2e/kg</v>
          </cell>
          <cell r="K66" t="str">
            <v>kg CO2e/kg</v>
          </cell>
          <cell r="L66" t="str">
            <v>Check</v>
          </cell>
        </row>
        <row r="67">
          <cell r="A67" t="str">
            <v>Iowa 2000</v>
          </cell>
          <cell r="B67">
            <v>0.16330387941218166</v>
          </cell>
          <cell r="C67">
            <v>5.9462644859212101E-3</v>
          </cell>
          <cell r="D67">
            <v>4.5083037988026602E-4</v>
          </cell>
          <cell r="E67">
            <v>2.2706773339484601E-3</v>
          </cell>
          <cell r="F67">
            <v>1.4997658123248199E-3</v>
          </cell>
          <cell r="G67">
            <v>1.39185472473206E-2</v>
          </cell>
          <cell r="H67">
            <v>3.5647014861615098E-5</v>
          </cell>
          <cell r="I67">
            <v>6.2813176713642799E-3</v>
          </cell>
          <cell r="J67">
            <v>0.1243443201</v>
          </cell>
          <cell r="K67">
            <v>0.15474737004562125</v>
          </cell>
          <cell r="L67">
            <v>0.15964557027882101</v>
          </cell>
        </row>
        <row r="68">
          <cell r="A68" t="str">
            <v>Iowa 2001</v>
          </cell>
          <cell r="B68">
            <v>0.15729338940603885</v>
          </cell>
          <cell r="C68">
            <v>4.6504225359079799E-3</v>
          </cell>
          <cell r="D68">
            <v>4.2598438903865602E-4</v>
          </cell>
          <cell r="E68">
            <v>1.9682618817359701E-3</v>
          </cell>
          <cell r="F68">
            <v>1.4529162053837101E-3</v>
          </cell>
          <cell r="G68">
            <v>1.19825925901243E-2</v>
          </cell>
          <cell r="H68">
            <v>3.2342754223916398E-5</v>
          </cell>
          <cell r="I68">
            <v>6.3658452690728597E-3</v>
          </cell>
          <cell r="J68">
            <v>0.11229914982</v>
          </cell>
          <cell r="K68">
            <v>0.1391775154454874</v>
          </cell>
          <cell r="L68">
            <v>0.14404303011359901</v>
          </cell>
        </row>
        <row r="69">
          <cell r="A69" t="str">
            <v>Iowa 2005</v>
          </cell>
          <cell r="B69">
            <v>0.20436611066483959</v>
          </cell>
          <cell r="C69">
            <v>4.5815114738464498E-3</v>
          </cell>
          <cell r="D69">
            <v>4.9834100420326601E-4</v>
          </cell>
          <cell r="E69">
            <v>1.6864205955346601E-3</v>
          </cell>
          <cell r="F69">
            <v>1.4032572745695799E-3</v>
          </cell>
          <cell r="G69">
            <v>1.24469573008987E-2</v>
          </cell>
          <cell r="H69">
            <v>2.5358279312571698E-5</v>
          </cell>
          <cell r="I69">
            <v>6.1873705759638497E-3</v>
          </cell>
          <cell r="J69">
            <v>0.1183491309</v>
          </cell>
          <cell r="K69">
            <v>0.14517834740432908</v>
          </cell>
          <cell r="L69">
            <v>0.14964433326315801</v>
          </cell>
        </row>
        <row r="70">
          <cell r="A70" t="str">
            <v>Illinois 2000</v>
          </cell>
          <cell r="B70">
            <v>0.15768558332939564</v>
          </cell>
          <cell r="C70">
            <v>7.2119083654323696E-3</v>
          </cell>
          <cell r="D70">
            <v>5.4679001194489095E-4</v>
          </cell>
          <cell r="E70">
            <v>2.75397098377534E-3</v>
          </cell>
          <cell r="F70">
            <v>1.8189731904709201E-3</v>
          </cell>
          <cell r="G70">
            <v>1.68811477966407E-2</v>
          </cell>
          <cell r="H70">
            <v>4.3234463083419802E-5</v>
          </cell>
          <cell r="I70">
            <v>7.6182712032817701E-3</v>
          </cell>
          <cell r="J70">
            <v>0.13500852222000001</v>
          </cell>
          <cell r="K70">
            <v>0.17188281823462942</v>
          </cell>
          <cell r="L70">
            <v>0.17679674162700099</v>
          </cell>
        </row>
        <row r="71">
          <cell r="A71" t="str">
            <v>Illinois 2001</v>
          </cell>
          <cell r="B71">
            <v>0.15585692009639465</v>
          </cell>
          <cell r="C71">
            <v>5.9907558390954402E-3</v>
          </cell>
          <cell r="D71">
            <v>5.4876320817093705E-4</v>
          </cell>
          <cell r="E71">
            <v>2.53551587021388E-3</v>
          </cell>
          <cell r="F71">
            <v>1.87164679683986E-3</v>
          </cell>
          <cell r="G71">
            <v>1.54363388445147E-2</v>
          </cell>
          <cell r="H71">
            <v>4.1664162153737702E-5</v>
          </cell>
          <cell r="I71">
            <v>8.2005704912443394E-3</v>
          </cell>
          <cell r="J71">
            <v>0.12843881622</v>
          </cell>
          <cell r="K71">
            <v>0.16306407143223289</v>
          </cell>
          <cell r="L71">
            <v>0.16605675710701001</v>
          </cell>
        </row>
        <row r="72">
          <cell r="A72" t="str">
            <v>Illinois 2005</v>
          </cell>
          <cell r="B72">
            <v>0.16149411709114966</v>
          </cell>
          <cell r="C72">
            <v>6.2776536167319002E-3</v>
          </cell>
          <cell r="D72">
            <v>6.8283322287707897E-4</v>
          </cell>
          <cell r="E72">
            <v>2.3107861577746202E-3</v>
          </cell>
          <cell r="F72">
            <v>1.92275175348934E-3</v>
          </cell>
          <cell r="G72">
            <v>1.70553504760113E-2</v>
          </cell>
          <cell r="H72">
            <v>3.4746416890958199E-5</v>
          </cell>
          <cell r="I72">
            <v>8.4781389310756398E-3</v>
          </cell>
          <cell r="J72">
            <v>0.13595381513999999</v>
          </cell>
          <cell r="K72">
            <v>0.17271607571485081</v>
          </cell>
          <cell r="L72">
            <v>0.17797642654745199</v>
          </cell>
        </row>
        <row r="73">
          <cell r="A73" t="str">
            <v>Corn Weighted Avg</v>
          </cell>
          <cell r="B73">
            <v>1</v>
          </cell>
          <cell r="C73">
            <v>5.7235533221717842E-3</v>
          </cell>
          <cell r="D73">
            <v>5.2449388512009214E-4</v>
          </cell>
          <cell r="E73">
            <v>2.2276698039707249E-3</v>
          </cell>
          <cell r="F73">
            <v>1.649277971975E-3</v>
          </cell>
          <cell r="G73">
            <v>1.4523584251094523E-2</v>
          </cell>
          <cell r="H73">
            <v>3.5013411608041574E-5</v>
          </cell>
          <cell r="I73">
            <v>7.140134541912653E-3</v>
          </cell>
          <cell r="J73">
            <v>0.12541909257918557</v>
          </cell>
          <cell r="K73">
            <v>0.15724281976703838</v>
          </cell>
        </row>
        <row r="74">
          <cell r="A74" t="str">
            <v>Relative share</v>
          </cell>
          <cell r="C74">
            <v>3.6399457416570503E-2</v>
          </cell>
          <cell r="D74">
            <v>3.3355665199667059E-3</v>
          </cell>
          <cell r="E74">
            <v>1.416706853305676E-2</v>
          </cell>
          <cell r="F74">
            <v>1.0488733122558297E-2</v>
          </cell>
          <cell r="G74">
            <v>9.2364053713942559E-2</v>
          </cell>
          <cell r="H74">
            <v>2.2267097257550687E-4</v>
          </cell>
          <cell r="I74">
            <v>4.5408334399567825E-2</v>
          </cell>
          <cell r="J74">
            <v>0.79761411532176185</v>
          </cell>
          <cell r="K74">
            <v>1</v>
          </cell>
        </row>
        <row r="76">
          <cell r="A76" t="str">
            <v>Process Non-Energy CH4 Emissions - Corn</v>
          </cell>
        </row>
        <row r="78">
          <cell r="B78" t="str">
            <v>Weighting</v>
          </cell>
          <cell r="C78" t="str">
            <v>nitrogenous fertilizer, anhydrous ammonia; at point-of-sale/kg</v>
          </cell>
          <cell r="D78" t="str">
            <v>nitrogenous fertilizer, aqueous ammonia; at point-of-sale/kg</v>
          </cell>
          <cell r="E78" t="str">
            <v>nitrogenous fertilizer, ammonium nitrate; at point-of-sale/kg</v>
          </cell>
          <cell r="F78" t="str">
            <v>nitrogenous fertilizer, ammonium sulfate; at point-of-sale/kg</v>
          </cell>
          <cell r="G78" t="str">
            <v>nitrogenous fertilizer, nitrogen solutions; at point-of-sale/kg</v>
          </cell>
          <cell r="H78" t="str">
            <v>nitrogenous fertilizer, sodium nitrate; at point-of-sale/kg</v>
          </cell>
          <cell r="I78" t="str">
            <v>nitrogenous fertilizer, urea; at point-of-sale/kg</v>
          </cell>
          <cell r="J78" t="str">
            <v>Soil Emissions, Corn</v>
          </cell>
          <cell r="K78" t="str">
            <v>Total</v>
          </cell>
        </row>
        <row r="79">
          <cell r="B79" t="str">
            <v>%</v>
          </cell>
          <cell r="C79" t="str">
            <v>kg CO2e/kg</v>
          </cell>
          <cell r="D79" t="str">
            <v>kg CO2e/kg</v>
          </cell>
          <cell r="E79" t="str">
            <v>kg CO2e/kg</v>
          </cell>
          <cell r="F79" t="str">
            <v>kg CO2e/kg</v>
          </cell>
          <cell r="G79" t="str">
            <v>kg CO2e/kg</v>
          </cell>
          <cell r="H79" t="str">
            <v>kg CO2e/kg</v>
          </cell>
          <cell r="I79" t="str">
            <v>kg CO2e/kg</v>
          </cell>
          <cell r="J79" t="str">
            <v>kg CO2e/kg</v>
          </cell>
          <cell r="K79" t="str">
            <v>kg CO2e/kg</v>
          </cell>
          <cell r="L79" t="str">
            <v>Check</v>
          </cell>
        </row>
        <row r="80">
          <cell r="A80" t="str">
            <v>Iowa 2000</v>
          </cell>
          <cell r="B80">
            <v>0.16330387941218166</v>
          </cell>
          <cell r="C80">
            <v>1.2269538211186E-3</v>
          </cell>
          <cell r="D80">
            <v>9.3024462430171597E-5</v>
          </cell>
          <cell r="E80">
            <v>4.6853217478163298E-4</v>
          </cell>
          <cell r="F80">
            <v>3.0946208305598102E-4</v>
          </cell>
          <cell r="G80">
            <v>2.8719568007702099E-3</v>
          </cell>
          <cell r="H80">
            <v>7.3554146808446602E-6</v>
          </cell>
          <cell r="I80">
            <v>1.29608878595756E-3</v>
          </cell>
          <cell r="J80" t="str">
            <v>x</v>
          </cell>
          <cell r="K80">
            <v>6.2733735427950004E-3</v>
          </cell>
          <cell r="L80">
            <v>6.6160259010530102E-3</v>
          </cell>
        </row>
        <row r="81">
          <cell r="A81" t="str">
            <v>Iowa 2001</v>
          </cell>
          <cell r="B81">
            <v>0.15729338940603885</v>
          </cell>
          <cell r="C81">
            <v>9.5956944292638097E-4</v>
          </cell>
          <cell r="D81">
            <v>8.7897733964801495E-5</v>
          </cell>
          <cell r="E81">
            <v>4.0613168863845101E-4</v>
          </cell>
          <cell r="F81">
            <v>2.9979512249773401E-4</v>
          </cell>
          <cell r="G81">
            <v>2.4724913935749199E-3</v>
          </cell>
          <cell r="H81">
            <v>6.6736126478212101E-6</v>
          </cell>
          <cell r="I81">
            <v>1.31353023331397E-3</v>
          </cell>
          <cell r="J81" t="str">
            <v>x</v>
          </cell>
          <cell r="K81">
            <v>5.5460892275640784E-3</v>
          </cell>
          <cell r="L81">
            <v>5.8892536858187296E-3</v>
          </cell>
        </row>
        <row r="82">
          <cell r="B82">
            <v>0.20436611066483959</v>
          </cell>
          <cell r="C82">
            <v>9.4535031575604899E-4</v>
          </cell>
          <cell r="D82">
            <v>1.0282781749365E-4</v>
          </cell>
          <cell r="E82">
            <v>3.47976481470584E-4</v>
          </cell>
          <cell r="F82">
            <v>2.8954848529225602E-4</v>
          </cell>
          <cell r="G82">
            <v>2.5683085334997002E-3</v>
          </cell>
          <cell r="H82">
            <v>5.2324342069241704E-6</v>
          </cell>
          <cell r="I82">
            <v>1.27670371690161E-3</v>
          </cell>
          <cell r="J82" t="str">
            <v>x</v>
          </cell>
          <cell r="K82">
            <v>5.5359477846207731E-3</v>
          </cell>
          <cell r="L82">
            <v>5.8533878791500503E-3</v>
          </cell>
        </row>
        <row r="83">
          <cell r="B83">
            <v>0.15768558332939564</v>
          </cell>
          <cell r="C83">
            <v>1.48930865193042E-3</v>
          </cell>
          <cell r="D83">
            <v>1.1291589608679699E-4</v>
          </cell>
          <cell r="E83">
            <v>5.6871393887380096E-4</v>
          </cell>
          <cell r="F83">
            <v>3.7563046740616901E-4</v>
          </cell>
          <cell r="G83">
            <v>3.48607306057278E-3</v>
          </cell>
          <cell r="H83">
            <v>8.9282138192896105E-6</v>
          </cell>
          <cell r="I83">
            <v>1.5732253712738E-3</v>
          </cell>
          <cell r="J83" t="str">
            <v>x</v>
          </cell>
          <cell r="K83">
            <v>7.6147955999630564E-3</v>
          </cell>
          <cell r="L83">
            <v>8.1172405327264996E-3</v>
          </cell>
        </row>
        <row r="84">
          <cell r="B84">
            <v>0.15585692009639465</v>
          </cell>
          <cell r="C84">
            <v>1.23713226107146E-3</v>
          </cell>
          <cell r="D84">
            <v>1.13323374671175E-4</v>
          </cell>
          <cell r="E84">
            <v>5.2360145626864901E-4</v>
          </cell>
          <cell r="F84">
            <v>3.8650792919834101E-4</v>
          </cell>
          <cell r="G84">
            <v>3.1877100803799699E-3</v>
          </cell>
          <cell r="H84">
            <v>8.60393588310291E-6</v>
          </cell>
          <cell r="I84">
            <v>1.6934741769480701E-3</v>
          </cell>
          <cell r="J84" t="str">
            <v>x</v>
          </cell>
          <cell r="K84">
            <v>7.1503532144207684E-3</v>
          </cell>
          <cell r="L84">
            <v>7.61633207121485E-3</v>
          </cell>
        </row>
        <row r="85">
          <cell r="B85">
            <v>0.16149411709114966</v>
          </cell>
          <cell r="C85">
            <v>1.2963786242811801E-3</v>
          </cell>
          <cell r="D85">
            <v>1.4100975430175199E-4</v>
          </cell>
          <cell r="E85">
            <v>4.7719322586380102E-4</v>
          </cell>
          <cell r="F85">
            <v>3.9706145404059E-4</v>
          </cell>
          <cell r="G85">
            <v>3.5220471113274498E-3</v>
          </cell>
          <cell r="H85">
            <v>7.1753739339397502E-6</v>
          </cell>
          <cell r="I85">
            <v>1.7507939677714E-3</v>
          </cell>
          <cell r="J85" t="str">
            <v>x</v>
          </cell>
          <cell r="K85">
            <v>7.5916595115201125E-3</v>
          </cell>
          <cell r="L85">
            <v>8.1017835743972793E-3</v>
          </cell>
        </row>
        <row r="86">
          <cell r="B86">
            <v>1</v>
          </cell>
          <cell r="C86">
            <v>1.1815134649872431E-3</v>
          </cell>
          <cell r="D86">
            <v>1.0827119608583341E-4</v>
          </cell>
          <cell r="E86">
            <v>4.5985834996703029E-4</v>
          </cell>
          <cell r="F86">
            <v>3.4046058118529483E-4</v>
          </cell>
          <cell r="G86">
            <v>2.9981034925921084E-3</v>
          </cell>
          <cell r="H86">
            <v>7.2278293630967875E-6</v>
          </cell>
          <cell r="I86">
            <v>1.4739384782828503E-3</v>
          </cell>
          <cell r="J86">
            <v>0</v>
          </cell>
          <cell r="K86">
            <v>6.5693733924634566E-3</v>
          </cell>
        </row>
        <row r="87">
          <cell r="C87">
            <v>0.17985177495660451</v>
          </cell>
          <cell r="D87">
            <v>1.6481205986866986E-2</v>
          </cell>
          <cell r="E87">
            <v>7.0000336789288131E-2</v>
          </cell>
          <cell r="F87">
            <v>5.182542699976217E-2</v>
          </cell>
          <cell r="G87">
            <v>0.45637586927721369</v>
          </cell>
          <cell r="H87">
            <v>1.1002311683772957E-3</v>
          </cell>
          <cell r="I87">
            <v>0.22436515482188729</v>
          </cell>
          <cell r="J87">
            <v>0</v>
          </cell>
          <cell r="K87">
            <v>1</v>
          </cell>
        </row>
        <row r="92">
          <cell r="B92" t="str">
            <v>Weighting</v>
          </cell>
          <cell r="C92" t="str">
            <v>Nitrogenous fertilizer, anhydrous ammonia; at point-of-sale/kg/AR</v>
          </cell>
          <cell r="D92" t="str">
            <v>Nitrogenous fertilizer, aqueous ammonia; at point-of-sale/kg/AR</v>
          </cell>
          <cell r="E92" t="str">
            <v>Nitrogenous fertilizer, ammonium nitrate; at point-of-sale/kg/AR</v>
          </cell>
          <cell r="F92" t="str">
            <v>Nitrogenous fertilizer, ammonium sulfate; at point-of-sale/kg/AR</v>
          </cell>
          <cell r="G92" t="str">
            <v>Nitrogenous fertilizer, nitrogen solutions; at point-of-sale/kg/AR</v>
          </cell>
          <cell r="H92" t="str">
            <v>Nitrogenous fertilizer, sodium nitrate; at point-of-sale/kg/AR</v>
          </cell>
          <cell r="I92" t="str">
            <v>Nitrogenous fertilizer, urea; at point-of-sale/kg/AR</v>
          </cell>
          <cell r="J92" t="str">
            <v>Soil Emissions, Rice, Arkansas 2006</v>
          </cell>
          <cell r="K92" t="str">
            <v>Total</v>
          </cell>
        </row>
        <row r="93">
          <cell r="B93" t="str">
            <v>%</v>
          </cell>
          <cell r="C93" t="str">
            <v>kg CO2e/kg</v>
          </cell>
          <cell r="D93" t="str">
            <v>kg CO2e/kg</v>
          </cell>
          <cell r="E93" t="str">
            <v>kg CO2e/kg</v>
          </cell>
          <cell r="F93" t="str">
            <v>kg CO2e/kg</v>
          </cell>
          <cell r="G93" t="str">
            <v>kg CO2e/kg</v>
          </cell>
          <cell r="H93" t="str">
            <v>kg CO2e/kg</v>
          </cell>
          <cell r="I93" t="str">
            <v>kg CO2e/kg</v>
          </cell>
          <cell r="J93" t="str">
            <v>kg CO2e/kg</v>
          </cell>
          <cell r="K93" t="str">
            <v>kg CO2e/kg</v>
          </cell>
          <cell r="L93" t="str">
            <v>Check</v>
          </cell>
        </row>
        <row r="94">
          <cell r="A94" t="str">
            <v>Rice; at harvest in 2006; at farm; 63%-90% moisture/AR</v>
          </cell>
          <cell r="B94">
            <v>1</v>
          </cell>
          <cell r="C94">
            <v>6.3720000000000001E-3</v>
          </cell>
          <cell r="D94">
            <v>6.610419E-4</v>
          </cell>
          <cell r="E94" t="str">
            <v>x</v>
          </cell>
          <cell r="F94">
            <v>2.0322962999999999E-3</v>
          </cell>
          <cell r="G94">
            <v>1.6816770000000002E-2</v>
          </cell>
          <cell r="H94">
            <v>2.8707984E-5</v>
          </cell>
          <cell r="I94">
            <v>8.9500050000000005E-3</v>
          </cell>
          <cell r="J94">
            <v>1.2360332999999999E-2</v>
          </cell>
          <cell r="K94">
            <v>4.7221154184000004E-2</v>
          </cell>
          <cell r="L94">
            <v>4.7221154183999997E-2</v>
          </cell>
        </row>
        <row r="95">
          <cell r="A95" t="str">
            <v>Relative Share</v>
          </cell>
          <cell r="C95">
            <v>0.13493952255319994</v>
          </cell>
          <cell r="D95">
            <v>1.3998850968873216E-2</v>
          </cell>
          <cell r="E95" t="e">
            <v>#VALUE!</v>
          </cell>
          <cell r="F95">
            <v>4.3037836222321844E-2</v>
          </cell>
          <cell r="G95">
            <v>0.35612788993832017</v>
          </cell>
          <cell r="H95">
            <v>6.0794752894301673E-4</v>
          </cell>
          <cell r="I95">
            <v>0.18953380438618209</v>
          </cell>
          <cell r="J95">
            <v>0.26175414840215966</v>
          </cell>
          <cell r="K95">
            <v>1</v>
          </cell>
        </row>
        <row r="97">
          <cell r="A97" t="str">
            <v>Process Non-Energy N2O Emissions - Rice</v>
          </cell>
        </row>
        <row r="99">
          <cell r="B99" t="str">
            <v>Weighting</v>
          </cell>
          <cell r="C99" t="str">
            <v>Nitrogenous fertilizer, anhydrous ammonia; at point-of-sale/kg/AR</v>
          </cell>
          <cell r="D99" t="str">
            <v>Nitrogenous fertilizer, aqueous ammonia; at point-of-sale/kg/AR</v>
          </cell>
          <cell r="E99" t="str">
            <v>Nitrogenous fertilizer, ammonium nitrate; at point-of-sale/kg/AR</v>
          </cell>
          <cell r="F99" t="str">
            <v>Nitrogenous fertilizer, ammonium sulfate; at point-of-sale/kg/AR</v>
          </cell>
          <cell r="G99" t="str">
            <v>Nitrogenous fertilizer, nitrogen solutions; at point-of-sale/kg/AR</v>
          </cell>
          <cell r="H99" t="str">
            <v>Nitrogenous fertilizer, sodium nitrate; at point-of-sale/kg/AR</v>
          </cell>
          <cell r="I99" t="str">
            <v>Nitrogenous fertilizer, urea; at point-of-sale/kg/AR</v>
          </cell>
          <cell r="J99" t="str">
            <v>Soil Emissions, Rice, Arkansas 2006</v>
          </cell>
          <cell r="K99" t="str">
            <v>Total</v>
          </cell>
        </row>
        <row r="100">
          <cell r="B100" t="str">
            <v>%</v>
          </cell>
          <cell r="C100" t="str">
            <v>kg CO2e/kg</v>
          </cell>
          <cell r="D100" t="str">
            <v>kg CO2e/kg</v>
          </cell>
          <cell r="E100" t="str">
            <v>kg CO2e/kg</v>
          </cell>
          <cell r="F100" t="str">
            <v>kg CO2e/kg</v>
          </cell>
          <cell r="G100" t="str">
            <v>kg CO2e/kg</v>
          </cell>
          <cell r="H100" t="str">
            <v>kg CO2e/kg</v>
          </cell>
          <cell r="I100" t="str">
            <v>kg CO2e/kg</v>
          </cell>
          <cell r="J100" t="str">
            <v>kg CO2e/kg</v>
          </cell>
          <cell r="K100" t="str">
            <v>kg CO2e/kg</v>
          </cell>
          <cell r="L100" t="str">
            <v>Check</v>
          </cell>
        </row>
        <row r="101">
          <cell r="A101" t="str">
            <v>Rice; at harvest in 2006; at farm; 63%-90% moisture/AR</v>
          </cell>
          <cell r="B101">
            <v>1</v>
          </cell>
          <cell r="C101">
            <v>1.15562479350563E-2</v>
          </cell>
          <cell r="D101">
            <v>1.1988644211959601E-3</v>
          </cell>
          <cell r="E101">
            <v>1.89801507765497E-6</v>
          </cell>
          <cell r="F101">
            <v>3.68576897682007E-3</v>
          </cell>
          <cell r="G101">
            <v>3.0498864341936001E-2</v>
          </cell>
          <cell r="H101">
            <v>5.2064749030073502E-5</v>
          </cell>
          <cell r="I101">
            <v>1.6231713245447799E-2</v>
          </cell>
          <cell r="J101">
            <v>0.22067070999999999</v>
          </cell>
          <cell r="K101">
            <v>0.28389613168456385</v>
          </cell>
          <cell r="L101">
            <v>0.28914116465595702</v>
          </cell>
        </row>
        <row r="102">
          <cell r="A102" t="str">
            <v>Relative Share</v>
          </cell>
          <cell r="C102">
            <v>4.0705901367815794E-2</v>
          </cell>
          <cell r="D102">
            <v>4.2228980510661367E-3</v>
          </cell>
          <cell r="E102">
            <v>6.6855968286452349E-6</v>
          </cell>
          <cell r="F102">
            <v>1.2982808025420076E-2</v>
          </cell>
          <cell r="G102">
            <v>0.10742965802656022</v>
          </cell>
          <cell r="H102">
            <v>1.8339365429579889E-4</v>
          </cell>
          <cell r="I102">
            <v>5.7174830629544496E-2</v>
          </cell>
          <cell r="J102">
            <v>0.77729382464846886</v>
          </cell>
          <cell r="K102">
            <v>1</v>
          </cell>
        </row>
        <row r="104">
          <cell r="A104" t="str">
            <v>Process Non-Energy CH4 Emissions - Rice</v>
          </cell>
        </row>
        <row r="106">
          <cell r="B106" t="str">
            <v>Weighting</v>
          </cell>
          <cell r="C106" t="str">
            <v>Nitrogenous fertilizer, anhydrous ammonia; at point-of-sale/kg/AR</v>
          </cell>
          <cell r="D106" t="str">
            <v>Nitrogenous fertilizer, aqueous ammonia; at point-of-sale/kg/AR</v>
          </cell>
          <cell r="E106" t="str">
            <v>Nitrogenous fertilizer, ammonium nitrate; at point-of-sale/kg/AR</v>
          </cell>
          <cell r="F106" t="str">
            <v>Nitrogenous fertilizer, ammonium sulfate; at point-of-sale/kg/AR</v>
          </cell>
          <cell r="G106" t="str">
            <v>Nitrogenous fertilizer, nitrogen solutions; at point-of-sale/kg/AR</v>
          </cell>
          <cell r="H106" t="str">
            <v>Nitrogenous fertilizer, sodium nitrate; at point-of-sale/kg/AR</v>
          </cell>
          <cell r="I106" t="str">
            <v>Nitrogenous fertilizer, urea; at point-of-sale/kg/AR</v>
          </cell>
          <cell r="J106" t="str">
            <v>Soil Emissions, Rice, Arkansas 2006</v>
          </cell>
          <cell r="K106" t="str">
            <v>Total</v>
          </cell>
        </row>
        <row r="107">
          <cell r="B107" t="str">
            <v>%</v>
          </cell>
          <cell r="C107" t="str">
            <v>kg CO2e/kg</v>
          </cell>
          <cell r="D107" t="str">
            <v>kg CO2e/kg</v>
          </cell>
          <cell r="E107" t="str">
            <v>kg CO2e/kg</v>
          </cell>
          <cell r="F107" t="str">
            <v>kg CO2e/kg</v>
          </cell>
          <cell r="G107" t="str">
            <v>kg CO2e/kg</v>
          </cell>
          <cell r="H107" t="str">
            <v>kg CO2e/kg</v>
          </cell>
          <cell r="I107" t="str">
            <v>kg CO2e/kg</v>
          </cell>
          <cell r="J107" t="str">
            <v>kg CO2e/kg</v>
          </cell>
          <cell r="K107" t="str">
            <v>kg CO2e/kg</v>
          </cell>
          <cell r="L107" t="str">
            <v>Check</v>
          </cell>
        </row>
        <row r="108">
          <cell r="A108" t="str">
            <v>Rice; at harvest in 2006; at farm; 63%-90% moisture/AR</v>
          </cell>
          <cell r="B108">
            <v>1</v>
          </cell>
          <cell r="C108">
            <v>2.3845193222202499E-3</v>
          </cell>
          <cell r="D108">
            <v>2.4737400868599899E-4</v>
          </cell>
          <cell r="E108">
            <v>7.2888688736489794E-5</v>
          </cell>
          <cell r="F108">
            <v>7.6052256682779696E-4</v>
          </cell>
          <cell r="G108">
            <v>6.2931439112262804E-3</v>
          </cell>
          <cell r="H108">
            <v>1.0743054386376299E-5</v>
          </cell>
          <cell r="I108">
            <v>3.3492560980018602E-3</v>
          </cell>
          <cell r="J108" t="str">
            <v>x</v>
          </cell>
          <cell r="K108">
            <v>1.3118447650085052E-2</v>
          </cell>
          <cell r="L108">
            <v>1.3607420958031099E-2</v>
          </cell>
        </row>
        <row r="109">
          <cell r="A109" t="str">
            <v>Relative Share</v>
          </cell>
          <cell r="C109">
            <v>0.18176840627974683</v>
          </cell>
          <cell r="D109">
            <v>1.8856957414804729E-2</v>
          </cell>
          <cell r="E109">
            <v>5.5561977057565362E-3</v>
          </cell>
          <cell r="F109">
            <v>5.7973518446206261E-2</v>
          </cell>
          <cell r="G109">
            <v>0.47971711890663216</v>
          </cell>
          <cell r="H109">
            <v>8.1892725975901942E-4</v>
          </cell>
          <cell r="I109">
            <v>0.25530887398709445</v>
          </cell>
          <cell r="J109">
            <v>0</v>
          </cell>
          <cell r="K109">
            <v>1</v>
          </cell>
        </row>
        <row r="112">
          <cell r="A112" t="str">
            <v>Process Non-Energy CO2 Emissions - Wheat</v>
          </cell>
        </row>
        <row r="114">
          <cell r="B114" t="str">
            <v>Weighting</v>
          </cell>
          <cell r="C114" t="str">
            <v>nitrogenous fertilizer, anhydrous ammonia; at point-of-sale/kg/KS</v>
          </cell>
          <cell r="D114" t="str">
            <v>nitrogenous fertilizer, aqueous ammonia; at point-of-sale/kg/KS</v>
          </cell>
          <cell r="E114" t="str">
            <v>nitrogenous fertilizer, ammonium nitrate; at point-of-sale/kg/KS</v>
          </cell>
          <cell r="F114" t="str">
            <v>nitrogenous fertilizer, ammonium sulfate; at point-of-sale/kg/KS</v>
          </cell>
          <cell r="G114" t="str">
            <v>nitrogenous fertilizer, nitrogen solutions; at point-of-sale/kg/KS</v>
          </cell>
          <cell r="H114" t="str">
            <v>nitrogenous fertilizer, sodium nitrate; at point-of-sale/kg/KS</v>
          </cell>
          <cell r="I114" t="str">
            <v>nitrogenous fertilizer, urea; at point-of-sale/kg/KS</v>
          </cell>
          <cell r="J114" t="str">
            <v>Soil Emissions, Wheat, Kansas</v>
          </cell>
          <cell r="K114" t="str">
            <v>Total</v>
          </cell>
        </row>
        <row r="115">
          <cell r="B115" t="str">
            <v>%</v>
          </cell>
          <cell r="C115" t="str">
            <v>kg CO2e/kg</v>
          </cell>
          <cell r="D115" t="str">
            <v>kg CO2e/kg</v>
          </cell>
          <cell r="E115" t="str">
            <v>kg CO2e/kg</v>
          </cell>
          <cell r="F115" t="str">
            <v>kg CO2e/kg</v>
          </cell>
          <cell r="G115" t="str">
            <v>kg CO2e/kg</v>
          </cell>
          <cell r="H115" t="str">
            <v>kg CO2e/kg</v>
          </cell>
          <cell r="I115" t="str">
            <v>kg CO2e/kg</v>
          </cell>
          <cell r="J115" t="str">
            <v>kg CO2e/kg</v>
          </cell>
          <cell r="K115" t="str">
            <v>kg CO2e/kg</v>
          </cell>
          <cell r="L115" t="str">
            <v>Check</v>
          </cell>
        </row>
        <row r="116">
          <cell r="A116" t="str">
            <v>Winter Wheat; at Harvest in 2009; Kansas</v>
          </cell>
          <cell r="B116">
            <v>0.337048163581742</v>
          </cell>
          <cell r="C116">
            <v>4.6012429179000001E-3</v>
          </cell>
          <cell r="D116">
            <v>5.0276420774999998E-4</v>
          </cell>
          <cell r="E116">
            <v>8.6877042749999996E-4</v>
          </cell>
          <cell r="F116">
            <v>1.3846746285000001E-3</v>
          </cell>
          <cell r="G116">
            <v>1.2242901672E-2</v>
          </cell>
          <cell r="H116">
            <v>2.1456205677000001E-5</v>
          </cell>
          <cell r="I116">
            <v>6.0040839060000002E-3</v>
          </cell>
          <cell r="J116">
            <v>1.5131409163000001E-2</v>
          </cell>
          <cell r="K116">
            <v>4.0757303128326997E-2</v>
          </cell>
          <cell r="L116">
            <v>4.0757303128326997E-2</v>
          </cell>
        </row>
        <row r="117">
          <cell r="A117" t="str">
            <v>Winter Wheat; at Harvest in 2004; Kansas</v>
          </cell>
          <cell r="B117">
            <v>0.30477759472817134</v>
          </cell>
          <cell r="C117">
            <v>6.0423557310000002E-3</v>
          </cell>
          <cell r="D117">
            <v>7.7171307929999999E-4</v>
          </cell>
          <cell r="E117">
            <v>2.2682434949999998E-3</v>
          </cell>
          <cell r="F117">
            <v>1.8260253144E-3</v>
          </cell>
          <cell r="G117">
            <v>1.6597214775000001E-2</v>
          </cell>
          <cell r="H117">
            <v>2.4946596116999999E-5</v>
          </cell>
          <cell r="I117">
            <v>8.3805090929999996E-3</v>
          </cell>
          <cell r="J117">
            <v>2.0228211047000001E-2</v>
          </cell>
          <cell r="K117">
            <v>5.6139219130817E-2</v>
          </cell>
          <cell r="L117">
            <v>5.6139219130817E-2</v>
          </cell>
        </row>
        <row r="118">
          <cell r="A118" t="str">
            <v>Winter Wheat; at Harvest in 2000; Kansas</v>
          </cell>
          <cell r="B118">
            <v>0.35817424169008627</v>
          </cell>
          <cell r="C118">
            <v>5.8066012889999999E-3</v>
          </cell>
          <cell r="D118">
            <v>4.4023825152E-4</v>
          </cell>
          <cell r="E118">
            <v>2.2173164532000001E-3</v>
          </cell>
          <cell r="F118">
            <v>1.4645351700000001E-3</v>
          </cell>
          <cell r="G118">
            <v>1.3591600785E-2</v>
          </cell>
          <cell r="H118">
            <v>3.4809500564999998E-5</v>
          </cell>
          <cell r="I118">
            <v>6.1336978199999998E-3</v>
          </cell>
          <cell r="J118">
            <v>1.6009470057999999E-2</v>
          </cell>
          <cell r="K118">
            <v>4.569826932728499E-2</v>
          </cell>
          <cell r="L118">
            <v>4.5698269327284997E-2</v>
          </cell>
        </row>
        <row r="119">
          <cell r="A119" t="str">
            <v>Kansas Wheat Weighted Average</v>
          </cell>
          <cell r="B119">
            <v>0.99999999999999967</v>
          </cell>
          <cell r="C119">
            <v>5.4721901353421056E-3</v>
          </cell>
          <cell r="D119">
            <v>5.6233861096723699E-4</v>
          </cell>
          <cell r="E119">
            <v>1.7783129130387824E-3</v>
          </cell>
          <cell r="F119">
            <v>1.5477924178729525E-3</v>
          </cell>
          <cell r="G119">
            <v>1.4053068028292563E-2</v>
          </cell>
          <cell r="H119">
            <v>2.73028047505389E-5</v>
          </cell>
          <cell r="I119">
            <v>6.7747894239047358E-3</v>
          </cell>
          <cell r="J119">
            <v>1.6999298977235872E-2</v>
          </cell>
          <cell r="K119">
            <v>4.7215093311404777E-2</v>
          </cell>
        </row>
        <row r="120">
          <cell r="H120">
            <v>5.782643395505887E-4</v>
          </cell>
          <cell r="I120">
            <v>0.14348779063554851</v>
          </cell>
          <cell r="J120">
            <v>0.36003950823771225</v>
          </cell>
          <cell r="K120">
            <v>1</v>
          </cell>
        </row>
        <row r="124">
          <cell r="H124" t="str">
            <v>nitrogenous fertilizer, sodium nitrate; at point-of-sale/kg/KS</v>
          </cell>
          <cell r="I124" t="str">
            <v>nitrogenous fertilizer, urea; at point-of-sale/kg/KS</v>
          </cell>
          <cell r="J124" t="str">
            <v>Soil Emissions, Wheat, Kansas</v>
          </cell>
          <cell r="K124" t="str">
            <v>Total</v>
          </cell>
        </row>
        <row r="125">
          <cell r="H125" t="str">
            <v>kg CO2e/kg</v>
          </cell>
          <cell r="I125" t="str">
            <v>kg CO2e/kg</v>
          </cell>
          <cell r="J125" t="str">
            <v>kg CO2e/kg</v>
          </cell>
          <cell r="K125" t="str">
            <v>kg CO2e/kg</v>
          </cell>
          <cell r="L125" t="str">
            <v>Check</v>
          </cell>
        </row>
        <row r="126">
          <cell r="H126">
            <v>3.8912936683768597E-5</v>
          </cell>
          <cell r="I126">
            <v>1.0888995957410099E-2</v>
          </cell>
          <cell r="J126">
            <v>0.19834639263000001</v>
          </cell>
          <cell r="K126">
            <v>0.24482146862196186</v>
          </cell>
          <cell r="L126">
            <v>0.25666527179366999</v>
          </cell>
        </row>
        <row r="127">
          <cell r="H127">
            <v>4.5243102615154398E-5</v>
          </cell>
          <cell r="I127">
            <v>1.5198876475314101E-2</v>
          </cell>
          <cell r="J127">
            <v>0.25103237195</v>
          </cell>
          <cell r="K127">
            <v>0.31616051272438778</v>
          </cell>
          <cell r="L127">
            <v>0.31723327029634002</v>
          </cell>
        </row>
        <row r="129">
          <cell r="A129" t="str">
            <v>Kansas Wheat Weighted Average</v>
          </cell>
          <cell r="B129">
            <v>0.99999999999999967</v>
          </cell>
          <cell r="C129">
            <v>9.9243543552702974E-3</v>
          </cell>
          <cell r="D129">
            <v>1.0198563107019045E-3</v>
          </cell>
          <cell r="E129">
            <v>3.2251451552398509E-3</v>
          </cell>
          <cell r="F129">
            <v>2.8070735927401211E-3</v>
          </cell>
          <cell r="G129">
            <v>2.5486619331946181E-2</v>
          </cell>
          <cell r="H129">
            <v>4.9516318427441836E-5</v>
          </cell>
          <cell r="I129">
            <v>1.2286746122165754E-2</v>
          </cell>
          <cell r="J129">
            <v>0.22286037939151945</v>
          </cell>
          <cell r="K129">
            <v>0.27765969057801104</v>
          </cell>
        </row>
        <row r="130">
          <cell r="A130" t="str">
            <v>Relative share</v>
          </cell>
          <cell r="C130">
            <v>3.5742870470720917E-2</v>
          </cell>
          <cell r="D130">
            <v>3.6730441807337768E-3</v>
          </cell>
          <cell r="E130">
            <v>1.1615460452779395E-2</v>
          </cell>
          <cell r="F130">
            <v>1.0109762734722375E-2</v>
          </cell>
          <cell r="G130">
            <v>9.1790851163487411E-2</v>
          </cell>
          <cell r="H130">
            <v>1.7833455884202167E-4</v>
          </cell>
          <cell r="I130">
            <v>4.4251097797408517E-2</v>
          </cell>
          <cell r="J130">
            <v>0.8026385786413055</v>
          </cell>
          <cell r="K130">
            <v>1</v>
          </cell>
        </row>
        <row r="132">
          <cell r="A132" t="str">
            <v>Process Non-Energy CH4 Emissions - Wheat</v>
          </cell>
        </row>
        <row r="134">
          <cell r="B134" t="str">
            <v>Weighting</v>
          </cell>
          <cell r="C134" t="str">
            <v>nitrogenous fertilizer, anhydrous ammonia; at point-of-sale/kg/KS</v>
          </cell>
          <cell r="D134" t="str">
            <v>nitrogenous fertilizer, aqueous ammonia; at point-of-sale/kg/KS</v>
          </cell>
          <cell r="E134" t="str">
            <v>nitrogenous fertilizer, ammonium nitrate; at point-of-sale/kg/KS</v>
          </cell>
          <cell r="F134" t="str">
            <v>nitrogenous fertilizer, ammonium sulfate; at point-of-sale/kg/KS</v>
          </cell>
          <cell r="G134" t="str">
            <v>nitrogenous fertilizer, nitrogen solutions; at point-of-sale/kg/KS</v>
          </cell>
          <cell r="H134" t="str">
            <v>nitrogenous fertilizer, sodium nitrate; at point-of-sale/kg/KS</v>
          </cell>
          <cell r="I134" t="str">
            <v>nitrogenous fertilizer, urea; at point-of-sale/kg/KS</v>
          </cell>
          <cell r="J134" t="str">
            <v>Soil Emissions, Wheat, Kansas</v>
          </cell>
          <cell r="K134" t="str">
            <v>Total</v>
          </cell>
        </row>
        <row r="135">
          <cell r="B135" t="str">
            <v>%</v>
          </cell>
          <cell r="C135" t="str">
            <v>kg CO2e/kg</v>
          </cell>
          <cell r="D135" t="str">
            <v>kg CO2e/kg</v>
          </cell>
          <cell r="E135" t="str">
            <v>kg CO2e/kg</v>
          </cell>
          <cell r="F135" t="str">
            <v>kg CO2e/kg</v>
          </cell>
          <cell r="G135" t="str">
            <v>kg CO2e/kg</v>
          </cell>
          <cell r="H135" t="str">
            <v>kg CO2e/kg</v>
          </cell>
          <cell r="I135" t="str">
            <v>kg CO2e/kg</v>
          </cell>
          <cell r="J135" t="str">
            <v>kg CO2e/kg</v>
          </cell>
          <cell r="K135" t="str">
            <v>kg CO2e/kg</v>
          </cell>
          <cell r="L135" t="str">
            <v>Check</v>
          </cell>
        </row>
        <row r="136">
          <cell r="A136" t="str">
            <v>Winter Wheat; at Harvest in 2009; Kansas</v>
          </cell>
          <cell r="B136">
            <v>0.337048163581742</v>
          </cell>
          <cell r="C136">
            <v>1.72186952981193E-3</v>
          </cell>
          <cell r="D136">
            <v>1.88143591949252E-4</v>
          </cell>
          <cell r="E136">
            <v>3.25109835365238E-4</v>
          </cell>
          <cell r="F136">
            <v>5.1817065389930903E-4</v>
          </cell>
          <cell r="G136">
            <v>4.5815184552615504E-3</v>
          </cell>
          <cell r="H136">
            <v>8.0293058723067094E-6</v>
          </cell>
          <cell r="I136">
            <v>2.2468383688149102E-3</v>
          </cell>
          <cell r="J136" t="str">
            <v>x</v>
          </cell>
          <cell r="K136">
            <v>9.5896797409744956E-3</v>
          </cell>
          <cell r="L136">
            <v>1.0128072101986799E-2</v>
          </cell>
        </row>
        <row r="137">
          <cell r="A137" t="str">
            <v>Winter Wheat; at Harvest in 2004; Kansas</v>
          </cell>
          <cell r="B137">
            <v>0.30477759472817134</v>
          </cell>
          <cell r="C137">
            <v>2.2611603879940001E-3</v>
          </cell>
          <cell r="D137">
            <v>2.8878919472707801E-4</v>
          </cell>
          <cell r="E137">
            <v>8.4881833668045998E-4</v>
          </cell>
          <cell r="F137">
            <v>6.8333217907252095E-4</v>
          </cell>
          <cell r="G137">
            <v>6.2109823173300202E-3</v>
          </cell>
          <cell r="H137">
            <v>9.3354740214392894E-6</v>
          </cell>
          <cell r="I137">
            <v>3.13614027970826E-3</v>
          </cell>
          <cell r="J137" t="str">
            <v>x</v>
          </cell>
          <cell r="K137">
            <v>1.3438558169533779E-2</v>
          </cell>
          <cell r="L137">
            <v>1.4143522511953201E-2</v>
          </cell>
        </row>
        <row r="138">
          <cell r="A138" t="str">
            <v>Winter Wheat; at Harvest in 2000; Kansas</v>
          </cell>
          <cell r="B138">
            <v>0.35817424169008627</v>
          </cell>
          <cell r="C138">
            <v>2.1729367498508302E-3</v>
          </cell>
          <cell r="D138">
            <v>1.64745231815741E-4</v>
          </cell>
          <cell r="E138">
            <v>8.2976050315949001E-4</v>
          </cell>
          <cell r="F138">
            <v>5.4805593391966695E-4</v>
          </cell>
          <cell r="G138">
            <v>5.0862264111325196E-3</v>
          </cell>
          <cell r="H138">
            <v>1.3026353844017501E-5</v>
          </cell>
          <cell r="I138">
            <v>2.2953422737680799E-3</v>
          </cell>
          <cell r="J138" t="str">
            <v>x</v>
          </cell>
          <cell r="K138">
            <v>1.1110093457490346E-2</v>
          </cell>
          <cell r="L138">
            <v>1.16954598847179E-2</v>
          </cell>
        </row>
        <row r="139">
          <cell r="A139" t="str">
            <v>Kansas Wheat Weighted Average</v>
          </cell>
          <cell r="B139">
            <v>0.99999999999999967</v>
          </cell>
          <cell r="C139">
            <v>2.0477939599162407E-3</v>
          </cell>
          <cell r="D139">
            <v>2.1043742678623285E-4</v>
          </cell>
          <cell r="E139">
            <v>6.6547732299038838E-4</v>
          </cell>
          <cell r="F139">
            <v>5.7921232379222422E-4</v>
          </cell>
          <cell r="G139">
            <v>5.2589159212082914E-3</v>
          </cell>
          <cell r="H139">
            <v>1.0217210527066379E-5</v>
          </cell>
          <cell r="I139">
            <v>2.5352505155797605E-3</v>
          </cell>
          <cell r="J139">
            <v>0</v>
          </cell>
          <cell r="K139">
            <v>1.1307304680800205E-2</v>
          </cell>
        </row>
        <row r="140">
          <cell r="A140" t="str">
            <v>Relative share</v>
          </cell>
          <cell r="C140">
            <v>0.18110363324633794</v>
          </cell>
          <cell r="D140">
            <v>1.8610750548143932E-2</v>
          </cell>
          <cell r="E140">
            <v>5.8853753549275842E-2</v>
          </cell>
          <cell r="F140">
            <v>5.1224614542820832E-2</v>
          </cell>
          <cell r="G140">
            <v>0.46509014037075758</v>
          </cell>
          <cell r="H140">
            <v>9.0359381085885083E-4</v>
          </cell>
          <cell r="I140">
            <v>0.224213513931805</v>
          </cell>
          <cell r="J140">
            <v>0</v>
          </cell>
          <cell r="K140">
            <v>1</v>
          </cell>
        </row>
        <row r="143">
          <cell r="A143" t="str">
            <v>Fertilizer Calculations</v>
          </cell>
        </row>
        <row r="144">
          <cell r="A144" t="str">
            <v>These calculations are shown here for documentation purposes. Total fertilizer emissions from each grain type are brought into SimaPro to calculate the process non-energy emissions above.</v>
          </cell>
        </row>
        <row r="145">
          <cell r="B145" t="str">
            <v>Corn; IA 2000</v>
          </cell>
          <cell r="C145" t="str">
            <v>Corn; IA 2001</v>
          </cell>
          <cell r="D145" t="str">
            <v>Corn; IA 2005</v>
          </cell>
          <cell r="E145" t="str">
            <v>Corn; IL 2000</v>
          </cell>
          <cell r="F145" t="str">
            <v>Corn; IL 2001</v>
          </cell>
          <cell r="G145" t="str">
            <v>Corn; IL 2005</v>
          </cell>
          <cell r="H145" t="str">
            <v>Rice; AR 2006</v>
          </cell>
          <cell r="I145" t="str">
            <v>Wheat; KS 2000</v>
          </cell>
          <cell r="J145" t="str">
            <v>Wheat; KS 2004</v>
          </cell>
          <cell r="K145" t="str">
            <v>Wheat; KS 2009</v>
          </cell>
          <cell r="M145" t="str">
            <v>N2O Conversions</v>
          </cell>
        </row>
        <row r="146">
          <cell r="A146" t="str">
            <v>Synthetic Fertilizers (Fsn)</v>
          </cell>
          <cell r="B146" t="str">
            <v>kg-N/kg grain</v>
          </cell>
          <cell r="C146" t="str">
            <v>kg-N/kg grain</v>
          </cell>
          <cell r="D146" t="str">
            <v>kg-N/kg grain</v>
          </cell>
          <cell r="E146" t="str">
            <v>kg-N/kg grain</v>
          </cell>
          <cell r="F146" t="str">
            <v>kg-N/kg grain</v>
          </cell>
          <cell r="G146" t="str">
            <v>kg-N/kg grain</v>
          </cell>
          <cell r="H146" t="str">
            <v>kg-N/kg grain</v>
          </cell>
          <cell r="I146" t="str">
            <v>kg-N/kg grain</v>
          </cell>
          <cell r="J146" t="str">
            <v>kg-N/kg grain</v>
          </cell>
          <cell r="K146" t="str">
            <v>kg-N/kg grain</v>
          </cell>
          <cell r="M146" t="str">
            <v>Properties of Compounds</v>
          </cell>
          <cell r="N146" t="str">
            <v>Formula</v>
          </cell>
          <cell r="O146" t="str">
            <v>Molar Mass (g/mol)</v>
          </cell>
          <cell r="P146" t="str">
            <v>Mass of N in the Compound</v>
          </cell>
          <cell r="Q146" t="str">
            <v>Ratio of N to the compound</v>
          </cell>
          <cell r="R146" t="str">
            <v>Emission Factor</v>
          </cell>
          <cell r="S146" t="str">
            <v>Notes</v>
          </cell>
        </row>
        <row r="147">
          <cell r="A147" t="str">
            <v xml:space="preserve"> nitrogenous fertilizer, anhydrous ammonia; at point-of-sale</v>
          </cell>
          <cell r="B147">
            <v>5.9265294117647055E-3</v>
          </cell>
          <cell r="C147">
            <v>4.6349882352941171E-3</v>
          </cell>
          <cell r="D147">
            <v>4.5663058823529412E-3</v>
          </cell>
          <cell r="E147">
            <v>7.1937764705882349E-3</v>
          </cell>
          <cell r="F147">
            <v>5.9756941176470589E-3</v>
          </cell>
          <cell r="G147">
            <v>6.2618705882352939E-3</v>
          </cell>
          <cell r="H147">
            <v>9.8823529411764706E-3</v>
          </cell>
          <cell r="I147">
            <v>9.3709411764705888E-3</v>
          </cell>
          <cell r="J147">
            <v>9.7514117647058817E-3</v>
          </cell>
          <cell r="K147">
            <v>7.4256823529411757E-3</v>
          </cell>
          <cell r="M147" t="str">
            <v>Anhydrous Ammonia</v>
          </cell>
          <cell r="N147" t="str">
            <v>NH3</v>
          </cell>
          <cell r="O147">
            <v>17</v>
          </cell>
          <cell r="P147">
            <v>14</v>
          </cell>
          <cell r="Q147">
            <v>0.82352941176470584</v>
          </cell>
          <cell r="S147" t="str">
            <v>Gaseous fertilizer spray</v>
          </cell>
        </row>
        <row r="148">
          <cell r="A148" t="str">
            <v xml:space="preserve"> nitrogenous fertilizer, aqueous ammonia; at point-of-sale</v>
          </cell>
          <cell r="B148">
            <v>2.1824800000000002E-4</v>
          </cell>
          <cell r="C148">
            <v>2.0622000000000001E-4</v>
          </cell>
          <cell r="D148">
            <v>2.41248E-4</v>
          </cell>
          <cell r="E148">
            <v>2.6491599999999997E-4</v>
          </cell>
          <cell r="F148">
            <v>2.6587200000000001E-4</v>
          </cell>
          <cell r="G148">
            <v>3.3082800000000002E-4</v>
          </cell>
          <cell r="H148">
            <v>4.9795999999999998E-4</v>
          </cell>
          <cell r="I148">
            <v>3.4508800000000001E-4</v>
          </cell>
          <cell r="J148">
            <v>6.0492000000000011E-4</v>
          </cell>
          <cell r="K148">
            <v>3.9410000000000004E-4</v>
          </cell>
          <cell r="M148" t="str">
            <v>Aqueous Ammonia</v>
          </cell>
          <cell r="N148" t="str">
            <v>NH4OH</v>
          </cell>
          <cell r="O148">
            <v>35</v>
          </cell>
          <cell r="P148">
            <v>14</v>
          </cell>
          <cell r="Q148">
            <v>0.4</v>
          </cell>
          <cell r="S148" t="str">
            <v>ammonium hydroxide</v>
          </cell>
        </row>
        <row r="149">
          <cell r="A149" t="str">
            <v xml:space="preserve"> nitrogenous fertilizer, ammonium nitrate; at point-of-sale</v>
          </cell>
          <cell r="B149">
            <v>9.6183499999999986E-4</v>
          </cell>
          <cell r="C149">
            <v>8.3373499999999994E-4</v>
          </cell>
          <cell r="D149">
            <v>7.1434999999999988E-4</v>
          </cell>
          <cell r="E149">
            <v>1.1674949999999999E-3</v>
          </cell>
          <cell r="F149">
            <v>1.0748849999999998E-3</v>
          </cell>
          <cell r="G149">
            <v>9.7961499999999987E-4</v>
          </cell>
          <cell r="H149">
            <v>1.05861E-3</v>
          </cell>
          <cell r="I149">
            <v>1.5208199999999998E-3</v>
          </cell>
          <cell r="J149">
            <v>1.5557500000000001E-3</v>
          </cell>
          <cell r="K149">
            <v>5.9587499999999994E-4</v>
          </cell>
          <cell r="M149" t="str">
            <v>Ammonium Nitrate</v>
          </cell>
          <cell r="N149" t="str">
            <v>NH4NO3</v>
          </cell>
          <cell r="O149">
            <v>80</v>
          </cell>
          <cell r="P149">
            <v>28</v>
          </cell>
          <cell r="Q149">
            <v>0.35</v>
          </cell>
        </row>
        <row r="150">
          <cell r="A150" t="str">
            <v xml:space="preserve"> nitrogenous fertilizer, ammonium sulfate; at point-of-sale</v>
          </cell>
          <cell r="B150">
            <v>3.8502121212121213E-4</v>
          </cell>
          <cell r="C150">
            <v>3.7299393939393938E-4</v>
          </cell>
          <cell r="D150">
            <v>3.6024545454545458E-4</v>
          </cell>
          <cell r="E150">
            <v>4.6734545454545459E-4</v>
          </cell>
          <cell r="F150">
            <v>4.8087878787878789E-4</v>
          </cell>
          <cell r="G150">
            <v>4.9400909090909092E-4</v>
          </cell>
          <cell r="H150">
            <v>8.1185151515151524E-4</v>
          </cell>
          <cell r="I150">
            <v>6.0878787878787879E-4</v>
          </cell>
          <cell r="J150">
            <v>7.5905454545454546E-4</v>
          </cell>
          <cell r="K150">
            <v>5.7559090909090917E-4</v>
          </cell>
          <cell r="M150" t="str">
            <v>Ammonium Sulfate</v>
          </cell>
          <cell r="N150" t="str">
            <v>(NH4)2(SO4)</v>
          </cell>
          <cell r="O150">
            <v>132</v>
          </cell>
          <cell r="P150">
            <v>28</v>
          </cell>
          <cell r="Q150">
            <v>0.21212121212121213</v>
          </cell>
        </row>
        <row r="151">
          <cell r="A151" t="str">
            <v xml:space="preserve"> nitrogenous fertilizer, nitrogen solutions; at point-of-sale</v>
          </cell>
          <cell r="B151">
            <v>5.0534999999999998E-3</v>
          </cell>
          <cell r="C151">
            <v>4.3505999999999996E-3</v>
          </cell>
          <cell r="D151">
            <v>4.5191999999999993E-3</v>
          </cell>
          <cell r="E151">
            <v>6.1341E-3</v>
          </cell>
          <cell r="F151">
            <v>5.6090999999999997E-3</v>
          </cell>
          <cell r="G151">
            <v>6.1973999999999996E-3</v>
          </cell>
          <cell r="H151">
            <v>9.500999999999999E-3</v>
          </cell>
          <cell r="I151">
            <v>7.9904999999999993E-3</v>
          </cell>
          <cell r="J151">
            <v>9.7574999999999988E-3</v>
          </cell>
          <cell r="K151">
            <v>7.1975999999999993E-3</v>
          </cell>
          <cell r="M151" t="str">
            <v>Nitrogen Solutions</v>
          </cell>
          <cell r="Q151">
            <v>0.3</v>
          </cell>
          <cell r="S151" t="str">
            <v>Source: LCA Digital Commons Documentation</v>
          </cell>
        </row>
        <row r="152">
          <cell r="A152" t="str">
            <v xml:space="preserve"> nitrogenous fertilizer, sodium nitrate; at point-of-sale</v>
          </cell>
          <cell r="B152">
            <v>7.1057411764705885E-6</v>
          </cell>
          <cell r="C152">
            <v>6.4470823529411764E-6</v>
          </cell>
          <cell r="D152">
            <v>5.0548235294117643E-6</v>
          </cell>
          <cell r="E152">
            <v>8.6251529411764703E-6</v>
          </cell>
          <cell r="F152">
            <v>8.3118823529411768E-6</v>
          </cell>
          <cell r="G152">
            <v>6.9318117647058827E-6</v>
          </cell>
          <cell r="H152">
            <v>8.9046588235294124E-6</v>
          </cell>
          <cell r="I152">
            <v>1.1235411764705882E-5</v>
          </cell>
          <cell r="J152">
            <v>8.0519764705882353E-6</v>
          </cell>
          <cell r="K152">
            <v>6.9253882352941174E-6</v>
          </cell>
          <cell r="M152" t="str">
            <v>Sodium Nitrate</v>
          </cell>
          <cell r="N152" t="str">
            <v>NaNO3</v>
          </cell>
          <cell r="O152">
            <v>85</v>
          </cell>
          <cell r="P152">
            <v>14</v>
          </cell>
          <cell r="Q152">
            <v>0.16470588235294117</v>
          </cell>
        </row>
        <row r="153">
          <cell r="A153" t="str">
            <v xml:space="preserve"> nitrogenous fertilizer, urea; at point-of-sale</v>
          </cell>
          <cell r="B153">
            <v>3.5476000000000001E-3</v>
          </cell>
          <cell r="C153">
            <v>3.5953399999999998E-3</v>
          </cell>
          <cell r="D153">
            <v>3.49454E-3</v>
          </cell>
          <cell r="E153">
            <v>4.3061666666666665E-3</v>
          </cell>
          <cell r="F153">
            <v>4.6353066666666668E-3</v>
          </cell>
          <cell r="G153">
            <v>4.7921999999999999E-3</v>
          </cell>
          <cell r="H153">
            <v>7.8656666666666666E-3</v>
          </cell>
          <cell r="I153">
            <v>5.6093333333333334E-3</v>
          </cell>
          <cell r="J153">
            <v>7.6640666666666669E-3</v>
          </cell>
          <cell r="K153">
            <v>5.4908000000000005E-3</v>
          </cell>
          <cell r="M153" t="str">
            <v>Urea</v>
          </cell>
          <cell r="N153" t="str">
            <v>CH4N2O</v>
          </cell>
          <cell r="O153">
            <v>60</v>
          </cell>
          <cell r="P153">
            <v>28</v>
          </cell>
          <cell r="Q153">
            <v>0.46666666666666667</v>
          </cell>
        </row>
        <row r="154">
          <cell r="B154">
            <v>1.6099839365062391E-2</v>
          </cell>
          <cell r="C154">
            <v>1.4000324257040998E-2</v>
          </cell>
          <cell r="D154">
            <v>1.3900944160427808E-2</v>
          </cell>
          <cell r="E154">
            <v>1.9542424744741532E-2</v>
          </cell>
          <cell r="F154">
            <v>1.8050048454545456E-2</v>
          </cell>
          <cell r="G154">
            <v>1.9062854490909088E-2</v>
          </cell>
          <cell r="H154">
            <v>2.9626345781818181E-2</v>
          </cell>
          <cell r="I154">
            <v>2.545670580035651E-2</v>
          </cell>
          <cell r="J154">
            <v>3.0100754953297681E-2</v>
          </cell>
          <cell r="K154">
            <v>2.1686573650267375E-2</v>
          </cell>
        </row>
        <row r="157">
          <cell r="B157" t="str">
            <v>Corn; IA 2000</v>
          </cell>
          <cell r="C157" t="str">
            <v>Corn; IA 2001</v>
          </cell>
          <cell r="D157" t="str">
            <v>Corn; IA 2005</v>
          </cell>
          <cell r="E157" t="str">
            <v>Corn; IL 2000</v>
          </cell>
          <cell r="F157" t="str">
            <v>Corn; IL 2001</v>
          </cell>
          <cell r="G157" t="str">
            <v>Corn; IL 2005</v>
          </cell>
          <cell r="H157" t="str">
            <v>Rice; AR 2006</v>
          </cell>
          <cell r="I157" t="str">
            <v>Wheat; KS 2000</v>
          </cell>
          <cell r="J157" t="str">
            <v>Wheat; KS 2004</v>
          </cell>
          <cell r="K157" t="str">
            <v>Wheat; KS 2009</v>
          </cell>
        </row>
        <row r="158">
          <cell r="H158" t="str">
            <v>kg-N/kg grain</v>
          </cell>
          <cell r="I158" t="str">
            <v>kg-N/kg grain</v>
          </cell>
          <cell r="J158" t="str">
            <v>kg-N/kg grain</v>
          </cell>
          <cell r="K158" t="str">
            <v>kg-N/kg grain</v>
          </cell>
          <cell r="M158" t="str">
            <v>Organic Fertilizer (Fon)</v>
          </cell>
          <cell r="N158" t="str">
            <v>Dry Fraction</v>
          </cell>
          <cell r="O158" t="str">
            <v>Percent</v>
          </cell>
        </row>
        <row r="159">
          <cell r="H159">
            <v>4.6953599999999998E-9</v>
          </cell>
          <cell r="I159">
            <v>2.6187600000000001E-8</v>
          </cell>
          <cell r="J159">
            <v>1.153212E-8</v>
          </cell>
          <cell r="K159">
            <v>2.8165200000000002E-8</v>
          </cell>
          <cell r="M159" t="str">
            <v xml:space="preserve"> sewage sludge; at point-of-sale</v>
          </cell>
          <cell r="O159">
            <v>0.12000000000000001</v>
          </cell>
        </row>
        <row r="160">
          <cell r="H160">
            <v>0</v>
          </cell>
          <cell r="I160">
            <v>0</v>
          </cell>
          <cell r="J160">
            <v>0</v>
          </cell>
          <cell r="K160">
            <v>0</v>
          </cell>
          <cell r="M160" t="str">
            <v xml:space="preserve"> dairy manure; from semi-solid to solid storage; at point-of-sale</v>
          </cell>
          <cell r="N160">
            <v>0.10500000000000001</v>
          </cell>
          <cell r="O160">
            <v>8.1000000000000003E-2</v>
          </cell>
        </row>
        <row r="161">
          <cell r="H161">
            <v>0</v>
          </cell>
          <cell r="I161">
            <v>0</v>
          </cell>
          <cell r="J161">
            <v>0</v>
          </cell>
          <cell r="K161">
            <v>0</v>
          </cell>
          <cell r="M161" t="str">
            <v xml:space="preserve"> dairy manure; from slurry storage; at point-of-sale</v>
          </cell>
          <cell r="N161">
            <v>0.10500000000000001</v>
          </cell>
          <cell r="O161">
            <v>8.1000000000000003E-2</v>
          </cell>
        </row>
        <row r="162">
          <cell r="D162">
            <v>0</v>
          </cell>
          <cell r="E162">
            <v>0</v>
          </cell>
          <cell r="F162">
            <v>0</v>
          </cell>
          <cell r="G162">
            <v>1.8081895000000004E-4</v>
          </cell>
          <cell r="H162">
            <v>0</v>
          </cell>
          <cell r="I162">
            <v>0</v>
          </cell>
          <cell r="J162">
            <v>0</v>
          </cell>
          <cell r="K162">
            <v>0</v>
          </cell>
          <cell r="M162" t="str">
            <v xml:space="preserve"> hog manure; from semi-solid to solid storage; at point-of-sale</v>
          </cell>
          <cell r="N162">
            <v>0.1</v>
          </cell>
          <cell r="O162">
            <v>7.4500000000000011E-2</v>
          </cell>
        </row>
        <row r="163">
          <cell r="D163">
            <v>0</v>
          </cell>
          <cell r="E163">
            <v>0</v>
          </cell>
          <cell r="F163">
            <v>0</v>
          </cell>
          <cell r="G163">
            <v>9.5479200000000012E-5</v>
          </cell>
          <cell r="H163">
            <v>0</v>
          </cell>
          <cell r="I163">
            <v>0</v>
          </cell>
          <cell r="J163">
            <v>0</v>
          </cell>
          <cell r="K163">
            <v>0</v>
          </cell>
          <cell r="M163" t="str">
            <v xml:space="preserve"> hog manure; from slurry storage; at point-of-sale</v>
          </cell>
          <cell r="N163">
            <v>0.1</v>
          </cell>
          <cell r="O163">
            <v>7.4500000000000011E-2</v>
          </cell>
        </row>
        <row r="164">
          <cell r="D164">
            <v>0</v>
          </cell>
          <cell r="E164">
            <v>0</v>
          </cell>
          <cell r="F164">
            <v>0</v>
          </cell>
          <cell r="G164">
            <v>2.0755532580000004E-4</v>
          </cell>
          <cell r="H164">
            <v>0</v>
          </cell>
          <cell r="I164">
            <v>0</v>
          </cell>
          <cell r="J164">
            <v>0</v>
          </cell>
          <cell r="K164">
            <v>0</v>
          </cell>
          <cell r="M164" t="str">
            <v xml:space="preserve"> unspecified manure; from semi-solid to solid storage; at point-of-sale</v>
          </cell>
          <cell r="N164">
            <v>0.13100000000000001</v>
          </cell>
          <cell r="O164">
            <v>6.6700000000000009E-2</v>
          </cell>
        </row>
        <row r="165">
          <cell r="D165">
            <v>0</v>
          </cell>
          <cell r="E165">
            <v>0</v>
          </cell>
          <cell r="F165">
            <v>0</v>
          </cell>
          <cell r="G165">
            <v>1.0959697110000003E-4</v>
          </cell>
          <cell r="H165">
            <v>0</v>
          </cell>
          <cell r="I165">
            <v>0</v>
          </cell>
          <cell r="J165">
            <v>0</v>
          </cell>
          <cell r="K165">
            <v>0</v>
          </cell>
          <cell r="M165" t="str">
            <v xml:space="preserve"> unspecified animal manure; from slurry storage; at point-of-sale</v>
          </cell>
          <cell r="N165">
            <v>0.13100000000000001</v>
          </cell>
          <cell r="O165">
            <v>6.6700000000000009E-2</v>
          </cell>
        </row>
        <row r="166">
          <cell r="D166">
            <v>3.8205300000000004E-4</v>
          </cell>
          <cell r="E166">
            <v>0</v>
          </cell>
          <cell r="F166">
            <v>0</v>
          </cell>
          <cell r="G166">
            <v>0</v>
          </cell>
          <cell r="H166">
            <v>0</v>
          </cell>
          <cell r="I166">
            <v>0</v>
          </cell>
          <cell r="J166">
            <v>0</v>
          </cell>
          <cell r="K166">
            <v>0</v>
          </cell>
          <cell r="M166" t="str">
            <v xml:space="preserve"> beef manure; from lagoon storage; at point-of-sale</v>
          </cell>
          <cell r="N166">
            <v>0.1</v>
          </cell>
          <cell r="O166">
            <v>4.9000000000000002E-2</v>
          </cell>
        </row>
        <row r="167">
          <cell r="A167" t="str">
            <v xml:space="preserve"> dairy manure; from lagoon storage; at point-of-sale</v>
          </cell>
          <cell r="B167">
            <v>0</v>
          </cell>
          <cell r="C167">
            <v>0</v>
          </cell>
          <cell r="D167">
            <v>9.5418000000000011E-4</v>
          </cell>
          <cell r="E167">
            <v>0</v>
          </cell>
          <cell r="F167">
            <v>0</v>
          </cell>
          <cell r="G167">
            <v>0</v>
          </cell>
          <cell r="H167">
            <v>0</v>
          </cell>
          <cell r="I167">
            <v>0</v>
          </cell>
          <cell r="J167">
            <v>0</v>
          </cell>
          <cell r="K167">
            <v>0</v>
          </cell>
          <cell r="M167" t="str">
            <v xml:space="preserve"> dairy manure; from lagoon storage; at point-of-sale</v>
          </cell>
          <cell r="N167">
            <v>0.1</v>
          </cell>
          <cell r="O167">
            <v>8.1000000000000003E-2</v>
          </cell>
        </row>
        <row r="168">
          <cell r="A168" t="str">
            <v xml:space="preserve"> hog manure; from lagoon storage; at point-of-sale</v>
          </cell>
          <cell r="B168">
            <v>0</v>
          </cell>
          <cell r="C168">
            <v>0</v>
          </cell>
          <cell r="D168">
            <v>9.617950000000001E-4</v>
          </cell>
          <cell r="E168">
            <v>0</v>
          </cell>
          <cell r="F168">
            <v>0</v>
          </cell>
          <cell r="G168">
            <v>0</v>
          </cell>
          <cell r="H168">
            <v>0</v>
          </cell>
          <cell r="I168">
            <v>0</v>
          </cell>
          <cell r="J168">
            <v>0</v>
          </cell>
          <cell r="K168">
            <v>0</v>
          </cell>
          <cell r="M168" t="str">
            <v xml:space="preserve"> hog manure; from lagoon storage; at point-of-sale</v>
          </cell>
          <cell r="N168">
            <v>0.1</v>
          </cell>
          <cell r="O168">
            <v>7.4500000000000011E-2</v>
          </cell>
        </row>
        <row r="169">
          <cell r="A169" t="str">
            <v xml:space="preserve"> unspecified animal manure; from lagoon storage; at point-of-sale</v>
          </cell>
          <cell r="B169">
            <v>0</v>
          </cell>
          <cell r="C169">
            <v>0</v>
          </cell>
          <cell r="D169">
            <v>7.0191691640000017E-4</v>
          </cell>
          <cell r="E169">
            <v>0</v>
          </cell>
          <cell r="F169">
            <v>0</v>
          </cell>
          <cell r="G169">
            <v>0</v>
          </cell>
          <cell r="H169">
            <v>0</v>
          </cell>
          <cell r="I169">
            <v>0</v>
          </cell>
          <cell r="J169">
            <v>0</v>
          </cell>
          <cell r="K169">
            <v>0</v>
          </cell>
          <cell r="M169" t="str">
            <v xml:space="preserve"> unspecified animal manure; from lagoon storage; at point-of-sale</v>
          </cell>
          <cell r="N169">
            <v>0.13100000000000001</v>
          </cell>
          <cell r="O169">
            <v>6.6700000000000009E-2</v>
          </cell>
        </row>
        <row r="170">
          <cell r="A170" t="str">
            <v xml:space="preserve"> beef manure; from unspecified storage; at point-of-sale</v>
          </cell>
          <cell r="B170">
            <v>4.7183080000000007E-4</v>
          </cell>
          <cell r="C170">
            <v>1.5115520000000003E-4</v>
          </cell>
          <cell r="D170">
            <v>0</v>
          </cell>
          <cell r="E170">
            <v>0</v>
          </cell>
          <cell r="F170">
            <v>2.7609539999999999E-4</v>
          </cell>
          <cell r="G170">
            <v>0</v>
          </cell>
          <cell r="H170">
            <v>0</v>
          </cell>
          <cell r="I170">
            <v>0</v>
          </cell>
          <cell r="J170">
            <v>0</v>
          </cell>
          <cell r="K170">
            <v>0</v>
          </cell>
          <cell r="M170" t="str">
            <v xml:space="preserve"> beef manure; from unspecified storage; at point-of-sale</v>
          </cell>
          <cell r="N170">
            <v>0.1</v>
          </cell>
          <cell r="O170">
            <v>4.9000000000000002E-2</v>
          </cell>
        </row>
        <row r="171">
          <cell r="A171" t="str">
            <v xml:space="preserve"> dairy manure; from unspecified storage; at point-of-sale</v>
          </cell>
          <cell r="B171">
            <v>9.0067950000000016E-5</v>
          </cell>
          <cell r="C171">
            <v>1.9607427000000003E-4</v>
          </cell>
          <cell r="D171">
            <v>0</v>
          </cell>
          <cell r="E171">
            <v>0</v>
          </cell>
          <cell r="F171">
            <v>0</v>
          </cell>
          <cell r="G171">
            <v>0</v>
          </cell>
          <cell r="H171">
            <v>0</v>
          </cell>
          <cell r="I171">
            <v>0</v>
          </cell>
          <cell r="J171">
            <v>0</v>
          </cell>
          <cell r="K171">
            <v>0</v>
          </cell>
          <cell r="M171" t="str">
            <v xml:space="preserve"> dairy manure; from unspecified storage; at point-of-sale</v>
          </cell>
          <cell r="N171">
            <v>0.10500000000000001</v>
          </cell>
          <cell r="O171">
            <v>8.1000000000000003E-2</v>
          </cell>
        </row>
        <row r="172">
          <cell r="A172" t="str">
            <v xml:space="preserve"> hog manure; from unspecified storage; at point-of-sale</v>
          </cell>
          <cell r="B172">
            <v>7.461175000000002E-4</v>
          </cell>
          <cell r="C172">
            <v>8.7485350000000026E-4</v>
          </cell>
          <cell r="D172">
            <v>0</v>
          </cell>
          <cell r="E172">
            <v>3.3516805000000007E-4</v>
          </cell>
          <cell r="F172">
            <v>0</v>
          </cell>
          <cell r="G172">
            <v>0</v>
          </cell>
          <cell r="H172">
            <v>0</v>
          </cell>
          <cell r="I172">
            <v>0</v>
          </cell>
          <cell r="J172">
            <v>0</v>
          </cell>
          <cell r="K172">
            <v>0</v>
          </cell>
          <cell r="M172" t="str">
            <v xml:space="preserve"> hog manure; from unspecified storage; at point-of-sale</v>
          </cell>
          <cell r="N172">
            <v>0.1</v>
          </cell>
          <cell r="O172">
            <v>7.4500000000000011E-2</v>
          </cell>
        </row>
        <row r="173">
          <cell r="A173" t="str">
            <v xml:space="preserve"> poultry manure; from unspecified storage; at point-of-sale</v>
          </cell>
          <cell r="B173">
            <v>3.4287312499999998E-4</v>
          </cell>
          <cell r="C173">
            <v>0</v>
          </cell>
          <cell r="D173">
            <v>0</v>
          </cell>
          <cell r="E173">
            <v>0</v>
          </cell>
          <cell r="F173">
            <v>0</v>
          </cell>
          <cell r="G173">
            <v>0</v>
          </cell>
          <cell r="H173">
            <v>0</v>
          </cell>
          <cell r="I173">
            <v>0</v>
          </cell>
          <cell r="J173">
            <v>0</v>
          </cell>
          <cell r="K173">
            <v>0</v>
          </cell>
          <cell r="M173" t="str">
            <v xml:space="preserve"> poultry manure; from unspecified storage; at point-of-sale</v>
          </cell>
          <cell r="N173">
            <v>0.25</v>
          </cell>
          <cell r="O173">
            <v>5.45E-2</v>
          </cell>
        </row>
        <row r="174">
          <cell r="A174" t="str">
            <v xml:space="preserve"> unspecified animal manure; from unspecified storage; at point-of-sale</v>
          </cell>
          <cell r="B174">
            <v>2.6943571720000002E-4</v>
          </cell>
          <cell r="C174">
            <v>6.3115028410000017E-4</v>
          </cell>
          <cell r="D174">
            <v>0</v>
          </cell>
          <cell r="E174">
            <v>1.2621607650000001E-4</v>
          </cell>
          <cell r="F174">
            <v>4.7170473450000008E-4</v>
          </cell>
          <cell r="G174">
            <v>0</v>
          </cell>
          <cell r="H174">
            <v>0</v>
          </cell>
          <cell r="I174">
            <v>0</v>
          </cell>
          <cell r="J174">
            <v>0</v>
          </cell>
          <cell r="K174">
            <v>0</v>
          </cell>
          <cell r="M174" t="str">
            <v xml:space="preserve"> unspecified animal manure; from unspecified storage; at point-of-sale</v>
          </cell>
          <cell r="N174">
            <v>0.13100000000000001</v>
          </cell>
          <cell r="O174">
            <v>6.6700000000000009E-2</v>
          </cell>
        </row>
        <row r="175">
          <cell r="B175">
            <v>1.9203321802400003E-3</v>
          </cell>
          <cell r="C175">
            <v>1.8532440656200003E-3</v>
          </cell>
          <cell r="D175">
            <v>2.9999495936400005E-3</v>
          </cell>
          <cell r="E175">
            <v>4.6139081062000005E-4</v>
          </cell>
          <cell r="F175">
            <v>7.4781039282000006E-4</v>
          </cell>
          <cell r="G175">
            <v>1.0498598571400002E-3</v>
          </cell>
          <cell r="H175">
            <v>4.6953599999999998E-9</v>
          </cell>
          <cell r="I175">
            <v>2.6187600000000001E-8</v>
          </cell>
          <cell r="J175">
            <v>1.153212E-8</v>
          </cell>
          <cell r="K175">
            <v>2.8165200000000002E-8</v>
          </cell>
        </row>
        <row r="178">
          <cell r="B178" t="str">
            <v>Corn; IA 2000</v>
          </cell>
          <cell r="C178" t="str">
            <v>Corn; IA 2001</v>
          </cell>
          <cell r="D178" t="str">
            <v>Corn; IA 2005</v>
          </cell>
          <cell r="E178" t="str">
            <v>Corn; IL 2000</v>
          </cell>
          <cell r="F178" t="str">
            <v>Corn; IL 2001</v>
          </cell>
          <cell r="G178" t="str">
            <v>Corn; IL 2005</v>
          </cell>
          <cell r="H178" t="str">
            <v>Rice; AR 2006</v>
          </cell>
          <cell r="I178" t="str">
            <v>Wheat; KS 2000</v>
          </cell>
          <cell r="J178" t="str">
            <v>Wheat; KS 2004</v>
          </cell>
          <cell r="K178" t="str">
            <v>Wheat; KS 2009</v>
          </cell>
        </row>
        <row r="179">
          <cell r="A179" t="str">
            <v>Crop Residues (Fcr)</v>
          </cell>
          <cell r="B179" t="str">
            <v>kg-N/kg grain</v>
          </cell>
          <cell r="C179" t="str">
            <v>kg-N/kg grain</v>
          </cell>
          <cell r="D179" t="str">
            <v>kg-N/kg grain</v>
          </cell>
          <cell r="E179" t="str">
            <v>kg-N/kg grain</v>
          </cell>
          <cell r="F179" t="str">
            <v>kg-N/kg grain</v>
          </cell>
          <cell r="G179" t="str">
            <v>kg-N/kg grain</v>
          </cell>
          <cell r="H179" t="str">
            <v>kg-N/kg grain</v>
          </cell>
          <cell r="I179" t="str">
            <v>kg-N/kg grain</v>
          </cell>
          <cell r="J179" t="str">
            <v>kg-N/kg grain</v>
          </cell>
          <cell r="K179" t="str">
            <v>kg-N/kg grain</v>
          </cell>
        </row>
        <row r="180">
          <cell r="A180" t="str">
            <v>nitrogen; in above-ground residue left on field; biogenic</v>
          </cell>
          <cell r="B180">
            <v>3.3067000000000001E-3</v>
          </cell>
          <cell r="C180">
            <v>3.3030999999999998E-3</v>
          </cell>
          <cell r="D180">
            <v>3.2583E-3</v>
          </cell>
          <cell r="E180">
            <v>3.3630000000000001E-3</v>
          </cell>
          <cell r="F180">
            <v>3.3609E-3</v>
          </cell>
          <cell r="G180">
            <v>3.3817999999999999E-3</v>
          </cell>
          <cell r="H180">
            <v>3.6472000000000002E-3</v>
          </cell>
          <cell r="I180">
            <v>7.7285000000000001E-3</v>
          </cell>
          <cell r="J180">
            <v>7.7755000000000003E-3</v>
          </cell>
          <cell r="K180">
            <v>7.6893999999999999E-3</v>
          </cell>
        </row>
        <row r="181">
          <cell r="A181" t="str">
            <v>nitrogen; in below-ground residue; biogenic</v>
          </cell>
          <cell r="B181">
            <v>1.3308E-3</v>
          </cell>
          <cell r="C181">
            <v>1.3308E-3</v>
          </cell>
          <cell r="D181">
            <v>1.3308E-3</v>
          </cell>
          <cell r="E181">
            <v>1.3308E-3</v>
          </cell>
          <cell r="F181">
            <v>1.3308E-3</v>
          </cell>
          <cell r="G181">
            <v>1.3308E-3</v>
          </cell>
          <cell r="H181">
            <v>1.2867E-3</v>
          </cell>
          <cell r="I181">
            <v>3.4402999999999999E-3</v>
          </cell>
          <cell r="J181">
            <v>3.4402999999999999E-3</v>
          </cell>
          <cell r="K181">
            <v>3.4402999999999999E-3</v>
          </cell>
        </row>
        <row r="182">
          <cell r="B182">
            <v>4.6375000000000001E-3</v>
          </cell>
          <cell r="C182">
            <v>4.6338999999999998E-3</v>
          </cell>
          <cell r="D182">
            <v>4.5891000000000005E-3</v>
          </cell>
          <cell r="E182">
            <v>4.6937999999999997E-3</v>
          </cell>
          <cell r="F182">
            <v>4.6917E-3</v>
          </cell>
          <cell r="G182">
            <v>4.7125999999999999E-3</v>
          </cell>
          <cell r="H182">
            <v>4.9338999999999997E-3</v>
          </cell>
          <cell r="I182">
            <v>1.11688E-2</v>
          </cell>
          <cell r="J182">
            <v>1.12158E-2</v>
          </cell>
          <cell r="K182">
            <v>1.1129699999999999E-2</v>
          </cell>
        </row>
        <row r="185">
          <cell r="B185" t="str">
            <v>Corn; IA 2000</v>
          </cell>
          <cell r="C185" t="str">
            <v>Corn; IA 2001</v>
          </cell>
          <cell r="D185" t="str">
            <v>Corn; IA 2005</v>
          </cell>
          <cell r="E185" t="str">
            <v>Corn; IL 2000</v>
          </cell>
          <cell r="F185" t="str">
            <v>Corn; IL 2001</v>
          </cell>
          <cell r="G185" t="str">
            <v>Corn; IL 2005</v>
          </cell>
          <cell r="H185" t="str">
            <v>Rice; AR 2006</v>
          </cell>
          <cell r="I185" t="str">
            <v>Wheat; KS 2000</v>
          </cell>
          <cell r="J185" t="str">
            <v>Wheat; KS 2004</v>
          </cell>
          <cell r="K185" t="str">
            <v>Wheat; KS 2009</v>
          </cell>
        </row>
        <row r="186">
          <cell r="A186" t="str">
            <v>Limestone and Dolomite (Mlimestone + Mdolomite)</v>
          </cell>
          <cell r="B186" t="str">
            <v>kg-liming material/kg grain</v>
          </cell>
          <cell r="C186" t="str">
            <v>kg-liming material/kg grain</v>
          </cell>
          <cell r="D186" t="str">
            <v>kg-liming material/kg grain</v>
          </cell>
          <cell r="E186" t="str">
            <v>kg-liming material/kg grain</v>
          </cell>
          <cell r="F186" t="str">
            <v>kg-liming material/kg grain</v>
          </cell>
          <cell r="G186" t="str">
            <v>kg-liming material/kg grain</v>
          </cell>
          <cell r="H186" t="str">
            <v>kg-liming material/kg grain</v>
          </cell>
          <cell r="I186" t="str">
            <v>kg-liming material/kg grain</v>
          </cell>
          <cell r="J186" t="str">
            <v>kg-liming material/kg grain</v>
          </cell>
          <cell r="K186" t="str">
            <v>kg-liming material/kg grain</v>
          </cell>
        </row>
        <row r="187">
          <cell r="A187" t="str">
            <v xml:space="preserve"> limestone, high-grade, pulverized; at point-of-sale</v>
          </cell>
          <cell r="B187">
            <v>2.0250000000000001E-2</v>
          </cell>
          <cell r="C187">
            <v>1.8991000000000001E-2</v>
          </cell>
          <cell r="D187">
            <v>1.8769999999999998E-2</v>
          </cell>
          <cell r="E187">
            <v>2.3836E-2</v>
          </cell>
          <cell r="F187">
            <v>2.2620999999999999E-2</v>
          </cell>
          <cell r="G187">
            <v>2.3845999999999999E-2</v>
          </cell>
          <cell r="H187" t="str">
            <v>0</v>
          </cell>
          <cell r="I187">
            <v>1.6768999999999999E-2</v>
          </cell>
          <cell r="J187">
            <v>1.9251000000000001E-2</v>
          </cell>
          <cell r="K187">
            <v>1.5214E-2</v>
          </cell>
        </row>
        <row r="188">
          <cell r="A188" t="str">
            <v xml:space="preserve"> dolomite, pulverized; at point-of-sale</v>
          </cell>
          <cell r="B188">
            <v>3.15E-3</v>
          </cell>
          <cell r="C188">
            <v>2.9543E-3</v>
          </cell>
          <cell r="D188">
            <v>2.9198000000000002E-3</v>
          </cell>
          <cell r="E188">
            <v>3.7077999999999998E-3</v>
          </cell>
          <cell r="F188">
            <v>3.5189000000000002E-3</v>
          </cell>
          <cell r="G188">
            <v>3.7093999999999999E-3</v>
          </cell>
          <cell r="H188" t="str">
            <v>0</v>
          </cell>
          <cell r="I188">
            <v>9.7794000000000006E-4</v>
          </cell>
          <cell r="J188">
            <v>1.1226999999999999E-3</v>
          </cell>
          <cell r="K188">
            <v>8.8725000000000002E-4</v>
          </cell>
        </row>
        <row r="192">
          <cell r="A192" t="str">
            <v>Direct Emissions</v>
          </cell>
        </row>
        <row r="193">
          <cell r="A193" t="str">
            <v>(Fsn + Fon + Fcr) * EF1</v>
          </cell>
          <cell r="B193" t="str">
            <v>Corn; IA 2000</v>
          </cell>
          <cell r="C193" t="str">
            <v>Corn; IA 2001</v>
          </cell>
          <cell r="D193" t="str">
            <v>Corn; IA 2005</v>
          </cell>
          <cell r="E193" t="str">
            <v>Corn; IL 2000</v>
          </cell>
          <cell r="F193" t="str">
            <v>Corn; IL 2001</v>
          </cell>
          <cell r="G193" t="str">
            <v>Corn; IL 2005</v>
          </cell>
          <cell r="H193" t="str">
            <v>Rice; AR 2006</v>
          </cell>
          <cell r="I193" t="str">
            <v>Wheat; KS 2000</v>
          </cell>
          <cell r="J193" t="str">
            <v>Wheat; KS 2004</v>
          </cell>
          <cell r="K193" t="str">
            <v>Wheat; KS 2009</v>
          </cell>
          <cell r="M193" t="str">
            <v>Constants</v>
          </cell>
        </row>
        <row r="194">
          <cell r="A194" t="str">
            <v>Fsn (kg-N/kg)</v>
          </cell>
          <cell r="B194">
            <v>1.6099839365062391E-2</v>
          </cell>
          <cell r="C194">
            <v>1.4000324257040998E-2</v>
          </cell>
          <cell r="D194">
            <v>1.3900944160427808E-2</v>
          </cell>
          <cell r="E194">
            <v>1.9542424744741532E-2</v>
          </cell>
          <cell r="F194">
            <v>1.8050048454545456E-2</v>
          </cell>
          <cell r="G194">
            <v>1.9062854490909088E-2</v>
          </cell>
          <cell r="H194">
            <v>2.9626345781818181E-2</v>
          </cell>
          <cell r="I194">
            <v>2.545670580035651E-2</v>
          </cell>
          <cell r="J194">
            <v>3.0100754953297681E-2</v>
          </cell>
          <cell r="K194">
            <v>2.1686573650267375E-2</v>
          </cell>
          <cell r="M194" t="str">
            <v>kg N2O/kg N2O-N</v>
          </cell>
          <cell r="N194">
            <v>1.5714285714285714</v>
          </cell>
        </row>
        <row r="195">
          <cell r="A195" t="str">
            <v>Fon (kg-N/kg)</v>
          </cell>
          <cell r="B195">
            <v>1.9203321802400003E-3</v>
          </cell>
          <cell r="C195">
            <v>1.8532440656200003E-3</v>
          </cell>
          <cell r="D195">
            <v>2.9999495936400005E-3</v>
          </cell>
          <cell r="E195">
            <v>4.6139081062000005E-4</v>
          </cell>
          <cell r="F195">
            <v>7.4781039282000006E-4</v>
          </cell>
          <cell r="G195">
            <v>1.0498598571400002E-3</v>
          </cell>
          <cell r="H195">
            <v>4.6953599999999998E-9</v>
          </cell>
          <cell r="I195">
            <v>2.6187600000000001E-8</v>
          </cell>
          <cell r="J195">
            <v>1.153212E-8</v>
          </cell>
          <cell r="K195">
            <v>2.8165200000000002E-8</v>
          </cell>
          <cell r="M195" t="str">
            <v>GWP N2O</v>
          </cell>
          <cell r="N195">
            <v>298</v>
          </cell>
        </row>
        <row r="196">
          <cell r="H196">
            <v>4.9338999999999997E-3</v>
          </cell>
          <cell r="I196">
            <v>1.11688E-2</v>
          </cell>
          <cell r="J196">
            <v>1.12158E-2</v>
          </cell>
          <cell r="K196">
            <v>1.1129699999999999E-2</v>
          </cell>
          <cell r="M196" t="str">
            <v>kg CO2/kg CO2-C</v>
          </cell>
          <cell r="N196">
            <v>3.6666666666666665</v>
          </cell>
        </row>
        <row r="197">
          <cell r="H197">
            <v>0.01</v>
          </cell>
          <cell r="I197">
            <v>0.01</v>
          </cell>
          <cell r="J197">
            <v>0.01</v>
          </cell>
          <cell r="K197">
            <v>0.01</v>
          </cell>
        </row>
        <row r="198">
          <cell r="H198">
            <v>5.430896503556571E-4</v>
          </cell>
          <cell r="I198">
            <v>5.7554407409645943E-4</v>
          </cell>
          <cell r="J198">
            <v>6.4926033048513495E-4</v>
          </cell>
          <cell r="K198">
            <v>5.1568474281448731E-4</v>
          </cell>
        </row>
        <row r="201">
          <cell r="H201" t="str">
            <v>Rice; AR 2006</v>
          </cell>
          <cell r="I201" t="str">
            <v>Wheat; KS 2000</v>
          </cell>
          <cell r="J201" t="str">
            <v>Wheat; KS 2004</v>
          </cell>
          <cell r="K201" t="str">
            <v>Wheat; KS 2009</v>
          </cell>
        </row>
        <row r="203">
          <cell r="H203">
            <v>2.9626345781818181E-2</v>
          </cell>
          <cell r="I203">
            <v>2.545670580035651E-2</v>
          </cell>
          <cell r="J203">
            <v>3.0100754953297681E-2</v>
          </cell>
          <cell r="K203">
            <v>2.1686573650267375E-2</v>
          </cell>
        </row>
        <row r="204">
          <cell r="H204">
            <v>4.6953599999999998E-9</v>
          </cell>
          <cell r="I204">
            <v>2.6187600000000001E-8</v>
          </cell>
          <cell r="J204">
            <v>1.153212E-8</v>
          </cell>
          <cell r="K204">
            <v>2.8165200000000002E-8</v>
          </cell>
        </row>
        <row r="205">
          <cell r="A205" t="str">
            <v>Fcr (kg-N/kg)</v>
          </cell>
          <cell r="B205">
            <v>4.6375000000000001E-3</v>
          </cell>
          <cell r="C205">
            <v>4.6338999999999998E-3</v>
          </cell>
          <cell r="D205">
            <v>4.5891000000000005E-3</v>
          </cell>
          <cell r="E205">
            <v>4.6937999999999997E-3</v>
          </cell>
          <cell r="F205">
            <v>4.6917E-3</v>
          </cell>
          <cell r="G205">
            <v>4.7125999999999999E-3</v>
          </cell>
          <cell r="H205">
            <v>4.9338999999999997E-3</v>
          </cell>
          <cell r="I205">
            <v>1.11688E-2</v>
          </cell>
          <cell r="J205">
            <v>1.12158E-2</v>
          </cell>
          <cell r="K205">
            <v>1.1129699999999999E-2</v>
          </cell>
        </row>
        <row r="206">
          <cell r="A206" t="str">
            <v>Frac GASF (kg N volatilised / kg-N)</v>
          </cell>
          <cell r="B206">
            <v>0.1</v>
          </cell>
          <cell r="C206">
            <v>0.1</v>
          </cell>
          <cell r="D206">
            <v>0.1</v>
          </cell>
          <cell r="E206">
            <v>0.1</v>
          </cell>
          <cell r="F206">
            <v>0.1</v>
          </cell>
          <cell r="G206">
            <v>0.1</v>
          </cell>
          <cell r="H206">
            <v>0.1</v>
          </cell>
          <cell r="I206">
            <v>0.1</v>
          </cell>
          <cell r="J206">
            <v>0.1</v>
          </cell>
          <cell r="K206">
            <v>0.1</v>
          </cell>
        </row>
        <row r="207">
          <cell r="A207" t="str">
            <v>Frac GASM (kg N volatilised / kg-N)</v>
          </cell>
          <cell r="B207">
            <v>0.2</v>
          </cell>
          <cell r="C207">
            <v>0.2</v>
          </cell>
          <cell r="D207">
            <v>0.2</v>
          </cell>
          <cell r="E207">
            <v>0.2</v>
          </cell>
          <cell r="F207">
            <v>0.2</v>
          </cell>
          <cell r="G207">
            <v>0.2</v>
          </cell>
          <cell r="H207">
            <v>0.2</v>
          </cell>
          <cell r="I207">
            <v>0.2</v>
          </cell>
          <cell r="J207">
            <v>0.2</v>
          </cell>
          <cell r="K207">
            <v>0.2</v>
          </cell>
        </row>
        <row r="208">
          <cell r="A208" t="str">
            <v>EF4 (kg N2O-N/kg N volatised)</v>
          </cell>
          <cell r="B208">
            <v>0.01</v>
          </cell>
          <cell r="C208">
            <v>0.01</v>
          </cell>
          <cell r="D208">
            <v>0.01</v>
          </cell>
          <cell r="E208">
            <v>0.01</v>
          </cell>
          <cell r="F208">
            <v>0.01</v>
          </cell>
          <cell r="G208">
            <v>0.01</v>
          </cell>
          <cell r="H208">
            <v>0.01</v>
          </cell>
          <cell r="I208">
            <v>0.01</v>
          </cell>
          <cell r="J208">
            <v>0.01</v>
          </cell>
          <cell r="K208">
            <v>0.01</v>
          </cell>
        </row>
        <row r="209">
          <cell r="A209" t="str">
            <v>Frac Leach (kg N leached and runoff/ kg-N)</v>
          </cell>
          <cell r="B209">
            <v>0.3</v>
          </cell>
          <cell r="C209">
            <v>0.3</v>
          </cell>
          <cell r="D209">
            <v>0.3</v>
          </cell>
          <cell r="E209">
            <v>0.3</v>
          </cell>
          <cell r="F209">
            <v>0.3</v>
          </cell>
          <cell r="G209">
            <v>0.3</v>
          </cell>
          <cell r="H209">
            <v>0.3</v>
          </cell>
          <cell r="I209">
            <v>0.3</v>
          </cell>
          <cell r="J209">
            <v>0.3</v>
          </cell>
          <cell r="K209">
            <v>0.3</v>
          </cell>
        </row>
        <row r="210">
          <cell r="A210" t="str">
            <v>EF5 (kg N2O-N / kg N leached and runoff)</v>
          </cell>
          <cell r="B210">
            <v>7.4999999999999997E-3</v>
          </cell>
          <cell r="C210">
            <v>7.4999999999999997E-3</v>
          </cell>
          <cell r="D210">
            <v>7.4999999999999997E-3</v>
          </cell>
          <cell r="E210">
            <v>7.4999999999999997E-3</v>
          </cell>
          <cell r="F210">
            <v>7.4999999999999997E-3</v>
          </cell>
          <cell r="G210">
            <v>7.4999999999999997E-3</v>
          </cell>
          <cell r="H210">
            <v>7.4999999999999997E-3</v>
          </cell>
          <cell r="I210">
            <v>7.4999999999999997E-3</v>
          </cell>
          <cell r="J210">
            <v>7.4999999999999997E-3</v>
          </cell>
          <cell r="K210">
            <v>7.4999999999999997E-3</v>
          </cell>
        </row>
        <row r="211">
          <cell r="A211" t="str">
            <v>Volatilization (kg N2O-N/kg)</v>
          </cell>
          <cell r="B211">
            <v>1.9940503725542396E-5</v>
          </cell>
          <cell r="C211">
            <v>1.7706812388281002E-5</v>
          </cell>
          <cell r="D211">
            <v>1.9900843347707809E-5</v>
          </cell>
          <cell r="E211">
            <v>2.0465206365981532E-5</v>
          </cell>
          <cell r="F211">
            <v>1.9545669240185459E-5</v>
          </cell>
          <cell r="G211">
            <v>2.1162574205189092E-5</v>
          </cell>
          <cell r="H211">
            <v>2.9626355172538184E-5</v>
          </cell>
          <cell r="I211">
            <v>2.5456758175556515E-5</v>
          </cell>
          <cell r="J211">
            <v>3.0100778017537683E-5</v>
          </cell>
          <cell r="K211">
            <v>2.168662998066738E-5</v>
          </cell>
        </row>
        <row r="212">
          <cell r="A212" t="str">
            <v>Leaching (kg N2O-N/kg)</v>
          </cell>
          <cell r="B212">
            <v>5.0979760976930376E-5</v>
          </cell>
          <cell r="C212">
            <v>4.609680372598724E-5</v>
          </cell>
          <cell r="D212">
            <v>4.8352485946652567E-5</v>
          </cell>
          <cell r="E212">
            <v>5.5569634999563446E-5</v>
          </cell>
          <cell r="F212">
            <v>5.285150740657227E-5</v>
          </cell>
          <cell r="G212">
            <v>5.5856957283110449E-5</v>
          </cell>
          <cell r="H212">
            <v>7.7760563573650896E-5</v>
          </cell>
          <cell r="I212">
            <v>8.2407446972902144E-5</v>
          </cell>
          <cell r="J212">
            <v>9.2962274592189761E-5</v>
          </cell>
          <cell r="K212">
            <v>7.3836679084801591E-5</v>
          </cell>
        </row>
        <row r="213">
          <cell r="A213" t="str">
            <v>Total Indirect N2O (kg-N2O/kg)</v>
          </cell>
          <cell r="B213">
            <v>1.1144613024674292E-4</v>
          </cell>
          <cell r="C213">
            <v>1.0026282532242153E-4</v>
          </cell>
          <cell r="D213">
            <v>1.0725523174828059E-4</v>
          </cell>
          <cell r="E213">
            <v>1.194833221458564E-4</v>
          </cell>
          <cell r="F213">
            <v>1.1376699187347644E-4</v>
          </cell>
          <cell r="G213">
            <v>1.2103069233875642E-4</v>
          </cell>
          <cell r="H213">
            <v>1.6875087231543997E-4</v>
          </cell>
          <cell r="I213">
            <v>1.6950089380472075E-4</v>
          </cell>
          <cell r="J213">
            <v>1.9338479695814312E-4</v>
          </cell>
          <cell r="K213">
            <v>1.501080571028798E-4</v>
          </cell>
        </row>
        <row r="215">
          <cell r="A215" t="str">
            <v>Limestone and Dolomite Emissions</v>
          </cell>
        </row>
        <row r="216">
          <cell r="A216" t="str">
            <v>Lime Application CO2-C = (Mlimestone * EFLimestone) + (Mdolomite*Efdolomite)</v>
          </cell>
          <cell r="B216" t="str">
            <v>Corn; IA 2000</v>
          </cell>
          <cell r="C216" t="str">
            <v>Corn; IA 2001</v>
          </cell>
          <cell r="D216" t="str">
            <v>Corn; IA 2005</v>
          </cell>
          <cell r="E216" t="str">
            <v>Corn; IL 2000</v>
          </cell>
          <cell r="F216" t="str">
            <v>Corn; IL 2001</v>
          </cell>
          <cell r="G216" t="str">
            <v>Corn; IL 2005</v>
          </cell>
          <cell r="H216" t="str">
            <v>Rice; AR 2006</v>
          </cell>
          <cell r="I216" t="str">
            <v>Wheat; KS 2000</v>
          </cell>
          <cell r="J216" t="str">
            <v>Wheat; KS 2004</v>
          </cell>
          <cell r="K216" t="str">
            <v>Wheat; KS 2009</v>
          </cell>
        </row>
        <row r="217">
          <cell r="A217" t="str">
            <v>M limestone (kgLimestone/kg)</v>
          </cell>
          <cell r="B217">
            <v>2.0250000000000001E-2</v>
          </cell>
          <cell r="C217">
            <v>1.8991000000000001E-2</v>
          </cell>
          <cell r="D217">
            <v>1.8769999999999998E-2</v>
          </cell>
          <cell r="E217">
            <v>2.3836E-2</v>
          </cell>
          <cell r="F217">
            <v>2.2620999999999999E-2</v>
          </cell>
          <cell r="G217">
            <v>2.3845999999999999E-2</v>
          </cell>
          <cell r="H217" t="str">
            <v>0</v>
          </cell>
          <cell r="I217">
            <v>1.6768999999999999E-2</v>
          </cell>
          <cell r="J217">
            <v>1.9251000000000001E-2</v>
          </cell>
          <cell r="K217">
            <v>1.5214E-2</v>
          </cell>
        </row>
        <row r="218">
          <cell r="A218" t="str">
            <v>M dolomite (kgDolomite/kg)</v>
          </cell>
          <cell r="B218">
            <v>3.15E-3</v>
          </cell>
          <cell r="C218">
            <v>2.9543E-3</v>
          </cell>
          <cell r="D218">
            <v>2.9198000000000002E-3</v>
          </cell>
          <cell r="E218">
            <v>3.7077999999999998E-3</v>
          </cell>
          <cell r="F218">
            <v>3.5189000000000002E-3</v>
          </cell>
          <cell r="G218">
            <v>3.7093999999999999E-3</v>
          </cell>
          <cell r="H218" t="str">
            <v>0</v>
          </cell>
          <cell r="I218">
            <v>9.7794000000000006E-4</v>
          </cell>
          <cell r="J218">
            <v>1.1226999999999999E-3</v>
          </cell>
          <cell r="K218">
            <v>8.8725000000000002E-4</v>
          </cell>
        </row>
        <row r="219">
          <cell r="A219" t="str">
            <v>EF limestone (kg-C/kgLimestone)</v>
          </cell>
          <cell r="B219">
            <v>0.12</v>
          </cell>
          <cell r="C219">
            <v>0.12</v>
          </cell>
          <cell r="D219">
            <v>0.12</v>
          </cell>
          <cell r="E219">
            <v>0.12</v>
          </cell>
          <cell r="F219">
            <v>0.12</v>
          </cell>
          <cell r="G219">
            <v>0.12</v>
          </cell>
          <cell r="H219">
            <v>0.12</v>
          </cell>
          <cell r="I219">
            <v>0.12</v>
          </cell>
          <cell r="J219">
            <v>0.12</v>
          </cell>
          <cell r="K219">
            <v>0.12</v>
          </cell>
        </row>
        <row r="220">
          <cell r="A220" t="str">
            <v>Ef dolomite (kg-C/kgDolomite)</v>
          </cell>
          <cell r="B220">
            <v>0.13</v>
          </cell>
          <cell r="C220">
            <v>0.13</v>
          </cell>
          <cell r="D220">
            <v>0.13</v>
          </cell>
          <cell r="E220">
            <v>0.13</v>
          </cell>
          <cell r="F220">
            <v>0.13</v>
          </cell>
          <cell r="G220">
            <v>0.13</v>
          </cell>
          <cell r="H220">
            <v>0.13</v>
          </cell>
          <cell r="I220">
            <v>0.13</v>
          </cell>
          <cell r="J220">
            <v>0.13</v>
          </cell>
          <cell r="K220">
            <v>0.13</v>
          </cell>
        </row>
        <row r="221">
          <cell r="A221" t="str">
            <v>Total Limestone+Dolomite CO2 Emissions (kg-CO2/kg)</v>
          </cell>
          <cell r="B221">
            <v>1.0411499999999999E-2</v>
          </cell>
          <cell r="C221">
            <v>9.7642563333333321E-3</v>
          </cell>
          <cell r="D221">
            <v>9.6505713333333333E-3</v>
          </cell>
          <cell r="E221">
            <v>1.2255224666666665E-2</v>
          </cell>
          <cell r="F221">
            <v>1.1630582333333332E-2</v>
          </cell>
          <cell r="G221">
            <v>1.2260387333333332E-2</v>
          </cell>
          <cell r="H221">
            <v>0</v>
          </cell>
          <cell r="I221">
            <v>7.8445113999999986E-3</v>
          </cell>
          <cell r="J221">
            <v>9.0055936666666673E-3</v>
          </cell>
          <cell r="K221">
            <v>7.1170824999999991E-3</v>
          </cell>
        </row>
        <row r="223">
          <cell r="A223" t="str">
            <v>Urea</v>
          </cell>
        </row>
        <row r="224">
          <cell r="A224" t="str">
            <v>Urea CO2-C = Murea * EFurea</v>
          </cell>
          <cell r="B224" t="str">
            <v>Corn; IA 2000</v>
          </cell>
          <cell r="C224" t="str">
            <v>Corn; IA 2001</v>
          </cell>
          <cell r="D224" t="str">
            <v>Corn; IA 2005</v>
          </cell>
          <cell r="E224" t="str">
            <v>Corn; IL 2000</v>
          </cell>
          <cell r="F224" t="str">
            <v>Corn; IL 2001</v>
          </cell>
          <cell r="G224" t="str">
            <v>Corn; IL 2005</v>
          </cell>
          <cell r="H224" t="str">
            <v>Rice; AR 2006</v>
          </cell>
          <cell r="I224" t="str">
            <v>Wheat; KS 2000</v>
          </cell>
          <cell r="J224" t="str">
            <v>Wheat; KS 2004</v>
          </cell>
          <cell r="K224" t="str">
            <v>Wheat; KS 2009</v>
          </cell>
        </row>
        <row r="225">
          <cell r="A225" t="str">
            <v>M urea (kgUrea/kg)</v>
          </cell>
          <cell r="B225">
            <v>7.6020000000000003E-3</v>
          </cell>
          <cell r="C225">
            <v>7.7042999999999999E-3</v>
          </cell>
          <cell r="D225">
            <v>7.4882999999999998E-3</v>
          </cell>
          <cell r="E225">
            <v>9.2274999999999996E-3</v>
          </cell>
          <cell r="F225">
            <v>9.9328000000000003E-3</v>
          </cell>
          <cell r="G225">
            <v>1.0269E-2</v>
          </cell>
          <cell r="H225">
            <v>1.6854999999999998E-2</v>
          </cell>
          <cell r="I225">
            <v>1.2019999999999999E-2</v>
          </cell>
          <cell r="J225">
            <v>1.6423E-2</v>
          </cell>
          <cell r="K225">
            <v>1.1766E-2</v>
          </cell>
        </row>
        <row r="226">
          <cell r="A226" t="str">
            <v>EF urea (kg-C/kgUrea)</v>
          </cell>
          <cell r="B226">
            <v>0.2</v>
          </cell>
          <cell r="C226">
            <v>0.2</v>
          </cell>
          <cell r="D226">
            <v>0.2</v>
          </cell>
          <cell r="E226">
            <v>0.2</v>
          </cell>
          <cell r="F226">
            <v>0.2</v>
          </cell>
          <cell r="G226">
            <v>0.2</v>
          </cell>
          <cell r="H226">
            <v>0.2</v>
          </cell>
          <cell r="I226">
            <v>0.2</v>
          </cell>
          <cell r="J226">
            <v>0.2</v>
          </cell>
          <cell r="K226">
            <v>0.2</v>
          </cell>
        </row>
        <row r="227">
          <cell r="A227" t="str">
            <v>Total Urea CO2 Emissions (kg-CO2/kg)</v>
          </cell>
          <cell r="B227">
            <v>5.5748000000000004E-3</v>
          </cell>
          <cell r="C227">
            <v>5.6498199999999998E-3</v>
          </cell>
          <cell r="D227">
            <v>5.4914200000000003E-3</v>
          </cell>
          <cell r="E227">
            <v>6.766833333333333E-3</v>
          </cell>
          <cell r="F227">
            <v>7.2840533333333336E-3</v>
          </cell>
          <cell r="G227">
            <v>7.5306000000000001E-3</v>
          </cell>
          <cell r="H227">
            <v>1.2360333333333333E-2</v>
          </cell>
          <cell r="I227">
            <v>8.8146666666666651E-3</v>
          </cell>
          <cell r="J227">
            <v>1.2043533333333334E-2</v>
          </cell>
          <cell r="K227">
            <v>8.6283999999999996E-3</v>
          </cell>
        </row>
        <row r="229">
          <cell r="A229" t="str">
            <v>Fertilizer Emissions Summary</v>
          </cell>
          <cell r="B229" t="str">
            <v>Corn; IA 2000</v>
          </cell>
          <cell r="C229" t="str">
            <v>Corn; IA 2001</v>
          </cell>
          <cell r="D229" t="str">
            <v>Corn; IA 2005</v>
          </cell>
          <cell r="E229" t="str">
            <v>Corn; IL 2000</v>
          </cell>
          <cell r="F229" t="str">
            <v>Corn; IL 2001</v>
          </cell>
          <cell r="G229" t="str">
            <v>Corn; IL 2005</v>
          </cell>
          <cell r="H229" t="str">
            <v>Rice; AR 2006</v>
          </cell>
          <cell r="I229" t="str">
            <v>Wheat; KS 2000</v>
          </cell>
          <cell r="J229" t="str">
            <v>Wheat; KS 2004</v>
          </cell>
          <cell r="K229" t="str">
            <v>Wheat; KS 2009</v>
          </cell>
        </row>
        <row r="230">
          <cell r="A230" t="str">
            <v>Direct N2O Emissions (kg N2O/kg)</v>
          </cell>
          <cell r="B230">
            <v>3.5604912428332326E-4</v>
          </cell>
          <cell r="C230">
            <v>3.2194593078467277E-4</v>
          </cell>
          <cell r="D230">
            <v>3.3769990184963697E-4</v>
          </cell>
          <cell r="E230">
            <v>3.8810538729853837E-4</v>
          </cell>
          <cell r="F230">
            <v>3.6912163903002858E-4</v>
          </cell>
          <cell r="G230">
            <v>3.9011208261220003E-4</v>
          </cell>
          <cell r="H230">
            <v>5.430896503556571E-4</v>
          </cell>
          <cell r="I230">
            <v>5.7554407409645943E-4</v>
          </cell>
          <cell r="J230">
            <v>6.4926033048513495E-4</v>
          </cell>
          <cell r="K230">
            <v>5.1568474281448731E-4</v>
          </cell>
        </row>
        <row r="231">
          <cell r="A231" t="str">
            <v>Indirect N2O Emissions (kg N2O/kg)</v>
          </cell>
          <cell r="B231">
            <v>1.1144613024674292E-4</v>
          </cell>
          <cell r="C231">
            <v>1.0026282532242153E-4</v>
          </cell>
          <cell r="D231">
            <v>1.0725523174828059E-4</v>
          </cell>
          <cell r="E231">
            <v>1.194833221458564E-4</v>
          </cell>
          <cell r="F231">
            <v>1.1376699187347644E-4</v>
          </cell>
          <cell r="G231">
            <v>1.2103069233875642E-4</v>
          </cell>
          <cell r="H231">
            <v>1.6875087231543997E-4</v>
          </cell>
          <cell r="I231">
            <v>1.6950089380472075E-4</v>
          </cell>
          <cell r="J231">
            <v>1.9338479695814312E-4</v>
          </cell>
          <cell r="K231">
            <v>1.501080571028798E-4</v>
          </cell>
        </row>
        <row r="232">
          <cell r="A232" t="str">
            <v>Liming Emissions (kg CO2/kg)</v>
          </cell>
          <cell r="B232">
            <v>1.0411499999999999E-2</v>
          </cell>
          <cell r="C232">
            <v>9.7642563333333321E-3</v>
          </cell>
          <cell r="D232">
            <v>9.6505713333333333E-3</v>
          </cell>
          <cell r="E232">
            <v>1.2255224666666665E-2</v>
          </cell>
          <cell r="F232">
            <v>1.1630582333333332E-2</v>
          </cell>
          <cell r="G232">
            <v>1.2260387333333332E-2</v>
          </cell>
          <cell r="H232">
            <v>0</v>
          </cell>
          <cell r="I232">
            <v>7.8445113999999986E-3</v>
          </cell>
          <cell r="J232">
            <v>9.0055936666666673E-3</v>
          </cell>
          <cell r="K232">
            <v>7.1170824999999991E-3</v>
          </cell>
        </row>
        <row r="233">
          <cell r="A233" t="str">
            <v>Urea Application Emissions (kg CO2/kg)</v>
          </cell>
          <cell r="B233">
            <v>5.5748000000000004E-3</v>
          </cell>
          <cell r="C233">
            <v>5.6498199999999998E-3</v>
          </cell>
          <cell r="D233">
            <v>5.4914200000000003E-3</v>
          </cell>
          <cell r="E233">
            <v>6.766833333333333E-3</v>
          </cell>
          <cell r="F233">
            <v>7.2840533333333336E-3</v>
          </cell>
          <cell r="G233">
            <v>7.5306000000000001E-3</v>
          </cell>
          <cell r="H233">
            <v>1.2360333333333333E-2</v>
          </cell>
          <cell r="I233">
            <v>8.8146666666666651E-3</v>
          </cell>
          <cell r="J233">
            <v>1.2043533333333334E-2</v>
          </cell>
          <cell r="K233">
            <v>8.6283999999999996E-3</v>
          </cell>
        </row>
        <row r="234">
          <cell r="H234">
            <v>0.22448880908932026</v>
          </cell>
          <cell r="I234">
            <v>0.23868257850121835</v>
          </cell>
          <cell r="J234">
            <v>0.27215737497809689</v>
          </cell>
          <cell r="K234">
            <v>0.21415173687537539</v>
          </cell>
        </row>
        <row r="243">
          <cell r="A243" t="str">
            <v>Iowa 2000</v>
          </cell>
          <cell r="B243">
            <v>0.16330387941218166</v>
          </cell>
          <cell r="C243">
            <v>8.7839E-2</v>
          </cell>
          <cell r="D243">
            <v>0.39890999999999999</v>
          </cell>
          <cell r="E243">
            <v>0.48674899999999999</v>
          </cell>
        </row>
        <row r="244">
          <cell r="A244" t="str">
            <v>Iowa 2001</v>
          </cell>
          <cell r="B244">
            <v>0.15729338940603885</v>
          </cell>
          <cell r="C244">
            <v>9.1302999999999995E-2</v>
          </cell>
          <cell r="D244">
            <v>0.39943000000000001</v>
          </cell>
          <cell r="E244">
            <v>0.49073299999999997</v>
          </cell>
        </row>
        <row r="245">
          <cell r="A245" t="str">
            <v>Iowa 2005</v>
          </cell>
          <cell r="B245">
            <v>0.20436611066483959</v>
          </cell>
          <cell r="C245">
            <v>7.0273000000000002E-2</v>
          </cell>
          <cell r="D245">
            <v>0.40597</v>
          </cell>
          <cell r="E245">
            <v>0.47624299999999997</v>
          </cell>
        </row>
        <row r="246">
          <cell r="A246" t="str">
            <v>Illinois 2000</v>
          </cell>
          <cell r="B246">
            <v>0.15768558332939564</v>
          </cell>
          <cell r="C246">
            <v>3.9384000000000002E-2</v>
          </cell>
          <cell r="D246">
            <v>0.39101000000000002</v>
          </cell>
          <cell r="E246">
            <v>0.43039400000000005</v>
          </cell>
        </row>
        <row r="247">
          <cell r="A247" t="str">
            <v>Illinois 2001</v>
          </cell>
          <cell r="B247">
            <v>0.15585692009639465</v>
          </cell>
          <cell r="C247">
            <v>3.9845999999999999E-2</v>
          </cell>
          <cell r="D247">
            <v>0.39132</v>
          </cell>
          <cell r="E247">
            <v>0.43116599999999999</v>
          </cell>
        </row>
        <row r="248">
          <cell r="A248" t="str">
            <v>Illinois 2005</v>
          </cell>
          <cell r="B248">
            <v>0.16149411709114966</v>
          </cell>
          <cell r="C248">
            <v>3.6052000000000001E-2</v>
          </cell>
          <cell r="D248">
            <v>0.38828000000000001</v>
          </cell>
          <cell r="E248">
            <v>0.42433200000000004</v>
          </cell>
        </row>
        <row r="249">
          <cell r="A249" t="str">
            <v>Corn Weighted Avg</v>
          </cell>
          <cell r="B249">
            <v>1</v>
          </cell>
          <cell r="C249">
            <v>6.1309977252752446E-2</v>
          </cell>
          <cell r="D249">
            <v>0.39628926470727216</v>
          </cell>
          <cell r="E249">
            <v>0.45759924196002466</v>
          </cell>
        </row>
        <row r="250">
          <cell r="A250" t="str">
            <v>Allocation Percentage (by mass)</v>
          </cell>
          <cell r="C250">
            <v>4.2062300451192122E-2</v>
          </cell>
          <cell r="D250">
            <v>0.27187806723498592</v>
          </cell>
        </row>
        <row r="252">
          <cell r="A252" t="str">
            <v>Co-Products - Corn - Economic Allocation</v>
          </cell>
        </row>
        <row r="254">
          <cell r="B254">
            <v>2000</v>
          </cell>
          <cell r="C254">
            <v>2001</v>
          </cell>
          <cell r="D254">
            <v>2005</v>
          </cell>
          <cell r="E254">
            <v>2008</v>
          </cell>
          <cell r="F254">
            <v>2009</v>
          </cell>
          <cell r="G254">
            <v>2010</v>
          </cell>
          <cell r="H254">
            <v>2011</v>
          </cell>
          <cell r="I254">
            <v>2012</v>
          </cell>
        </row>
        <row r="255">
          <cell r="A255" t="str">
            <v>Corn grain yield (kg corn grain/planted acre)</v>
          </cell>
          <cell r="B255">
            <v>2967</v>
          </cell>
          <cell r="C255">
            <v>3096</v>
          </cell>
          <cell r="D255">
            <v>3203.5</v>
          </cell>
          <cell r="E255">
            <v>3096</v>
          </cell>
          <cell r="F255">
            <v>3354</v>
          </cell>
          <cell r="G255">
            <v>3418.5</v>
          </cell>
          <cell r="H255">
            <v>3139</v>
          </cell>
          <cell r="I255">
            <v>2537</v>
          </cell>
        </row>
        <row r="256">
          <cell r="A256" t="str">
            <v>Corn stover yield (kg stover collected/planted acre)</v>
          </cell>
          <cell r="B256">
            <v>1175.7902483864766</v>
          </cell>
          <cell r="C256">
            <v>1226.9115635337146</v>
          </cell>
          <cell r="D256">
            <v>1269.5126594897463</v>
          </cell>
          <cell r="E256">
            <v>1226.9115635337146</v>
          </cell>
          <cell r="F256">
            <v>1329.1541938281907</v>
          </cell>
          <cell r="G256">
            <v>1354.7148514018099</v>
          </cell>
          <cell r="H256">
            <v>1243.9520019161273</v>
          </cell>
          <cell r="I256">
            <v>1005.3858645623495</v>
          </cell>
        </row>
        <row r="257">
          <cell r="A257" t="str">
            <v>Gross value of stover production ($ per planted acre)</v>
          </cell>
          <cell r="B257">
            <v>38.801078196753728</v>
          </cell>
          <cell r="C257">
            <v>40.488081596612581</v>
          </cell>
          <cell r="D257">
            <v>41.893917763161632</v>
          </cell>
          <cell r="E257">
            <v>40.488081596612581</v>
          </cell>
          <cell r="F257">
            <v>43.862088396330293</v>
          </cell>
          <cell r="G257">
            <v>44.705590096259733</v>
          </cell>
          <cell r="H257">
            <v>41.050416063232205</v>
          </cell>
          <cell r="I257">
            <v>33.177733530557539</v>
          </cell>
        </row>
        <row r="260">
          <cell r="A260" t="str">
            <v>Gross value of production ($ per planted acre)</v>
          </cell>
          <cell r="B260">
            <v>2000</v>
          </cell>
          <cell r="C260">
            <v>2001</v>
          </cell>
          <cell r="D260">
            <v>2005</v>
          </cell>
          <cell r="E260">
            <v>2008</v>
          </cell>
          <cell r="F260">
            <v>2009</v>
          </cell>
          <cell r="G260">
            <v>2010</v>
          </cell>
          <cell r="H260">
            <v>2011</v>
          </cell>
          <cell r="I260">
            <v>2012</v>
          </cell>
        </row>
        <row r="261">
          <cell r="A261" t="str">
            <v>Primary product: Corn grain</v>
          </cell>
          <cell r="B261">
            <v>244.26</v>
          </cell>
          <cell r="C261">
            <v>264.96000000000004</v>
          </cell>
          <cell r="D261">
            <v>259.26</v>
          </cell>
          <cell r="E261">
            <v>627.84</v>
          </cell>
          <cell r="F261">
            <v>560.04</v>
          </cell>
          <cell r="G261">
            <v>688.47</v>
          </cell>
          <cell r="H261">
            <v>836.58</v>
          </cell>
          <cell r="I261">
            <v>800.04000000000008</v>
          </cell>
        </row>
        <row r="262">
          <cell r="A262" t="str">
            <v>Secondary product: Corn silage</v>
          </cell>
          <cell r="B262">
            <v>2.41</v>
          </cell>
          <cell r="C262">
            <v>1.96</v>
          </cell>
          <cell r="D262">
            <v>1.17</v>
          </cell>
          <cell r="E262">
            <v>1.52</v>
          </cell>
          <cell r="F262">
            <v>1.18</v>
          </cell>
          <cell r="G262">
            <v>0.92</v>
          </cell>
          <cell r="H262">
            <v>1.19</v>
          </cell>
          <cell r="I262">
            <v>1.33</v>
          </cell>
        </row>
        <row r="263">
          <cell r="A263" t="str">
            <v>Secondary product: Corn stover</v>
          </cell>
          <cell r="B263">
            <v>38.801078196753728</v>
          </cell>
          <cell r="C263">
            <v>40.488081596612581</v>
          </cell>
          <cell r="D263">
            <v>41.893917763161632</v>
          </cell>
          <cell r="E263">
            <v>40.488081596612581</v>
          </cell>
          <cell r="F263">
            <v>43.862088396330293</v>
          </cell>
          <cell r="G263">
            <v>44.705590096259733</v>
          </cell>
          <cell r="H263">
            <v>41.050416063232205</v>
          </cell>
          <cell r="I263">
            <v>33.177733530557539</v>
          </cell>
        </row>
        <row r="264">
          <cell r="A264" t="str">
            <v>Total, gross value of production</v>
          </cell>
          <cell r="B264">
            <v>285.47107819675369</v>
          </cell>
          <cell r="C264">
            <v>307.40808159661259</v>
          </cell>
          <cell r="D264">
            <v>302.32391776316166</v>
          </cell>
          <cell r="E264">
            <v>669.84808159661259</v>
          </cell>
          <cell r="F264">
            <v>605.08208839633016</v>
          </cell>
          <cell r="G264">
            <v>734.09559009625968</v>
          </cell>
          <cell r="H264">
            <v>878.8204160632323</v>
          </cell>
          <cell r="I264">
            <v>834.54773353055771</v>
          </cell>
        </row>
        <row r="266">
          <cell r="B266" t="str">
            <v>Primary Product: Corn Grain</v>
          </cell>
          <cell r="C266" t="str">
            <v>Secondary Product: Corn Silage</v>
          </cell>
          <cell r="D266" t="str">
            <v>Secondary Product: Corn Stover</v>
          </cell>
          <cell r="E266" t="str">
            <v>Total</v>
          </cell>
        </row>
        <row r="267">
          <cell r="A267" t="str">
            <v>LCI data years (2000, 2001, 2005)</v>
          </cell>
          <cell r="B267">
            <v>0.85837382164132181</v>
          </cell>
          <cell r="C267">
            <v>6.0816633311494787E-3</v>
          </cell>
          <cell r="D267">
            <v>0.13554451502752884</v>
          </cell>
          <cell r="E267">
            <v>1</v>
          </cell>
        </row>
        <row r="268">
          <cell r="A268" t="str">
            <v>Current (2012)</v>
          </cell>
          <cell r="B268">
            <v>0.95865097687753276</v>
          </cell>
          <cell r="C268">
            <v>1.5936775651806392E-3</v>
          </cell>
          <cell r="D268">
            <v>3.9755345557286458E-2</v>
          </cell>
          <cell r="E268">
            <v>0.99999999999999978</v>
          </cell>
        </row>
        <row r="269">
          <cell r="A269" t="str">
            <v>Five-year Average (2008-2012)</v>
          </cell>
          <cell r="B269">
            <v>0.94373945510220658</v>
          </cell>
          <cell r="C269">
            <v>1.6494761567356251E-3</v>
          </cell>
          <cell r="D269">
            <v>5.4611068741057672E-2</v>
          </cell>
          <cell r="E269">
            <v>0.99999999999999989</v>
          </cell>
        </row>
        <row r="270">
          <cell r="A270" t="str">
            <v>Three-year Average (2010-2012)</v>
          </cell>
          <cell r="B270">
            <v>0.94999977417212023</v>
          </cell>
          <cell r="C270">
            <v>1.4055366558507814E-3</v>
          </cell>
          <cell r="D270">
            <v>4.8594689172028915E-2</v>
          </cell>
          <cell r="E270">
            <v>0.99999999999999989</v>
          </cell>
        </row>
        <row r="282">
          <cell r="A282" t="str">
            <v>Gross value of production ($ per planted acre)</v>
          </cell>
          <cell r="B282">
            <v>2006</v>
          </cell>
          <cell r="C282">
            <v>2008</v>
          </cell>
          <cell r="D282">
            <v>2009</v>
          </cell>
          <cell r="E282">
            <v>2010</v>
          </cell>
          <cell r="F282">
            <v>2011</v>
          </cell>
          <cell r="G282">
            <v>2012</v>
          </cell>
        </row>
        <row r="283">
          <cell r="A283" t="str">
            <v>Primary product: Rice grain</v>
          </cell>
          <cell r="B283">
            <v>620.64</v>
          </cell>
          <cell r="C283">
            <v>1287.3599999999999</v>
          </cell>
          <cell r="D283">
            <v>1072.26</v>
          </cell>
          <cell r="E283">
            <v>795.74600000000009</v>
          </cell>
          <cell r="F283">
            <v>1069.9387999999999</v>
          </cell>
          <cell r="G283">
            <v>1146.5999999999999</v>
          </cell>
        </row>
        <row r="284">
          <cell r="A284" t="str">
            <v>Secondary product: Rice straw</v>
          </cell>
          <cell r="B284">
            <v>20</v>
          </cell>
          <cell r="C284">
            <v>20</v>
          </cell>
          <cell r="D284">
            <v>20</v>
          </cell>
          <cell r="E284">
            <v>20</v>
          </cell>
          <cell r="F284">
            <v>20</v>
          </cell>
          <cell r="G284">
            <v>20</v>
          </cell>
        </row>
        <row r="285">
          <cell r="A285" t="str">
            <v>Total, gross value of production</v>
          </cell>
          <cell r="B285">
            <v>640.64</v>
          </cell>
          <cell r="C285">
            <v>1307.3599999999999</v>
          </cell>
          <cell r="D285">
            <v>1092.26</v>
          </cell>
          <cell r="E285">
            <v>815.74600000000009</v>
          </cell>
          <cell r="F285">
            <v>1089.9387999999999</v>
          </cell>
          <cell r="G285">
            <v>1166.5999999999999</v>
          </cell>
        </row>
        <row r="287">
          <cell r="B287" t="str">
            <v>Primary Product: Rice Grain</v>
          </cell>
          <cell r="C287" t="str">
            <v>Secondary Product: Rice Straw</v>
          </cell>
          <cell r="D287" t="str">
            <v>Total</v>
          </cell>
        </row>
        <row r="288">
          <cell r="A288" t="str">
            <v>LCI data year (2006)</v>
          </cell>
          <cell r="B288">
            <v>0.96878121878121881</v>
          </cell>
          <cell r="C288">
            <v>3.121878121878122E-2</v>
          </cell>
          <cell r="D288">
            <v>1</v>
          </cell>
        </row>
        <row r="289">
          <cell r="A289" t="str">
            <v>Current (2012)</v>
          </cell>
          <cell r="B289">
            <v>0.98285616320932623</v>
          </cell>
          <cell r="C289">
            <v>1.7143836790673755E-2</v>
          </cell>
          <cell r="D289">
            <v>1</v>
          </cell>
        </row>
        <row r="290">
          <cell r="A290" t="str">
            <v>Five-year Average (2008-2012)</v>
          </cell>
          <cell r="B290">
            <v>0.98172482825359098</v>
          </cell>
          <cell r="C290">
            <v>1.8275171746409039E-2</v>
          </cell>
          <cell r="D290">
            <v>1</v>
          </cell>
        </row>
        <row r="291">
          <cell r="A291" t="str">
            <v>Three-year Average (2010-2012)</v>
          </cell>
          <cell r="B291">
            <v>0.98047056054178305</v>
          </cell>
          <cell r="C291">
            <v>1.9529439458216894E-2</v>
          </cell>
          <cell r="D291">
            <v>1</v>
          </cell>
        </row>
        <row r="295">
          <cell r="A295" t="str">
            <v>Co-Products - Wheat - Mass Allocation</v>
          </cell>
        </row>
        <row r="297">
          <cell r="B297" t="str">
            <v>Weighting</v>
          </cell>
          <cell r="C297" t="str">
            <v>Wheat Residue</v>
          </cell>
        </row>
        <row r="298">
          <cell r="B298" t="str">
            <v>%</v>
          </cell>
          <cell r="C298" t="str">
            <v>kg co-product/kg grain</v>
          </cell>
        </row>
        <row r="299">
          <cell r="A299" t="str">
            <v>Winter Wheat; at Harvest in 2009; Kansas</v>
          </cell>
          <cell r="B299">
            <v>0.337048163581742</v>
          </cell>
          <cell r="C299">
            <v>0.63693999999999995</v>
          </cell>
        </row>
        <row r="300">
          <cell r="A300" t="str">
            <v>Winter Wheat; at Harvest in 2004; Kansas</v>
          </cell>
          <cell r="B300">
            <v>0.30477759472817134</v>
          </cell>
          <cell r="C300">
            <v>0.63273000000000001</v>
          </cell>
        </row>
        <row r="301">
          <cell r="A301" t="str">
            <v>Winter Wheat; at Harvest in 2000; Kansas</v>
          </cell>
          <cell r="B301">
            <v>0.35817424169008627</v>
          </cell>
          <cell r="C301">
            <v>0.64044999999999996</v>
          </cell>
        </row>
        <row r="302">
          <cell r="A302" t="str">
            <v>Kansas Wheat Weighted Average</v>
          </cell>
          <cell r="B302">
            <v>0.99999999999999967</v>
          </cell>
          <cell r="C302">
            <v>0.63691407791452637</v>
          </cell>
        </row>
        <row r="303">
          <cell r="A303" t="str">
            <v>Allocation Percentage (by mass)</v>
          </cell>
          <cell r="C303">
            <v>0.38909438589835604</v>
          </cell>
        </row>
        <row r="306">
          <cell r="A306" t="str">
            <v>Co-Products - Wheat - Economic Allocation</v>
          </cell>
        </row>
        <row r="308">
          <cell r="A308" t="str">
            <v>Gross value of production ($ per planted acre)</v>
          </cell>
          <cell r="B308">
            <v>2000</v>
          </cell>
          <cell r="C308">
            <v>2001</v>
          </cell>
          <cell r="D308">
            <v>2005</v>
          </cell>
          <cell r="E308">
            <v>2008</v>
          </cell>
          <cell r="F308">
            <v>2009</v>
          </cell>
          <cell r="G308">
            <v>2010</v>
          </cell>
          <cell r="H308">
            <v>2011</v>
          </cell>
          <cell r="I308">
            <v>2012</v>
          </cell>
        </row>
        <row r="309">
          <cell r="A309" t="str">
            <v>Primary product: Wheat grain</v>
          </cell>
          <cell r="B309">
            <v>92.495999999999995</v>
          </cell>
          <cell r="C309">
            <v>95.22</v>
          </cell>
          <cell r="D309">
            <v>126.48299999999999</v>
          </cell>
          <cell r="E309">
            <v>324.61799999999999</v>
          </cell>
          <cell r="F309">
            <v>221.6</v>
          </cell>
          <cell r="G309">
            <v>215.17499999999998</v>
          </cell>
          <cell r="H309">
            <v>276.36</v>
          </cell>
          <cell r="I309">
            <v>332.44199999999995</v>
          </cell>
        </row>
        <row r="310">
          <cell r="H310">
            <v>9.35</v>
          </cell>
          <cell r="I310">
            <v>10.72</v>
          </cell>
        </row>
        <row r="311">
          <cell r="H311">
            <v>285.71000000000004</v>
          </cell>
          <cell r="I311">
            <v>343.16199999999998</v>
          </cell>
        </row>
        <row r="321">
          <cell r="A321" t="str">
            <v>Commodity</v>
          </cell>
          <cell r="C321" t="str">
            <v>Loss Rate (%)</v>
          </cell>
          <cell r="D321" t="str">
            <v>Total Losses (Millions of Lbs)</v>
          </cell>
          <cell r="E321" t="str">
            <v>Percent of Category</v>
          </cell>
          <cell r="F321" t="str">
            <v>Weighted Percentage in WARM</v>
          </cell>
        </row>
        <row r="322">
          <cell r="A322" t="str">
            <v>Grain products</v>
          </cell>
          <cell r="B322" t="str">
            <v>Total</v>
          </cell>
          <cell r="C322">
            <v>0.31185413994939765</v>
          </cell>
          <cell r="D322">
            <v>18760.8164006402</v>
          </cell>
          <cell r="E322">
            <v>1</v>
          </cell>
        </row>
        <row r="323">
          <cell r="A323" t="str">
            <v>Modeled in WARM</v>
          </cell>
          <cell r="B323" t="str">
            <v>Wheat</v>
          </cell>
          <cell r="C323">
            <v>0.29599999999999993</v>
          </cell>
          <cell r="D323">
            <v>12308.58035587962</v>
          </cell>
          <cell r="E323">
            <v>0.6560791435206198</v>
          </cell>
          <cell r="F323">
            <v>0.68295605209413812</v>
          </cell>
        </row>
        <row r="324">
          <cell r="B324" t="str">
            <v>Corn</v>
          </cell>
          <cell r="C324">
            <v>0.29599999999999993</v>
          </cell>
          <cell r="D324">
            <v>3024.9652831088001</v>
          </cell>
          <cell r="E324">
            <v>0.1612384673731776</v>
          </cell>
          <cell r="F324">
            <v>0.16784375514816827</v>
          </cell>
        </row>
        <row r="325">
          <cell r="B325" t="str">
            <v>Rice</v>
          </cell>
          <cell r="C325">
            <v>0.41040000000000004</v>
          </cell>
          <cell r="D325">
            <v>2688.9615459731908</v>
          </cell>
          <cell r="E325">
            <v>0.14332859980877122</v>
          </cell>
          <cell r="F325">
            <v>0.14920019275769364</v>
          </cell>
        </row>
        <row r="326">
          <cell r="B326" t="str">
            <v>Total modeled in WARM</v>
          </cell>
          <cell r="D326">
            <v>18022.507184961611</v>
          </cell>
          <cell r="E326">
            <v>0.96064621070256861</v>
          </cell>
        </row>
        <row r="327">
          <cell r="A327" t="str">
            <v>Not Modeled in WARM</v>
          </cell>
          <cell r="B327" t="str">
            <v>Oats</v>
          </cell>
          <cell r="C327">
            <v>0.41920000000000002</v>
          </cell>
          <cell r="D327">
            <v>608.68078777031747</v>
          </cell>
          <cell r="E327">
            <v>3.2444259075503058E-2</v>
          </cell>
        </row>
        <row r="328">
          <cell r="B328" t="str">
            <v>Other grains</v>
          </cell>
          <cell r="C328">
            <v>0.36787503890205847</v>
          </cell>
          <cell r="D328">
            <v>129.62842790828054</v>
          </cell>
          <cell r="E328">
            <v>6.909530221928778E-3</v>
          </cell>
        </row>
        <row r="330">
          <cell r="A330" t="str">
            <v>Energy Consumption by Bread Life-Cycle Stage</v>
          </cell>
        </row>
        <row r="331">
          <cell r="A331" t="str">
            <v>Process</v>
          </cell>
          <cell r="B331" t="str">
            <v>PAS 2050-Compliant Study</v>
          </cell>
          <cell r="D331" t="str">
            <v>Generic Study</v>
          </cell>
        </row>
        <row r="332">
          <cell r="B332" t="str">
            <v>White Bread</v>
          </cell>
          <cell r="C332" t="str">
            <v>Wholemeal Bread</v>
          </cell>
          <cell r="D332" t="str">
            <v>All bread Types</v>
          </cell>
        </row>
        <row r="333">
          <cell r="A333" t="str">
            <v>Wheat milling (kwh/kg)</v>
          </cell>
          <cell r="B333">
            <v>7.3749999999999996E-2</v>
          </cell>
          <cell r="C333">
            <v>0.06</v>
          </cell>
          <cell r="D333">
            <v>0.13374999999999998</v>
          </cell>
        </row>
        <row r="334">
          <cell r="A334" t="str">
            <v>Bread Manufacture (kWh/kg)</v>
          </cell>
          <cell r="B334">
            <v>0.74999999999999989</v>
          </cell>
          <cell r="C334">
            <v>0.74999999999999989</v>
          </cell>
          <cell r="D334">
            <v>0.29874999999999996</v>
          </cell>
        </row>
        <row r="335">
          <cell r="A335" t="str">
            <v>Total Processing</v>
          </cell>
          <cell r="B335">
            <v>0.82374999999999987</v>
          </cell>
          <cell r="C335">
            <v>0.80999999999999983</v>
          </cell>
          <cell r="D335">
            <v>0.43249999999999994</v>
          </cell>
        </row>
        <row r="336">
          <cell r="A336" t="str">
            <v>Source: Espinoza-Orias 2011; Note: 1 loaf = 800g</v>
          </cell>
        </row>
        <row r="337">
          <cell r="A337" t="str">
            <v>Mass of 1 loaf (kg):</v>
          </cell>
          <cell r="B337">
            <v>0.8</v>
          </cell>
        </row>
        <row r="338">
          <cell r="A338" t="str">
            <v>Processed Grains Net Emissions</v>
          </cell>
          <cell r="B338" t="str">
            <v>Grain Production</v>
          </cell>
          <cell r="C338" t="str">
            <v>Bread Processing Energy</v>
          </cell>
          <cell r="D338" t="str">
            <v>Total</v>
          </cell>
        </row>
        <row r="339">
          <cell r="B339" t="str">
            <v>MtCO2e/ton</v>
          </cell>
          <cell r="C339" t="str">
            <v>MtCO2e/ton</v>
          </cell>
        </row>
        <row r="340">
          <cell r="A340" t="str">
            <v>Wheat</v>
          </cell>
          <cell r="B340">
            <v>0.80346320452113473</v>
          </cell>
          <cell r="C340">
            <v>0.57997680410858221</v>
          </cell>
          <cell r="D340">
            <v>1.3834400086297169</v>
          </cell>
        </row>
      </sheetData>
      <sheetData sheetId="13" refreshError="1">
        <row r="7">
          <cell r="B7" t="str">
            <v>Weighting</v>
          </cell>
          <cell r="C7" t="str">
            <v>Petroleum</v>
          </cell>
          <cell r="D7" t="str">
            <v>Biomass/Hydro</v>
          </cell>
          <cell r="E7" t="str">
            <v>Coal</v>
          </cell>
          <cell r="F7" t="str">
            <v>Natural Gas</v>
          </cell>
          <cell r="G7" t="str">
            <v>Nuclear</v>
          </cell>
          <cell r="H7" t="str">
            <v>Other</v>
          </cell>
          <cell r="I7" t="str">
            <v>Total</v>
          </cell>
        </row>
        <row r="8">
          <cell r="B8" t="str">
            <v>%</v>
          </cell>
          <cell r="C8" t="str">
            <v>MJ/kg</v>
          </cell>
          <cell r="D8" t="str">
            <v>MJ/kg</v>
          </cell>
          <cell r="E8" t="str">
            <v>MJ/kg</v>
          </cell>
          <cell r="F8" t="str">
            <v>MJ/kg</v>
          </cell>
          <cell r="G8" t="str">
            <v>MJ/kg</v>
          </cell>
          <cell r="H8" t="str">
            <v>MJ/kg</v>
          </cell>
          <cell r="I8" t="str">
            <v>MJ/kg</v>
          </cell>
          <cell r="J8" t="str">
            <v>Check</v>
          </cell>
        </row>
        <row r="9">
          <cell r="B9">
            <v>9.0480003866399733E-2</v>
          </cell>
          <cell r="C9">
            <v>0.17261757913571724</v>
          </cell>
          <cell r="D9">
            <v>3.0633706614927189E-2</v>
          </cell>
          <cell r="E9">
            <v>0.11876919122791732</v>
          </cell>
          <cell r="F9">
            <v>0.18867195179278648</v>
          </cell>
          <cell r="G9">
            <v>3.4807231927701313E-2</v>
          </cell>
          <cell r="H9">
            <v>1.2070170223212749E-3</v>
          </cell>
          <cell r="I9">
            <v>0.54670667772137083</v>
          </cell>
          <cell r="J9">
            <v>0.54670667772137105</v>
          </cell>
        </row>
        <row r="10">
          <cell r="B10">
            <v>0.23167714745724408</v>
          </cell>
          <cell r="C10">
            <v>0.4696868083857651</v>
          </cell>
          <cell r="D10">
            <v>8.3353317553356288E-2</v>
          </cell>
          <cell r="E10">
            <v>0.32316709944437016</v>
          </cell>
          <cell r="F10">
            <v>0.51337023328193432</v>
          </cell>
          <cell r="G10">
            <v>9.4709343942479332E-2</v>
          </cell>
          <cell r="H10">
            <v>3.2842539891932729E-3</v>
          </cell>
          <cell r="I10">
            <v>1.4875710565970983</v>
          </cell>
          <cell r="J10">
            <v>1.4875710565971001</v>
          </cell>
        </row>
        <row r="11">
          <cell r="B11">
            <v>0.10302936917449759</v>
          </cell>
          <cell r="C11">
            <v>0.18060093684901213</v>
          </cell>
          <cell r="D11">
            <v>3.2050479108302506E-2</v>
          </cell>
          <cell r="E11">
            <v>0.12426212505098799</v>
          </cell>
          <cell r="F11">
            <v>0.19739780514543309</v>
          </cell>
          <cell r="G11">
            <v>3.6417025002735734E-2</v>
          </cell>
          <cell r="H11">
            <v>1.2628401239049806E-3</v>
          </cell>
          <cell r="I11">
            <v>0.57199121128037633</v>
          </cell>
          <cell r="J11">
            <v>0.571991211280376</v>
          </cell>
        </row>
        <row r="12">
          <cell r="B12">
            <v>0.17783323403061338</v>
          </cell>
          <cell r="C12">
            <v>0.3928623595625757</v>
          </cell>
          <cell r="D12">
            <v>6.9719609805357269E-2</v>
          </cell>
          <cell r="E12">
            <v>0.2703081861231133</v>
          </cell>
          <cell r="F12">
            <v>0.42940069334603481</v>
          </cell>
          <cell r="G12">
            <v>7.9218184690699731E-2</v>
          </cell>
          <cell r="H12">
            <v>2.7470641043373031E-3</v>
          </cell>
          <cell r="I12">
            <v>1.244256097632118</v>
          </cell>
          <cell r="J12">
            <v>1.24425609763212</v>
          </cell>
        </row>
        <row r="13">
          <cell r="B13">
            <v>9.3297076321191094E-2</v>
          </cell>
          <cell r="C13">
            <v>0.53830767052403017</v>
          </cell>
          <cell r="D13">
            <v>0.5541903346741851</v>
          </cell>
          <cell r="E13">
            <v>0.53948923028534979</v>
          </cell>
          <cell r="F13">
            <v>1.4249645519302685</v>
          </cell>
          <cell r="G13">
            <v>0.21345322591264901</v>
          </cell>
          <cell r="H13">
            <v>6.7413034738999147E-3</v>
          </cell>
          <cell r="I13">
            <v>3.2771463168003825</v>
          </cell>
          <cell r="J13">
            <v>3.27714631680039</v>
          </cell>
        </row>
        <row r="14">
          <cell r="B14">
            <v>2.010374974116497E-2</v>
          </cell>
          <cell r="C14">
            <v>0.40071794382250558</v>
          </cell>
          <cell r="D14">
            <v>6.9150083703178086E-2</v>
          </cell>
          <cell r="E14">
            <v>0.308466762646947</v>
          </cell>
          <cell r="F14">
            <v>0.57416352990919473</v>
          </cell>
          <cell r="G14">
            <v>0.10563681025945418</v>
          </cell>
          <cell r="H14">
            <v>3.4845778645066958E-3</v>
          </cell>
          <cell r="I14">
            <v>1.4616197082057865</v>
          </cell>
          <cell r="J14">
            <v>1.46161970820579</v>
          </cell>
        </row>
        <row r="15">
          <cell r="B15">
            <v>0.10973203559429918</v>
          </cell>
          <cell r="C15">
            <v>0.74230171734687223</v>
          </cell>
          <cell r="D15">
            <v>0.17859095080248366</v>
          </cell>
          <cell r="E15">
            <v>0.66607192246697888</v>
          </cell>
          <cell r="F15">
            <v>1.1571894820483069</v>
          </cell>
          <cell r="G15">
            <v>0.19140641878771006</v>
          </cell>
          <cell r="H15">
            <v>6.6789136154673211E-3</v>
          </cell>
          <cell r="I15">
            <v>2.9422394050678187</v>
          </cell>
          <cell r="J15">
            <v>2.94223940506782</v>
          </cell>
        </row>
        <row r="16">
          <cell r="B16">
            <v>6.1409688387851914E-2</v>
          </cell>
          <cell r="C16">
            <v>0.1345619772635131</v>
          </cell>
          <cell r="D16">
            <v>3.4855282331366665E-2</v>
          </cell>
          <cell r="E16">
            <v>9.0127943116519976E-2</v>
          </cell>
          <cell r="F16">
            <v>0.1729382838210427</v>
          </cell>
          <cell r="G16">
            <v>1.0088934528868351E-2</v>
          </cell>
          <cell r="H16">
            <v>5.612076543719751E-4</v>
          </cell>
          <cell r="I16">
            <v>0.44313362871568274</v>
          </cell>
          <cell r="J16">
            <v>0.44313362871568301</v>
          </cell>
        </row>
        <row r="17">
          <cell r="B17">
            <v>5.8913718270147325E-2</v>
          </cell>
          <cell r="C17">
            <v>0.69108516806319431</v>
          </cell>
          <cell r="D17">
            <v>0.1796417558818337</v>
          </cell>
          <cell r="E17">
            <v>0.78556783055823898</v>
          </cell>
          <cell r="F17">
            <v>1.1567603223383291</v>
          </cell>
          <cell r="G17">
            <v>0.27228917310064599</v>
          </cell>
          <cell r="H17">
            <v>8.9077766936453331E-3</v>
          </cell>
          <cell r="I17">
            <v>3.0942520266358873</v>
          </cell>
          <cell r="J17">
            <v>3.0942520266358899</v>
          </cell>
        </row>
        <row r="18">
          <cell r="B18">
            <v>5.3523977156590706E-2</v>
          </cell>
          <cell r="C18">
            <v>0.25418028229261302</v>
          </cell>
          <cell r="D18">
            <v>0.15288444189374426</v>
          </cell>
          <cell r="E18">
            <v>0.10991081670525529</v>
          </cell>
          <cell r="F18">
            <v>0.19442125955228001</v>
          </cell>
          <cell r="G18">
            <v>5.1539372705964918E-2</v>
          </cell>
          <cell r="H18">
            <v>1.3538115731275414E-3</v>
          </cell>
          <cell r="I18">
            <v>0.76428998472298504</v>
          </cell>
          <cell r="J18">
            <v>0.76428998472298504</v>
          </cell>
        </row>
        <row r="19">
          <cell r="B19">
            <v>1</v>
          </cell>
          <cell r="C19">
            <v>3.9769224432457984</v>
          </cell>
          <cell r="D19">
            <v>1.3850699623687348</v>
          </cell>
          <cell r="E19">
            <v>3.3361411076256786</v>
          </cell>
          <cell r="F19">
            <v>6.0092781131656103</v>
          </cell>
          <cell r="G19">
            <v>1.0895657208589087</v>
          </cell>
          <cell r="H19">
            <v>3.6228766114775615E-2</v>
          </cell>
          <cell r="I19">
            <v>15.833206113379507</v>
          </cell>
          <cell r="J19">
            <v>15.8332061133795</v>
          </cell>
        </row>
        <row r="20">
          <cell r="C20">
            <v>0.25117606723285096</v>
          </cell>
          <cell r="D20">
            <v>8.7478805773791538E-2</v>
          </cell>
          <cell r="E20">
            <v>0.21070534190839246</v>
          </cell>
          <cell r="F20">
            <v>0.37953640406964706</v>
          </cell>
          <cell r="G20">
            <v>6.8815230033429223E-2</v>
          </cell>
          <cell r="H20">
            <v>2.288150981888708E-3</v>
          </cell>
          <cell r="I20">
            <v>1</v>
          </cell>
        </row>
        <row r="23">
          <cell r="B23" t="str">
            <v>LPG</v>
          </cell>
          <cell r="C23" t="str">
            <v>Distillate Fuel</v>
          </cell>
          <cell r="D23" t="str">
            <v>Residual Fuel</v>
          </cell>
          <cell r="E23" t="str">
            <v>Biomass/Hydro</v>
          </cell>
          <cell r="F23" t="str">
            <v>Diesel</v>
          </cell>
          <cell r="G23" t="str">
            <v>Electricity</v>
          </cell>
          <cell r="H23" t="str">
            <v>Coal</v>
          </cell>
          <cell r="I23" t="str">
            <v>Natural Gas</v>
          </cell>
          <cell r="J23" t="str">
            <v>Nuclear</v>
          </cell>
          <cell r="K23" t="str">
            <v>Other</v>
          </cell>
          <cell r="L23" t="str">
            <v>Total</v>
          </cell>
        </row>
        <row r="24">
          <cell r="E24">
            <v>8.7478805773791546</v>
          </cell>
          <cell r="F24">
            <v>25.117606723285096</v>
          </cell>
          <cell r="H24">
            <v>21.070534190839247</v>
          </cell>
          <cell r="I24">
            <v>37.953640406964709</v>
          </cell>
          <cell r="J24">
            <v>6.881523003342922</v>
          </cell>
          <cell r="K24">
            <v>0.2288150981888708</v>
          </cell>
          <cell r="L24">
            <v>100</v>
          </cell>
        </row>
        <row r="25">
          <cell r="B25">
            <v>0</v>
          </cell>
          <cell r="C25">
            <v>0</v>
          </cell>
          <cell r="D25">
            <v>0</v>
          </cell>
          <cell r="E25">
            <v>1.1914391934544997</v>
          </cell>
          <cell r="F25">
            <v>4.0250758726214499</v>
          </cell>
          <cell r="G25">
            <v>0</v>
          </cell>
          <cell r="H25">
            <v>2.8755774576580162</v>
          </cell>
          <cell r="I25">
            <v>5.2031884589694544</v>
          </cell>
          <cell r="J25">
            <v>0.94083120128000963</v>
          </cell>
          <cell r="K25">
            <v>3.1264304515137592E-2</v>
          </cell>
          <cell r="L25">
            <v>14.267376488498567</v>
          </cell>
        </row>
        <row r="28">
          <cell r="B28" t="str">
            <v>Petroleum</v>
          </cell>
          <cell r="C28" t="str">
            <v>Biomass/Hydro</v>
          </cell>
          <cell r="D28" t="str">
            <v>Coal</v>
          </cell>
          <cell r="E28" t="str">
            <v>Natural Gas</v>
          </cell>
          <cell r="F28" t="str">
            <v>Nuclear</v>
          </cell>
          <cell r="G28" t="str">
            <v>Other</v>
          </cell>
          <cell r="H28" t="str">
            <v>Total</v>
          </cell>
        </row>
        <row r="29">
          <cell r="B29" t="str">
            <v>MJ/kg</v>
          </cell>
          <cell r="C29" t="str">
            <v>MJ/kg</v>
          </cell>
          <cell r="D29" t="str">
            <v>MJ/kg</v>
          </cell>
          <cell r="E29" t="str">
            <v>MJ/kg</v>
          </cell>
          <cell r="F29" t="str">
            <v>MJ/kg</v>
          </cell>
          <cell r="G29" t="str">
            <v>MJ/kg</v>
          </cell>
          <cell r="H29" t="str">
            <v>MJ/kg</v>
          </cell>
          <cell r="I29" t="str">
            <v>Check</v>
          </cell>
        </row>
        <row r="30">
          <cell r="B30">
            <v>6.3772806143226797E-5</v>
          </cell>
          <cell r="C30">
            <v>1.0407255542279041E-5</v>
          </cell>
          <cell r="D30">
            <v>1.45391415871595E-4</v>
          </cell>
          <cell r="E30">
            <v>1.3115298544363001E-4</v>
          </cell>
          <cell r="F30">
            <v>8.46901237300933E-5</v>
          </cell>
          <cell r="G30">
            <v>2.3212107684188959E-6</v>
          </cell>
          <cell r="H30">
            <v>4.3773579749924304E-4</v>
          </cell>
          <cell r="I30">
            <v>4.3773579749924299E-4</v>
          </cell>
        </row>
        <row r="31">
          <cell r="B31">
            <v>0.704177012182162</v>
          </cell>
          <cell r="C31">
            <v>5.6340892236324529E-4</v>
          </cell>
          <cell r="D31">
            <v>8.0100759098946095E-3</v>
          </cell>
          <cell r="E31">
            <v>4.1898896603322001E-2</v>
          </cell>
          <cell r="F31">
            <v>4.5362733888396501E-3</v>
          </cell>
          <cell r="G31">
            <v>1.2929873526793778E-4</v>
          </cell>
          <cell r="H31">
            <v>0.75931496574184942</v>
          </cell>
          <cell r="I31">
            <v>0.75931496574184998</v>
          </cell>
        </row>
        <row r="32">
          <cell r="B32">
            <v>0.70424078498830522</v>
          </cell>
          <cell r="C32">
            <v>5.7381617790552429E-4</v>
          </cell>
          <cell r="D32">
            <v>8.1554673257662053E-3</v>
          </cell>
          <cell r="E32">
            <v>4.2030049588765633E-2</v>
          </cell>
          <cell r="F32">
            <v>4.6209635125697432E-3</v>
          </cell>
          <cell r="G32">
            <v>1.3161994603635668E-4</v>
          </cell>
          <cell r="H32">
            <v>0.75975270153934871</v>
          </cell>
          <cell r="I32">
            <v>0.75975270153934904</v>
          </cell>
        </row>
        <row r="33">
          <cell r="B33">
            <v>0.92693422946891824</v>
          </cell>
          <cell r="C33">
            <v>7.5526704510942174E-4</v>
          </cell>
          <cell r="D33">
            <v>1.0734370946285897E-2</v>
          </cell>
          <cell r="E33">
            <v>5.5320697779169183E-2</v>
          </cell>
          <cell r="F33">
            <v>6.0821942497961846E-3</v>
          </cell>
          <cell r="G33">
            <v>1.7324051072102687E-4</v>
          </cell>
          <cell r="H33">
            <v>1</v>
          </cell>
        </row>
        <row r="36">
          <cell r="B36" t="str">
            <v>LPG</v>
          </cell>
          <cell r="C36" t="str">
            <v>Distillate Fuel</v>
          </cell>
          <cell r="D36" t="str">
            <v>Residual Fuel</v>
          </cell>
          <cell r="E36" t="str">
            <v>Biomass/Hydro</v>
          </cell>
          <cell r="F36" t="str">
            <v>Diesel</v>
          </cell>
          <cell r="G36" t="str">
            <v>Electricity</v>
          </cell>
          <cell r="H36" t="str">
            <v>Coal</v>
          </cell>
          <cell r="I36" t="str">
            <v>Natural Gas</v>
          </cell>
          <cell r="J36" t="str">
            <v>Nuclear</v>
          </cell>
          <cell r="K36" t="str">
            <v>Other</v>
          </cell>
          <cell r="L36" t="str">
            <v>Total</v>
          </cell>
        </row>
        <row r="37">
          <cell r="E37">
            <v>7.5526704510942178E-2</v>
          </cell>
          <cell r="F37">
            <v>92.693422946891829</v>
          </cell>
          <cell r="H37">
            <v>1.0734370946285896</v>
          </cell>
          <cell r="I37">
            <v>5.5320697779169183</v>
          </cell>
          <cell r="J37">
            <v>0.60821942497961845</v>
          </cell>
          <cell r="K37">
            <v>1.7324051072102688E-2</v>
          </cell>
          <cell r="L37">
            <v>100.00000000000001</v>
          </cell>
        </row>
        <row r="44">
          <cell r="B44" t="str">
            <v>Weighting</v>
          </cell>
          <cell r="C44" t="str">
            <v>Carbon dioxide</v>
          </cell>
          <cell r="D44" t="str">
            <v>Dinitrogen monoxide</v>
          </cell>
          <cell r="E44" t="str">
            <v>Methane, biogenic</v>
          </cell>
          <cell r="F44" t="str">
            <v>Remaining substances</v>
          </cell>
          <cell r="G44" t="str">
            <v>Total</v>
          </cell>
        </row>
        <row r="45">
          <cell r="B45" t="str">
            <v>%</v>
          </cell>
          <cell r="C45" t="str">
            <v>kg CO2e/kg</v>
          </cell>
          <cell r="D45" t="str">
            <v>kg CO2e/kg</v>
          </cell>
          <cell r="E45" t="str">
            <v>kg CO2e/kg</v>
          </cell>
          <cell r="F45" t="str">
            <v>kg CO2e/kg</v>
          </cell>
          <cell r="G45" t="str">
            <v>kg CO2e/kg</v>
          </cell>
          <cell r="H45" t="str">
            <v>Check</v>
          </cell>
        </row>
        <row r="46">
          <cell r="B46">
            <v>9.0480003866399733E-2</v>
          </cell>
          <cell r="C46">
            <v>0</v>
          </cell>
          <cell r="D46">
            <v>7.60524646950924E-3</v>
          </cell>
          <cell r="E46">
            <v>2.9877795207709199E-2</v>
          </cell>
          <cell r="F46">
            <v>5.0740917054970002E-4</v>
          </cell>
          <cell r="G46">
            <v>3.7990450847768142E-2</v>
          </cell>
          <cell r="H46">
            <v>3.7990450847768198E-2</v>
          </cell>
        </row>
        <row r="47">
          <cell r="B47">
            <v>0.23167714745724408</v>
          </cell>
          <cell r="C47">
            <v>0</v>
          </cell>
          <cell r="D47">
            <v>2.06936278398527E-2</v>
          </cell>
          <cell r="E47">
            <v>8.1296507244369598E-2</v>
          </cell>
          <cell r="F47">
            <v>1.3806438200234699E-3</v>
          </cell>
          <cell r="G47">
            <v>0.10337077890424577</v>
          </cell>
          <cell r="H47">
            <v>0.10337077890424599</v>
          </cell>
        </row>
        <row r="48">
          <cell r="B48">
            <v>0.10302936917449759</v>
          </cell>
          <cell r="C48">
            <v>0</v>
          </cell>
          <cell r="D48">
            <v>7.95698007258633E-3</v>
          </cell>
          <cell r="E48">
            <v>3.1259607697618902E-2</v>
          </cell>
          <cell r="F48">
            <v>5.3087624114402099E-4</v>
          </cell>
          <cell r="G48">
            <v>3.9747464011349251E-2</v>
          </cell>
          <cell r="H48">
            <v>3.9747464011349203E-2</v>
          </cell>
        </row>
        <row r="49">
          <cell r="B49">
            <v>0.17783323403061338</v>
          </cell>
          <cell r="C49">
            <v>0</v>
          </cell>
          <cell r="D49">
            <v>1.7308869050453101E-2</v>
          </cell>
          <cell r="E49">
            <v>6.7999222226373002E-2</v>
          </cell>
          <cell r="F49">
            <v>1.1548184431961199E-3</v>
          </cell>
          <cell r="G49">
            <v>8.6462909720022227E-2</v>
          </cell>
          <cell r="H49">
            <v>8.6462909720022199E-2</v>
          </cell>
        </row>
        <row r="50">
          <cell r="B50">
            <v>9.3297076321191094E-2</v>
          </cell>
          <cell r="C50">
            <v>0</v>
          </cell>
          <cell r="D50">
            <v>2.08560678408997E-2</v>
          </cell>
          <cell r="E50">
            <v>7.9519879021428E-2</v>
          </cell>
          <cell r="F50">
            <v>5.9316268045655502E-3</v>
          </cell>
          <cell r="G50">
            <v>0.10630757366689325</v>
          </cell>
          <cell r="H50">
            <v>0.106307573666893</v>
          </cell>
        </row>
        <row r="51">
          <cell r="B51">
            <v>2.010374974116497E-2</v>
          </cell>
          <cell r="C51">
            <v>0</v>
          </cell>
          <cell r="D51">
            <v>1.6166620414495601E-2</v>
          </cell>
          <cell r="E51">
            <v>6.3163471624414796E-2</v>
          </cell>
          <cell r="F51">
            <v>1.1056808718243501E-3</v>
          </cell>
          <cell r="G51">
            <v>8.043577291073474E-2</v>
          </cell>
          <cell r="H51">
            <v>8.0435772910734796E-2</v>
          </cell>
        </row>
        <row r="52">
          <cell r="B52">
            <v>0.10973203559429918</v>
          </cell>
          <cell r="C52">
            <v>0</v>
          </cell>
          <cell r="D52">
            <v>4.5170146573695301E-2</v>
          </cell>
          <cell r="E52">
            <v>0.172212134030061</v>
          </cell>
          <cell r="F52">
            <v>2.3760428959593602E-3</v>
          </cell>
          <cell r="G52">
            <v>0.21975832349971566</v>
          </cell>
          <cell r="H52">
            <v>0.219758323499715</v>
          </cell>
        </row>
        <row r="53">
          <cell r="A53" t="str">
            <v>Generic milk, at processing facility receiving gate /US U_ICF</v>
          </cell>
          <cell r="B53">
            <v>6.1409688387851914E-2</v>
          </cell>
          <cell r="C53">
            <v>0</v>
          </cell>
          <cell r="D53">
            <v>6.6348919799528797E-3</v>
          </cell>
          <cell r="E53">
            <v>3.2724894739725001E-2</v>
          </cell>
          <cell r="F53">
            <v>4.5139775906673902E-4</v>
          </cell>
          <cell r="G53">
            <v>3.981118447874462E-2</v>
          </cell>
          <cell r="H53">
            <v>3.9811184478744599E-2</v>
          </cell>
        </row>
        <row r="54">
          <cell r="A54" t="str">
            <v>Processing, Mozzarella, at plant, Average US /U ICF</v>
          </cell>
          <cell r="B54">
            <v>5.8913718270147325E-2</v>
          </cell>
          <cell r="C54">
            <v>0</v>
          </cell>
          <cell r="D54">
            <v>4.5562497408723902E-2</v>
          </cell>
          <cell r="E54">
            <v>0.163522574053165</v>
          </cell>
          <cell r="F54">
            <v>2.3422015563745501E-3</v>
          </cell>
          <cell r="G54">
            <v>0.21142727301826345</v>
          </cell>
          <cell r="H54">
            <v>0.211427273018263</v>
          </cell>
        </row>
        <row r="55">
          <cell r="A55" t="str">
            <v>Yogurt, hot dispensed with fruit and sealed [simplified milk input]_ICF</v>
          </cell>
          <cell r="B55">
            <v>5.3523977156590706E-2</v>
          </cell>
          <cell r="C55">
            <v>2.3004773784605002E-2</v>
          </cell>
          <cell r="D55">
            <v>4.9011912260756704E-3</v>
          </cell>
          <cell r="E55">
            <v>1.66119842698518E-2</v>
          </cell>
          <cell r="F55">
            <v>5.8014667211974498E-4</v>
          </cell>
          <cell r="G55">
            <v>4.5098095952652219E-2</v>
          </cell>
          <cell r="H55">
            <v>4.5098095952652198E-2</v>
          </cell>
        </row>
        <row r="56">
          <cell r="A56" t="str">
            <v>Dairy Weighted Avg</v>
          </cell>
          <cell r="B56">
            <v>1</v>
          </cell>
          <cell r="C56">
            <v>2.3004773784605002E-2</v>
          </cell>
          <cell r="D56">
            <v>0.19285613887624439</v>
          </cell>
          <cell r="E56">
            <v>0.7381880701147161</v>
          </cell>
          <cell r="F56">
            <v>1.6360844234823604E-2</v>
          </cell>
          <cell r="G56">
            <v>0.97040982701038914</v>
          </cell>
          <cell r="H56">
            <v>0.97040982701038903</v>
          </cell>
        </row>
        <row r="57">
          <cell r="A57" t="str">
            <v>Relative share</v>
          </cell>
          <cell r="C57">
            <v>2.370624569567422E-2</v>
          </cell>
          <cell r="D57">
            <v>0.19873679502029579</v>
          </cell>
          <cell r="E57">
            <v>0.76069723282677881</v>
          </cell>
          <cell r="F57">
            <v>1.6859726457251187E-2</v>
          </cell>
          <cell r="G57">
            <v>1</v>
          </cell>
        </row>
        <row r="59">
          <cell r="A59" t="str">
            <v>Transport Non-Energy Emissions - Dairy</v>
          </cell>
        </row>
        <row r="61">
          <cell r="B61" t="str">
            <v>Dinitrogen monoxide</v>
          </cell>
          <cell r="C61" t="str">
            <v>Ethane, 1,1,1-trifluoro-, HFC-143a</v>
          </cell>
          <cell r="D61" t="str">
            <v>Ethane, 1,1,1,2-tetrafluoro-, HFC-134a</v>
          </cell>
          <cell r="E61" t="str">
            <v>Ethane, pentafluoro-, HFC-125</v>
          </cell>
          <cell r="F61" t="str">
            <v>Methane, chlorodifluoro-, HCFC-22</v>
          </cell>
          <cell r="G61" t="str">
            <v>Remaining substances</v>
          </cell>
          <cell r="H61" t="str">
            <v>Total</v>
          </cell>
        </row>
        <row r="62">
          <cell r="B62" t="str">
            <v>kg CO2e/kg</v>
          </cell>
          <cell r="C62" t="str">
            <v>kg CO2e/kg</v>
          </cell>
          <cell r="D62" t="str">
            <v>kg CO2e/kg</v>
          </cell>
          <cell r="E62" t="str">
            <v>kg CO2e/kg</v>
          </cell>
          <cell r="F62" t="str">
            <v>kg CO2e/kg</v>
          </cell>
          <cell r="G62" t="str">
            <v>kg CO2e/kg</v>
          </cell>
          <cell r="H62" t="str">
            <v>kg CO2e/kg</v>
          </cell>
          <cell r="I62" t="str">
            <v>Check</v>
          </cell>
        </row>
        <row r="63">
          <cell r="A63" t="str">
            <v>Refrigerants, distribution</v>
          </cell>
          <cell r="B63">
            <v>1.8316152005864201E-7</v>
          </cell>
          <cell r="C63">
            <v>4.9027211077562896E-3</v>
          </cell>
          <cell r="D63">
            <v>6.4886702482363102E-4</v>
          </cell>
          <cell r="E63">
            <v>4.1525693430111803E-3</v>
          </cell>
          <cell r="F63">
            <v>1.87300519496634E-3</v>
          </cell>
          <cell r="G63">
            <v>4.2365670301270302E-4</v>
          </cell>
          <cell r="H63">
            <v>1.2001002535090203E-2</v>
          </cell>
          <cell r="I63">
            <v>1.20010025350902E-2</v>
          </cell>
        </row>
        <row r="64">
          <cell r="A64" t="str">
            <v>Operation, lorry 7.5-16t, EURO3/RER WITH US ELECTRICITY U</v>
          </cell>
          <cell r="B64">
            <v>7.6121107998636597E-4</v>
          </cell>
          <cell r="C64">
            <v>0</v>
          </cell>
          <cell r="D64">
            <v>2.6945108254247202E-4</v>
          </cell>
          <cell r="E64">
            <v>0</v>
          </cell>
          <cell r="F64">
            <v>7.2674542707153801E-9</v>
          </cell>
          <cell r="G64">
            <v>1.0784069050461501E-5</v>
          </cell>
          <cell r="H64">
            <v>1.0414534990335702E-3</v>
          </cell>
          <cell r="I64">
            <v>1.04145349903357E-3</v>
          </cell>
        </row>
        <row r="65">
          <cell r="A65" t="str">
            <v>Dairy Weighted Avg</v>
          </cell>
          <cell r="B65">
            <v>7.6139424150642465E-4</v>
          </cell>
          <cell r="C65">
            <v>4.9027211077562896E-3</v>
          </cell>
          <cell r="D65">
            <v>9.1831810736610299E-4</v>
          </cell>
          <cell r="E65">
            <v>4.1525693430111803E-3</v>
          </cell>
          <cell r="F65">
            <v>1.8730124624206108E-3</v>
          </cell>
          <cell r="G65">
            <v>4.3444077206316451E-4</v>
          </cell>
          <cell r="H65">
            <v>1.3042456034123774E-2</v>
          </cell>
          <cell r="I65">
            <v>1.30424560341238E-2</v>
          </cell>
        </row>
        <row r="66">
          <cell r="A66" t="str">
            <v>Relative share</v>
          </cell>
          <cell r="B66">
            <v>5.8378133651694315E-2</v>
          </cell>
          <cell r="C66">
            <v>0.37590474485242664</v>
          </cell>
          <cell r="D66">
            <v>7.0409906306254835E-2</v>
          </cell>
          <cell r="E66">
            <v>0.31838860197393493</v>
          </cell>
          <cell r="F66">
            <v>0.14360887684958523</v>
          </cell>
          <cell r="G66">
            <v>3.3309736366103945E-2</v>
          </cell>
          <cell r="H66">
            <v>1</v>
          </cell>
        </row>
        <row r="70">
          <cell r="A70" t="str">
            <v>Industrial Process Emissions</v>
          </cell>
        </row>
        <row r="71">
          <cell r="A71" t="str">
            <v>Type of Product</v>
          </cell>
          <cell r="B71" t="str">
            <v>CO2 Emissions (MT/Short Ton)</v>
          </cell>
          <cell r="C71" t="str">
            <v>CH4 Emissions (MT/Short Ton)</v>
          </cell>
          <cell r="D71" t="str">
            <v>CF4 Emissions (MT/Short Ton)</v>
          </cell>
          <cell r="E71" t="str">
            <v>C2F6 Emissions (MT/Short Ton)</v>
          </cell>
          <cell r="F71" t="str">
            <v>N2O Emissions (MT/Short Ton)</v>
          </cell>
        </row>
        <row r="72">
          <cell r="A72" t="str">
            <v>Dairy Production (weighted average)</v>
          </cell>
          <cell r="B72">
            <v>3.5711887947894656E-2</v>
          </cell>
          <cell r="C72">
            <v>2.678691809832482E-2</v>
          </cell>
          <cell r="D72">
            <v>0</v>
          </cell>
          <cell r="E72">
            <v>0</v>
          </cell>
          <cell r="F72">
            <v>5.8710116175788479E-4</v>
          </cell>
        </row>
        <row r="73">
          <cell r="A73" t="str">
            <v>Dairy Transport (weighted average)</v>
          </cell>
          <cell r="B73">
            <v>1.1141191849259503E-2</v>
          </cell>
          <cell r="C73">
            <v>0</v>
          </cell>
          <cell r="D73">
            <v>0</v>
          </cell>
          <cell r="E73">
            <v>0</v>
          </cell>
          <cell r="F73">
            <v>2.3178699228808832E-6</v>
          </cell>
        </row>
      </sheetData>
      <sheetData sheetId="14" refreshError="1">
        <row r="6">
          <cell r="D6" t="str">
            <v>Primary Metal (Factor: 17.87 kg)</v>
          </cell>
          <cell r="F6" t="str">
            <v>Secondary Aluminum (Factor: 6.218 kg)</v>
          </cell>
          <cell r="H6" t="str">
            <v>Can Sheet Rolling (Factor: 16.78 kg)</v>
          </cell>
          <cell r="J6" t="str">
            <v>Can Making (Factor: 1000 cans)</v>
          </cell>
          <cell r="L6" t="str">
            <v>Total Manufacturing (per short ton of Al can)</v>
          </cell>
          <cell r="P6" t="str">
            <v>Total Manufacturing (per short ton of Al ingot)</v>
          </cell>
        </row>
        <row r="7">
          <cell r="B7" t="str">
            <v>Fuel names</v>
          </cell>
          <cell r="C7" t="str">
            <v>WARM fuel names</v>
          </cell>
          <cell r="D7" t="str">
            <v>Energy (MMBtu/ton)</v>
          </cell>
          <cell r="E7" t="str">
            <v>GHG (MTCe/ton)</v>
          </cell>
          <cell r="F7" t="str">
            <v>Energy (MMBtu/ton)</v>
          </cell>
          <cell r="G7" t="str">
            <v>GHG (MTCe)/ton</v>
          </cell>
          <cell r="H7" t="str">
            <v>Energy (MMBtu/ton)</v>
          </cell>
          <cell r="I7" t="str">
            <v>GHG (MTCe)/ton</v>
          </cell>
          <cell r="J7" t="str">
            <v>Energy (MMBtu/ton)</v>
          </cell>
          <cell r="K7" t="str">
            <v>GHG (MTCe)/ton</v>
          </cell>
          <cell r="L7" t="str">
            <v>Energy (MMBtu/ton)</v>
          </cell>
          <cell r="M7" t="str">
            <v>% By Fuel Type</v>
          </cell>
          <cell r="N7" t="str">
            <v>GHG (MTCe/ton)</v>
          </cell>
          <cell r="P7" t="str">
            <v>Energy (MMBtu/ton)</v>
          </cell>
          <cell r="Q7" t="str">
            <v>% By Fuel Type</v>
          </cell>
          <cell r="R7" t="str">
            <v>GHG (MTCe/ton)</v>
          </cell>
        </row>
        <row r="8">
          <cell r="D8">
            <v>154.26914444277952</v>
          </cell>
          <cell r="E8">
            <v>1.6909040173598551</v>
          </cell>
          <cell r="F8">
            <v>2.0962012244781163</v>
          </cell>
          <cell r="G8">
            <v>3.2980646763736285E-2</v>
          </cell>
          <cell r="H8">
            <v>9.5762987125136725</v>
          </cell>
          <cell r="I8">
            <v>0.1468377606161706</v>
          </cell>
          <cell r="J8">
            <v>18.803236428308423</v>
          </cell>
          <cell r="K8">
            <v>0.29270871881747579</v>
          </cell>
          <cell r="L8">
            <v>184.74488080807973</v>
          </cell>
          <cell r="M8">
            <v>1.8099440427760949</v>
          </cell>
          <cell r="N8">
            <v>2.1634311435572378</v>
          </cell>
          <cell r="P8">
            <v>115.16230480507434</v>
          </cell>
          <cell r="R8">
            <v>1.283116234459635</v>
          </cell>
        </row>
        <row r="9">
          <cell r="B9" t="str">
            <v>All Fuels</v>
          </cell>
          <cell r="D9">
            <v>25.16356668055063</v>
          </cell>
          <cell r="E9">
            <v>0.47438008860414527</v>
          </cell>
          <cell r="F9">
            <v>0.8952200800190947</v>
          </cell>
          <cell r="G9">
            <v>1.3873652687202743E-2</v>
          </cell>
          <cell r="H9">
            <v>4.4689888806784408</v>
          </cell>
          <cell r="I9">
            <v>6.5583080512217493E-2</v>
          </cell>
          <cell r="J9">
            <v>4.5840895229476626</v>
          </cell>
          <cell r="K9">
            <v>6.6489383944847075E-2</v>
          </cell>
          <cell r="L9">
            <v>35.111865164195827</v>
          </cell>
          <cell r="M9">
            <v>1</v>
          </cell>
          <cell r="N9">
            <v>0.62032620574841257</v>
          </cell>
          <cell r="P9">
            <v>18.784665893595154</v>
          </cell>
          <cell r="Q9">
            <v>1</v>
          </cell>
          <cell r="R9">
            <v>0.47438008860414527</v>
          </cell>
        </row>
        <row r="10">
          <cell r="B10" t="str">
            <v>Diesel</v>
          </cell>
          <cell r="C10" t="str">
            <v>Diesel</v>
          </cell>
          <cell r="D10">
            <v>0.57732841013989167</v>
          </cell>
          <cell r="E10">
            <v>1.151770178229084E-2</v>
          </cell>
          <cell r="F10">
            <v>1.2781623940336365E-2</v>
          </cell>
          <cell r="G10">
            <v>2.5499339760971047E-4</v>
          </cell>
          <cell r="H10">
            <v>9.1131298721511007E-3</v>
          </cell>
          <cell r="I10">
            <v>1.8180694094941446E-4</v>
          </cell>
          <cell r="J10">
            <v>9.635551981397027E-3</v>
          </cell>
          <cell r="K10">
            <v>1.9222926202887069E-4</v>
          </cell>
          <cell r="L10">
            <v>0.60885871593377605</v>
          </cell>
          <cell r="M10">
            <v>3.2956730019831106E-3</v>
          </cell>
          <cell r="N10">
            <v>1.2146731382878837E-2</v>
          </cell>
          <cell r="P10">
            <v>0.43097711199027161</v>
          </cell>
          <cell r="Q10">
            <v>3.742345316201779E-3</v>
          </cell>
          <cell r="R10">
            <v>8.597993384205917E-3</v>
          </cell>
        </row>
        <row r="11">
          <cell r="B11" t="str">
            <v>Heavy Fuel Oil</v>
          </cell>
          <cell r="C11" t="str">
            <v>Residual Fuel</v>
          </cell>
          <cell r="D11">
            <v>9.2122459012271865</v>
          </cell>
          <cell r="E11">
            <v>0.19797116441737223</v>
          </cell>
          <cell r="F11">
            <v>0.11848793681780853</v>
          </cell>
          <cell r="G11">
            <v>2.546305762214705E-3</v>
          </cell>
          <cell r="H11">
            <v>0.10294155076154922</v>
          </cell>
          <cell r="I11">
            <v>2.2122139258656929E-3</v>
          </cell>
          <cell r="J11">
            <v>0</v>
          </cell>
          <cell r="K11">
            <v>0</v>
          </cell>
          <cell r="L11">
            <v>9.4336753888065452</v>
          </cell>
          <cell r="M11">
            <v>5.10632573283945E-2</v>
          </cell>
          <cell r="N11">
            <v>0.20272968410545261</v>
          </cell>
          <cell r="P11">
            <v>6.8769647634230928</v>
          </cell>
          <cell r="Q11">
            <v>5.9715414475797091E-2</v>
          </cell>
          <cell r="R11">
            <v>0.14778597276596225</v>
          </cell>
        </row>
        <row r="12">
          <cell r="B12" t="str">
            <v>Light Fuel Oil</v>
          </cell>
          <cell r="C12" t="str">
            <v>Distillate Fuel</v>
          </cell>
          <cell r="D12">
            <v>0</v>
          </cell>
          <cell r="E12">
            <v>0</v>
          </cell>
          <cell r="F12">
            <v>0</v>
          </cell>
          <cell r="G12">
            <v>0</v>
          </cell>
          <cell r="H12">
            <v>4.0818619166723942E-3</v>
          </cell>
          <cell r="I12">
            <v>8.1433145237614257E-5</v>
          </cell>
          <cell r="J12">
            <v>0</v>
          </cell>
          <cell r="K12">
            <v>0</v>
          </cell>
          <cell r="L12">
            <v>4.0818619166723942E-3</v>
          </cell>
          <cell r="M12">
            <v>2.2094587405173048E-5</v>
          </cell>
          <cell r="N12">
            <v>8.1433145237614257E-5</v>
          </cell>
          <cell r="P12">
            <v>0</v>
          </cell>
          <cell r="Q12">
            <v>0</v>
          </cell>
          <cell r="R12">
            <v>0</v>
          </cell>
        </row>
        <row r="13">
          <cell r="B13" t="str">
            <v>Hard Coal</v>
          </cell>
          <cell r="C13" t="str">
            <v>Coal Used by Industry (Non-Coking Coal)</v>
          </cell>
          <cell r="D13">
            <v>3.6725691544699597</v>
          </cell>
          <cell r="E13">
            <v>9.5571628487576554E-2</v>
          </cell>
          <cell r="F13">
            <v>0</v>
          </cell>
          <cell r="G13">
            <v>0</v>
          </cell>
          <cell r="H13">
            <v>0</v>
          </cell>
          <cell r="I13">
            <v>0</v>
          </cell>
          <cell r="J13">
            <v>0</v>
          </cell>
          <cell r="K13">
            <v>0</v>
          </cell>
          <cell r="L13">
            <v>3.6725691544699597</v>
          </cell>
          <cell r="M13">
            <v>1.9879138942340543E-2</v>
          </cell>
          <cell r="N13">
            <v>9.5571628487576554E-2</v>
          </cell>
          <cell r="P13">
            <v>2.7415821220273791</v>
          </cell>
          <cell r="Q13">
            <v>2.380624568662313E-2</v>
          </cell>
          <cell r="R13">
            <v>7.1344461333199286E-2</v>
          </cell>
        </row>
        <row r="14">
          <cell r="B14" t="str">
            <v>Natural Gas</v>
          </cell>
          <cell r="C14" t="str">
            <v>Natural Gas</v>
          </cell>
          <cell r="D14">
            <v>11.701423214713591</v>
          </cell>
          <cell r="E14">
            <v>0.16931959391690565</v>
          </cell>
          <cell r="F14">
            <v>0.75749013041954305</v>
          </cell>
          <cell r="G14">
            <v>1.0960882187170789E-2</v>
          </cell>
          <cell r="H14">
            <v>4.3205653944173852</v>
          </cell>
          <cell r="I14">
            <v>6.2518581257219569E-2</v>
          </cell>
          <cell r="J14">
            <v>4.5357802724657761</v>
          </cell>
          <cell r="K14">
            <v>6.5632740542579782E-2</v>
          </cell>
          <cell r="L14">
            <v>21.315259012016295</v>
          </cell>
          <cell r="M14">
            <v>0.11537672339705816</v>
          </cell>
          <cell r="N14">
            <v>0.30843179790387576</v>
          </cell>
          <cell r="P14">
            <v>8.7351418961544098</v>
          </cell>
          <cell r="Q14">
            <v>7.5850704021074064E-2</v>
          </cell>
          <cell r="R14">
            <v>0.12639750323735433</v>
          </cell>
        </row>
        <row r="15">
          <cell r="B15" t="str">
            <v>LPG</v>
          </cell>
          <cell r="C15" t="str">
            <v>LPG</v>
          </cell>
          <cell r="D15">
            <v>0</v>
          </cell>
          <cell r="E15">
            <v>0</v>
          </cell>
          <cell r="F15">
            <v>6.2362679520254439E-3</v>
          </cell>
          <cell r="G15">
            <v>1.0713908341579713E-4</v>
          </cell>
          <cell r="H15">
            <v>1.8194245141034179E-2</v>
          </cell>
          <cell r="I15">
            <v>3.1257713152296719E-4</v>
          </cell>
          <cell r="J15">
            <v>3.8673698500489774E-2</v>
          </cell>
          <cell r="K15">
            <v>6.644141402384143E-4</v>
          </cell>
          <cell r="L15">
            <v>6.3104211593549397E-2</v>
          </cell>
          <cell r="M15">
            <v>3.4157488595911107E-4</v>
          </cell>
          <cell r="N15">
            <v>1.0841303551771787E-3</v>
          </cell>
          <cell r="P15">
            <v>0</v>
          </cell>
          <cell r="Q15">
            <v>0</v>
          </cell>
          <cell r="R15">
            <v>0</v>
          </cell>
        </row>
        <row r="16">
          <cell r="B16" t="str">
            <v>Gasoline</v>
          </cell>
          <cell r="C16" t="str">
            <v>Gasoline</v>
          </cell>
          <cell r="D16">
            <v>0</v>
          </cell>
          <cell r="E16">
            <v>0</v>
          </cell>
          <cell r="F16">
            <v>2.2412088938127432E-4</v>
          </cell>
          <cell r="G16">
            <v>4.3322567917400329E-6</v>
          </cell>
          <cell r="H16">
            <v>1.0080273731686992E-3</v>
          </cell>
          <cell r="I16">
            <v>1.9485169123350955E-5</v>
          </cell>
          <cell r="J16">
            <v>0</v>
          </cell>
          <cell r="K16">
            <v>0</v>
          </cell>
          <cell r="L16">
            <v>1.2321482625499735E-3</v>
          </cell>
          <cell r="M16">
            <v>6.6694582126471898E-6</v>
          </cell>
          <cell r="N16">
            <v>2.3817425915090989E-5</v>
          </cell>
          <cell r="P16">
            <v>0</v>
          </cell>
          <cell r="Q16">
            <v>0</v>
          </cell>
          <cell r="R16">
            <v>0</v>
          </cell>
        </row>
        <row r="17">
          <cell r="B17" t="str">
            <v>Kerosene</v>
          </cell>
          <cell r="D17">
            <v>0</v>
          </cell>
          <cell r="E17">
            <v>0</v>
          </cell>
          <cell r="F17">
            <v>0</v>
          </cell>
          <cell r="G17">
            <v>0</v>
          </cell>
          <cell r="H17">
            <v>1.3084671196480997E-2</v>
          </cell>
          <cell r="I17">
            <v>2.5698294229888681E-4</v>
          </cell>
          <cell r="J17">
            <v>0</v>
          </cell>
          <cell r="K17">
            <v>0</v>
          </cell>
          <cell r="L17">
            <v>1.3084671196480997E-2</v>
          </cell>
          <cell r="M17">
            <v>7.0825622551749464E-5</v>
          </cell>
          <cell r="N17">
            <v>2.5698294229888681E-4</v>
          </cell>
          <cell r="P17">
            <v>0</v>
          </cell>
          <cell r="Q17">
            <v>0</v>
          </cell>
          <cell r="R17">
            <v>0</v>
          </cell>
        </row>
        <row r="18">
          <cell r="D18">
            <v>129.10557776222888</v>
          </cell>
          <cell r="E18">
            <v>1.2165239287557097</v>
          </cell>
          <cell r="F18">
            <v>1.2009811444590217</v>
          </cell>
          <cell r="G18">
            <v>1.9106994076533542E-2</v>
          </cell>
          <cell r="H18">
            <v>5.1073098318352326</v>
          </cell>
          <cell r="I18">
            <v>8.125468010395312E-2</v>
          </cell>
          <cell r="J18">
            <v>14.219146905360759</v>
          </cell>
          <cell r="K18">
            <v>0.22621933487262871</v>
          </cell>
          <cell r="L18">
            <v>149.63301564388391</v>
          </cell>
          <cell r="M18">
            <v>0.809944042776095</v>
          </cell>
          <cell r="N18">
            <v>1.5431049378088251</v>
          </cell>
          <cell r="P18">
            <v>96.377638911479195</v>
          </cell>
          <cell r="Q18">
            <v>0.83688529050030402</v>
          </cell>
          <cell r="R18">
            <v>0.8087361458554897</v>
          </cell>
        </row>
        <row r="21">
          <cell r="D21">
            <v>0.75303682158031027</v>
          </cell>
          <cell r="E21">
            <v>1.6182761295760864E-2</v>
          </cell>
          <cell r="F21">
            <v>0.10230429082985512</v>
          </cell>
          <cell r="G21">
            <v>2.0409706020556094E-3</v>
          </cell>
          <cell r="H21">
            <v>5.2993854709253732E-2</v>
          </cell>
          <cell r="I21">
            <v>1.0572274014496118E-3</v>
          </cell>
          <cell r="J21">
            <v>0</v>
          </cell>
          <cell r="K21">
            <v>0</v>
          </cell>
          <cell r="L21">
            <v>0.90833496711941919</v>
          </cell>
          <cell r="M21">
            <v>0.99999999999999989</v>
          </cell>
          <cell r="N21">
            <v>1.9280959299266084E-2</v>
          </cell>
          <cell r="P21">
            <v>0.56214388359716505</v>
          </cell>
          <cell r="Q21">
            <v>1</v>
          </cell>
          <cell r="R21">
            <v>1.2080472058503076E-2</v>
          </cell>
        </row>
        <row r="22">
          <cell r="B22" t="str">
            <v>Diesel</v>
          </cell>
          <cell r="C22" t="str">
            <v>Diesel</v>
          </cell>
          <cell r="F22">
            <v>0.10230429082985512</v>
          </cell>
          <cell r="G22">
            <v>2.0409706020556094E-3</v>
          </cell>
          <cell r="H22">
            <v>5.2993854709253732E-2</v>
          </cell>
          <cell r="I22">
            <v>1.0572274014496118E-3</v>
          </cell>
          <cell r="L22">
            <v>0.15529814553910887</v>
          </cell>
          <cell r="M22">
            <v>0.17097012793815716</v>
          </cell>
          <cell r="N22">
            <v>3.0981980035052212E-3</v>
          </cell>
          <cell r="P22">
            <v>0</v>
          </cell>
          <cell r="Q22">
            <v>0</v>
          </cell>
          <cell r="R22">
            <v>0</v>
          </cell>
        </row>
        <row r="23">
          <cell r="B23" t="str">
            <v>Heavy Fuel Oil</v>
          </cell>
          <cell r="C23" t="str">
            <v>Residual Fuel</v>
          </cell>
          <cell r="D23">
            <v>0.75303682158031027</v>
          </cell>
          <cell r="E23">
            <v>1.6182761295760864E-2</v>
          </cell>
          <cell r="L23">
            <v>0.75303682158031027</v>
          </cell>
          <cell r="M23">
            <v>0.82902987206184275</v>
          </cell>
          <cell r="N23">
            <v>1.6182761295760864E-2</v>
          </cell>
          <cell r="P23">
            <v>0.56214388359716505</v>
          </cell>
          <cell r="Q23">
            <v>1</v>
          </cell>
          <cell r="R23">
            <v>1.2080472058503076E-2</v>
          </cell>
        </row>
        <row r="24">
          <cell r="B24" t="str">
            <v>Light Fuel Oil</v>
          </cell>
          <cell r="C24" t="str">
            <v>Distillate Fuel</v>
          </cell>
          <cell r="L24">
            <v>0</v>
          </cell>
          <cell r="M24">
            <v>0</v>
          </cell>
          <cell r="N24">
            <v>0</v>
          </cell>
          <cell r="P24">
            <v>0</v>
          </cell>
          <cell r="Q24">
            <v>0</v>
          </cell>
          <cell r="R24">
            <v>0</v>
          </cell>
        </row>
        <row r="25">
          <cell r="B25" t="str">
            <v>Natural Gas</v>
          </cell>
          <cell r="C25" t="str">
            <v>Natural Gas</v>
          </cell>
          <cell r="L25">
            <v>0</v>
          </cell>
          <cell r="M25">
            <v>0</v>
          </cell>
          <cell r="N25">
            <v>0</v>
          </cell>
          <cell r="P25">
            <v>0</v>
          </cell>
          <cell r="Q25">
            <v>0</v>
          </cell>
          <cell r="R25">
            <v>0</v>
          </cell>
        </row>
        <row r="26">
          <cell r="B26" t="str">
            <v>LPG</v>
          </cell>
          <cell r="C26" t="str">
            <v>LPG</v>
          </cell>
          <cell r="L26">
            <v>0</v>
          </cell>
          <cell r="M26">
            <v>0</v>
          </cell>
          <cell r="N26">
            <v>0</v>
          </cell>
          <cell r="P26">
            <v>0</v>
          </cell>
          <cell r="Q26">
            <v>0</v>
          </cell>
          <cell r="R26">
            <v>0</v>
          </cell>
        </row>
        <row r="27">
          <cell r="B27" t="str">
            <v>Gasoline</v>
          </cell>
          <cell r="C27" t="str">
            <v>Gasoline</v>
          </cell>
          <cell r="L27">
            <v>0</v>
          </cell>
          <cell r="M27">
            <v>0</v>
          </cell>
          <cell r="N27">
            <v>0</v>
          </cell>
          <cell r="P27">
            <v>0</v>
          </cell>
          <cell r="Q27">
            <v>0</v>
          </cell>
          <cell r="R27">
            <v>0</v>
          </cell>
        </row>
        <row r="28">
          <cell r="B28" t="str">
            <v>Kerosene</v>
          </cell>
          <cell r="C28" t="str">
            <v>Kerosene</v>
          </cell>
          <cell r="L28">
            <v>0</v>
          </cell>
          <cell r="M28">
            <v>0</v>
          </cell>
          <cell r="N28">
            <v>0</v>
          </cell>
          <cell r="P28">
            <v>0</v>
          </cell>
          <cell r="Q28">
            <v>0</v>
          </cell>
          <cell r="R28">
            <v>0</v>
          </cell>
        </row>
        <row r="31">
          <cell r="E31">
            <v>0.95503146717088427</v>
          </cell>
          <cell r="G31">
            <v>0</v>
          </cell>
          <cell r="I31">
            <v>0</v>
          </cell>
          <cell r="K31">
            <v>0</v>
          </cell>
          <cell r="L31">
            <v>0</v>
          </cell>
          <cell r="N31">
            <v>0.95503146717088427</v>
          </cell>
          <cell r="P31">
            <v>0</v>
          </cell>
          <cell r="R31">
            <v>0.71293339519080001</v>
          </cell>
        </row>
        <row r="32">
          <cell r="E32">
            <v>0.58338471390790703</v>
          </cell>
          <cell r="G32">
            <v>0</v>
          </cell>
          <cell r="I32">
            <v>0</v>
          </cell>
          <cell r="K32">
            <v>0</v>
          </cell>
          <cell r="N32">
            <v>0.58338471390790703</v>
          </cell>
          <cell r="R32">
            <v>0.43549815800399999</v>
          </cell>
        </row>
        <row r="33">
          <cell r="E33">
            <v>0.37164675326297725</v>
          </cell>
          <cell r="G33">
            <v>0</v>
          </cell>
          <cell r="I33">
            <v>0</v>
          </cell>
          <cell r="K33">
            <v>0</v>
          </cell>
          <cell r="N33">
            <v>0.37164675326297725</v>
          </cell>
          <cell r="R33">
            <v>0.27743523718680002</v>
          </cell>
        </row>
        <row r="34">
          <cell r="E34">
            <v>0.32529945273299105</v>
          </cell>
          <cell r="N34">
            <v>0.32529945273299105</v>
          </cell>
          <cell r="R34">
            <v>0.24283686063000001</v>
          </cell>
        </row>
        <row r="35">
          <cell r="E35">
            <v>4.6347300529986216E-2</v>
          </cell>
          <cell r="N35">
            <v>4.6347300529986216E-2</v>
          </cell>
          <cell r="R35">
            <v>3.4598376556800002E-2</v>
          </cell>
        </row>
        <row r="36">
          <cell r="L36">
            <v>0</v>
          </cell>
          <cell r="P36">
            <v>0</v>
          </cell>
        </row>
        <row r="37">
          <cell r="D37">
            <v>14.554674109767534</v>
          </cell>
          <cell r="L37">
            <v>14.554674109767534</v>
          </cell>
          <cell r="P37">
            <v>10.865100874331219</v>
          </cell>
        </row>
        <row r="38">
          <cell r="D38">
            <v>11.462674231147036</v>
          </cell>
          <cell r="L38">
            <v>11.462674231147036</v>
          </cell>
          <cell r="P38">
            <v>8.5569151787074116</v>
          </cell>
        </row>
        <row r="39">
          <cell r="B39" t="str">
            <v>Hard Coal</v>
          </cell>
          <cell r="C39" t="str">
            <v>Coal Used by Industry (Non-Coking Coal)</v>
          </cell>
          <cell r="D39">
            <v>3.0919998786204985</v>
          </cell>
          <cell r="L39">
            <v>3.0919998786204985</v>
          </cell>
          <cell r="P39">
            <v>2.3081856956238083</v>
          </cell>
        </row>
        <row r="41">
          <cell r="D41">
            <v>155.02218126435983</v>
          </cell>
          <cell r="E41">
            <v>2.6621182458265</v>
          </cell>
          <cell r="F41">
            <v>2.1985055153079713</v>
          </cell>
          <cell r="G41">
            <v>3.5021617365791895E-2</v>
          </cell>
          <cell r="H41">
            <v>9.6292925672229259</v>
          </cell>
          <cell r="I41">
            <v>0.14789498801762022</v>
          </cell>
          <cell r="J41">
            <v>18.803236428308423</v>
          </cell>
          <cell r="K41">
            <v>0.29270871881747579</v>
          </cell>
          <cell r="L41">
            <v>185.65321577519916</v>
          </cell>
          <cell r="N41">
            <v>3.1377435700273884</v>
          </cell>
          <cell r="P41">
            <v>115.7244486886715</v>
          </cell>
          <cell r="R41">
            <v>2.0081301017089381</v>
          </cell>
        </row>
        <row r="42">
          <cell r="D42">
            <v>185.65321577519916</v>
          </cell>
        </row>
        <row r="43">
          <cell r="D43">
            <v>3.1377435700273879</v>
          </cell>
        </row>
        <row r="45">
          <cell r="D45">
            <v>0.8628147819294848</v>
          </cell>
          <cell r="E45">
            <v>2.6434930565444104E-2</v>
          </cell>
          <cell r="H45">
            <v>3.4132238863582569E-2</v>
          </cell>
          <cell r="J45">
            <v>9.5026801699975974E-2</v>
          </cell>
          <cell r="L45">
            <v>0</v>
          </cell>
          <cell r="N45">
            <v>0</v>
          </cell>
        </row>
        <row r="48">
          <cell r="B48" t="str">
            <v>Unit Adjustment Factor for 1 short ton of can</v>
          </cell>
          <cell r="D48">
            <v>0</v>
          </cell>
          <cell r="F48">
            <v>1.5850571154362818</v>
          </cell>
          <cell r="H48">
            <v>1.1411214345727136</v>
          </cell>
          <cell r="J48">
            <v>68.004853073463281</v>
          </cell>
          <cell r="L48" t="str">
            <v>Aluminum Cans (100% Recycled)</v>
          </cell>
          <cell r="P48" t="str">
            <v>Secondary Aluminum Ingot</v>
          </cell>
        </row>
        <row r="50">
          <cell r="D50" t="str">
            <v>Primary Metal (Factor: 0 kg)</v>
          </cell>
          <cell r="F50" t="str">
            <v>Secondary Aluminum (Factor: 23.308 kg)</v>
          </cell>
          <cell r="H50" t="str">
            <v>Can Sheet Rolling (Factor: 16.78 kg)</v>
          </cell>
          <cell r="J50" t="str">
            <v>Can Making (Factor: 1000 cans)</v>
          </cell>
          <cell r="L50" t="str">
            <v>Total Manufacturing</v>
          </cell>
          <cell r="P50" t="str">
            <v>Total Manufacturing (per short ton of Al ingot)</v>
          </cell>
        </row>
        <row r="51">
          <cell r="B51" t="str">
            <v>Fuel Names</v>
          </cell>
          <cell r="C51" t="str">
            <v>WARM Fuel Names</v>
          </cell>
          <cell r="D51" t="str">
            <v>Energy (MMBtu/ton)</v>
          </cell>
          <cell r="E51" t="str">
            <v>GHG (kg CO2e)</v>
          </cell>
          <cell r="F51" t="str">
            <v>Energy (MMBtu/ton)</v>
          </cell>
          <cell r="G51" t="str">
            <v>GHG (kg CO2e)</v>
          </cell>
          <cell r="H51" t="str">
            <v>Energy (MMBtu/ton)</v>
          </cell>
          <cell r="I51" t="str">
            <v>GHG (kg CO2e)</v>
          </cell>
          <cell r="J51" t="str">
            <v>Energy (MMBtu/ton)</v>
          </cell>
          <cell r="K51" t="str">
            <v>GHG (kg CO2e)</v>
          </cell>
          <cell r="L51" t="str">
            <v>Energy (MMBtu/ton)</v>
          </cell>
          <cell r="M51" t="str">
            <v>% By Fuel Type</v>
          </cell>
          <cell r="N51" t="str">
            <v>GHG (MTCe/ton)</v>
          </cell>
          <cell r="P51" t="str">
            <v>Energy (MMBtu/ton)</v>
          </cell>
          <cell r="Q51" t="str">
            <v>% By Fuel Type</v>
          </cell>
          <cell r="R51" t="str">
            <v>GHG (MTCe/ton)</v>
          </cell>
        </row>
        <row r="52">
          <cell r="D52">
            <v>0</v>
          </cell>
          <cell r="E52">
            <v>0</v>
          </cell>
          <cell r="F52">
            <v>7.8575519685004727</v>
          </cell>
          <cell r="G52">
            <v>0.12362703679143862</v>
          </cell>
          <cell r="H52">
            <v>9.5762987125136725</v>
          </cell>
          <cell r="I52">
            <v>0.1468377606161706</v>
          </cell>
          <cell r="J52">
            <v>18.803236428308423</v>
          </cell>
          <cell r="K52">
            <v>0.29270871881747579</v>
          </cell>
          <cell r="L52">
            <v>36.237087109322573</v>
          </cell>
          <cell r="N52">
            <v>0.56317351622508505</v>
          </cell>
          <cell r="P52">
            <v>4.4971573391022961</v>
          </cell>
          <cell r="R52">
            <v>7.0756164012261508E-2</v>
          </cell>
        </row>
        <row r="53">
          <cell r="A53" t="str">
            <v>Direct Stationary Combustion</v>
          </cell>
          <cell r="B53" t="str">
            <v>All Fuels</v>
          </cell>
          <cell r="D53">
            <v>0</v>
          </cell>
          <cell r="E53">
            <v>0</v>
          </cell>
          <cell r="F53">
            <v>3.3557075627348114</v>
          </cell>
          <cell r="G53">
            <v>5.2005001098958101E-2</v>
          </cell>
          <cell r="H53">
            <v>4.4689888806784408</v>
          </cell>
          <cell r="I53">
            <v>6.5583080512217493E-2</v>
          </cell>
          <cell r="J53">
            <v>4.5840895229476626</v>
          </cell>
          <cell r="K53">
            <v>6.6489383944847075E-2</v>
          </cell>
          <cell r="L53">
            <v>12.408785966360915</v>
          </cell>
          <cell r="M53">
            <v>0.99999999999999989</v>
          </cell>
          <cell r="N53">
            <v>0.18407746555602267</v>
          </cell>
          <cell r="P53">
            <v>1.9205911655604249</v>
          </cell>
          <cell r="Q53">
            <v>0.99999999999999989</v>
          </cell>
          <cell r="R53">
            <v>2.9764317601686165E-2</v>
          </cell>
        </row>
        <row r="54">
          <cell r="B54" t="str">
            <v>Diesel</v>
          </cell>
          <cell r="C54" t="str">
            <v>Diesel</v>
          </cell>
          <cell r="D54">
            <v>0</v>
          </cell>
          <cell r="E54">
            <v>0</v>
          </cell>
          <cell r="F54">
            <v>4.7911561724245738E-2</v>
          </cell>
          <cell r="G54">
            <v>9.5583565639870247E-4</v>
          </cell>
          <cell r="H54">
            <v>9.1131298721511007E-3</v>
          </cell>
          <cell r="I54">
            <v>1.8180694094941446E-4</v>
          </cell>
          <cell r="J54">
            <v>9.635551981397027E-3</v>
          </cell>
          <cell r="K54">
            <v>1.9222926202887069E-4</v>
          </cell>
          <cell r="L54">
            <v>6.6660243577793862E-2</v>
          </cell>
          <cell r="M54">
            <v>1.8395585543807256E-3</v>
          </cell>
          <cell r="N54">
            <v>1.3298718593769876E-3</v>
          </cell>
          <cell r="P54">
            <v>2.7421496198791754E-2</v>
          </cell>
          <cell r="Q54">
            <v>6.0975176386124661E-3</v>
          </cell>
          <cell r="R54">
            <v>5.4705884916589538E-4</v>
          </cell>
        </row>
        <row r="55">
          <cell r="B55" t="str">
            <v>Heavy Fuel Oil</v>
          </cell>
          <cell r="C55" t="str">
            <v>Residual Fuel</v>
          </cell>
          <cell r="D55">
            <v>0</v>
          </cell>
          <cell r="E55">
            <v>0</v>
          </cell>
          <cell r="F55">
            <v>0.44414873453674508</v>
          </cell>
          <cell r="G55">
            <v>9.5447563051946505E-3</v>
          </cell>
          <cell r="H55">
            <v>0.10294155076154922</v>
          </cell>
          <cell r="I55">
            <v>2.2122139258656929E-3</v>
          </cell>
          <cell r="J55">
            <v>0</v>
          </cell>
          <cell r="K55">
            <v>0</v>
          </cell>
          <cell r="L55">
            <v>0.54709028529829429</v>
          </cell>
          <cell r="M55">
            <v>1.5097523806143527E-2</v>
          </cell>
          <cell r="N55">
            <v>1.1756970231060343E-2</v>
          </cell>
          <cell r="P55">
            <v>0.25420216744122964</v>
          </cell>
          <cell r="Q55">
            <v>5.6525077570884465E-2</v>
          </cell>
          <cell r="R55">
            <v>5.4628045783120241E-3</v>
          </cell>
        </row>
        <row r="56">
          <cell r="B56" t="str">
            <v>Light Fuel Oil</v>
          </cell>
          <cell r="C56" t="str">
            <v>Distillate Fuel</v>
          </cell>
          <cell r="D56">
            <v>0</v>
          </cell>
          <cell r="E56">
            <v>0</v>
          </cell>
          <cell r="F56">
            <v>0</v>
          </cell>
          <cell r="G56">
            <v>0</v>
          </cell>
          <cell r="H56">
            <v>4.0818619166723942E-3</v>
          </cell>
          <cell r="I56">
            <v>8.1433145237614257E-5</v>
          </cell>
          <cell r="J56">
            <v>0</v>
          </cell>
          <cell r="K56">
            <v>0</v>
          </cell>
          <cell r="L56">
            <v>4.0818619166723942E-3</v>
          </cell>
          <cell r="M56">
            <v>1.1264321285974086E-4</v>
          </cell>
          <cell r="N56">
            <v>8.1433145237614257E-5</v>
          </cell>
          <cell r="P56">
            <v>0</v>
          </cell>
          <cell r="Q56">
            <v>0</v>
          </cell>
          <cell r="R56">
            <v>0</v>
          </cell>
        </row>
        <row r="57">
          <cell r="B57" t="str">
            <v>Hard Coal</v>
          </cell>
          <cell r="C57" t="str">
            <v>Coal Used by Industry (Non-Coking Coal)</v>
          </cell>
          <cell r="D57">
            <v>0</v>
          </cell>
          <cell r="E57">
            <v>0</v>
          </cell>
          <cell r="F57">
            <v>0</v>
          </cell>
          <cell r="G57">
            <v>0</v>
          </cell>
          <cell r="H57">
            <v>0</v>
          </cell>
          <cell r="I57">
            <v>0</v>
          </cell>
          <cell r="J57">
            <v>0</v>
          </cell>
          <cell r="K57">
            <v>0</v>
          </cell>
          <cell r="L57">
            <v>0</v>
          </cell>
          <cell r="M57">
            <v>0</v>
          </cell>
          <cell r="N57">
            <v>0</v>
          </cell>
          <cell r="P57">
            <v>0</v>
          </cell>
          <cell r="Q57">
            <v>0</v>
          </cell>
          <cell r="R57">
            <v>0</v>
          </cell>
        </row>
        <row r="58">
          <cell r="B58" t="str">
            <v>Natural Gas</v>
          </cell>
          <cell r="C58" t="str">
            <v>Natural Gas</v>
          </cell>
          <cell r="D58">
            <v>0</v>
          </cell>
          <cell r="E58">
            <v>0</v>
          </cell>
          <cell r="F58">
            <v>2.8394306786456589</v>
          </cell>
          <cell r="G58">
            <v>4.1086561920002686E-2</v>
          </cell>
          <cell r="H58">
            <v>4.3205653944173852</v>
          </cell>
          <cell r="I58">
            <v>6.2518581257219569E-2</v>
          </cell>
          <cell r="J58">
            <v>4.5357802724657761</v>
          </cell>
          <cell r="K58">
            <v>6.5632740542579782E-2</v>
          </cell>
          <cell r="L58">
            <v>11.69577634552882</v>
          </cell>
          <cell r="M58">
            <v>0.3227570778590505</v>
          </cell>
          <cell r="N58">
            <v>0.16923788371980203</v>
          </cell>
          <cell r="P58">
            <v>1.6251074846890807</v>
          </cell>
          <cell r="Q58">
            <v>0.36136327065076135</v>
          </cell>
          <cell r="R58">
            <v>2.3515305303451001E-2</v>
          </cell>
        </row>
        <row r="59">
          <cell r="B59" t="str">
            <v>LPG</v>
          </cell>
          <cell r="C59" t="str">
            <v>LPG</v>
          </cell>
          <cell r="D59">
            <v>0</v>
          </cell>
          <cell r="E59">
            <v>0</v>
          </cell>
          <cell r="F59">
            <v>2.3376476909908177E-2</v>
          </cell>
          <cell r="G59">
            <v>4.0160787331222246E-4</v>
          </cell>
          <cell r="H59">
            <v>1.8194245141034179E-2</v>
          </cell>
          <cell r="I59">
            <v>3.1257713152296719E-4</v>
          </cell>
          <cell r="J59">
            <v>3.8673698500489774E-2</v>
          </cell>
          <cell r="K59">
            <v>6.644141402384143E-4</v>
          </cell>
          <cell r="L59">
            <v>8.0244420551432133E-2</v>
          </cell>
          <cell r="M59">
            <v>2.2144280060189489E-3</v>
          </cell>
          <cell r="N59">
            <v>1.3785991450736041E-3</v>
          </cell>
          <cell r="P59">
            <v>1.3379191778710104E-2</v>
          </cell>
          <cell r="Q59">
            <v>2.9750330641935695E-3</v>
          </cell>
          <cell r="R59">
            <v>2.2985451475823957E-4</v>
          </cell>
        </row>
        <row r="60">
          <cell r="B60" t="str">
            <v>Gasoline</v>
          </cell>
          <cell r="C60" t="str">
            <v>Gasoline</v>
          </cell>
          <cell r="D60">
            <v>0</v>
          </cell>
          <cell r="E60">
            <v>0</v>
          </cell>
          <cell r="F60">
            <v>8.4011091825325537E-4</v>
          </cell>
          <cell r="G60">
            <v>1.6239344049835423E-5</v>
          </cell>
          <cell r="H60">
            <v>1.0080273731686992E-3</v>
          </cell>
          <cell r="I60">
            <v>1.9485169123350955E-5</v>
          </cell>
          <cell r="J60">
            <v>0</v>
          </cell>
          <cell r="K60">
            <v>0</v>
          </cell>
          <cell r="L60">
            <v>1.8481382914219545E-3</v>
          </cell>
          <cell r="M60">
            <v>5.1001292842505855E-5</v>
          </cell>
          <cell r="N60">
            <v>3.5724513173186378E-5</v>
          </cell>
          <cell r="P60">
            <v>4.8082545261276936E-4</v>
          </cell>
          <cell r="Q60">
            <v>1.0691764071317766E-4</v>
          </cell>
          <cell r="R60">
            <v>9.2943559990048311E-6</v>
          </cell>
        </row>
        <row r="61">
          <cell r="B61" t="str">
            <v>Kerosene</v>
          </cell>
          <cell r="D61">
            <v>0</v>
          </cell>
          <cell r="E61">
            <v>0</v>
          </cell>
          <cell r="F61">
            <v>0</v>
          </cell>
          <cell r="G61">
            <v>0</v>
          </cell>
          <cell r="H61">
            <v>1.3084671196480997E-2</v>
          </cell>
          <cell r="I61">
            <v>2.5698294229888681E-4</v>
          </cell>
          <cell r="J61">
            <v>0</v>
          </cell>
          <cell r="K61">
            <v>0</v>
          </cell>
          <cell r="L61">
            <v>1.3084671196480997E-2</v>
          </cell>
          <cell r="M61">
            <v>3.6108507168377657E-4</v>
          </cell>
          <cell r="N61">
            <v>2.5698294229888681E-4</v>
          </cell>
          <cell r="P61">
            <v>0</v>
          </cell>
          <cell r="Q61">
            <v>0</v>
          </cell>
          <cell r="R61">
            <v>0</v>
          </cell>
        </row>
        <row r="62">
          <cell r="A62" t="str">
            <v>Electric Power</v>
          </cell>
          <cell r="D62">
            <v>0</v>
          </cell>
          <cell r="E62">
            <v>0</v>
          </cell>
          <cell r="F62">
            <v>4.5018444057656613</v>
          </cell>
          <cell r="G62">
            <v>7.1622035692480518E-2</v>
          </cell>
          <cell r="H62">
            <v>5.1073098318352326</v>
          </cell>
          <cell r="I62">
            <v>8.125468010395312E-2</v>
          </cell>
          <cell r="J62">
            <v>14.219146905360759</v>
          </cell>
          <cell r="K62">
            <v>0.22621933487262871</v>
          </cell>
          <cell r="L62">
            <v>23.828301142961653</v>
          </cell>
          <cell r="M62">
            <v>0.65756668219702019</v>
          </cell>
          <cell r="N62">
            <v>0.37909605066906238</v>
          </cell>
          <cell r="P62">
            <v>2.5765661735418708</v>
          </cell>
          <cell r="Q62">
            <v>0.57293218343483487</v>
          </cell>
          <cell r="R62">
            <v>4.099184641057535E-2</v>
          </cell>
        </row>
        <row r="65">
          <cell r="A65" t="str">
            <v>Transportation Energy</v>
          </cell>
          <cell r="D65">
            <v>0</v>
          </cell>
          <cell r="E65">
            <v>0</v>
          </cell>
          <cell r="F65">
            <v>0.38348478781959844</v>
          </cell>
          <cell r="G65">
            <v>7.6505215170009884E-3</v>
          </cell>
          <cell r="H65">
            <v>5.2993854709253732E-2</v>
          </cell>
          <cell r="I65">
            <v>1.0572274014496118E-3</v>
          </cell>
          <cell r="J65">
            <v>0</v>
          </cell>
          <cell r="K65">
            <v>0</v>
          </cell>
          <cell r="L65">
            <v>0.43647864252885216</v>
          </cell>
          <cell r="M65">
            <v>1</v>
          </cell>
          <cell r="N65">
            <v>8.7077489184505998E-3</v>
          </cell>
          <cell r="P65">
            <v>0.2194820263220115</v>
          </cell>
          <cell r="Q65">
            <v>1</v>
          </cell>
          <cell r="R65">
            <v>4.3786664251241293E-3</v>
          </cell>
        </row>
        <row r="66">
          <cell r="B66" t="str">
            <v>Diesel</v>
          </cell>
          <cell r="C66" t="str">
            <v>Diesel</v>
          </cell>
          <cell r="F66">
            <v>0.38348478781959844</v>
          </cell>
          <cell r="G66">
            <v>7.6505215170009884E-3</v>
          </cell>
          <cell r="H66">
            <v>5.2993854709253732E-2</v>
          </cell>
          <cell r="I66">
            <v>1.0572274014496118E-3</v>
          </cell>
          <cell r="J66">
            <v>0</v>
          </cell>
          <cell r="K66">
            <v>0</v>
          </cell>
          <cell r="L66">
            <v>0.43647864252885216</v>
          </cell>
          <cell r="M66">
            <v>1</v>
          </cell>
          <cell r="N66">
            <v>8.7077489184505998E-3</v>
          </cell>
          <cell r="P66">
            <v>0.2194820263220115</v>
          </cell>
          <cell r="Q66">
            <v>1</v>
          </cell>
          <cell r="R66">
            <v>4.3786664251241293E-3</v>
          </cell>
        </row>
        <row r="67">
          <cell r="B67" t="str">
            <v>Heavy Fuel Oil</v>
          </cell>
          <cell r="C67" t="str">
            <v>Residual Fuel</v>
          </cell>
          <cell r="D67">
            <v>0</v>
          </cell>
          <cell r="E67">
            <v>0</v>
          </cell>
          <cell r="L67">
            <v>0</v>
          </cell>
          <cell r="M67">
            <v>0</v>
          </cell>
          <cell r="N67">
            <v>0</v>
          </cell>
          <cell r="P67">
            <v>0</v>
          </cell>
          <cell r="Q67">
            <v>0</v>
          </cell>
          <cell r="R67">
            <v>0</v>
          </cell>
        </row>
        <row r="68">
          <cell r="B68" t="str">
            <v>Light Fuel Oil</v>
          </cell>
          <cell r="C68" t="str">
            <v>Distillate Fuel</v>
          </cell>
          <cell r="L68">
            <v>0</v>
          </cell>
          <cell r="M68">
            <v>0</v>
          </cell>
          <cell r="N68">
            <v>0</v>
          </cell>
          <cell r="P68">
            <v>0</v>
          </cell>
          <cell r="Q68">
            <v>0</v>
          </cell>
          <cell r="R68">
            <v>0</v>
          </cell>
        </row>
        <row r="69">
          <cell r="B69" t="str">
            <v>Natural Gas</v>
          </cell>
          <cell r="C69" t="str">
            <v>Natural Gas</v>
          </cell>
          <cell r="L69">
            <v>0</v>
          </cell>
          <cell r="M69">
            <v>0</v>
          </cell>
          <cell r="N69">
            <v>0</v>
          </cell>
          <cell r="P69">
            <v>0</v>
          </cell>
          <cell r="Q69">
            <v>0</v>
          </cell>
          <cell r="R69">
            <v>0</v>
          </cell>
        </row>
        <row r="70">
          <cell r="B70" t="str">
            <v>LPG</v>
          </cell>
          <cell r="C70" t="str">
            <v>LPG</v>
          </cell>
          <cell r="L70">
            <v>0</v>
          </cell>
          <cell r="M70">
            <v>0</v>
          </cell>
          <cell r="N70">
            <v>0</v>
          </cell>
          <cell r="P70">
            <v>0</v>
          </cell>
          <cell r="Q70">
            <v>0</v>
          </cell>
          <cell r="R70">
            <v>0</v>
          </cell>
        </row>
        <row r="71">
          <cell r="B71" t="str">
            <v>Gasoline</v>
          </cell>
          <cell r="C71" t="str">
            <v>Gasoline</v>
          </cell>
          <cell r="L71">
            <v>0</v>
          </cell>
          <cell r="M71">
            <v>0</v>
          </cell>
          <cell r="N71">
            <v>0</v>
          </cell>
          <cell r="P71">
            <v>0</v>
          </cell>
          <cell r="Q71">
            <v>0</v>
          </cell>
          <cell r="R71">
            <v>0</v>
          </cell>
        </row>
        <row r="72">
          <cell r="B72" t="str">
            <v>Kerosene</v>
          </cell>
          <cell r="C72" t="str">
            <v>Kerosene</v>
          </cell>
          <cell r="L72">
            <v>0</v>
          </cell>
          <cell r="M72">
            <v>0</v>
          </cell>
          <cell r="N72">
            <v>0</v>
          </cell>
          <cell r="P72">
            <v>0</v>
          </cell>
          <cell r="Q72">
            <v>0</v>
          </cell>
          <cell r="R72">
            <v>0</v>
          </cell>
        </row>
        <row r="75">
          <cell r="A75" t="str">
            <v>Non-Energy Process</v>
          </cell>
          <cell r="E75">
            <v>0</v>
          </cell>
          <cell r="G75">
            <v>0</v>
          </cell>
          <cell r="I75">
            <v>0</v>
          </cell>
          <cell r="K75">
            <v>0</v>
          </cell>
          <cell r="L75">
            <v>0</v>
          </cell>
          <cell r="N75">
            <v>0</v>
          </cell>
          <cell r="P75">
            <v>0</v>
          </cell>
          <cell r="R75">
            <v>0</v>
          </cell>
        </row>
        <row r="76">
          <cell r="A76" t="str">
            <v>Process Emissions</v>
          </cell>
          <cell r="E76">
            <v>0</v>
          </cell>
          <cell r="G76">
            <v>0</v>
          </cell>
          <cell r="I76">
            <v>0</v>
          </cell>
          <cell r="K76">
            <v>0</v>
          </cell>
          <cell r="R76">
            <v>0</v>
          </cell>
        </row>
        <row r="77">
          <cell r="A77" t="str">
            <v>PFC Emissions</v>
          </cell>
          <cell r="E77">
            <v>0</v>
          </cell>
          <cell r="G77">
            <v>0</v>
          </cell>
          <cell r="I77">
            <v>0</v>
          </cell>
          <cell r="K77">
            <v>0</v>
          </cell>
          <cell r="R77">
            <v>0</v>
          </cell>
        </row>
        <row r="78">
          <cell r="A78" t="str">
            <v>CF4</v>
          </cell>
          <cell r="E78">
            <v>0</v>
          </cell>
          <cell r="R78">
            <v>0</v>
          </cell>
        </row>
        <row r="79">
          <cell r="A79" t="str">
            <v>C2F6</v>
          </cell>
          <cell r="E79">
            <v>0</v>
          </cell>
          <cell r="R79">
            <v>0</v>
          </cell>
        </row>
        <row r="80">
          <cell r="P80">
            <v>0</v>
          </cell>
        </row>
        <row r="81">
          <cell r="A81" t="str">
            <v>Embedded Energy</v>
          </cell>
          <cell r="D81">
            <v>0</v>
          </cell>
          <cell r="L81">
            <v>0</v>
          </cell>
          <cell r="P81">
            <v>0</v>
          </cell>
        </row>
        <row r="82">
          <cell r="D82">
            <v>0</v>
          </cell>
          <cell r="L82">
            <v>0</v>
          </cell>
          <cell r="P82">
            <v>0</v>
          </cell>
        </row>
        <row r="83">
          <cell r="B83" t="str">
            <v>Hard Coal</v>
          </cell>
          <cell r="C83" t="str">
            <v>Coal Used by Industry (Non-Coking Coal)</v>
          </cell>
          <cell r="D83">
            <v>0</v>
          </cell>
          <cell r="L83">
            <v>0</v>
          </cell>
          <cell r="P83">
            <v>0</v>
          </cell>
        </row>
        <row r="85">
          <cell r="D85">
            <v>0</v>
          </cell>
          <cell r="E85">
            <v>0</v>
          </cell>
          <cell r="F85">
            <v>8.2410367563200708</v>
          </cell>
          <cell r="G85">
            <v>0.1312775583084396</v>
          </cell>
          <cell r="H85">
            <v>9.6292925672229259</v>
          </cell>
          <cell r="I85">
            <v>0.14789498801762022</v>
          </cell>
          <cell r="J85">
            <v>18.803236428308423</v>
          </cell>
          <cell r="K85">
            <v>0.29270871881747579</v>
          </cell>
          <cell r="L85">
            <v>36.673565751851427</v>
          </cell>
          <cell r="N85">
            <v>0.57188126514353566</v>
          </cell>
          <cell r="P85">
            <v>4.7166393654243075</v>
          </cell>
          <cell r="R85">
            <v>7.5134830437385641E-2</v>
          </cell>
        </row>
        <row r="86">
          <cell r="D86">
            <v>36.67356575185142</v>
          </cell>
        </row>
        <row r="87">
          <cell r="D87">
            <v>0.57188126514353566</v>
          </cell>
        </row>
        <row r="89">
          <cell r="E89">
            <v>0</v>
          </cell>
          <cell r="L89">
            <v>0</v>
          </cell>
          <cell r="N89">
            <v>0</v>
          </cell>
        </row>
        <row r="95">
          <cell r="A95" t="str">
            <v>USEFUL ENERGY</v>
          </cell>
        </row>
        <row r="96">
          <cell r="I96" t="str">
            <v>100% virgin</v>
          </cell>
          <cell r="K96" t="str">
            <v>100% recycled</v>
          </cell>
          <cell r="M96" t="str">
            <v>67.8% recycled content</v>
          </cell>
        </row>
        <row r="97">
          <cell r="F97" t="str">
            <v>Adjusted Energy Consumption (MMBtu per short ton of aluminum cans)</v>
          </cell>
          <cell r="I97" t="str">
            <v>% total Electric Power consumption</v>
          </cell>
          <cell r="K97" t="str">
            <v>% total Electric Power consumption</v>
          </cell>
          <cell r="M97" t="str">
            <v>% total Electric Power consumption</v>
          </cell>
        </row>
        <row r="98">
          <cell r="B98" t="str">
            <v>Recycling Process</v>
          </cell>
          <cell r="C98" t="str">
            <v>Manufactured unit</v>
          </cell>
          <cell r="D98" t="str">
            <v>Manufacturing step</v>
          </cell>
          <cell r="E98" t="str">
            <v>Grid Factor 
(grams CO2 / kWh)</v>
          </cell>
          <cell r="F98" t="str">
            <v>100% virgin inputs
(recycled content)</v>
          </cell>
          <cell r="G98" t="str">
            <v>100% recycled (recycled content)</v>
          </cell>
          <cell r="H98" t="str">
            <v>67.8% Recycled Content, 51.6% Recycling</v>
          </cell>
          <cell r="I98" t="str">
            <v>w/in each manufacturing step</v>
          </cell>
          <cell r="J98" t="str">
            <v>whole process</v>
          </cell>
          <cell r="K98" t="str">
            <v>w/in each manufacturing step</v>
          </cell>
          <cell r="L98" t="str">
            <v>whole process</v>
          </cell>
          <cell r="M98" t="str">
            <v>w/in each manufacturing step</v>
          </cell>
          <cell r="N98" t="str">
            <v>whole process</v>
          </cell>
        </row>
        <row r="99">
          <cell r="B99" t="str">
            <v>Closed Loop</v>
          </cell>
          <cell r="C99" t="str">
            <v>Primary Metal</v>
          </cell>
          <cell r="D99" t="str">
            <v>Bauxite Mining</v>
          </cell>
          <cell r="E99">
            <v>510.06</v>
          </cell>
          <cell r="F99">
            <v>4.170782417949645E-2</v>
          </cell>
          <cell r="G99">
            <v>0</v>
          </cell>
          <cell r="H99">
            <v>1.3548624474648958E-2</v>
          </cell>
          <cell r="I99">
            <v>6.3195040733837369E-4</v>
          </cell>
          <cell r="J99">
            <v>5.6961352768253987E-4</v>
          </cell>
          <cell r="K99" t="e">
            <v>#DIV/0!</v>
          </cell>
          <cell r="L99">
            <v>0</v>
          </cell>
          <cell r="M99">
            <v>6.3589615346926046E-4</v>
          </cell>
          <cell r="N99">
            <v>4.5632906007170412E-4</v>
          </cell>
        </row>
        <row r="100">
          <cell r="D100" t="str">
            <v>Alumina Refining</v>
          </cell>
          <cell r="E100">
            <v>510.06</v>
          </cell>
          <cell r="F100">
            <v>0.9970254794192801</v>
          </cell>
          <cell r="G100">
            <v>0</v>
          </cell>
          <cell r="H100">
            <v>0.19084814690802121</v>
          </cell>
          <cell r="I100">
            <v>1.5106773614805202E-2</v>
          </cell>
          <cell r="J100">
            <v>1.3616610592709379E-2</v>
          </cell>
          <cell r="K100" t="e">
            <v>#DIV/0!</v>
          </cell>
          <cell r="L100">
            <v>0</v>
          </cell>
          <cell r="M100">
            <v>8.9573375321328648E-3</v>
          </cell>
          <cell r="N100">
            <v>6.4279259977954549E-3</v>
          </cell>
        </row>
        <row r="101">
          <cell r="D101" t="str">
            <v>Anode Production</v>
          </cell>
          <cell r="E101">
            <v>575.82000000000005</v>
          </cell>
          <cell r="F101">
            <v>0.24548988034730954</v>
          </cell>
          <cell r="G101">
            <v>0</v>
          </cell>
          <cell r="H101">
            <v>7.9746432871635797E-2</v>
          </cell>
          <cell r="I101">
            <v>3.7196241457063679E-3</v>
          </cell>
          <cell r="J101">
            <v>3.3527128184197659E-3</v>
          </cell>
          <cell r="K101" t="e">
            <v>#DIV/0!</v>
          </cell>
          <cell r="L101">
            <v>0</v>
          </cell>
          <cell r="M101">
            <v>3.7428485829578422E-3</v>
          </cell>
          <cell r="N101">
            <v>2.6859268868567325E-3</v>
          </cell>
        </row>
        <row r="102">
          <cell r="D102" t="str">
            <v>Electrolysis</v>
          </cell>
          <cell r="E102">
            <v>323.14171751875</v>
          </cell>
          <cell r="F102">
            <v>64.42309622158011</v>
          </cell>
          <cell r="G102">
            <v>0</v>
          </cell>
          <cell r="H102">
            <v>20.927592253288893</v>
          </cell>
          <cell r="I102">
            <v>0.97612864492799167</v>
          </cell>
          <cell r="J102">
            <v>0.87984132054162212</v>
          </cell>
          <cell r="K102" t="e">
            <v>#DIV/0!</v>
          </cell>
          <cell r="L102">
            <v>0</v>
          </cell>
          <cell r="M102">
            <v>0.98222335707509534</v>
          </cell>
          <cell r="N102">
            <v>0.70485889695858828</v>
          </cell>
        </row>
        <row r="103">
          <cell r="D103" t="str">
            <v>Ingot Casting</v>
          </cell>
          <cell r="E103">
            <v>323.14171751875</v>
          </cell>
          <cell r="F103">
            <v>0.29125215194773468</v>
          </cell>
          <cell r="G103">
            <v>0</v>
          </cell>
          <cell r="H103">
            <v>9.4612128822417443E-2</v>
          </cell>
          <cell r="I103">
            <v>4.4130069041585524E-3</v>
          </cell>
          <cell r="J103">
            <v>3.9776988845569468E-3</v>
          </cell>
          <cell r="K103" t="e">
            <v>#DIV/0!</v>
          </cell>
          <cell r="L103">
            <v>0</v>
          </cell>
          <cell r="M103">
            <v>4.440560656344579E-3</v>
          </cell>
          <cell r="N103">
            <v>3.1866160212574179E-3</v>
          </cell>
        </row>
        <row r="104">
          <cell r="C104" t="str">
            <v>Secondary Metal</v>
          </cell>
          <cell r="D104" t="str">
            <v>Scrap Preparation</v>
          </cell>
          <cell r="E104">
            <v>575.82000000000005</v>
          </cell>
          <cell r="F104">
            <v>1.2958235369368468E-2</v>
          </cell>
          <cell r="G104">
            <v>4.8573584752209756E-2</v>
          </cell>
          <cell r="H104">
            <v>4.8573584752209756E-2</v>
          </cell>
          <cell r="I104">
            <v>3.066515195411141E-2</v>
          </cell>
          <cell r="J104">
            <v>1.7697365677769451E-4</v>
          </cell>
          <cell r="K104">
            <v>3.066515195411141E-2</v>
          </cell>
          <cell r="L104">
            <v>5.793520148512441E-3</v>
          </cell>
          <cell r="M104">
            <v>3.066515195411141E-2</v>
          </cell>
          <cell r="N104">
            <v>1.6359991610781907E-3</v>
          </cell>
        </row>
        <row r="105">
          <cell r="D105" t="str">
            <v>Remelting and Casting</v>
          </cell>
          <cell r="E105">
            <v>575.82000000000005</v>
          </cell>
          <cell r="F105">
            <v>0.40961378999543985</v>
          </cell>
          <cell r="G105">
            <v>1.5354258953383262</v>
          </cell>
          <cell r="H105">
            <v>1.5354258953383262</v>
          </cell>
          <cell r="I105">
            <v>0.96933484804588854</v>
          </cell>
          <cell r="J105">
            <v>5.5941915095493846E-3</v>
          </cell>
          <cell r="K105">
            <v>0.96933484804588865</v>
          </cell>
          <cell r="L105">
            <v>0.18313494683518625</v>
          </cell>
          <cell r="M105">
            <v>0.96933484804588865</v>
          </cell>
          <cell r="N105">
            <v>5.1714434697079981E-2</v>
          </cell>
        </row>
        <row r="106">
          <cell r="C106" t="str">
            <v>Can Sheet Rolling</v>
          </cell>
          <cell r="D106" t="str">
            <v>Can Body Sheet Rolling</v>
          </cell>
          <cell r="E106">
            <v>0</v>
          </cell>
          <cell r="F106">
            <v>1.1086137955986231</v>
          </cell>
          <cell r="G106">
            <v>1.1086137955986231</v>
          </cell>
          <cell r="H106">
            <v>1.1086137955986231</v>
          </cell>
          <cell r="I106">
            <v>0.61691242852843819</v>
          </cell>
          <cell r="J106">
            <v>1.514059837383936E-2</v>
          </cell>
          <cell r="K106">
            <v>0.61691242852843819</v>
          </cell>
          <cell r="L106">
            <v>0.13222776112745693</v>
          </cell>
          <cell r="M106">
            <v>0.61691242852843819</v>
          </cell>
          <cell r="N106">
            <v>3.7339044437656947E-2</v>
          </cell>
        </row>
        <row r="107">
          <cell r="D107" t="str">
            <v>Can Lid Sheet Rolling</v>
          </cell>
          <cell r="E107">
            <v>0</v>
          </cell>
          <cell r="F107">
            <v>0.68842212770587674</v>
          </cell>
          <cell r="G107">
            <v>0.68842212770587674</v>
          </cell>
          <cell r="H107">
            <v>0.68842212770587674</v>
          </cell>
          <cell r="I107">
            <v>0.38308757147156192</v>
          </cell>
          <cell r="J107">
            <v>9.4019423072670763E-3</v>
          </cell>
          <cell r="K107">
            <v>0.38308757147156192</v>
          </cell>
          <cell r="L107">
            <v>8.2110214592806194E-2</v>
          </cell>
          <cell r="M107">
            <v>0.38308757147156192</v>
          </cell>
          <cell r="N107">
            <v>2.3186635887384049E-2</v>
          </cell>
        </row>
        <row r="108">
          <cell r="C108" t="str">
            <v>Can Making</v>
          </cell>
          <cell r="D108" t="str">
            <v>Can Making</v>
          </cell>
          <cell r="E108">
            <v>0</v>
          </cell>
          <cell r="F108">
            <v>5.0030874626800284</v>
          </cell>
          <cell r="G108">
            <v>5.0030874626800284</v>
          </cell>
          <cell r="H108">
            <v>5.0030874626800284</v>
          </cell>
          <cell r="I108">
            <v>1</v>
          </cell>
          <cell r="J108">
            <v>6.8328337787575882E-2</v>
          </cell>
          <cell r="K108">
            <v>1</v>
          </cell>
          <cell r="L108">
            <v>0.59673355729603828</v>
          </cell>
          <cell r="M108">
            <v>1</v>
          </cell>
          <cell r="N108">
            <v>0.16850819089223135</v>
          </cell>
        </row>
        <row r="109">
          <cell r="D109" t="str">
            <v>Total</v>
          </cell>
          <cell r="F109">
            <v>73.221266968823258</v>
          </cell>
          <cell r="G109">
            <v>8.3841228660750637</v>
          </cell>
          <cell r="H109">
            <v>29.690470452440678</v>
          </cell>
          <cell r="I109">
            <v>1.0000000000000002</v>
          </cell>
          <cell r="K109">
            <v>1</v>
          </cell>
          <cell r="M109">
            <v>1</v>
          </cell>
        </row>
        <row r="111">
          <cell r="E111">
            <v>7.7252526059868751E-2</v>
          </cell>
          <cell r="F111" t="str">
            <v>MMJ/short ton</v>
          </cell>
        </row>
        <row r="113">
          <cell r="B113" t="str">
            <v>Input Mix</v>
          </cell>
          <cell r="C113" t="str">
            <v>100% virgin</v>
          </cell>
          <cell r="D113" t="str">
            <v>100% recycled</v>
          </cell>
          <cell r="E113" t="str">
            <v>67.8% recycled</v>
          </cell>
        </row>
        <row r="114">
          <cell r="B114" t="str">
            <v>Grid Factor applied</v>
          </cell>
          <cell r="C114" t="str">
            <v>% of total Electric power</v>
          </cell>
          <cell r="D114" t="str">
            <v>% of total Electric power</v>
          </cell>
          <cell r="E114" t="str">
            <v>% of total Electric power</v>
          </cell>
        </row>
        <row r="115">
          <cell r="B115" t="str">
            <v>U.S. National</v>
          </cell>
          <cell r="C115">
            <v>0.11618098057382109</v>
          </cell>
          <cell r="D115">
            <v>1</v>
          </cell>
          <cell r="E115">
            <v>0.29195448702015442</v>
          </cell>
        </row>
        <row r="116">
          <cell r="B116" t="str">
            <v>Aluminum Industry fuel-breakdown</v>
          </cell>
          <cell r="C116">
            <v>0.88381901942617902</v>
          </cell>
          <cell r="D116">
            <v>0</v>
          </cell>
          <cell r="E116">
            <v>0.70804551297984575</v>
          </cell>
        </row>
        <row r="117">
          <cell r="C117">
            <v>-1.1102230246251565E-16</v>
          </cell>
          <cell r="D117">
            <v>0</v>
          </cell>
          <cell r="E117">
            <v>0</v>
          </cell>
        </row>
        <row r="119">
          <cell r="B119" t="str">
            <v>Grid Factor applied</v>
          </cell>
          <cell r="C119" t="str">
            <v>% of total Electric power in primary metal</v>
          </cell>
          <cell r="D119" t="str">
            <v>% of total Electric power in primary metal</v>
          </cell>
          <cell r="E119" t="str">
            <v>% of total Electric power in primary metal</v>
          </cell>
        </row>
        <row r="127">
          <cell r="I127" t="str">
            <v>100% virgin</v>
          </cell>
          <cell r="K127" t="str">
            <v>100% recycled</v>
          </cell>
        </row>
        <row r="129">
          <cell r="B129" t="str">
            <v>Recycling Process</v>
          </cell>
          <cell r="C129" t="str">
            <v>Manufactured unit</v>
          </cell>
          <cell r="D129" t="str">
            <v>Manufacturing step</v>
          </cell>
          <cell r="E129" t="str">
            <v>Grid Factor 
(grams CO2 / kWh)</v>
          </cell>
          <cell r="F129" t="str">
            <v>100% virgin inputs
(recycled content)</v>
          </cell>
          <cell r="G129" t="str">
            <v>100% recycled (recycled content)</v>
          </cell>
          <cell r="H129" t="str">
            <v>67.8% Recycled Content, 51.6% Recycling</v>
          </cell>
          <cell r="I129" t="str">
            <v>w/in each manufacturing step</v>
          </cell>
          <cell r="J129" t="str">
            <v>whole process</v>
          </cell>
          <cell r="K129" t="str">
            <v>w/in each manufacturing step</v>
          </cell>
          <cell r="L129" t="str">
            <v>whole process</v>
          </cell>
        </row>
        <row r="130">
          <cell r="B130" t="str">
            <v>Recycled Content Approach</v>
          </cell>
          <cell r="C130" t="str">
            <v>Primary Metal</v>
          </cell>
          <cell r="D130" t="str">
            <v>Bauxite Mining</v>
          </cell>
          <cell r="E130">
            <v>510.06</v>
          </cell>
          <cell r="F130">
            <v>0.11853674026988445</v>
          </cell>
          <cell r="G130">
            <v>0</v>
          </cell>
          <cell r="H130">
            <v>3.8506199063608235E-2</v>
          </cell>
          <cell r="I130">
            <v>9.1813802567222279E-4</v>
          </cell>
          <cell r="J130">
            <v>7.9218306040154673E-4</v>
          </cell>
          <cell r="K130" t="e">
            <v>#DIV/0!</v>
          </cell>
          <cell r="L130">
            <v>0</v>
          </cell>
        </row>
        <row r="131">
          <cell r="D131" t="str">
            <v>Alumina Refining</v>
          </cell>
          <cell r="E131">
            <v>510.06</v>
          </cell>
          <cell r="F131">
            <v>2.8336206124720236</v>
          </cell>
          <cell r="G131">
            <v>0</v>
          </cell>
          <cell r="H131">
            <v>0</v>
          </cell>
          <cell r="I131">
            <v>2.194808823589826E-2</v>
          </cell>
          <cell r="J131">
            <v>1.8937134965025651E-2</v>
          </cell>
          <cell r="K131" t="e">
            <v>#DIV/0!</v>
          </cell>
          <cell r="L131">
            <v>0</v>
          </cell>
        </row>
        <row r="132">
          <cell r="D132" t="str">
            <v>Anode Production</v>
          </cell>
          <cell r="E132">
            <v>575.82000000000005</v>
          </cell>
          <cell r="F132">
            <v>0.69770050963050168</v>
          </cell>
          <cell r="G132">
            <v>0</v>
          </cell>
          <cell r="H132">
            <v>0.22664529705680259</v>
          </cell>
          <cell r="I132">
            <v>5.4041081859022583E-3</v>
          </cell>
          <cell r="J132">
            <v>4.6627444259426014E-3</v>
          </cell>
          <cell r="K132" t="e">
            <v>#DIV/0!</v>
          </cell>
          <cell r="L132">
            <v>0</v>
          </cell>
        </row>
        <row r="133">
          <cell r="D133" t="str">
            <v>Electrolysis</v>
          </cell>
          <cell r="E133">
            <v>323.14171751875</v>
          </cell>
          <cell r="F133">
            <v>124.89109629916622</v>
          </cell>
          <cell r="G133">
            <v>0</v>
          </cell>
          <cell r="H133">
            <v>40.570386906360369</v>
          </cell>
          <cell r="I133">
            <v>0.96735631770438002</v>
          </cell>
          <cell r="J133">
            <v>0.8346493303082142</v>
          </cell>
          <cell r="K133" t="e">
            <v>#DIV/0!</v>
          </cell>
          <cell r="L133">
            <v>0</v>
          </cell>
        </row>
        <row r="134">
          <cell r="D134" t="str">
            <v>Ingot Casting</v>
          </cell>
          <cell r="E134">
            <v>323.14171751875</v>
          </cell>
          <cell r="F134">
            <v>0.56462360069026418</v>
          </cell>
          <cell r="G134">
            <v>0</v>
          </cell>
          <cell r="H134">
            <v>0.18341578075025089</v>
          </cell>
          <cell r="I134">
            <v>4.3733478481473515E-3</v>
          </cell>
          <cell r="J134">
            <v>3.7733891699010392E-3</v>
          </cell>
          <cell r="K134" t="e">
            <v>#DIV/0!</v>
          </cell>
          <cell r="L134">
            <v>0</v>
          </cell>
        </row>
        <row r="135">
          <cell r="C135" t="str">
            <v>Secondary Metal</v>
          </cell>
          <cell r="D135" t="str">
            <v>Scrap Preparation</v>
          </cell>
          <cell r="E135">
            <v>575.82000000000005</v>
          </cell>
          <cell r="F135">
            <v>3.6828269288858524E-2</v>
          </cell>
          <cell r="G135">
            <v>0.13804974277657037</v>
          </cell>
          <cell r="H135">
            <v>0.13804974277657037</v>
          </cell>
          <cell r="I135">
            <v>3.0665151954111403E-2</v>
          </cell>
          <cell r="J135">
            <v>2.4612395286149435E-4</v>
          </cell>
          <cell r="K135">
            <v>3.0665151954111406E-2</v>
          </cell>
          <cell r="L135">
            <v>5.793520148512441E-3</v>
          </cell>
        </row>
        <row r="136">
          <cell r="D136" t="str">
            <v>Remelting and Casting</v>
          </cell>
          <cell r="E136">
            <v>575.82000000000005</v>
          </cell>
          <cell r="F136">
            <v>1.1641528751701633</v>
          </cell>
          <cell r="G136">
            <v>4.3637946629890907</v>
          </cell>
          <cell r="H136">
            <v>4.3637946629890907</v>
          </cell>
          <cell r="I136">
            <v>0.96933484804588854</v>
          </cell>
          <cell r="J136">
            <v>7.7800535540950792E-3</v>
          </cell>
          <cell r="K136">
            <v>0.96933484804588854</v>
          </cell>
          <cell r="L136">
            <v>0.18313494683518627</v>
          </cell>
        </row>
        <row r="137">
          <cell r="C137" t="str">
            <v>Can Sheet Rolling</v>
          </cell>
          <cell r="D137" t="str">
            <v>Can Body Sheet Rolling</v>
          </cell>
          <cell r="E137">
            <v>575.82000000000005</v>
          </cell>
          <cell r="F137">
            <v>3.1507629116046423</v>
          </cell>
          <cell r="G137">
            <v>3.1507629116046423</v>
          </cell>
          <cell r="H137">
            <v>3.1507629116046423</v>
          </cell>
          <cell r="I137">
            <v>0.61691242852843808</v>
          </cell>
          <cell r="J137">
            <v>2.1056602368445462E-2</v>
          </cell>
          <cell r="K137">
            <v>0.61691242852843808</v>
          </cell>
          <cell r="L137">
            <v>0.13222776112745693</v>
          </cell>
        </row>
        <row r="138">
          <cell r="D138" t="str">
            <v>Can Lid Sheet Rolling</v>
          </cell>
          <cell r="E138">
            <v>575.82000000000005</v>
          </cell>
          <cell r="F138">
            <v>1.9565469202305901</v>
          </cell>
          <cell r="G138">
            <v>1.9565469202305901</v>
          </cell>
          <cell r="H138">
            <v>1.9565469202305901</v>
          </cell>
          <cell r="I138">
            <v>0.38308757147156181</v>
          </cell>
          <cell r="J138">
            <v>1.307563649513711E-2</v>
          </cell>
          <cell r="K138">
            <v>0.38308757147156181</v>
          </cell>
          <cell r="L138">
            <v>8.211021459280618E-2</v>
          </cell>
        </row>
        <row r="139">
          <cell r="C139" t="str">
            <v>Can Making</v>
          </cell>
          <cell r="D139" t="str">
            <v>Can Making</v>
          </cell>
          <cell r="E139">
            <v>575.82000000000005</v>
          </cell>
          <cell r="F139">
            <v>14.219146905360759</v>
          </cell>
          <cell r="G139">
            <v>14.219146905360759</v>
          </cell>
          <cell r="H139">
            <v>14.219146905360759</v>
          </cell>
          <cell r="I139">
            <v>1</v>
          </cell>
          <cell r="J139">
            <v>9.5026801699975988E-2</v>
          </cell>
          <cell r="K139">
            <v>1</v>
          </cell>
          <cell r="L139">
            <v>0.59673355729603816</v>
          </cell>
        </row>
        <row r="140">
          <cell r="D140" t="str">
            <v>Total</v>
          </cell>
          <cell r="F140">
            <v>149.63301564388388</v>
          </cell>
          <cell r="G140">
            <v>23.828301142961653</v>
          </cell>
          <cell r="H140">
            <v>64.847255326192695</v>
          </cell>
          <cell r="I140">
            <v>1</v>
          </cell>
          <cell r="K140">
            <v>1</v>
          </cell>
        </row>
        <row r="142">
          <cell r="A142" t="str">
            <v>Calculation of Percent Energy consumption by each manufacturing step - PRIMARY ENERGY</v>
          </cell>
        </row>
        <row r="143">
          <cell r="F143" t="str">
            <v>Weighted / short ton aluminum ingot</v>
          </cell>
        </row>
        <row r="144">
          <cell r="B144" t="str">
            <v>Recycling Process</v>
          </cell>
          <cell r="C144" t="str">
            <v>Manufactured unit</v>
          </cell>
          <cell r="D144" t="str">
            <v>Manufacturing step</v>
          </cell>
          <cell r="E144" t="str">
            <v>Grid Factor 
(grams CO2 / kWh)</v>
          </cell>
          <cell r="F144" t="str">
            <v>Adjusted Energy Consumption (MMBtu per short ton of aluminum ingot)</v>
          </cell>
          <cell r="G144" t="str">
            <v>% total Electric Power consumption</v>
          </cell>
        </row>
        <row r="145">
          <cell r="B145" t="str">
            <v>Not Applicable for ingot manufacture</v>
          </cell>
          <cell r="C145" t="str">
            <v>Primary Metal INGOT</v>
          </cell>
          <cell r="D145" t="str">
            <v>Bauxite Mining</v>
          </cell>
          <cell r="E145">
            <v>510.06</v>
          </cell>
          <cell r="F145">
            <v>8.8487975109135891E-2</v>
          </cell>
          <cell r="G145">
            <v>9.1813802567222258E-4</v>
          </cell>
        </row>
        <row r="146">
          <cell r="D146" t="str">
            <v>Alumina Refining</v>
          </cell>
          <cell r="E146">
            <v>510.06</v>
          </cell>
          <cell r="F146">
            <v>2.1153049227966871</v>
          </cell>
          <cell r="G146">
            <v>2.194808823589826E-2</v>
          </cell>
        </row>
        <row r="147">
          <cell r="D147" t="str">
            <v>Anode Production</v>
          </cell>
          <cell r="E147">
            <v>575.82000000000005</v>
          </cell>
          <cell r="F147">
            <v>0.52083518737945678</v>
          </cell>
          <cell r="G147">
            <v>5.4041081859022583E-3</v>
          </cell>
        </row>
        <row r="148">
          <cell r="D148" t="str">
            <v>Electrolysis</v>
          </cell>
          <cell r="E148">
            <v>323.14171751875</v>
          </cell>
          <cell r="F148">
            <v>93.231517886450888</v>
          </cell>
          <cell r="G148">
            <v>0.96735631770437991</v>
          </cell>
        </row>
        <row r="149">
          <cell r="D149" t="str">
            <v>Ingot Casting</v>
          </cell>
          <cell r="E149">
            <v>323.14171751875</v>
          </cell>
          <cell r="F149">
            <v>0.42149293974303997</v>
          </cell>
          <cell r="G149">
            <v>4.3733478481473506E-3</v>
          </cell>
        </row>
        <row r="150">
          <cell r="C150" t="str">
            <v>Secondary Metal INGOT</v>
          </cell>
          <cell r="D150" t="str">
            <v>Scrap Preparation</v>
          </cell>
          <cell r="E150">
            <v>575.82000000000005</v>
          </cell>
          <cell r="F150">
            <v>4.8573584752209756E-2</v>
          </cell>
          <cell r="G150">
            <v>3.066515195411141E-2</v>
          </cell>
        </row>
        <row r="151">
          <cell r="D151" t="str">
            <v>Remelting and Casting</v>
          </cell>
          <cell r="E151">
            <v>575.82000000000005</v>
          </cell>
          <cell r="F151">
            <v>1.5354258953383262</v>
          </cell>
          <cell r="G151">
            <v>0.96933484804588865</v>
          </cell>
        </row>
        <row r="156">
          <cell r="A156" t="str">
            <v>PRIMARY ENERGY</v>
          </cell>
        </row>
        <row r="157">
          <cell r="A157" t="str">
            <v>Percent Electricity consumption in whole manufacturing process of aluminum cans</v>
          </cell>
        </row>
        <row r="162">
          <cell r="D162">
            <v>0</v>
          </cell>
          <cell r="E162">
            <v>1</v>
          </cell>
        </row>
        <row r="164">
          <cell r="D164" t="str">
            <v>% of total Electric power in secondary metal</v>
          </cell>
        </row>
        <row r="165">
          <cell r="D165">
            <v>1</v>
          </cell>
        </row>
        <row r="166">
          <cell r="D166">
            <v>0</v>
          </cell>
        </row>
        <row r="167">
          <cell r="B167" t="str">
            <v>Total E.P. for Primary Metal</v>
          </cell>
          <cell r="C167">
            <v>0</v>
          </cell>
          <cell r="D167">
            <v>0</v>
          </cell>
        </row>
        <row r="170">
          <cell r="A170" t="str">
            <v>ADDITIONAL</v>
          </cell>
        </row>
        <row r="172">
          <cell r="A172" t="str">
            <v>PFC Emissions from Electrolysis</v>
          </cell>
        </row>
        <row r="173">
          <cell r="B173" t="str">
            <v>kg</v>
          </cell>
          <cell r="C173" t="str">
            <v>Mt/ton</v>
          </cell>
        </row>
        <row r="174">
          <cell r="A174" t="str">
            <v>CF4</v>
          </cell>
          <cell r="B174">
            <v>0.151</v>
          </cell>
          <cell r="C174">
            <v>1.8350225538784108E-4</v>
          </cell>
        </row>
        <row r="175">
          <cell r="A175" t="str">
            <v>C2F6</v>
          </cell>
          <cell r="B175">
            <v>1.52E-2</v>
          </cell>
          <cell r="C175">
            <v>1.847175021122639E-5</v>
          </cell>
        </row>
        <row r="180">
          <cell r="A180" t="str">
            <v>Loss Rates</v>
          </cell>
          <cell r="B180" t="str">
            <v>Percent of useful metal recycled as scrap</v>
          </cell>
        </row>
        <row r="181">
          <cell r="A181" t="str">
            <v>Scrap Preparation Losses</v>
          </cell>
          <cell r="B181">
            <v>0.98691741618969742</v>
          </cell>
        </row>
        <row r="182">
          <cell r="A182" t="str">
            <v>Scrap Remelting and Casting Losses</v>
          </cell>
          <cell r="B182">
            <v>0.95646823565605288</v>
          </cell>
        </row>
        <row r="183">
          <cell r="A183" t="str">
            <v>Preparation, Remelting and Casting Losses included in data</v>
          </cell>
          <cell r="B183">
            <v>1</v>
          </cell>
        </row>
        <row r="186">
          <cell r="A186" t="str">
            <v>Recycled content of beverage can (2007)</v>
          </cell>
          <cell r="B186">
            <v>0.67800000000000005</v>
          </cell>
        </row>
        <row r="187">
          <cell r="A187" t="str">
            <v>Used beverage can recycling rate in U.S. (2006)</v>
          </cell>
          <cell r="B187">
            <v>0.51600000000000001</v>
          </cell>
        </row>
      </sheetData>
      <sheetData sheetId="15" refreshError="1">
        <row r="6">
          <cell r="D6" t="str">
            <v>UNIT PROCESS ENERGY INPUTS</v>
          </cell>
          <cell r="Y6" t="str">
            <v>RAW ENERGY INPUTS FROM NATURE</v>
          </cell>
          <cell r="AI6" t="str">
            <v>TRANSPORTATION UNIT PROCESS ENERGY INPUTS</v>
          </cell>
        </row>
        <row r="7">
          <cell r="C7" t="str">
            <v>Input names</v>
          </cell>
          <cell r="D7" t="str">
            <v>Electricity, at grid, US</v>
          </cell>
          <cell r="E7" t="str">
            <v>Electricity, cogenerated, at plant</v>
          </cell>
          <cell r="F7" t="str">
            <v>Natural gas, combusted in industrial boiler</v>
          </cell>
          <cell r="G7" t="str">
            <v>Distillate oil, combusted in industrial boiler</v>
          </cell>
          <cell r="H7" t="str">
            <v>Residual fuel oil, combusted in industrial boiler</v>
          </cell>
          <cell r="I7" t="str">
            <v>Gasoline, combusted in equipment</v>
          </cell>
          <cell r="J7" t="str">
            <v>Diesel, combusted in industrial equipment</v>
          </cell>
          <cell r="K7" t="str">
            <v>Liquefied petroleum gas, combusted in industrial boiler</v>
          </cell>
          <cell r="L7" t="str">
            <v>Bituminous coal, combusted in industrial boiler</v>
          </cell>
          <cell r="M7" t="str">
            <v>Natural gas, processed, for ethylene production, at plant, internal offgas use</v>
          </cell>
          <cell r="N7" t="str">
            <v>Natural gas, processed, for propylene production, at plant, internal offgas use</v>
          </cell>
          <cell r="O7" t="str">
            <v>Natural gas, processed, for pyrolysis gas production, at plant, internal offgas use</v>
          </cell>
          <cell r="P7" t="str">
            <v>Natural gas, processed, for benzene production, at plant, internal offgas use</v>
          </cell>
          <cell r="Q7" t="str">
            <v>Petroleum refining, for ethylene production, at plant, internal offgas use</v>
          </cell>
          <cell r="R7" t="str">
            <v>Petroleum refining, for propylene production, at plant, internal offgas use</v>
          </cell>
          <cell r="S7" t="str">
            <v>Petroleum refining, for pyrolysis gas production, at plant, internal offgas use</v>
          </cell>
          <cell r="T7" t="str">
            <v>Petroleum refining, for benzene production, at plant, internal offgas use</v>
          </cell>
          <cell r="U7" t="str">
            <v>Natural gas, combusted in industrial boiler, at hydrocracker, for ethylene</v>
          </cell>
          <cell r="V7" t="str">
            <v>Natural gas, combusted in industrial boiler, at hydrocracker, for propylene</v>
          </cell>
          <cell r="W7" t="str">
            <v>Natural gas, combusted in industrial boiler, at hydrocracker, for pyrolysis gas</v>
          </cell>
          <cell r="X7" t="str">
            <v>Natural gas, processed at plant</v>
          </cell>
          <cell r="Y7" t="str">
            <v>Coal, lignite, in ground</v>
          </cell>
          <cell r="Z7" t="str">
            <v>Coal, unprocessed bituminous, in ground</v>
          </cell>
          <cell r="AA7" t="str">
            <v>Energy, from biomass</v>
          </cell>
          <cell r="AB7" t="str">
            <v>Energy, from hydro power</v>
          </cell>
          <cell r="AC7" t="str">
            <v>Energy, geothermal</v>
          </cell>
          <cell r="AD7" t="str">
            <v>Energy, kinetic (in wind), converted</v>
          </cell>
          <cell r="AE7" t="str">
            <v>Energy, solar</v>
          </cell>
          <cell r="AF7" t="str">
            <v>Gas, natural, 36.7 MJ per m3, in ground</v>
          </cell>
          <cell r="AG7" t="str">
            <v>Oil, crude, 43.7 MJ per kg, in ground</v>
          </cell>
          <cell r="AH7" t="str">
            <v>Uranium oxide, 332 GJ per kg, in ore</v>
          </cell>
          <cell r="AI7" t="str">
            <v>Transport, ocean freighter, diesel powered</v>
          </cell>
          <cell r="AJ7" t="str">
            <v>Transport, ocean freighter, residual fuel oil powered</v>
          </cell>
          <cell r="AK7" t="str">
            <v>Transport, barge, diesel powered</v>
          </cell>
          <cell r="AL7" t="str">
            <v>Transport, barge, residual fuel oil powered</v>
          </cell>
          <cell r="AM7" t="str">
            <v>Transport, pipeline, unspecified petroleum products</v>
          </cell>
          <cell r="AN7" t="str">
            <v>Transport, combination truck, diesel powered</v>
          </cell>
          <cell r="AO7" t="str">
            <v>Transport, single unit truck, diesel powered</v>
          </cell>
          <cell r="AP7" t="str">
            <v>Transport, train, diesel powered</v>
          </cell>
          <cell r="AQ7" t="str">
            <v>Transport, pipeline, natural gas</v>
          </cell>
          <cell r="AR7" t="str">
            <v>Dummy, gasoline, used in personal vehicle</v>
          </cell>
        </row>
        <row r="8">
          <cell r="C8" t="str">
            <v>WARM fuel names</v>
          </cell>
          <cell r="D8" t="str">
            <v>Electricity, at grid, US</v>
          </cell>
          <cell r="E8" t="str">
            <v>Electricity, cogenerated, at plant</v>
          </cell>
          <cell r="F8" t="str">
            <v>Natural gas, Industrial Heating</v>
          </cell>
          <cell r="G8" t="str">
            <v>Distillate fuel oil, Industrial Heating</v>
          </cell>
          <cell r="H8" t="str">
            <v>Residual fuel oil, Industrial Heating</v>
          </cell>
          <cell r="I8" t="str">
            <v>Gasoline, Industrial Heating</v>
          </cell>
          <cell r="J8" t="str">
            <v>Distillate fuel oil, Industrial Heating</v>
          </cell>
          <cell r="K8" t="str">
            <v>LPG, Industrial Heating</v>
          </cell>
          <cell r="L8" t="str">
            <v>Bit/Subbit Coal, Industrial Heating</v>
          </cell>
          <cell r="M8" t="str">
            <v>Natural gas, processed, for ethylene production, at plant, internal offgas use</v>
          </cell>
          <cell r="N8" t="str">
            <v>Natural gas, processed, for propylene production, at plant, internal offgas use</v>
          </cell>
          <cell r="O8" t="str">
            <v>Natural gas, processed, for pyrolysis gas production, at plant, internal offgas use</v>
          </cell>
          <cell r="P8" t="str">
            <v>Natural gas, processed, for benzene production, at plant, internal offgas use</v>
          </cell>
          <cell r="Q8" t="str">
            <v>Petroleum refining, for ethylene production, at plant, internal offgas use</v>
          </cell>
          <cell r="R8" t="str">
            <v>Petroleum refining, for propylene production, at plant, internal offgas use</v>
          </cell>
          <cell r="S8" t="str">
            <v>Petroleum refining, for pyrolysis gas production, at plant, internal offgas use</v>
          </cell>
          <cell r="T8" t="str">
            <v>Petroleum refining, for benzene production, at plant, internal offgas use</v>
          </cell>
          <cell r="U8" t="str">
            <v>Natural gas, combusted in industrial boiler, at hydrocracker, for ethylene</v>
          </cell>
          <cell r="V8" t="str">
            <v>Natural gas, combusted in industrial boiler, at hydrocracker, for propylene</v>
          </cell>
          <cell r="W8" t="str">
            <v>Natural gas, combusted in industrial boiler, at hydrocracker, for pyrolysis gas</v>
          </cell>
          <cell r="X8" t="str">
            <v>Natural gas, processed at plant</v>
          </cell>
          <cell r="Y8" t="str">
            <v>Lignite Coal, Utility Heating</v>
          </cell>
          <cell r="Z8" t="str">
            <v>Bit/Subbit Coal, Utility Heating</v>
          </cell>
          <cell r="AA8" t="str">
            <v>--</v>
          </cell>
          <cell r="AB8" t="str">
            <v>--</v>
          </cell>
          <cell r="AC8" t="str">
            <v>--</v>
          </cell>
          <cell r="AD8" t="str">
            <v>--</v>
          </cell>
          <cell r="AE8" t="str">
            <v>--</v>
          </cell>
          <cell r="AF8" t="str">
            <v>--</v>
          </cell>
          <cell r="AG8" t="str">
            <v>--</v>
          </cell>
          <cell r="AH8" t="str">
            <v>--</v>
          </cell>
          <cell r="AI8" t="str">
            <v>Diesel, Mobile Source</v>
          </cell>
          <cell r="AJ8" t="str">
            <v>Residual fuel oil, Mobile Source</v>
          </cell>
          <cell r="AK8" t="str">
            <v>Diesel, Mobile Source</v>
          </cell>
          <cell r="AL8" t="str">
            <v>Residual fuel oil, Mobile Source</v>
          </cell>
          <cell r="AM8" t="str">
            <v>Diesel, Mobile Source</v>
          </cell>
          <cell r="AN8" t="str">
            <v>Diesel, Mobile Source</v>
          </cell>
          <cell r="AO8" t="str">
            <v>Diesel, Mobile Source</v>
          </cell>
          <cell r="AP8" t="str">
            <v>Diesel, Mobile Source</v>
          </cell>
          <cell r="AQ8" t="str">
            <v>Natural gas, Industrial Heating</v>
          </cell>
          <cell r="AR8" t="str">
            <v>--</v>
          </cell>
        </row>
        <row r="9">
          <cell r="C9" t="str">
            <v>WARM mode names</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Ocean Freighter, Diesel</v>
          </cell>
          <cell r="AJ9" t="str">
            <v>Ocean Freighter, Residual Oil</v>
          </cell>
          <cell r="AK9" t="str">
            <v>Barge, Diesel</v>
          </cell>
          <cell r="AL9" t="str">
            <v>Barge, Residual Oil</v>
          </cell>
          <cell r="AM9" t="str">
            <v>petroleum products- pipeline</v>
          </cell>
          <cell r="AN9" t="str">
            <v>truck fuel use</v>
          </cell>
          <cell r="AO9" t="str">
            <v>truck fuel use</v>
          </cell>
          <cell r="AP9" t="str">
            <v>rail fuel use</v>
          </cell>
          <cell r="AQ9" t="str">
            <v>natural gas- pipline</v>
          </cell>
          <cell r="AR9" t="str">
            <v>Gasoline, Mobile Source</v>
          </cell>
        </row>
        <row r="10">
          <cell r="B10" t="str">
            <v>Conversion factors</v>
          </cell>
          <cell r="D10" t="str">
            <v>kWh</v>
          </cell>
          <cell r="E10" t="str">
            <v>kWh</v>
          </cell>
          <cell r="F10" t="str">
            <v>cubic meters</v>
          </cell>
          <cell r="G10" t="str">
            <v>L</v>
          </cell>
          <cell r="H10" t="str">
            <v>L</v>
          </cell>
          <cell r="I10" t="str">
            <v>L</v>
          </cell>
          <cell r="J10" t="str">
            <v>L</v>
          </cell>
          <cell r="K10" t="str">
            <v>L</v>
          </cell>
          <cell r="L10" t="str">
            <v>kg</v>
          </cell>
          <cell r="M10" t="str">
            <v>kg</v>
          </cell>
          <cell r="N10" t="str">
            <v>kg</v>
          </cell>
          <cell r="O10" t="str">
            <v>kg</v>
          </cell>
          <cell r="P10" t="str">
            <v>kg</v>
          </cell>
          <cell r="Q10" t="str">
            <v>kg</v>
          </cell>
          <cell r="R10" t="str">
            <v>kg</v>
          </cell>
          <cell r="S10" t="str">
            <v>kg</v>
          </cell>
          <cell r="T10" t="str">
            <v>kg</v>
          </cell>
          <cell r="U10" t="str">
            <v>m3</v>
          </cell>
          <cell r="V10" t="str">
            <v>m3</v>
          </cell>
          <cell r="W10" t="str">
            <v>m3</v>
          </cell>
          <cell r="X10" t="str">
            <v>m3</v>
          </cell>
          <cell r="Y10" t="str">
            <v>kg</v>
          </cell>
          <cell r="Z10" t="str">
            <v>kg</v>
          </cell>
          <cell r="AA10" t="str">
            <v>MJ</v>
          </cell>
          <cell r="AB10" t="str">
            <v>MJ</v>
          </cell>
          <cell r="AC10" t="str">
            <v>MJ</v>
          </cell>
          <cell r="AD10" t="str">
            <v>MJ</v>
          </cell>
          <cell r="AE10" t="str">
            <v>MJ</v>
          </cell>
          <cell r="AF10" t="str">
            <v>m3</v>
          </cell>
          <cell r="AG10" t="str">
            <v>kg</v>
          </cell>
          <cell r="AH10" t="str">
            <v>kg</v>
          </cell>
          <cell r="AI10" t="str">
            <v>metric ton-km</v>
          </cell>
          <cell r="AJ10" t="str">
            <v>metric ton-km</v>
          </cell>
          <cell r="AK10" t="str">
            <v>metric ton-km</v>
          </cell>
          <cell r="AL10" t="str">
            <v>metric ton-km</v>
          </cell>
          <cell r="AM10" t="str">
            <v>metric ton-km</v>
          </cell>
          <cell r="AN10" t="str">
            <v>metric ton-km</v>
          </cell>
          <cell r="AO10" t="str">
            <v>metric ton-km</v>
          </cell>
          <cell r="AP10" t="str">
            <v>metric ton-km</v>
          </cell>
          <cell r="AQ10" t="str">
            <v>metric ton-km</v>
          </cell>
          <cell r="AR10" t="str">
            <v>L</v>
          </cell>
        </row>
        <row r="11">
          <cell r="B11" t="str">
            <v>Pre-combustion energy factor</v>
          </cell>
          <cell r="C11" t="str">
            <v>million BTU / 1,000 units</v>
          </cell>
          <cell r="D11">
            <v>0</v>
          </cell>
          <cell r="E11">
            <v>0</v>
          </cell>
          <cell r="F11">
            <v>3.143005337324531</v>
          </cell>
          <cell r="G11">
            <v>5.3098582580096485</v>
          </cell>
          <cell r="H11">
            <v>5.7853679527567801</v>
          </cell>
          <cell r="I11">
            <v>4.5173421000977605</v>
          </cell>
          <cell r="J11">
            <v>5.3098582580096485</v>
          </cell>
          <cell r="K11">
            <v>3.3285678632299285</v>
          </cell>
          <cell r="L11">
            <v>1.1684499895798512</v>
          </cell>
          <cell r="M11">
            <v>3.4328019661673923</v>
          </cell>
          <cell r="N11">
            <v>3.4328019661673923</v>
          </cell>
          <cell r="O11">
            <v>3.4328019661673923</v>
          </cell>
          <cell r="P11">
            <v>3.4328019661673923</v>
          </cell>
          <cell r="Q11">
            <v>5.7180647570498069</v>
          </cell>
          <cell r="R11">
            <v>5.7180647570498069</v>
          </cell>
          <cell r="S11">
            <v>5.7180647570498069</v>
          </cell>
          <cell r="T11">
            <v>5.7180647570498069</v>
          </cell>
          <cell r="U11">
            <v>3.6420332778226028</v>
          </cell>
          <cell r="V11">
            <v>3.6420332778226028</v>
          </cell>
          <cell r="W11">
            <v>3.6420332778226028</v>
          </cell>
          <cell r="X11">
            <v>3.143005337324531</v>
          </cell>
          <cell r="Y11">
            <v>0</v>
          </cell>
          <cell r="Z11">
            <v>0</v>
          </cell>
          <cell r="AA11">
            <v>0</v>
          </cell>
          <cell r="AB11">
            <v>0</v>
          </cell>
          <cell r="AC11">
            <v>0</v>
          </cell>
          <cell r="AD11">
            <v>0</v>
          </cell>
          <cell r="AE11">
            <v>0</v>
          </cell>
          <cell r="AF11">
            <v>0</v>
          </cell>
          <cell r="AG11">
            <v>0</v>
          </cell>
          <cell r="AH11">
            <v>0</v>
          </cell>
          <cell r="AI11">
            <v>1.3767384302260613E-3</v>
          </cell>
          <cell r="AJ11">
            <v>1.5000284389030215E-2</v>
          </cell>
          <cell r="AK11">
            <v>2.7534768604521222E-2</v>
          </cell>
          <cell r="AL11">
            <v>9.000170633418127E-3</v>
          </cell>
          <cell r="AN11">
            <v>0.18425208155293482</v>
          </cell>
          <cell r="AO11">
            <v>0.18425208155293482</v>
          </cell>
          <cell r="AP11">
            <v>4.267889133700789E-2</v>
          </cell>
          <cell r="AR11">
            <v>4.5173421000977605</v>
          </cell>
        </row>
        <row r="12">
          <cell r="B12" t="str">
            <v>Combustion energy factor</v>
          </cell>
          <cell r="C12" t="str">
            <v>million BTU / 1,000 units</v>
          </cell>
          <cell r="D12">
            <v>10.601801285563162</v>
          </cell>
          <cell r="E12">
            <v>7.4094585094090251</v>
          </cell>
          <cell r="F12">
            <v>36.374106712856936</v>
          </cell>
          <cell r="G12">
            <v>36.719915316584128</v>
          </cell>
          <cell r="H12">
            <v>39.625807895594384</v>
          </cell>
          <cell r="I12">
            <v>33.021506579661988</v>
          </cell>
          <cell r="J12">
            <v>36.719915316584128</v>
          </cell>
          <cell r="K12">
            <v>25.22843102686176</v>
          </cell>
          <cell r="L12">
            <v>23.589462053781897</v>
          </cell>
          <cell r="M12">
            <v>67.527010804321733</v>
          </cell>
          <cell r="N12">
            <v>62.587809762951011</v>
          </cell>
          <cell r="O12">
            <v>62.258343508343508</v>
          </cell>
          <cell r="P12">
            <v>55.155779695815966</v>
          </cell>
          <cell r="Q12">
            <v>67.573503077973058</v>
          </cell>
          <cell r="R12">
            <v>62.740772710561224</v>
          </cell>
          <cell r="S12">
            <v>62.355763818529773</v>
          </cell>
          <cell r="T12">
            <v>55.197310405643741</v>
          </cell>
          <cell r="U12">
            <v>36.020960045741816</v>
          </cell>
          <cell r="V12">
            <v>36.020960045741816</v>
          </cell>
          <cell r="W12">
            <v>36.020960045741816</v>
          </cell>
          <cell r="X12">
            <v>0</v>
          </cell>
          <cell r="Y12">
            <v>14.241862137143091</v>
          </cell>
          <cell r="Z12">
            <v>23.589462053781897</v>
          </cell>
          <cell r="AA12">
            <v>0.94781712266701335</v>
          </cell>
          <cell r="AB12">
            <v>0.94781712266701335</v>
          </cell>
          <cell r="AC12">
            <v>0.94781712266701335</v>
          </cell>
          <cell r="AD12">
            <v>0.94781712266701335</v>
          </cell>
          <cell r="AE12">
            <v>0.94781712266701335</v>
          </cell>
          <cell r="AF12">
            <v>34.784888401879392</v>
          </cell>
          <cell r="AG12">
            <v>41.419608260548486</v>
          </cell>
          <cell r="AH12">
            <v>314675.28472544841</v>
          </cell>
          <cell r="AI12">
            <v>9.5207284478319634E-3</v>
          </cell>
          <cell r="AJ12">
            <v>0.10274167389746723</v>
          </cell>
          <cell r="AK12">
            <v>0.19041456895663925</v>
          </cell>
          <cell r="AL12">
            <v>6.1645004338480323E-2</v>
          </cell>
          <cell r="AM12">
            <v>0.17329095664039473</v>
          </cell>
          <cell r="AN12">
            <v>1.2741810614854694</v>
          </cell>
          <cell r="AO12">
            <v>1.2741810614854694</v>
          </cell>
          <cell r="AP12">
            <v>0.2951425818827908</v>
          </cell>
          <cell r="AQ12">
            <v>1.8664063087955853</v>
          </cell>
          <cell r="AR12">
            <v>33.021506579661988</v>
          </cell>
        </row>
        <row r="14">
          <cell r="B14" t="str">
            <v>Note:</v>
          </cell>
          <cell r="C14" t="str">
            <v>The virgin resin data spreadsheets incorrectly list "diesel, combusted in industrial equiment" as an input for several process when the inputs should be "distillate oil, combusted in industrial boiler." Until corrected data spreadsheets are available, thi</v>
          </cell>
        </row>
        <row r="28">
          <cell r="B28" t="str">
            <v>Energy and GHG emission factors for olefin production at hydrocracker</v>
          </cell>
        </row>
        <row r="30">
          <cell r="B30" t="str">
            <v>The tables below are used to develop energy and emission factors for three types of energy inputs used for olefin production at the hydrocracker: (i) petroleum used in the</v>
          </cell>
        </row>
        <row r="31">
          <cell r="B31" t="str">
            <v xml:space="preserve">production of internal offgas, (ii) natural gas used in the production of internal offgas, and (ii) purchased natural gas used at the hydrocracker for olefin production. </v>
          </cell>
        </row>
        <row r="32">
          <cell r="B32" t="str">
            <v>The factors developed below are specific to the type of olefin produced at the hydrocracker: ethanol, propylene, pyrolysis gas, and benzene. After being developed, each of the</v>
          </cell>
        </row>
        <row r="33">
          <cell r="B33" t="str">
            <v>energy and emission factors are included as a distinct process input in the resin-specific calculations similar to electricity, diesel fuel, and other energy inputs.</v>
          </cell>
        </row>
        <row r="37">
          <cell r="C37" t="str">
            <v>This table calculates the pre-combustion and combustion energy for petroleum combusted for internal offgas use</v>
          </cell>
        </row>
        <row r="38">
          <cell r="C38" t="str">
            <v>Input Type</v>
          </cell>
          <cell r="D38" t="str">
            <v>Process Energy</v>
          </cell>
          <cell r="M38" t="str">
            <v>Transportation Energy</v>
          </cell>
        </row>
        <row r="39">
          <cell r="C39" t="str">
            <v>Emission source</v>
          </cell>
          <cell r="D39" t="str">
            <v>Electric Power</v>
          </cell>
          <cell r="F39" t="str">
            <v>Direct Stationary Combustion</v>
          </cell>
          <cell r="J39" t="str">
            <v>Other Non-Unit Process Material Inputs</v>
          </cell>
          <cell r="M39" t="str">
            <v>Direct Mobile Combustion</v>
          </cell>
        </row>
        <row r="40">
          <cell r="C40" t="str">
            <v>Input names</v>
          </cell>
          <cell r="D40" t="str">
            <v>Electricity, at grid, US</v>
          </cell>
          <cell r="E40" t="str">
            <v>Natural gas, combusted in industrial boiler</v>
          </cell>
          <cell r="F40" t="str">
            <v>Diesel, combusted in industrial equipment</v>
          </cell>
          <cell r="G40" t="str">
            <v>Residual fuel oil, combusted in industrial boiler</v>
          </cell>
          <cell r="H40" t="str">
            <v>Gasoline, combusted in equipment</v>
          </cell>
          <cell r="I40" t="str">
            <v>Liquefied petroleum gas, combusted in industrial boiler</v>
          </cell>
          <cell r="J40" t="str">
            <v>Dummy_Disposal, solid waste, unspecified, to sanitary landfill</v>
          </cell>
          <cell r="K40" t="str">
            <v>Crude oil, extracted, internal offgas use</v>
          </cell>
          <cell r="L40" t="str">
            <v>Natural gas, extracted,  internal offgas use</v>
          </cell>
          <cell r="M40" t="str">
            <v>Transport, ocean freighter, diesel powered</v>
          </cell>
          <cell r="N40" t="str">
            <v>Transport, ocean freighter, residual fuel oil powered</v>
          </cell>
          <cell r="O40" t="str">
            <v>Transport, barge, diesel powered</v>
          </cell>
          <cell r="P40" t="str">
            <v>Transport, barge, residual fuel oil powered</v>
          </cell>
          <cell r="Q40" t="str">
            <v>Transport, pipeline, unspecified petroleum products</v>
          </cell>
          <cell r="R40" t="str">
            <v>Transport, combination truck, diesel powered</v>
          </cell>
          <cell r="S40" t="str">
            <v>Transport, train, diesel powered</v>
          </cell>
        </row>
        <row r="41">
          <cell r="C41" t="str">
            <v>Warm fuel names</v>
          </cell>
          <cell r="D41" t="str">
            <v>Electricity, at grid, US</v>
          </cell>
          <cell r="E41" t="str">
            <v>Natural gas, combusted in industrial boiler</v>
          </cell>
          <cell r="F41" t="str">
            <v>Distillate oil, combusted in industrial boiler</v>
          </cell>
          <cell r="G41" t="str">
            <v>Residual fuel oil, combusted in industrial boiler</v>
          </cell>
          <cell r="H41" t="str">
            <v>Gasoline, combusted in equipment</v>
          </cell>
          <cell r="I41" t="str">
            <v>Liquefied petroleum gas, combusted in industrial boiler</v>
          </cell>
          <cell r="M41" t="str">
            <v>Transport, ocean freighter, diesel powered</v>
          </cell>
          <cell r="N41" t="str">
            <v>Transport, ocean freighter, residual fuel oil powered</v>
          </cell>
          <cell r="O41" t="str">
            <v>Transport, barge, diesel powered</v>
          </cell>
          <cell r="P41" t="str">
            <v>Transport, barge, residual fuel oil powered</v>
          </cell>
          <cell r="Q41" t="str">
            <v>Transport, pipeline, unspecified petroleum products</v>
          </cell>
          <cell r="R41" t="str">
            <v>Transport, combination truck, diesel powered</v>
          </cell>
          <cell r="S41" t="str">
            <v>Transport, train, diesel powered</v>
          </cell>
        </row>
        <row r="42">
          <cell r="C42" t="str">
            <v>Units</v>
          </cell>
          <cell r="D42" t="str">
            <v>kwh</v>
          </cell>
          <cell r="E42" t="str">
            <v>m3</v>
          </cell>
          <cell r="F42" t="str">
            <v>Liter</v>
          </cell>
          <cell r="G42" t="str">
            <v>Liter</v>
          </cell>
          <cell r="H42" t="str">
            <v>Liter</v>
          </cell>
          <cell r="I42" t="str">
            <v>Liter</v>
          </cell>
          <cell r="J42" t="str">
            <v>kg</v>
          </cell>
          <cell r="K42" t="str">
            <v>kg</v>
          </cell>
          <cell r="L42" t="str">
            <v>kg</v>
          </cell>
          <cell r="M42" t="str">
            <v>tkm</v>
          </cell>
          <cell r="N42" t="str">
            <v>tkm</v>
          </cell>
          <cell r="O42" t="str">
            <v>tkm</v>
          </cell>
          <cell r="P42" t="str">
            <v>tkm</v>
          </cell>
          <cell r="Q42" t="str">
            <v>tkm</v>
          </cell>
          <cell r="R42" t="str">
            <v>tkm</v>
          </cell>
          <cell r="S42" t="str">
            <v>tkm</v>
          </cell>
        </row>
        <row r="43">
          <cell r="C43" t="str">
            <v>Input per kg</v>
          </cell>
        </row>
        <row r="44">
          <cell r="B44" t="str">
            <v>Crude oil, extracted, internal offgas use</v>
          </cell>
          <cell r="C44">
            <v>1.018</v>
          </cell>
          <cell r="D44">
            <v>3.9007760922910306E-2</v>
          </cell>
          <cell r="E44">
            <v>3.2773193101835504E-2</v>
          </cell>
          <cell r="F44">
            <v>1.292841229219902E-3</v>
          </cell>
          <cell r="G44">
            <v>7.9811801371544784E-4</v>
          </cell>
          <cell r="H44">
            <v>6.8420799999999995E-4</v>
          </cell>
          <cell r="I44">
            <v>0</v>
          </cell>
          <cell r="J44">
            <v>2.6145465323843063E-2</v>
          </cell>
          <cell r="K44">
            <v>0</v>
          </cell>
          <cell r="L44">
            <v>0</v>
          </cell>
          <cell r="M44">
            <v>0</v>
          </cell>
          <cell r="N44">
            <v>0</v>
          </cell>
          <cell r="O44">
            <v>0</v>
          </cell>
          <cell r="P44">
            <v>0</v>
          </cell>
          <cell r="Q44">
            <v>0</v>
          </cell>
          <cell r="R44">
            <v>0</v>
          </cell>
          <cell r="S44">
            <v>0</v>
          </cell>
        </row>
        <row r="45">
          <cell r="B45" t="str">
            <v>Petroleum refining, for olefins production, at plant, internal offgas use</v>
          </cell>
          <cell r="C45">
            <v>1</v>
          </cell>
          <cell r="D45">
            <v>0.14299999999999999</v>
          </cell>
          <cell r="E45">
            <v>1.11E-2</v>
          </cell>
          <cell r="F45">
            <v>0</v>
          </cell>
          <cell r="G45">
            <v>2.7199999999999998E-2</v>
          </cell>
          <cell r="H45">
            <v>0</v>
          </cell>
          <cell r="I45">
            <v>1.1492253471102709E-3</v>
          </cell>
          <cell r="J45">
            <v>5.604210839866227E-3</v>
          </cell>
          <cell r="K45">
            <v>1.018</v>
          </cell>
          <cell r="L45">
            <v>0</v>
          </cell>
          <cell r="M45">
            <v>0.48987722742111339</v>
          </cell>
          <cell r="N45">
            <v>4.4088950467900192</v>
          </cell>
          <cell r="O45">
            <v>2.8814784682230183E-4</v>
          </cell>
          <cell r="P45">
            <v>9.5809159068415361E-4</v>
          </cell>
          <cell r="Q45">
            <v>0.65217053992193852</v>
          </cell>
          <cell r="R45">
            <v>0</v>
          </cell>
          <cell r="S45">
            <v>0</v>
          </cell>
        </row>
        <row r="47">
          <cell r="B47" t="str">
            <v>Weighted cradle to resin for 1 kg of petroleum, internal off gas use</v>
          </cell>
          <cell r="D47">
            <v>0.18270990061952269</v>
          </cell>
          <cell r="E47">
            <v>4.4463110577668545E-2</v>
          </cell>
          <cell r="F47">
            <v>1.3161123713458602E-3</v>
          </cell>
          <cell r="G47">
            <v>2.8012484137962323E-2</v>
          </cell>
          <cell r="H47">
            <v>6.9652374399999995E-4</v>
          </cell>
          <cell r="I47">
            <v>1.1492253471102709E-3</v>
          </cell>
          <cell r="J47">
            <v>3.2220294539538466E-2</v>
          </cell>
          <cell r="K47">
            <v>1.018</v>
          </cell>
          <cell r="L47">
            <v>0</v>
          </cell>
          <cell r="M47">
            <v>0.48987722742111339</v>
          </cell>
          <cell r="N47">
            <v>4.4088950467900192</v>
          </cell>
          <cell r="O47">
            <v>2.8814784682230183E-4</v>
          </cell>
          <cell r="P47">
            <v>9.5809159068415361E-4</v>
          </cell>
          <cell r="Q47">
            <v>0.65217053992193852</v>
          </cell>
          <cell r="R47">
            <v>0</v>
          </cell>
          <cell r="S47">
            <v>0</v>
          </cell>
        </row>
        <row r="48">
          <cell r="B48" t="str">
            <v>Weighted Cradle to resin for 1 metric ton of petroleum, internal off gas use</v>
          </cell>
          <cell r="D48">
            <v>182.7099006195227</v>
          </cell>
          <cell r="E48">
            <v>44.463110577668544</v>
          </cell>
          <cell r="F48">
            <v>1.3161123713458602</v>
          </cell>
          <cell r="G48">
            <v>28.012484137962321</v>
          </cell>
          <cell r="H48">
            <v>0.69652374399999994</v>
          </cell>
          <cell r="I48">
            <v>1.1492253471102709</v>
          </cell>
          <cell r="J48">
            <v>32.220294539538465</v>
          </cell>
          <cell r="K48">
            <v>1018</v>
          </cell>
          <cell r="L48">
            <v>0</v>
          </cell>
          <cell r="M48">
            <v>489.87722742111339</v>
          </cell>
          <cell r="N48">
            <v>4408.8950467900195</v>
          </cell>
          <cell r="O48">
            <v>0.28814784682230182</v>
          </cell>
          <cell r="P48">
            <v>0.95809159068415362</v>
          </cell>
          <cell r="Q48">
            <v>652.17053992193848</v>
          </cell>
          <cell r="R48">
            <v>0</v>
          </cell>
          <cell r="S48">
            <v>0</v>
          </cell>
        </row>
        <row r="50">
          <cell r="B50" t="str">
            <v>Pre-combustion energy (million BTU/metric ton)</v>
          </cell>
          <cell r="D50">
            <v>0</v>
          </cell>
          <cell r="E50">
            <v>0.13974779385966304</v>
          </cell>
          <cell r="F50">
            <v>6.9883701434594768E-3</v>
          </cell>
          <cell r="G50">
            <v>0.16206252800887486</v>
          </cell>
          <cell r="H50">
            <v>3.1464360324889146E-3</v>
          </cell>
          <cell r="I50">
            <v>3.8252745580005074E-3</v>
          </cell>
          <cell r="J50">
            <v>0</v>
          </cell>
          <cell r="K50">
            <v>0</v>
          </cell>
          <cell r="L50">
            <v>0</v>
          </cell>
          <cell r="M50">
            <v>6.7443280508323888E-4</v>
          </cell>
          <cell r="N50">
            <v>6.6134679543236971E-2</v>
          </cell>
          <cell r="O50">
            <v>7.934084286143107E-6</v>
          </cell>
          <cell r="P50">
            <v>8.6229877986003789E-6</v>
          </cell>
          <cell r="Q50">
            <v>0</v>
          </cell>
          <cell r="R50">
            <v>0</v>
          </cell>
          <cell r="S50">
            <v>0</v>
          </cell>
        </row>
        <row r="51">
          <cell r="B51" t="str">
            <v>Combustion energy (million BTU/metric ton)</v>
          </cell>
          <cell r="D51">
            <v>1.9370540592731735</v>
          </cell>
          <cell r="E51">
            <v>1.6173059289376737</v>
          </cell>
          <cell r="F51">
            <v>4.832753482292871E-2</v>
          </cell>
          <cell r="G51">
            <v>1.1100173151292798</v>
          </cell>
          <cell r="H51">
            <v>2.3000263395386803E-2</v>
          </cell>
          <cell r="I51">
            <v>2.8993152403892733E-2</v>
          </cell>
          <cell r="J51">
            <v>0</v>
          </cell>
          <cell r="K51">
            <v>0</v>
          </cell>
          <cell r="L51">
            <v>0</v>
          </cell>
          <cell r="M51">
            <v>4.6639880550532432E-3</v>
          </cell>
          <cell r="N51">
            <v>0.45297725714545872</v>
          </cell>
          <cell r="O51">
            <v>5.4867548048452318E-5</v>
          </cell>
          <cell r="P51">
            <v>5.9061560264386163E-5</v>
          </cell>
          <cell r="Q51">
            <v>0.11301525675575547</v>
          </cell>
          <cell r="R51">
            <v>0</v>
          </cell>
          <cell r="S51">
            <v>0</v>
          </cell>
        </row>
        <row r="52">
          <cell r="B52" t="str">
            <v>Total energy (million BTU/metric ton)</v>
          </cell>
          <cell r="D52">
            <v>1.9370540592731735</v>
          </cell>
          <cell r="E52">
            <v>1.7570537227973366</v>
          </cell>
          <cell r="F52">
            <v>5.5315904966388184E-2</v>
          </cell>
          <cell r="G52">
            <v>1.2720798431381546</v>
          </cell>
          <cell r="H52">
            <v>2.6146699427875716E-2</v>
          </cell>
          <cell r="I52">
            <v>3.2818426961893243E-2</v>
          </cell>
          <cell r="J52">
            <v>0</v>
          </cell>
          <cell r="K52">
            <v>0</v>
          </cell>
          <cell r="L52">
            <v>0</v>
          </cell>
          <cell r="M52">
            <v>5.338420860136482E-3</v>
          </cell>
          <cell r="N52">
            <v>0.51911193668869571</v>
          </cell>
          <cell r="O52">
            <v>6.2801632334595422E-5</v>
          </cell>
          <cell r="P52">
            <v>6.7684548062986539E-5</v>
          </cell>
          <cell r="Q52">
            <v>0.11301525675575547</v>
          </cell>
          <cell r="R52">
            <v>0</v>
          </cell>
          <cell r="S52">
            <v>0</v>
          </cell>
        </row>
        <row r="55">
          <cell r="A55" t="str">
            <v>Natural gas, internal off gas use</v>
          </cell>
          <cell r="C55" t="str">
            <v>This table calculates the pre-combustion and combustion energy for natural gas combusted for internal offgas use</v>
          </cell>
        </row>
        <row r="56">
          <cell r="C56" t="str">
            <v>Input Type</v>
          </cell>
          <cell r="D56" t="str">
            <v>Process Energy</v>
          </cell>
          <cell r="M56" t="str">
            <v>Transportation Energy</v>
          </cell>
        </row>
        <row r="57">
          <cell r="C57" t="str">
            <v>Emission source</v>
          </cell>
          <cell r="D57" t="str">
            <v>Electric Power</v>
          </cell>
          <cell r="F57" t="str">
            <v>Direct Stationary Combustion</v>
          </cell>
          <cell r="J57" t="str">
            <v>Other Non-Unit Process Material Inputs</v>
          </cell>
          <cell r="M57" t="str">
            <v>Direct Mobile Combustion</v>
          </cell>
        </row>
        <row r="58">
          <cell r="C58" t="str">
            <v>Input names</v>
          </cell>
          <cell r="D58" t="str">
            <v>Electricity, at grid, US</v>
          </cell>
          <cell r="E58" t="str">
            <v>Natural gas, combusted in industrial boiler</v>
          </cell>
          <cell r="F58" t="str">
            <v>Diesel, combusted in industrial equipment</v>
          </cell>
          <cell r="G58" t="str">
            <v>Residual fuel oil, combusted in industrial boiler</v>
          </cell>
          <cell r="H58" t="str">
            <v>Gasoline, combusted in equipment</v>
          </cell>
          <cell r="I58" t="str">
            <v>Liquefied petroleum gas, combusted in industrial boiler</v>
          </cell>
          <cell r="J58" t="str">
            <v>Dummy_Disposal, solid waste, unspecified, to sanitary landfill</v>
          </cell>
          <cell r="K58" t="str">
            <v>Crude oil, extracted, internal offgas use</v>
          </cell>
          <cell r="L58" t="str">
            <v>Natural gas, extracted,  internal offgas use</v>
          </cell>
          <cell r="M58" t="str">
            <v>Transport, ocean freighter, diesel powered</v>
          </cell>
          <cell r="N58" t="str">
            <v>Transport, ocean freighter, residual fuel oil powered</v>
          </cell>
          <cell r="O58" t="str">
            <v>Transport, barge, diesel powered</v>
          </cell>
          <cell r="P58" t="str">
            <v>Transport, barge, residual fuel oil powered</v>
          </cell>
          <cell r="Q58" t="str">
            <v>Transport, pipeline, unspecified petroleum products</v>
          </cell>
          <cell r="R58" t="str">
            <v>Transport, combination truck, diesel powered</v>
          </cell>
          <cell r="S58" t="str">
            <v>Transport, train, diesel powered</v>
          </cell>
        </row>
        <row r="59">
          <cell r="C59" t="str">
            <v>Warm fuel names</v>
          </cell>
          <cell r="D59" t="str">
            <v>Electricity, at grid, US</v>
          </cell>
          <cell r="E59" t="str">
            <v>Natural gas, combusted in industrial boiler</v>
          </cell>
          <cell r="F59" t="str">
            <v>Distillate oil, combusted in industrial boiler</v>
          </cell>
          <cell r="G59" t="str">
            <v>Residual fuel oil, combusted in industrial boiler</v>
          </cell>
          <cell r="H59" t="str">
            <v>Gasoline, combusted in equipment</v>
          </cell>
          <cell r="I59" t="str">
            <v>Liquefied petroleum gas, combusted in industrial boiler</v>
          </cell>
          <cell r="M59" t="str">
            <v>Transport, ocean freighter, diesel powered</v>
          </cell>
          <cell r="N59" t="str">
            <v>Transport, ocean freighter, residual fuel oil powered</v>
          </cell>
          <cell r="O59" t="str">
            <v>Transport, barge, diesel powered</v>
          </cell>
          <cell r="P59" t="str">
            <v>Transport, barge, residual fuel oil powered</v>
          </cell>
          <cell r="Q59" t="str">
            <v>Transport, pipeline, unspecified petroleum products</v>
          </cell>
          <cell r="R59" t="str">
            <v>Transport, combination truck, diesel powered</v>
          </cell>
          <cell r="S59" t="str">
            <v>Transport, train, diesel powered</v>
          </cell>
        </row>
        <row r="60">
          <cell r="C60" t="str">
            <v>Units</v>
          </cell>
          <cell r="D60" t="str">
            <v>kwh</v>
          </cell>
          <cell r="E60" t="str">
            <v>m3</v>
          </cell>
          <cell r="F60" t="str">
            <v>Liter</v>
          </cell>
          <cell r="G60" t="str">
            <v>Liter</v>
          </cell>
          <cell r="H60" t="str">
            <v>Liter</v>
          </cell>
          <cell r="I60" t="str">
            <v>Liter</v>
          </cell>
          <cell r="J60" t="str">
            <v>kg</v>
          </cell>
          <cell r="K60" t="str">
            <v>kg</v>
          </cell>
          <cell r="L60" t="str">
            <v>kg</v>
          </cell>
          <cell r="M60" t="str">
            <v>tkm</v>
          </cell>
          <cell r="N60" t="str">
            <v>tkm</v>
          </cell>
          <cell r="O60" t="str">
            <v>tkm</v>
          </cell>
          <cell r="P60" t="str">
            <v>tkm</v>
          </cell>
          <cell r="Q60" t="str">
            <v>tkm</v>
          </cell>
          <cell r="R60" t="str">
            <v>tkm</v>
          </cell>
          <cell r="S60" t="str">
            <v>tkm</v>
          </cell>
        </row>
        <row r="61">
          <cell r="C61" t="str">
            <v>Input per kg</v>
          </cell>
        </row>
        <row r="62">
          <cell r="A62" t="str">
            <v>Unit process inputs</v>
          </cell>
          <cell r="B62" t="str">
            <v>Natural gas, extracted,  internal offgas use</v>
          </cell>
          <cell r="C62">
            <v>1.0053000000000001</v>
          </cell>
          <cell r="D62">
            <v>3.9007760922910306E-2</v>
          </cell>
          <cell r="E62">
            <v>3.2773193101835504E-2</v>
          </cell>
          <cell r="F62">
            <v>1.2928412292199023E-3</v>
          </cell>
          <cell r="G62">
            <v>7.9811801371544784E-4</v>
          </cell>
          <cell r="H62">
            <v>6.8420799999999995E-4</v>
          </cell>
          <cell r="I62">
            <v>0</v>
          </cell>
          <cell r="J62">
            <v>2.4697908042181894E-2</v>
          </cell>
          <cell r="K62">
            <v>0</v>
          </cell>
          <cell r="L62">
            <v>0</v>
          </cell>
          <cell r="M62">
            <v>0</v>
          </cell>
          <cell r="N62">
            <v>0</v>
          </cell>
          <cell r="O62">
            <v>0</v>
          </cell>
          <cell r="P62">
            <v>0</v>
          </cell>
          <cell r="Q62">
            <v>0</v>
          </cell>
          <cell r="R62">
            <v>0</v>
          </cell>
          <cell r="S62">
            <v>0</v>
          </cell>
        </row>
        <row r="63">
          <cell r="B63" t="str">
            <v>Natural gas, processed, for olefins production, at plant, internal offgas use</v>
          </cell>
          <cell r="C63">
            <v>1</v>
          </cell>
          <cell r="D63">
            <v>2.1322549914683849E-2</v>
          </cell>
          <cell r="E63">
            <v>3.4567420882417418E-2</v>
          </cell>
          <cell r="F63">
            <v>5.019674551149041E-5</v>
          </cell>
          <cell r="G63">
            <v>4.956533990757228E-5</v>
          </cell>
          <cell r="H63">
            <v>4.7605978073191451E-5</v>
          </cell>
          <cell r="I63">
            <v>0</v>
          </cell>
          <cell r="J63">
            <v>0</v>
          </cell>
          <cell r="K63">
            <v>0</v>
          </cell>
          <cell r="L63">
            <v>1.0053000000000001</v>
          </cell>
          <cell r="M63">
            <v>0</v>
          </cell>
          <cell r="N63">
            <v>0</v>
          </cell>
          <cell r="O63">
            <v>0</v>
          </cell>
          <cell r="P63">
            <v>0</v>
          </cell>
          <cell r="Q63">
            <v>0</v>
          </cell>
          <cell r="R63">
            <v>0</v>
          </cell>
          <cell r="S63">
            <v>0</v>
          </cell>
        </row>
        <row r="65">
          <cell r="B65" t="str">
            <v>Weighted cradle to resin inputs for 1 kg of natural gas, internal offgas use</v>
          </cell>
          <cell r="D65">
            <v>6.0537051970485589E-2</v>
          </cell>
          <cell r="E65">
            <v>6.7514311907692651E-2</v>
          </cell>
          <cell r="F65">
            <v>1.3498900332462583E-3</v>
          </cell>
          <cell r="G65">
            <v>8.51913379095712E-4</v>
          </cell>
          <cell r="H65">
            <v>7.3544028047319151E-4</v>
          </cell>
          <cell r="I65">
            <v>0</v>
          </cell>
          <cell r="J65">
            <v>2.4828806954805459E-2</v>
          </cell>
          <cell r="K65">
            <v>0</v>
          </cell>
          <cell r="L65">
            <v>1.0053000000000001</v>
          </cell>
          <cell r="M65">
            <v>0</v>
          </cell>
          <cell r="N65">
            <v>0</v>
          </cell>
          <cell r="O65">
            <v>0</v>
          </cell>
          <cell r="P65">
            <v>0</v>
          </cell>
          <cell r="Q65">
            <v>0</v>
          </cell>
          <cell r="R65">
            <v>0</v>
          </cell>
          <cell r="S65">
            <v>0</v>
          </cell>
        </row>
        <row r="66">
          <cell r="B66" t="str">
            <v>Weighted cradle to resin inputs for 1 metric ton of petroleum, internal offgas use</v>
          </cell>
          <cell r="D66">
            <v>60.537051970485592</v>
          </cell>
          <cell r="E66">
            <v>67.514311907692644</v>
          </cell>
          <cell r="F66">
            <v>1.3498900332462582</v>
          </cell>
          <cell r="G66">
            <v>0.85191337909571196</v>
          </cell>
          <cell r="H66">
            <v>0.73544028047319154</v>
          </cell>
          <cell r="I66">
            <v>0</v>
          </cell>
          <cell r="J66">
            <v>24.828806954805458</v>
          </cell>
          <cell r="K66">
            <v>0</v>
          </cell>
          <cell r="L66">
            <v>1005.3000000000001</v>
          </cell>
          <cell r="M66">
            <v>0</v>
          </cell>
          <cell r="N66">
            <v>0</v>
          </cell>
          <cell r="O66">
            <v>0</v>
          </cell>
          <cell r="P66">
            <v>0</v>
          </cell>
          <cell r="Q66">
            <v>0</v>
          </cell>
          <cell r="R66">
            <v>0</v>
          </cell>
          <cell r="S66">
            <v>0</v>
          </cell>
        </row>
        <row r="68">
          <cell r="A68" t="str">
            <v>Energy use</v>
          </cell>
          <cell r="B68" t="str">
            <v>Pre-combustion energy (million BTU/metric ton)</v>
          </cell>
          <cell r="D68">
            <v>0</v>
          </cell>
          <cell r="E68">
            <v>0.21219784267167113</v>
          </cell>
          <cell r="F68">
            <v>7.1677247404375623E-3</v>
          </cell>
          <cell r="G68">
            <v>4.9286323619450699E-3</v>
          </cell>
          <cell r="H68">
            <v>3.322235341089253E-3</v>
          </cell>
          <cell r="I68">
            <v>0</v>
          </cell>
          <cell r="J68">
            <v>0</v>
          </cell>
          <cell r="K68">
            <v>0</v>
          </cell>
          <cell r="L68">
            <v>0</v>
          </cell>
          <cell r="M68">
            <v>0</v>
          </cell>
          <cell r="N68">
            <v>0</v>
          </cell>
          <cell r="O68">
            <v>0</v>
          </cell>
          <cell r="P68">
            <v>0</v>
          </cell>
          <cell r="Q68">
            <v>0</v>
          </cell>
          <cell r="R68">
            <v>0</v>
          </cell>
          <cell r="S68">
            <v>0</v>
          </cell>
        </row>
        <row r="69">
          <cell r="B69" t="str">
            <v>Combustion energy (million BTU/metric ton)</v>
          </cell>
          <cell r="D69">
            <v>0.64180179540489812</v>
          </cell>
          <cell r="E69">
            <v>2.4557727859755198</v>
          </cell>
          <cell r="F69">
            <v>4.9567847707503533E-2</v>
          </cell>
          <cell r="G69">
            <v>3.3757755903733352E-2</v>
          </cell>
          <cell r="H69">
            <v>2.4285346060593956E-2</v>
          </cell>
          <cell r="I69">
            <v>0</v>
          </cell>
          <cell r="J69">
            <v>0</v>
          </cell>
          <cell r="K69">
            <v>0</v>
          </cell>
          <cell r="L69">
            <v>0</v>
          </cell>
          <cell r="M69">
            <v>0</v>
          </cell>
          <cell r="N69">
            <v>0</v>
          </cell>
          <cell r="O69">
            <v>0</v>
          </cell>
          <cell r="P69">
            <v>0</v>
          </cell>
          <cell r="Q69">
            <v>0</v>
          </cell>
          <cell r="R69">
            <v>0</v>
          </cell>
          <cell r="S69">
            <v>0</v>
          </cell>
        </row>
        <row r="70">
          <cell r="B70" t="str">
            <v>Total energy (million BTU/metric ton)</v>
          </cell>
          <cell r="D70">
            <v>0.64180179540489812</v>
          </cell>
          <cell r="E70">
            <v>2.6679706286471911</v>
          </cell>
          <cell r="F70">
            <v>5.6735572447941099E-2</v>
          </cell>
          <cell r="G70">
            <v>3.8686388265678426E-2</v>
          </cell>
          <cell r="H70">
            <v>2.760758140168321E-2</v>
          </cell>
          <cell r="I70">
            <v>0</v>
          </cell>
          <cell r="J70">
            <v>0</v>
          </cell>
          <cell r="K70">
            <v>0</v>
          </cell>
          <cell r="L70">
            <v>0</v>
          </cell>
          <cell r="M70">
            <v>0</v>
          </cell>
          <cell r="N70">
            <v>0</v>
          </cell>
          <cell r="O70">
            <v>0</v>
          </cell>
          <cell r="P70">
            <v>0</v>
          </cell>
          <cell r="Q70">
            <v>0</v>
          </cell>
          <cell r="R70">
            <v>0</v>
          </cell>
          <cell r="S70">
            <v>0</v>
          </cell>
        </row>
        <row r="73">
          <cell r="A73" t="str">
            <v>Purchased natural gas delivered to hydrocracker for combustion for olefin production (i.e., ethylene, propylene, or pyrolysis gas)</v>
          </cell>
        </row>
        <row r="74">
          <cell r="A74" t="str">
            <v>This table calculates the pre-combustion and combustion energy for purchased natural gas combusted for olefin production</v>
          </cell>
        </row>
        <row r="75">
          <cell r="C75" t="str">
            <v>Input Type</v>
          </cell>
        </row>
        <row r="76">
          <cell r="C76" t="str">
            <v>Emission source</v>
          </cell>
        </row>
        <row r="77">
          <cell r="C77" t="str">
            <v>Input names</v>
          </cell>
          <cell r="D77" t="str">
            <v>Electricity, at grid, US</v>
          </cell>
          <cell r="E77" t="str">
            <v>Natural gas, processed, at plant</v>
          </cell>
          <cell r="F77" t="str">
            <v>Diesel, combusted in industrial equipment</v>
          </cell>
          <cell r="G77" t="str">
            <v>Residual fuel oil, combusted in industrial boiler</v>
          </cell>
          <cell r="H77" t="str">
            <v>Gasoline, combusted in equipment</v>
          </cell>
          <cell r="I77" t="str">
            <v>Liquefied petroleum gas, combusted in industrial boiler</v>
          </cell>
          <cell r="J77" t="str">
            <v>Dummy_Disposal, solid waste, unspecified, to sanitary landfill</v>
          </cell>
          <cell r="K77" t="str">
            <v>Crude oil, extracted, internal offgas use</v>
          </cell>
          <cell r="L77" t="str">
            <v>Natural gas, extracted,  internal offgas use</v>
          </cell>
          <cell r="M77" t="str">
            <v>Transport, ocean freighter, diesel powered</v>
          </cell>
          <cell r="N77" t="str">
            <v>Transport, ocean freighter, residual fuel oil powered</v>
          </cell>
          <cell r="O77" t="str">
            <v>Transport, barge, diesel powered</v>
          </cell>
          <cell r="P77" t="str">
            <v>Transport, barge, residual fuel oil powered</v>
          </cell>
          <cell r="Q77" t="str">
            <v>Transport, pipeline, unspecified petroleum products</v>
          </cell>
          <cell r="R77" t="str">
            <v>Transport, combination truck, diesel powered</v>
          </cell>
          <cell r="S77" t="str">
            <v>Transport, train, diesel powered</v>
          </cell>
        </row>
        <row r="78">
          <cell r="C78" t="str">
            <v>Warm fuel names</v>
          </cell>
          <cell r="D78" t="str">
            <v>Electricity, at grid, US</v>
          </cell>
          <cell r="E78" t="str">
            <v>Natural gas, processed at plant</v>
          </cell>
          <cell r="F78" t="str">
            <v>Distillate oil, combusted in industrial boiler</v>
          </cell>
          <cell r="G78" t="str">
            <v>Residual fuel oil, combusted in industrial boiler</v>
          </cell>
          <cell r="H78" t="str">
            <v>Gasoline, combusted in equipment</v>
          </cell>
          <cell r="I78" t="str">
            <v>Liquefied petroleum gas, combusted in industrial boiler</v>
          </cell>
          <cell r="M78" t="str">
            <v>Transport, ocean freighter, diesel powered</v>
          </cell>
          <cell r="N78" t="str">
            <v>Transport, ocean freighter, residual fuel oil powered</v>
          </cell>
          <cell r="O78" t="str">
            <v>Transport, barge, diesel powered</v>
          </cell>
          <cell r="P78" t="str">
            <v>Transport, barge, residual fuel oil powered</v>
          </cell>
          <cell r="Q78" t="str">
            <v>Transport, pipeline, unspecified petroleum products</v>
          </cell>
          <cell r="R78" t="str">
            <v>Transport, combination truck, diesel powered</v>
          </cell>
          <cell r="S78" t="str">
            <v>Transport, train, diesel powered</v>
          </cell>
        </row>
        <row r="79">
          <cell r="C79" t="str">
            <v>Units</v>
          </cell>
          <cell r="D79" t="str">
            <v>kwh</v>
          </cell>
          <cell r="E79" t="str">
            <v>m3</v>
          </cell>
          <cell r="F79" t="str">
            <v>Liter</v>
          </cell>
          <cell r="G79" t="str">
            <v>Liter</v>
          </cell>
          <cell r="H79" t="str">
            <v>Liter</v>
          </cell>
          <cell r="I79" t="str">
            <v>Liter</v>
          </cell>
          <cell r="J79" t="str">
            <v>kg</v>
          </cell>
          <cell r="K79" t="str">
            <v>kg</v>
          </cell>
          <cell r="L79" t="str">
            <v>kg</v>
          </cell>
          <cell r="M79" t="str">
            <v>tkm</v>
          </cell>
          <cell r="N79" t="str">
            <v>tkm</v>
          </cell>
          <cell r="O79" t="str">
            <v>tkm</v>
          </cell>
          <cell r="P79" t="str">
            <v>tkm</v>
          </cell>
          <cell r="Q79" t="str">
            <v>tkm</v>
          </cell>
          <cell r="R79" t="str">
            <v>tkm</v>
          </cell>
          <cell r="S79" t="str">
            <v>tkm</v>
          </cell>
        </row>
        <row r="80">
          <cell r="C80" t="str">
            <v>Input per m3</v>
          </cell>
        </row>
        <row r="81">
          <cell r="A81" t="str">
            <v>Unit process inputs</v>
          </cell>
          <cell r="B81" t="str">
            <v>Natural gas, combusted in industrial boiler, at hydrocracker, for ethylene</v>
          </cell>
          <cell r="C81">
            <v>1</v>
          </cell>
          <cell r="D81">
            <v>0</v>
          </cell>
          <cell r="E81">
            <v>1</v>
          </cell>
          <cell r="F81">
            <v>0</v>
          </cell>
          <cell r="G81">
            <v>0</v>
          </cell>
          <cell r="H81">
            <v>0</v>
          </cell>
          <cell r="I81">
            <v>0</v>
          </cell>
          <cell r="J81">
            <v>0</v>
          </cell>
          <cell r="K81">
            <v>0</v>
          </cell>
          <cell r="L81">
            <v>0</v>
          </cell>
          <cell r="M81">
            <v>0</v>
          </cell>
          <cell r="N81">
            <v>0</v>
          </cell>
          <cell r="O81">
            <v>0</v>
          </cell>
          <cell r="P81">
            <v>0</v>
          </cell>
          <cell r="Q81">
            <v>1.1859999999999999</v>
          </cell>
          <cell r="R81">
            <v>0.19850000000000001</v>
          </cell>
          <cell r="S81">
            <v>1.1858E-2</v>
          </cell>
        </row>
        <row r="83">
          <cell r="B83" t="str">
            <v>Weighted cradle to resin inputs for 1 m3 of purchased natural gas</v>
          </cell>
          <cell r="D83">
            <v>0</v>
          </cell>
          <cell r="E83">
            <v>1</v>
          </cell>
          <cell r="F83">
            <v>0</v>
          </cell>
          <cell r="G83">
            <v>0</v>
          </cell>
          <cell r="H83">
            <v>0</v>
          </cell>
          <cell r="I83">
            <v>0</v>
          </cell>
          <cell r="J83">
            <v>0</v>
          </cell>
          <cell r="K83">
            <v>0</v>
          </cell>
          <cell r="L83">
            <v>0</v>
          </cell>
          <cell r="M83">
            <v>0</v>
          </cell>
          <cell r="N83">
            <v>0</v>
          </cell>
          <cell r="O83">
            <v>0</v>
          </cell>
          <cell r="P83">
            <v>0</v>
          </cell>
          <cell r="Q83">
            <v>1.1859999999999999</v>
          </cell>
          <cell r="R83">
            <v>0.19850000000000001</v>
          </cell>
          <cell r="S83">
            <v>1.1858E-2</v>
          </cell>
        </row>
        <row r="84">
          <cell r="B84" t="str">
            <v>Weighted Cradle to resin for 1000 m3 of purchased natural gas</v>
          </cell>
          <cell r="D84">
            <v>0</v>
          </cell>
          <cell r="E84">
            <v>1000</v>
          </cell>
          <cell r="F84">
            <v>0</v>
          </cell>
          <cell r="G84">
            <v>0</v>
          </cell>
          <cell r="H84">
            <v>0</v>
          </cell>
          <cell r="I84">
            <v>0</v>
          </cell>
          <cell r="J84">
            <v>0</v>
          </cell>
          <cell r="K84">
            <v>0</v>
          </cell>
          <cell r="L84">
            <v>0</v>
          </cell>
          <cell r="M84">
            <v>0</v>
          </cell>
          <cell r="N84">
            <v>0</v>
          </cell>
          <cell r="O84">
            <v>0</v>
          </cell>
          <cell r="P84">
            <v>0</v>
          </cell>
          <cell r="Q84">
            <v>1186</v>
          </cell>
          <cell r="R84">
            <v>198.5</v>
          </cell>
          <cell r="S84">
            <v>11.858000000000001</v>
          </cell>
        </row>
        <row r="86">
          <cell r="B86" t="str">
            <v>Pre-combustion energy (million BTU/1000 m3)</v>
          </cell>
          <cell r="D86">
            <v>0</v>
          </cell>
          <cell r="E86">
            <v>3.143005337324531</v>
          </cell>
          <cell r="F86">
            <v>0</v>
          </cell>
          <cell r="G86">
            <v>0</v>
          </cell>
          <cell r="H86">
            <v>0</v>
          </cell>
          <cell r="I86">
            <v>0</v>
          </cell>
          <cell r="J86">
            <v>0</v>
          </cell>
          <cell r="K86">
            <v>0</v>
          </cell>
          <cell r="L86">
            <v>0</v>
          </cell>
          <cell r="M86">
            <v>0</v>
          </cell>
          <cell r="N86">
            <v>0</v>
          </cell>
          <cell r="O86">
            <v>0</v>
          </cell>
          <cell r="P86">
            <v>0</v>
          </cell>
          <cell r="Q86">
            <v>0</v>
          </cell>
          <cell r="R86">
            <v>3.6574038188257565E-2</v>
          </cell>
          <cell r="S86">
            <v>5.0608629347423959E-4</v>
          </cell>
        </row>
        <row r="87">
          <cell r="B87" t="str">
            <v>Combustion energy (million BTU/1000 m3)</v>
          </cell>
          <cell r="D87">
            <v>0</v>
          </cell>
          <cell r="E87">
            <v>0</v>
          </cell>
          <cell r="F87">
            <v>0</v>
          </cell>
          <cell r="G87">
            <v>0</v>
          </cell>
          <cell r="H87">
            <v>0</v>
          </cell>
          <cell r="I87">
            <v>0</v>
          </cell>
          <cell r="J87">
            <v>0</v>
          </cell>
          <cell r="K87">
            <v>0</v>
          </cell>
          <cell r="L87">
            <v>0</v>
          </cell>
          <cell r="M87">
            <v>0</v>
          </cell>
          <cell r="N87">
            <v>0</v>
          </cell>
          <cell r="O87">
            <v>0</v>
          </cell>
          <cell r="P87">
            <v>0</v>
          </cell>
          <cell r="Q87">
            <v>0.20552307457550817</v>
          </cell>
          <cell r="R87">
            <v>0.25292494070486565</v>
          </cell>
          <cell r="S87">
            <v>3.4998007359661335E-3</v>
          </cell>
        </row>
        <row r="88">
          <cell r="B88" t="str">
            <v>Total energy (million BTU/1000 m3)</v>
          </cell>
          <cell r="D88">
            <v>0</v>
          </cell>
          <cell r="E88">
            <v>3.143005337324531</v>
          </cell>
          <cell r="F88">
            <v>0</v>
          </cell>
          <cell r="G88">
            <v>0</v>
          </cell>
          <cell r="H88">
            <v>0</v>
          </cell>
          <cell r="I88">
            <v>0</v>
          </cell>
          <cell r="J88">
            <v>0</v>
          </cell>
          <cell r="K88">
            <v>0</v>
          </cell>
          <cell r="L88">
            <v>0</v>
          </cell>
          <cell r="M88">
            <v>0</v>
          </cell>
          <cell r="N88">
            <v>0</v>
          </cell>
          <cell r="O88">
            <v>0</v>
          </cell>
          <cell r="P88">
            <v>0</v>
          </cell>
          <cell r="Q88">
            <v>0.20552307457550817</v>
          </cell>
          <cell r="R88">
            <v>0.2894989788931232</v>
          </cell>
          <cell r="S88">
            <v>4.0058870294403734E-3</v>
          </cell>
        </row>
        <row r="91">
          <cell r="B91" t="str">
            <v>Type of Fuel Product</v>
          </cell>
          <cell r="C91" t="str">
            <v>Units</v>
          </cell>
          <cell r="D91" t="str">
            <v>Precombustion GHG emissions</v>
          </cell>
          <cell r="H91" t="str">
            <v>Precombustion Energy Per Ton Made from Virgin Inputs (Million BTUs)</v>
          </cell>
          <cell r="I91" t="str">
            <v>Gasoline</v>
          </cell>
          <cell r="J91" t="str">
            <v>LPG</v>
          </cell>
          <cell r="K91" t="str">
            <v>Distillate Fuel</v>
          </cell>
          <cell r="L91" t="str">
            <v>Residual Fuel</v>
          </cell>
          <cell r="M91" t="str">
            <v>Biomass/Hydro</v>
          </cell>
          <cell r="N91" t="str">
            <v>Diesel</v>
          </cell>
          <cell r="O91" t="str">
            <v>Electricity</v>
          </cell>
          <cell r="P91" t="str">
            <v>Coal</v>
          </cell>
          <cell r="Q91" t="str">
            <v>Natural Gas</v>
          </cell>
          <cell r="R91" t="str">
            <v>Nuclear</v>
          </cell>
          <cell r="S91" t="str">
            <v>Other</v>
          </cell>
          <cell r="T91" t="str">
            <v>Total</v>
          </cell>
        </row>
        <row r="92">
          <cell r="D92" t="str">
            <v>CO2-equivalent</v>
          </cell>
          <cell r="E92" t="str">
            <v>CO2 Emissions</v>
          </cell>
          <cell r="F92" t="str">
            <v>CH4 Emissions</v>
          </cell>
          <cell r="G92" t="str">
            <v>Nitrous oxide</v>
          </cell>
        </row>
        <row r="93">
          <cell r="D93" t="str">
            <v>metric tons CO2e</v>
          </cell>
          <cell r="E93" t="str">
            <v>metric tons CO2</v>
          </cell>
          <cell r="F93" t="str">
            <v>metric tons CH4</v>
          </cell>
          <cell r="G93" t="str">
            <v>metric tons N2O</v>
          </cell>
          <cell r="H93" t="str">
            <v>million BTU</v>
          </cell>
        </row>
        <row r="94">
          <cell r="A94" t="str">
            <v>Precombustion</v>
          </cell>
          <cell r="B94" t="str">
            <v>Petroleum, internal off gas use</v>
          </cell>
          <cell r="C94" t="str">
            <v>1000 kg</v>
          </cell>
          <cell r="D94">
            <v>0.31365322323508149</v>
          </cell>
          <cell r="E94">
            <v>0.30383270030922099</v>
          </cell>
          <cell r="F94">
            <v>3.9282091703441975E-4</v>
          </cell>
          <cell r="H94">
            <v>5.1873410899273926</v>
          </cell>
          <cell r="I94">
            <v>4.5726483589818446E-3</v>
          </cell>
          <cell r="J94">
            <v>5.7394290474642451E-3</v>
          </cell>
          <cell r="K94">
            <v>9.6738857142513388E-3</v>
          </cell>
          <cell r="L94">
            <v>0.313263235112276</v>
          </cell>
          <cell r="M94">
            <v>0</v>
          </cell>
          <cell r="N94">
            <v>2.0709188209565264E-2</v>
          </cell>
          <cell r="O94">
            <v>0.33876042709816778</v>
          </cell>
          <cell r="P94">
            <v>0</v>
          </cell>
          <cell r="Q94">
            <v>0.30728118645929353</v>
          </cell>
          <cell r="R94">
            <v>0</v>
          </cell>
          <cell r="S94">
            <v>0</v>
          </cell>
          <cell r="T94">
            <v>1</v>
          </cell>
        </row>
        <row r="95">
          <cell r="B95" t="str">
            <v>Natural gas, internal off gas use</v>
          </cell>
          <cell r="C95" t="str">
            <v>1000 kg</v>
          </cell>
          <cell r="D95">
            <v>0.16701398545022911</v>
          </cell>
          <cell r="E95">
            <v>0.15817617972516632</v>
          </cell>
          <cell r="F95">
            <v>3.5351222900251232E-4</v>
          </cell>
          <cell r="H95">
            <v>3.1141855591490546</v>
          </cell>
          <cell r="I95">
            <v>8.0422878085525413E-3</v>
          </cell>
          <cell r="J95">
            <v>0</v>
          </cell>
          <cell r="K95">
            <v>1.6527481925001475E-2</v>
          </cell>
          <cell r="L95">
            <v>1.126962424484698E-2</v>
          </cell>
          <cell r="M95">
            <v>0</v>
          </cell>
          <cell r="N95">
            <v>0</v>
          </cell>
          <cell r="O95">
            <v>0.18696149726383671</v>
          </cell>
          <cell r="P95">
            <v>0</v>
          </cell>
          <cell r="Q95">
            <v>0.77719910875776221</v>
          </cell>
          <cell r="R95">
            <v>0</v>
          </cell>
          <cell r="S95">
            <v>0</v>
          </cell>
          <cell r="T95">
            <v>0.99999999999999989</v>
          </cell>
        </row>
        <row r="96">
          <cell r="B96" t="str">
            <v>Purchased natural gas, delivered to hydrocracker for combustion for olefin production</v>
          </cell>
          <cell r="C96" t="str">
            <v>1000 m3</v>
          </cell>
          <cell r="D96">
            <v>0.2035485860377157</v>
          </cell>
          <cell r="E96">
            <v>0.19370683696602442</v>
          </cell>
          <cell r="F96">
            <v>3.9366996286765055E-4</v>
          </cell>
          <cell r="H96">
            <v>3.6420332778226028</v>
          </cell>
          <cell r="I96">
            <v>0</v>
          </cell>
          <cell r="J96">
            <v>0</v>
          </cell>
          <cell r="K96">
            <v>0</v>
          </cell>
          <cell r="L96">
            <v>0</v>
          </cell>
          <cell r="M96">
            <v>0</v>
          </cell>
          <cell r="N96">
            <v>0.13701905019286828</v>
          </cell>
          <cell r="O96">
            <v>0</v>
          </cell>
          <cell r="P96">
            <v>0</v>
          </cell>
          <cell r="Q96">
            <v>0.86298094980713169</v>
          </cell>
          <cell r="R96">
            <v>0</v>
          </cell>
          <cell r="S96">
            <v>0</v>
          </cell>
          <cell r="T96">
            <v>1</v>
          </cell>
        </row>
        <row r="98">
          <cell r="A98" t="str">
            <v>Combustion</v>
          </cell>
          <cell r="B98" t="str">
            <v>Combined GHG emissions at hydrocracker, for ethylene production</v>
          </cell>
          <cell r="C98" t="str">
            <v>1000 m3 purchased natural gas</v>
          </cell>
          <cell r="D98">
            <v>4.5800866228633126</v>
          </cell>
          <cell r="E98">
            <v>4.5684531318633121</v>
          </cell>
          <cell r="F98">
            <v>3.6017000000000004E-5</v>
          </cell>
          <cell r="G98">
            <v>3.6017000000000004E-5</v>
          </cell>
        </row>
        <row r="99">
          <cell r="B99" t="str">
            <v>Combined GHG emissions at hydrocracker, for propylene production</v>
          </cell>
          <cell r="C99" t="str">
            <v>1000 m3 purchased natural gas</v>
          </cell>
          <cell r="D99">
            <v>6.0772065518606571</v>
          </cell>
          <cell r="E99">
            <v>6.0655730608606566</v>
          </cell>
          <cell r="F99">
            <v>3.6017000000000004E-5</v>
          </cell>
          <cell r="G99">
            <v>3.6017000000000004E-5</v>
          </cell>
        </row>
        <row r="100">
          <cell r="B100" t="str">
            <v>Combined GHG emissions at hydrocracker, for pyrolysis gas production</v>
          </cell>
          <cell r="C100" t="str">
            <v>1000 m3 purchased natural gas</v>
          </cell>
          <cell r="D100">
            <v>6.8685070765355523</v>
          </cell>
          <cell r="E100">
            <v>6.8568735855355518</v>
          </cell>
          <cell r="F100">
            <v>3.6017000000000004E-5</v>
          </cell>
          <cell r="G100">
            <v>3.6017000000000004E-5</v>
          </cell>
        </row>
        <row r="102">
          <cell r="A102" t="str">
            <v>Calculation of precombustion and combustion energy and emission factors for "other" energy use at the hydrocracker</v>
          </cell>
        </row>
        <row r="103">
          <cell r="A103" t="str">
            <v xml:space="preserve">This table compiles the pre-combustion, combustion, and total energy and emission factors for petroleum and natural gas combusted for internal offgas use and natural gas purchased for olefin production for each olefin type </v>
          </cell>
        </row>
        <row r="104">
          <cell r="C104" t="str">
            <v>Units</v>
          </cell>
          <cell r="D104" t="str">
            <v>Energy (million BTUs / 1000 units)</v>
          </cell>
          <cell r="G104" t="str">
            <v>GHG (MTCO2e / 1000 units)</v>
          </cell>
          <cell r="J104" t="str">
            <v>GHG per unit energy (MTCO2e / million BTUs)</v>
          </cell>
          <cell r="M104" t="str">
            <v>CO2 emissions</v>
          </cell>
          <cell r="N104" t="str">
            <v>CH4 emissions</v>
          </cell>
        </row>
        <row r="105">
          <cell r="D105" t="str">
            <v>Pre-combustion</v>
          </cell>
          <cell r="E105" t="str">
            <v>Combustion</v>
          </cell>
          <cell r="F105" t="str">
            <v>Total</v>
          </cell>
          <cell r="G105" t="str">
            <v>Pre-combustion</v>
          </cell>
          <cell r="H105" t="str">
            <v>Combustion</v>
          </cell>
          <cell r="I105" t="str">
            <v>Total</v>
          </cell>
          <cell r="J105" t="str">
            <v>Pre-combustion</v>
          </cell>
          <cell r="K105" t="str">
            <v>Combustion</v>
          </cell>
          <cell r="L105" t="str">
            <v>Total</v>
          </cell>
          <cell r="M105" t="str">
            <v>metric tons/MMBtu</v>
          </cell>
          <cell r="N105" t="str">
            <v>metric tons/MMBtu</v>
          </cell>
        </row>
        <row r="106">
          <cell r="B106" t="str">
            <v>Petroleum, for internal off gas use for ethylene production</v>
          </cell>
          <cell r="C106" t="str">
            <v>kg</v>
          </cell>
          <cell r="D106">
            <v>5.7180647570498069</v>
          </cell>
          <cell r="E106">
            <v>67.573503077973058</v>
          </cell>
          <cell r="F106">
            <v>73.29156783502286</v>
          </cell>
          <cell r="G106">
            <v>0.31365322323508149</v>
          </cell>
          <cell r="H106">
            <v>0</v>
          </cell>
          <cell r="I106">
            <v>0.31365322323508149</v>
          </cell>
          <cell r="J106">
            <v>5.485303797029898E-2</v>
          </cell>
          <cell r="K106">
            <v>0</v>
          </cell>
          <cell r="L106">
            <v>4.2795267245627159E-3</v>
          </cell>
          <cell r="M106">
            <v>4.1455341901423005E-3</v>
          </cell>
          <cell r="N106">
            <v>5.3597013768166071E-6</v>
          </cell>
        </row>
        <row r="107">
          <cell r="B107" t="str">
            <v>Petroleum, for internal off gas use for propylene production</v>
          </cell>
          <cell r="C107" t="str">
            <v>kg</v>
          </cell>
          <cell r="D107">
            <v>5.7180647570498069</v>
          </cell>
          <cell r="E107">
            <v>62.740772710561224</v>
          </cell>
          <cell r="F107">
            <v>68.458837467611033</v>
          </cell>
          <cell r="G107">
            <v>0.31365322323508149</v>
          </cell>
          <cell r="H107">
            <v>0</v>
          </cell>
          <cell r="I107">
            <v>0.31365322323508149</v>
          </cell>
          <cell r="J107">
            <v>5.485303797029898E-2</v>
          </cell>
          <cell r="K107">
            <v>0</v>
          </cell>
          <cell r="L107">
            <v>4.5816323332027922E-3</v>
          </cell>
          <cell r="M107">
            <v>4.4381808331607894E-3</v>
          </cell>
          <cell r="N107">
            <v>5.7380600016801279E-6</v>
          </cell>
        </row>
        <row r="108">
          <cell r="B108" t="str">
            <v>Petroleum, for internal off gas use for pyrolysis gas production</v>
          </cell>
          <cell r="C108" t="str">
            <v>kg</v>
          </cell>
          <cell r="D108">
            <v>5.7180647570498069</v>
          </cell>
          <cell r="E108">
            <v>62.355763818529773</v>
          </cell>
          <cell r="F108">
            <v>68.073828575579583</v>
          </cell>
          <cell r="G108">
            <v>0.31365322323508149</v>
          </cell>
          <cell r="H108">
            <v>0</v>
          </cell>
          <cell r="I108">
            <v>0.31365322323508149</v>
          </cell>
          <cell r="J108">
            <v>5.485303797029898E-2</v>
          </cell>
          <cell r="K108">
            <v>0</v>
          </cell>
          <cell r="L108">
            <v>4.6075449228897879E-3</v>
          </cell>
          <cell r="M108">
            <v>4.4632820963182345E-3</v>
          </cell>
          <cell r="N108">
            <v>5.7705130628621366E-6</v>
          </cell>
        </row>
        <row r="109">
          <cell r="B109" t="str">
            <v>Petroleum, for internal off gas use for benzene production</v>
          </cell>
          <cell r="C109" t="str">
            <v>kg</v>
          </cell>
          <cell r="D109">
            <v>5.7180647570498069</v>
          </cell>
          <cell r="E109">
            <v>55.197310405643741</v>
          </cell>
          <cell r="F109">
            <v>60.91537516269355</v>
          </cell>
          <cell r="G109">
            <v>0.31365322323508149</v>
          </cell>
          <cell r="H109">
            <v>0</v>
          </cell>
          <cell r="I109">
            <v>0.31365322323508149</v>
          </cell>
          <cell r="J109">
            <v>5.485303797029898E-2</v>
          </cell>
          <cell r="K109">
            <v>0</v>
          </cell>
          <cell r="L109">
            <v>5.1489992862618428E-3</v>
          </cell>
          <cell r="M109">
            <v>4.9877834536476351E-3</v>
          </cell>
          <cell r="N109">
            <v>6.4486333045683245E-6</v>
          </cell>
        </row>
        <row r="110">
          <cell r="B110" t="str">
            <v>Natural gas, for internal off gas use for ethylene production</v>
          </cell>
          <cell r="C110" t="str">
            <v>kg</v>
          </cell>
          <cell r="D110">
            <v>3.4328019661673923</v>
          </cell>
          <cell r="E110">
            <v>67.527010804321733</v>
          </cell>
          <cell r="F110">
            <v>70.959812770489123</v>
          </cell>
          <cell r="G110">
            <v>0.16701398545022911</v>
          </cell>
          <cell r="H110">
            <v>0</v>
          </cell>
          <cell r="I110">
            <v>0.16701398545022911</v>
          </cell>
          <cell r="J110">
            <v>4.8652379920620527E-2</v>
          </cell>
          <cell r="K110">
            <v>0</v>
          </cell>
          <cell r="L110">
            <v>2.3536418562773763E-3</v>
          </cell>
          <cell r="M110">
            <v>2.2290952237538721E-3</v>
          </cell>
          <cell r="N110">
            <v>4.9818653009401901E-6</v>
          </cell>
        </row>
        <row r="111">
          <cell r="B111" t="str">
            <v>Natural gas, for internal off gas use for propylene production</v>
          </cell>
          <cell r="C111" t="str">
            <v>kg</v>
          </cell>
          <cell r="D111">
            <v>3.4328019661673923</v>
          </cell>
          <cell r="E111">
            <v>62.587809762951011</v>
          </cell>
          <cell r="F111">
            <v>66.0206117291184</v>
          </cell>
          <cell r="G111">
            <v>0.16701398545022911</v>
          </cell>
          <cell r="H111">
            <v>0</v>
          </cell>
          <cell r="I111">
            <v>0.16701398545022911</v>
          </cell>
          <cell r="J111">
            <v>4.8652379920620527E-2</v>
          </cell>
          <cell r="K111">
            <v>0</v>
          </cell>
          <cell r="L111">
            <v>2.5297249006944232E-3</v>
          </cell>
          <cell r="M111">
            <v>2.3958605590351217E-3</v>
          </cell>
          <cell r="N111">
            <v>5.3545736663720689E-6</v>
          </cell>
        </row>
        <row r="112">
          <cell r="B112" t="str">
            <v>Natural gas, for internal off gas use for pyrolysis gas production</v>
          </cell>
          <cell r="C112" t="str">
            <v>kg</v>
          </cell>
          <cell r="D112">
            <v>3.4328019661673923</v>
          </cell>
          <cell r="E112">
            <v>62.258343508343508</v>
          </cell>
          <cell r="F112">
            <v>65.691145474510904</v>
          </cell>
          <cell r="G112">
            <v>0.16701398545022911</v>
          </cell>
          <cell r="H112">
            <v>0</v>
          </cell>
          <cell r="I112">
            <v>0.16701398545022911</v>
          </cell>
          <cell r="J112">
            <v>4.8652379920620527E-2</v>
          </cell>
          <cell r="K112">
            <v>0</v>
          </cell>
          <cell r="L112">
            <v>2.542412439969294E-3</v>
          </cell>
          <cell r="M112">
            <v>2.4078767173658271E-3</v>
          </cell>
          <cell r="N112">
            <v>5.3814289041386878E-6</v>
          </cell>
        </row>
        <row r="113">
          <cell r="B113" t="str">
            <v>Natural gas, for internal off gas use for benzene production</v>
          </cell>
          <cell r="C113" t="str">
            <v>kg</v>
          </cell>
          <cell r="D113">
            <v>3.4328019661673923</v>
          </cell>
          <cell r="E113">
            <v>55.155779695815966</v>
          </cell>
          <cell r="F113">
            <v>58.588581661983355</v>
          </cell>
          <cell r="G113">
            <v>0.16701398545022911</v>
          </cell>
          <cell r="H113">
            <v>0</v>
          </cell>
          <cell r="I113">
            <v>0.16701398545022911</v>
          </cell>
          <cell r="J113">
            <v>4.8652379920620527E-2</v>
          </cell>
          <cell r="K113">
            <v>0</v>
          </cell>
          <cell r="L113">
            <v>2.8506234613049227E-3</v>
          </cell>
          <cell r="M113">
            <v>2.699778271434122E-3</v>
          </cell>
          <cell r="N113">
            <v>6.0338075948320396E-6</v>
          </cell>
        </row>
        <row r="114">
          <cell r="B114" t="str">
            <v>Purchased natural gas, at hydrocracker for ethylene production</v>
          </cell>
          <cell r="C114" t="str">
            <v>cubic meters</v>
          </cell>
          <cell r="D114">
            <v>3.6420332778226028</v>
          </cell>
          <cell r="E114">
            <v>36.020960045741816</v>
          </cell>
          <cell r="F114">
            <v>39.662993323564422</v>
          </cell>
          <cell r="G114">
            <v>0.2035485860377157</v>
          </cell>
          <cell r="H114">
            <v>4.5800866228633126</v>
          </cell>
          <cell r="I114">
            <v>4.7836352089010283</v>
          </cell>
          <cell r="J114">
            <v>5.5888722180871354E-2</v>
          </cell>
          <cell r="K114">
            <v>0.12715059834738479</v>
          </cell>
          <cell r="L114">
            <v>0.1206070144498901</v>
          </cell>
          <cell r="M114">
            <v>0.120065571702579</v>
          </cell>
          <cell r="N114">
            <v>1.0833447676586896E-5</v>
          </cell>
        </row>
        <row r="115">
          <cell r="B115" t="str">
            <v>Purchased natural gas, at hydrocracker for propylene production</v>
          </cell>
          <cell r="C115" t="str">
            <v>cubic meters</v>
          </cell>
          <cell r="D115">
            <v>3.6420332778226028</v>
          </cell>
          <cell r="E115">
            <v>36.020960045741816</v>
          </cell>
          <cell r="F115">
            <v>39.662993323564422</v>
          </cell>
          <cell r="G115">
            <v>0.2035485860377157</v>
          </cell>
          <cell r="H115">
            <v>6.0772065518606571</v>
          </cell>
          <cell r="I115">
            <v>6.2807551378983728</v>
          </cell>
          <cell r="J115">
            <v>5.5888722180871354E-2</v>
          </cell>
          <cell r="K115">
            <v>0.16871306439760114</v>
          </cell>
          <cell r="L115">
            <v>0.15835302914888361</v>
          </cell>
          <cell r="M115">
            <v>0.15781158640157253</v>
          </cell>
          <cell r="N115">
            <v>1.0833447676586896E-5</v>
          </cell>
        </row>
        <row r="116">
          <cell r="B116" t="str">
            <v>Purchased natural gas, at hydrocracker for pyrolysis gas production</v>
          </cell>
          <cell r="C116" t="str">
            <v>cubic meters</v>
          </cell>
          <cell r="D116">
            <v>3.6420332778226028</v>
          </cell>
          <cell r="E116">
            <v>36.020960045741816</v>
          </cell>
          <cell r="F116">
            <v>39.662993323564422</v>
          </cell>
          <cell r="G116">
            <v>0.2035485860377157</v>
          </cell>
          <cell r="H116">
            <v>6.8685070765355523</v>
          </cell>
          <cell r="I116">
            <v>7.072055662573268</v>
          </cell>
          <cell r="J116">
            <v>5.5888722180871354E-2</v>
          </cell>
          <cell r="K116">
            <v>0.1906808443698742</v>
          </cell>
          <cell r="L116">
            <v>0.17830362940286823</v>
          </cell>
          <cell r="M116">
            <v>0.17776218665555715</v>
          </cell>
          <cell r="N116">
            <v>1.0833447676586896E-5</v>
          </cell>
        </row>
        <row r="118">
          <cell r="A118" t="str">
            <v>This table compiles total energy use at the hydrocracker, including both pre-combustion and combustion energy, each resin modeled on this sheet by olefin type</v>
          </cell>
        </row>
        <row r="119">
          <cell r="C119" t="str">
            <v>Units</v>
          </cell>
          <cell r="D119" t="str">
            <v>HDPE</v>
          </cell>
          <cell r="E119" t="str">
            <v>LDPE</v>
          </cell>
          <cell r="F119" t="str">
            <v>LLDPE</v>
          </cell>
          <cell r="G119" t="str">
            <v>PP</v>
          </cell>
          <cell r="H119" t="str">
            <v>PS</v>
          </cell>
          <cell r="I119" t="str">
            <v>PVC</v>
          </cell>
        </row>
        <row r="121">
          <cell r="H121">
            <v>0.55992212409806552</v>
          </cell>
          <cell r="I121">
            <v>0.86698146808081777</v>
          </cell>
        </row>
        <row r="122">
          <cell r="H122">
            <v>0</v>
          </cell>
          <cell r="I122">
            <v>0</v>
          </cell>
        </row>
        <row r="123">
          <cell r="H123">
            <v>1.341079597328271</v>
          </cell>
          <cell r="I123">
            <v>0</v>
          </cell>
        </row>
        <row r="124">
          <cell r="H124">
            <v>0.76238467221818662</v>
          </cell>
          <cell r="I124">
            <v>0</v>
          </cell>
        </row>
        <row r="125">
          <cell r="H125">
            <v>2.4696045926851142</v>
          </cell>
          <cell r="I125">
            <v>3.8239271555740042</v>
          </cell>
        </row>
        <row r="126">
          <cell r="H126">
            <v>0</v>
          </cell>
          <cell r="I126">
            <v>0</v>
          </cell>
        </row>
        <row r="127">
          <cell r="H127">
            <v>1.7871455197053008</v>
          </cell>
          <cell r="I127">
            <v>0</v>
          </cell>
        </row>
        <row r="129">
          <cell r="B129" t="str">
            <v>Purchased natural gas, at hydrocracker for ethylene production</v>
          </cell>
          <cell r="C129" t="str">
            <v>MMBtu/metric ton resin</v>
          </cell>
          <cell r="D129">
            <v>5.569632158304552</v>
          </cell>
          <cell r="E129">
            <v>5.6696974630812118</v>
          </cell>
          <cell r="F129">
            <v>5.6225155343531004</v>
          </cell>
          <cell r="G129">
            <v>0</v>
          </cell>
          <cell r="H129">
            <v>1.6467376971321723</v>
          </cell>
          <cell r="I129">
            <v>2.549802918581634</v>
          </cell>
        </row>
        <row r="130">
          <cell r="B130" t="str">
            <v>Purchased natural gas, at hydrocracker for propylene production</v>
          </cell>
          <cell r="C130" t="str">
            <v>MMBtu/metric ton resin</v>
          </cell>
          <cell r="D130">
            <v>0</v>
          </cell>
          <cell r="E130">
            <v>0</v>
          </cell>
          <cell r="F130">
            <v>0</v>
          </cell>
          <cell r="G130">
            <v>4.3375771877268861</v>
          </cell>
          <cell r="H130">
            <v>0</v>
          </cell>
          <cell r="I130">
            <v>0</v>
          </cell>
        </row>
        <row r="131">
          <cell r="B131" t="str">
            <v>Purchased natural gas, at hydrocracker for pyrolysis gas production</v>
          </cell>
          <cell r="C131" t="str">
            <v>MMBtu/metric ton resin</v>
          </cell>
          <cell r="D131">
            <v>0</v>
          </cell>
          <cell r="E131">
            <v>0</v>
          </cell>
          <cell r="F131">
            <v>0</v>
          </cell>
          <cell r="G131">
            <v>0</v>
          </cell>
          <cell r="H131">
            <v>1.001919572974951</v>
          </cell>
          <cell r="I131">
            <v>0</v>
          </cell>
        </row>
        <row r="132">
          <cell r="A132" t="str">
            <v>Total energy use</v>
          </cell>
          <cell r="C132" t="str">
            <v>MMBtu/metric ton resin</v>
          </cell>
          <cell r="D132">
            <v>15.816163500620753</v>
          </cell>
          <cell r="E132">
            <v>16.10032036701763</v>
          </cell>
          <cell r="F132">
            <v>15.966337174263012</v>
          </cell>
          <cell r="G132">
            <v>16.778291086357157</v>
          </cell>
          <cell r="H132">
            <v>10.581614335401866</v>
          </cell>
          <cell r="I132">
            <v>7.2407115422364559</v>
          </cell>
        </row>
        <row r="133">
          <cell r="C133" t="str">
            <v>MMBtu/short ton resin</v>
          </cell>
          <cell r="D133">
            <v>14.348182173108128</v>
          </cell>
          <cell r="E133">
            <v>14.605964946069594</v>
          </cell>
          <cell r="F133">
            <v>14.484417438186126</v>
          </cell>
          <cell r="G133">
            <v>15.221009636821236</v>
          </cell>
          <cell r="H133">
            <v>9.5994790496418148</v>
          </cell>
          <cell r="I133">
            <v>6.5686630178587784</v>
          </cell>
        </row>
        <row r="134">
          <cell r="A134" t="str">
            <v>Total GHG emissions</v>
          </cell>
          <cell r="C134" t="str">
            <v>MTCO2/metric ton resin</v>
          </cell>
          <cell r="D134">
            <v>0.69950057507371288</v>
          </cell>
          <cell r="E134">
            <v>0.71206796484860735</v>
          </cell>
          <cell r="F134">
            <v>0.7061422977057259</v>
          </cell>
          <cell r="G134">
            <v>0.72760766344410521</v>
          </cell>
          <cell r="H134">
            <v>0.4029982135685759</v>
          </cell>
          <cell r="I134">
            <v>0.32023454281681424</v>
          </cell>
        </row>
        <row r="135">
          <cell r="C135" t="str">
            <v>MTCO2e/short ton resin</v>
          </cell>
          <cell r="D135">
            <v>0.6345762473280967</v>
          </cell>
          <cell r="E135">
            <v>0.64597719155351307</v>
          </cell>
          <cell r="F135">
            <v>0.64060151674717158</v>
          </cell>
          <cell r="G135">
            <v>0.6600745689835481</v>
          </cell>
          <cell r="H135">
            <v>0.36559382959667303</v>
          </cell>
          <cell r="I135">
            <v>0.29051189046429049</v>
          </cell>
        </row>
        <row r="136">
          <cell r="A136" t="str">
            <v>This table contains the final GHG emission factors for total energy use at the hydrocracker for each resin modeled on this sheet. These GHG emission factors are used on the "Energy Emissions" sheet under the "Other" column.</v>
          </cell>
        </row>
        <row r="137">
          <cell r="A137" t="str">
            <v>Emission factors</v>
          </cell>
          <cell r="B137" t="str">
            <v>CO2-equivalent GHG emissions</v>
          </cell>
          <cell r="C137" t="str">
            <v>kgCO2e/MMBtu</v>
          </cell>
          <cell r="D137">
            <v>44.226943850590501</v>
          </cell>
          <cell r="E137">
            <v>44.226943850590501</v>
          </cell>
          <cell r="F137">
            <v>44.226943850590494</v>
          </cell>
          <cell r="G137">
            <v>43.366017414952402</v>
          </cell>
          <cell r="H137">
            <v>38.084757277564393</v>
          </cell>
          <cell r="I137">
            <v>44.226943850590494</v>
          </cell>
        </row>
        <row r="138">
          <cell r="B138" t="str">
            <v>CO2 emissions</v>
          </cell>
          <cell r="C138" t="str">
            <v>metric tons CO2/MMBtu</v>
          </cell>
          <cell r="D138">
            <v>7.0877299810283004E-6</v>
          </cell>
          <cell r="E138">
            <v>7.0877299810282995E-6</v>
          </cell>
          <cell r="F138">
            <v>7.0877299810282995E-6</v>
          </cell>
          <cell r="G138">
            <v>6.8742208943586659E-6</v>
          </cell>
          <cell r="H138">
            <v>6.8403513795359166E-6</v>
          </cell>
          <cell r="I138">
            <v>7.0877299810282987E-6</v>
          </cell>
        </row>
        <row r="139">
          <cell r="B139" t="str">
            <v>CH4 emissions</v>
          </cell>
          <cell r="C139" t="str">
            <v>metric tons CH4/MMBtu</v>
          </cell>
          <cell r="D139">
            <v>0</v>
          </cell>
          <cell r="E139">
            <v>0</v>
          </cell>
          <cell r="F139">
            <v>0</v>
          </cell>
          <cell r="G139">
            <v>0</v>
          </cell>
          <cell r="H139">
            <v>0</v>
          </cell>
          <cell r="I139">
            <v>0</v>
          </cell>
        </row>
        <row r="141">
          <cell r="A141" t="str">
            <v>Quality control check against original Franklin source:</v>
          </cell>
        </row>
        <row r="143">
          <cell r="C143" t="str">
            <v>Units</v>
          </cell>
          <cell r="D143" t="str">
            <v>Quantity</v>
          </cell>
          <cell r="E143" t="str">
            <v xml:space="preserve">Energy </v>
          </cell>
          <cell r="H143" t="str">
            <v>FAL 2011 Table B-1</v>
          </cell>
          <cell r="J143" t="str">
            <v>Notes</v>
          </cell>
        </row>
        <row r="144">
          <cell r="B144" t="str">
            <v>Test calculations</v>
          </cell>
          <cell r="E144" t="str">
            <v>Precombustion</v>
          </cell>
          <cell r="F144" t="str">
            <v>Combustion</v>
          </cell>
          <cell r="G144" t="str">
            <v>Total</v>
          </cell>
          <cell r="H144" t="str">
            <v>Combustion</v>
          </cell>
          <cell r="I144" t="str">
            <v>Error</v>
          </cell>
        </row>
        <row r="145">
          <cell r="D145" t="str">
            <v>units/metric ton</v>
          </cell>
          <cell r="E145" t="str">
            <v>MMBtu/metric ton</v>
          </cell>
          <cell r="F145" t="str">
            <v>MMBtu/metric ton</v>
          </cell>
          <cell r="G145" t="str">
            <v>MMBtu/metric ton</v>
          </cell>
          <cell r="H145" t="str">
            <v>MMBtu/metric ton</v>
          </cell>
          <cell r="I145" t="str">
            <v>% difference</v>
          </cell>
        </row>
        <row r="146">
          <cell r="A146" t="str">
            <v>HDPE</v>
          </cell>
          <cell r="B146" t="str">
            <v>Petroleum refining, for olefins production, at plant, internal offgas use</v>
          </cell>
          <cell r="C146" t="str">
            <v>kg</v>
          </cell>
          <cell r="D146">
            <v>25.839000000000002</v>
          </cell>
          <cell r="E146">
            <v>0.14774907525740996</v>
          </cell>
          <cell r="F146">
            <v>1.746031746031746</v>
          </cell>
          <cell r="G146">
            <v>1.893780821289156</v>
          </cell>
          <cell r="H146">
            <v>1.7460611165042303</v>
          </cell>
          <cell r="I146">
            <v>-1.6820987654209141E-5</v>
          </cell>
          <cell r="J146" t="str">
            <v>Since error (i.e. % difference is very small, this validates the calculation.</v>
          </cell>
        </row>
        <row r="147">
          <cell r="B147" t="str">
            <v>Natural gas, processed, for ethylene production, at plant, internal offgas use</v>
          </cell>
          <cell r="C147" t="str">
            <v>kg</v>
          </cell>
          <cell r="D147">
            <v>117.71100000000001</v>
          </cell>
          <cell r="E147">
            <v>0.40407855223952999</v>
          </cell>
          <cell r="F147">
            <v>7.9486719687875169</v>
          </cell>
          <cell r="G147">
            <v>8.3527505210270476</v>
          </cell>
          <cell r="H147">
            <v>7.9542784196303833</v>
          </cell>
          <cell r="I147">
            <v>-7.0483462447457068E-4</v>
          </cell>
        </row>
        <row r="148">
          <cell r="B148" t="str">
            <v>Natural gas, combusted in industrial boiler, at hydrocracker, for ethylene</v>
          </cell>
          <cell r="C148" t="str">
            <v>m3</v>
          </cell>
          <cell r="D148">
            <v>140.42389874279974</v>
          </cell>
          <cell r="E148">
            <v>0.51142851222286811</v>
          </cell>
          <cell r="F148">
            <v>5.058203646081683</v>
          </cell>
          <cell r="G148">
            <v>5.5696321583045512</v>
          </cell>
        </row>
        <row r="150">
          <cell r="E150" t="str">
            <v>GHG emissions</v>
          </cell>
        </row>
        <row r="151">
          <cell r="E151" t="str">
            <v>Precombustion</v>
          </cell>
          <cell r="F151" t="str">
            <v>Combustion</v>
          </cell>
          <cell r="G151" t="str">
            <v>Total</v>
          </cell>
        </row>
        <row r="152">
          <cell r="E152" t="str">
            <v>MMBtu/metric ton</v>
          </cell>
          <cell r="F152" t="str">
            <v>MMBtu/metric ton</v>
          </cell>
          <cell r="G152" t="str">
            <v>MMBtu/metric ton</v>
          </cell>
        </row>
        <row r="153">
          <cell r="A153" t="str">
            <v>HDPE</v>
          </cell>
          <cell r="B153" t="str">
            <v>Petroleum refining, for olefins production, at plant, internal offgas use</v>
          </cell>
          <cell r="E153">
            <v>8.1044856351712713E-3</v>
          </cell>
          <cell r="F153">
            <v>0</v>
          </cell>
          <cell r="G153">
            <v>8.1044856351712713E-3</v>
          </cell>
        </row>
        <row r="154">
          <cell r="B154" t="str">
            <v>Natural gas, processed, for ethylene production, at plant, internal offgas use</v>
          </cell>
          <cell r="E154">
            <v>1.9659383241331919E-2</v>
          </cell>
          <cell r="F154">
            <v>0</v>
          </cell>
          <cell r="G154">
            <v>1.9659383241331919E-2</v>
          </cell>
        </row>
        <row r="155">
          <cell r="B155" t="str">
            <v>Natural gas, combusted in industrial boiler, at hydrocracker, for ethylene</v>
          </cell>
          <cell r="E155">
            <v>2.858308603500025E-2</v>
          </cell>
          <cell r="F155">
            <v>0.64315362016220945</v>
          </cell>
          <cell r="G155">
            <v>0.67173670619720971</v>
          </cell>
        </row>
        <row r="171">
          <cell r="B171" t="str">
            <v>Virgin Plastic Energy and GHG Emission Factors</v>
          </cell>
        </row>
        <row r="175">
          <cell r="A175" t="str">
            <v>Name:</v>
          </cell>
          <cell r="B175" t="str">
            <v>Virgin HDPE Pellet</v>
          </cell>
        </row>
        <row r="176">
          <cell r="A176" t="str">
            <v>Source:</v>
          </cell>
          <cell r="B176" t="str">
            <v>FAL (2011) Cradle-to-Gate Life Cycle Inventory of Nine Plastic Resins and Four Polyurethane Precursors: Revised Final Report. Franklin Associates Ltd. (FAL), August 2011.</v>
          </cell>
        </row>
        <row r="177">
          <cell r="A177" t="str">
            <v>Links:</v>
          </cell>
          <cell r="B177" t="str">
            <v>http://www.americanchemistry.com/s_plastics/sec_pfpg.asp?CID=1439&amp;DID=5336</v>
          </cell>
        </row>
        <row r="178">
          <cell r="A178" t="str">
            <v>Assumptions:</v>
          </cell>
          <cell r="B178" t="str">
            <v>N/A</v>
          </cell>
        </row>
        <row r="179">
          <cell r="A179" t="str">
            <v>Spreadsheets:</v>
          </cell>
          <cell r="B179" t="str">
            <v>K:\MSW\Greenblue_EPA Data Collection\All Plastics\_LIVE Virgin</v>
          </cell>
        </row>
        <row r="180">
          <cell r="D180" t="str">
            <v>Process Energy</v>
          </cell>
        </row>
        <row r="181">
          <cell r="D181" t="str">
            <v>inputs listed in Franklin Appendix</v>
          </cell>
          <cell r="N181" t="str">
            <v>Inputs NOT listed in Franklin Appendix (but are in the unit process level data)</v>
          </cell>
        </row>
        <row r="182">
          <cell r="B182" t="str">
            <v>Input names</v>
          </cell>
          <cell r="C182" t="str">
            <v>Weights</v>
          </cell>
          <cell r="D182" t="str">
            <v>Electricity, at grid, US</v>
          </cell>
          <cell r="E182" t="str">
            <v>Electricity, cogenerated, at plant</v>
          </cell>
          <cell r="F182" t="str">
            <v>Natural gas, combusted in industrial boiler</v>
          </cell>
          <cell r="G182" t="str">
            <v>Diesel, combusted in industrial equipment</v>
          </cell>
          <cell r="H182" t="str">
            <v>Residual fuel oil, combusted in industrial boiler</v>
          </cell>
          <cell r="I182" t="str">
            <v>Gasoline, combusted in equipment</v>
          </cell>
          <cell r="J182" t="str">
            <v>Liquefied petroleum gas, combusted in industrial boiler</v>
          </cell>
          <cell r="K182" t="str">
            <v>Natural gas, processed, for olefins production, at plant, internal offgas use</v>
          </cell>
          <cell r="L182" t="str">
            <v>Petroleum refining, for olefins production, at plant, internal offgas use</v>
          </cell>
          <cell r="M182" t="str">
            <v>Natural gas, combusted in industrial boiler, at hydrocracker, for ethylene</v>
          </cell>
          <cell r="N182" t="str">
            <v>Ethylene, at plant</v>
          </cell>
          <cell r="O182" t="str">
            <v>Natural gas, extracted, material use</v>
          </cell>
          <cell r="P182" t="str">
            <v>Natural gas, processed, for olefins production, at plant, material use</v>
          </cell>
          <cell r="Q182" t="str">
            <v>Dummy_Disposal, solid waste, unspecified, to sanitary landfill</v>
          </cell>
          <cell r="R182" t="str">
            <v>Dummy_Disposal, solid waste, unspecified, to municipal incineration</v>
          </cell>
          <cell r="S182" t="str">
            <v>Dummy_Disposal, solid waste, unspecified, to waste-to-energy</v>
          </cell>
        </row>
        <row r="183">
          <cell r="B183" t="str">
            <v>WARM fuel names</v>
          </cell>
          <cell r="D183" t="str">
            <v>Electricity, at grid, US</v>
          </cell>
          <cell r="E183" t="str">
            <v>Electricity, cogenerated, at plant</v>
          </cell>
          <cell r="F183" t="str">
            <v>Natural gas, combusted in industrial boiler</v>
          </cell>
          <cell r="G183" t="str">
            <v>Diesel, combusted in industrial equipment</v>
          </cell>
          <cell r="H183" t="str">
            <v>Residual fuel oil, combusted in industrial boiler</v>
          </cell>
          <cell r="I183" t="str">
            <v>Gasoline, combusted in equipment</v>
          </cell>
          <cell r="J183" t="str">
            <v>Liquefied petroleum gas, combusted in industrial boiler</v>
          </cell>
          <cell r="K183" t="str">
            <v>Natural gas, processed, for ethylene production, at plant, internal offgas use</v>
          </cell>
          <cell r="L183" t="str">
            <v>Petroleum refining, for ethylene production, at plant, internal offgas use</v>
          </cell>
          <cell r="M183" t="str">
            <v>Natural gas, combusted in industrial boiler, at hydrocracker, for ethylene</v>
          </cell>
        </row>
        <row r="184">
          <cell r="B184" t="str">
            <v>Units</v>
          </cell>
          <cell r="D184" t="str">
            <v>kwh</v>
          </cell>
          <cell r="E184" t="str">
            <v>kwh</v>
          </cell>
          <cell r="F184" t="str">
            <v>m3</v>
          </cell>
          <cell r="G184" t="str">
            <v>Liter</v>
          </cell>
          <cell r="H184" t="str">
            <v>Liter</v>
          </cell>
          <cell r="I184" t="str">
            <v>Liter</v>
          </cell>
          <cell r="J184" t="str">
            <v>Liter</v>
          </cell>
          <cell r="K184" t="str">
            <v>kg</v>
          </cell>
          <cell r="L184" t="str">
            <v>kg</v>
          </cell>
          <cell r="M184" t="str">
            <v>m3</v>
          </cell>
          <cell r="N184" t="str">
            <v>kg</v>
          </cell>
          <cell r="O184" t="str">
            <v>kg</v>
          </cell>
          <cell r="P184" t="str">
            <v>kg</v>
          </cell>
          <cell r="Q184" t="str">
            <v>kg</v>
          </cell>
          <cell r="R184" t="str">
            <v>kg</v>
          </cell>
          <cell r="S184" t="str">
            <v>kg</v>
          </cell>
        </row>
        <row r="185">
          <cell r="B185" t="str">
            <v>Crude oil, extracted, material use</v>
          </cell>
          <cell r="C185">
            <v>0.18754249331597142</v>
          </cell>
          <cell r="D185">
            <v>3.9007760922910306E-2</v>
          </cell>
          <cell r="E185">
            <v>0</v>
          </cell>
          <cell r="F185">
            <v>3.2773193101835504E-2</v>
          </cell>
          <cell r="G185">
            <v>1.292841229219902E-3</v>
          </cell>
          <cell r="H185">
            <v>7.9811801371544784E-4</v>
          </cell>
          <cell r="I185">
            <v>6.8420799999999995E-4</v>
          </cell>
          <cell r="J185">
            <v>0</v>
          </cell>
          <cell r="K185">
            <v>0</v>
          </cell>
          <cell r="L185">
            <v>0</v>
          </cell>
          <cell r="M185">
            <v>0</v>
          </cell>
          <cell r="N185">
            <v>0</v>
          </cell>
          <cell r="O185">
            <v>0</v>
          </cell>
          <cell r="P185">
            <v>0</v>
          </cell>
          <cell r="Q185">
            <v>2.6145465323843063E-2</v>
          </cell>
          <cell r="R185">
            <v>0</v>
          </cell>
          <cell r="S185">
            <v>0</v>
          </cell>
        </row>
        <row r="186">
          <cell r="B186" t="str">
            <v>Petroleum refining coproduct, for olefins production, at refinery, material use</v>
          </cell>
          <cell r="C186">
            <v>0.18422641779564972</v>
          </cell>
          <cell r="D186">
            <v>0.14299999999999999</v>
          </cell>
          <cell r="E186">
            <v>0</v>
          </cell>
          <cell r="F186">
            <v>1.11E-2</v>
          </cell>
          <cell r="G186">
            <v>0</v>
          </cell>
          <cell r="H186">
            <v>2.7199999999999998E-2</v>
          </cell>
          <cell r="I186">
            <v>0</v>
          </cell>
          <cell r="J186">
            <v>1.1492253471102709E-3</v>
          </cell>
          <cell r="K186">
            <v>0</v>
          </cell>
          <cell r="L186">
            <v>0</v>
          </cell>
          <cell r="M186">
            <v>0</v>
          </cell>
          <cell r="N186">
            <v>0</v>
          </cell>
          <cell r="O186">
            <v>0</v>
          </cell>
          <cell r="P186">
            <v>0</v>
          </cell>
          <cell r="Q186">
            <v>5.604210839866227E-3</v>
          </cell>
          <cell r="R186">
            <v>0</v>
          </cell>
          <cell r="S186">
            <v>0</v>
          </cell>
        </row>
        <row r="187">
          <cell r="B187" t="str">
            <v>Natural gas, extracted, material use</v>
          </cell>
          <cell r="C187">
            <v>0.82652478704588594</v>
          </cell>
          <cell r="D187">
            <v>3.9007760922910306E-2</v>
          </cell>
          <cell r="E187">
            <v>0</v>
          </cell>
          <cell r="F187">
            <v>3.2773193101835504E-2</v>
          </cell>
          <cell r="G187">
            <v>1.2928412292199023E-3</v>
          </cell>
          <cell r="H187">
            <v>7.9811801371544784E-4</v>
          </cell>
          <cell r="I187">
            <v>6.8420799999999995E-4</v>
          </cell>
          <cell r="J187">
            <v>0</v>
          </cell>
          <cell r="K187">
            <v>0</v>
          </cell>
          <cell r="L187">
            <v>0</v>
          </cell>
          <cell r="M187">
            <v>0</v>
          </cell>
          <cell r="N187">
            <v>0</v>
          </cell>
          <cell r="O187">
            <v>0</v>
          </cell>
          <cell r="P187">
            <v>0</v>
          </cell>
          <cell r="Q187">
            <v>2.4697908042181894E-2</v>
          </cell>
          <cell r="R187">
            <v>0</v>
          </cell>
          <cell r="S187">
            <v>0</v>
          </cell>
        </row>
        <row r="188">
          <cell r="B188" t="str">
            <v>Natural gas, processed, for olefins production, at plant, material use</v>
          </cell>
          <cell r="C188">
            <v>0.82216730035400964</v>
          </cell>
          <cell r="D188">
            <v>2.1322549914683849E-2</v>
          </cell>
          <cell r="E188">
            <v>0</v>
          </cell>
          <cell r="F188">
            <v>3.4567420882417418E-2</v>
          </cell>
          <cell r="G188">
            <v>5.019674551149041E-5</v>
          </cell>
          <cell r="H188">
            <v>4.956533990757228E-5</v>
          </cell>
          <cell r="I188">
            <v>4.7605978073191451E-5</v>
          </cell>
          <cell r="J188">
            <v>0</v>
          </cell>
          <cell r="K188">
            <v>0</v>
          </cell>
          <cell r="L188">
            <v>0</v>
          </cell>
          <cell r="M188">
            <v>0</v>
          </cell>
          <cell r="N188">
            <v>0</v>
          </cell>
          <cell r="O188">
            <v>1.0053000000000001</v>
          </cell>
          <cell r="P188">
            <v>0</v>
          </cell>
          <cell r="Q188">
            <v>0</v>
          </cell>
          <cell r="R188">
            <v>0</v>
          </cell>
          <cell r="S188">
            <v>0</v>
          </cell>
        </row>
        <row r="189">
          <cell r="B189" t="str">
            <v>Ethylene, at plant</v>
          </cell>
          <cell r="C189">
            <v>0.99</v>
          </cell>
          <cell r="D189">
            <v>7.8775271768157767E-2</v>
          </cell>
          <cell r="E189">
            <v>6.7391643429430867E-2</v>
          </cell>
          <cell r="F189">
            <v>0</v>
          </cell>
          <cell r="G189">
            <v>7.9401871578878264E-5</v>
          </cell>
          <cell r="H189">
            <v>0</v>
          </cell>
          <cell r="I189">
            <v>9.1432458181738591E-5</v>
          </cell>
          <cell r="J189">
            <v>0</v>
          </cell>
          <cell r="K189">
            <v>0.11890000000000001</v>
          </cell>
          <cell r="L189">
            <v>2.6100000000000002E-2</v>
          </cell>
          <cell r="M189">
            <v>0.14184232196242397</v>
          </cell>
          <cell r="N189">
            <v>0</v>
          </cell>
          <cell r="O189">
            <v>0</v>
          </cell>
          <cell r="P189">
            <v>0.83047202055960567</v>
          </cell>
          <cell r="Q189">
            <v>2.8240239193861694E-4</v>
          </cell>
          <cell r="R189">
            <v>3.6186239428491413E-3</v>
          </cell>
          <cell r="S189">
            <v>2.3357562675735568E-5</v>
          </cell>
        </row>
        <row r="190">
          <cell r="B190" t="str">
            <v xml:space="preserve">Polyethylene, high density, resin, at plant </v>
          </cell>
          <cell r="C190">
            <v>1</v>
          </cell>
          <cell r="D190">
            <v>0.17791005291005291</v>
          </cell>
          <cell r="E190">
            <v>0.22045855379188711</v>
          </cell>
          <cell r="F190">
            <v>3.5520963000000003E-2</v>
          </cell>
          <cell r="G190">
            <v>0</v>
          </cell>
          <cell r="H190">
            <v>6.0076799999999996E-3</v>
          </cell>
          <cell r="I190">
            <v>0</v>
          </cell>
          <cell r="J190">
            <v>3.7547999999999994E-5</v>
          </cell>
          <cell r="K190">
            <v>0</v>
          </cell>
          <cell r="L190">
            <v>0</v>
          </cell>
          <cell r="M190">
            <v>0</v>
          </cell>
          <cell r="N190">
            <v>0.99</v>
          </cell>
          <cell r="O190">
            <v>0</v>
          </cell>
          <cell r="P190">
            <v>0</v>
          </cell>
          <cell r="Q190">
            <v>3.5999999999999997E-4</v>
          </cell>
          <cell r="R190">
            <v>2.6000000000000003E-4</v>
          </cell>
          <cell r="S190">
            <v>3.9999999999999998E-6</v>
          </cell>
        </row>
        <row r="191">
          <cell r="B191" t="str">
            <v>Weighted Cradle to resin for 1 kg of HDPE</v>
          </cell>
          <cell r="D191">
            <v>0.33932914703742745</v>
          </cell>
          <cell r="E191">
            <v>0.28717628078702367</v>
          </cell>
          <cell r="F191">
            <v>9.9220302142181985E-2</v>
          </cell>
          <cell r="G191">
            <v>1.4309059648615356E-3</v>
          </cell>
          <cell r="H191">
            <v>1.1868734929320841E-2</v>
          </cell>
          <cell r="I191">
            <v>8.2349115783489487E-4</v>
          </cell>
          <cell r="J191">
            <v>2.4926566893808736E-4</v>
          </cell>
          <cell r="K191">
            <v>0.11771100000000001</v>
          </cell>
          <cell r="L191">
            <v>2.5839000000000001E-2</v>
          </cell>
          <cell r="M191">
            <v>0.14042389874279973</v>
          </cell>
          <cell r="N191">
            <v>0.99</v>
          </cell>
          <cell r="O191">
            <v>0.82652478704588594</v>
          </cell>
          <cell r="P191">
            <v>0.82216730035400964</v>
          </cell>
          <cell r="Q191">
            <v>2.6988840996402402E-2</v>
          </cell>
          <cell r="R191">
            <v>3.8424377034206496E-3</v>
          </cell>
          <cell r="S191">
            <v>2.7123987048978211E-5</v>
          </cell>
        </row>
        <row r="193">
          <cell r="B193" t="str">
            <v>Weighted Cradle to resin for 1 metric ton of HDPE</v>
          </cell>
          <cell r="D193">
            <v>339.32914703742745</v>
          </cell>
          <cell r="E193">
            <v>287.1762807870237</v>
          </cell>
          <cell r="F193">
            <v>99.220302142181978</v>
          </cell>
          <cell r="G193">
            <v>1.4309059648615357</v>
          </cell>
          <cell r="H193">
            <v>11.868734929320841</v>
          </cell>
          <cell r="I193">
            <v>0.8234911578348949</v>
          </cell>
          <cell r="J193">
            <v>0.24926566893808735</v>
          </cell>
          <cell r="K193">
            <v>117.71100000000001</v>
          </cell>
          <cell r="L193">
            <v>25.839000000000002</v>
          </cell>
          <cell r="M193">
            <v>140.42389874279974</v>
          </cell>
          <cell r="N193">
            <v>990</v>
          </cell>
          <cell r="O193">
            <v>826.524787045886</v>
          </cell>
          <cell r="P193">
            <v>822.16730035400963</v>
          </cell>
          <cell r="Q193">
            <v>26.988840996402402</v>
          </cell>
          <cell r="R193">
            <v>3.8424377034206496</v>
          </cell>
          <cell r="S193">
            <v>2.7123987048978209E-2</v>
          </cell>
        </row>
        <row r="194">
          <cell r="B194" t="str">
            <v>Franklin Appendices DATA from February 2011</v>
          </cell>
          <cell r="D194">
            <v>352</v>
          </cell>
          <cell r="E194">
            <v>287</v>
          </cell>
          <cell r="F194">
            <v>303</v>
          </cell>
          <cell r="G194">
            <v>1.609</v>
          </cell>
          <cell r="H194">
            <v>12.7</v>
          </cell>
          <cell r="I194">
            <v>0.94</v>
          </cell>
          <cell r="J194">
            <v>0.28000000000000003</v>
          </cell>
        </row>
        <row r="196">
          <cell r="H196" t="str">
            <v>MMBtu</v>
          </cell>
          <cell r="I196" t="str">
            <v>MMBtu</v>
          </cell>
          <cell r="J196" t="str">
            <v>MMBtu</v>
          </cell>
          <cell r="K196" t="str">
            <v>MMBtu</v>
          </cell>
          <cell r="L196" t="str">
            <v>MMBtu</v>
          </cell>
          <cell r="M196" t="str">
            <v>MMBtu</v>
          </cell>
        </row>
        <row r="197">
          <cell r="H197">
            <v>6.8664998699857802E-2</v>
          </cell>
          <cell r="I197">
            <v>3.7199912763458205E-3</v>
          </cell>
          <cell r="J197">
            <v>8.2969769503382824E-4</v>
          </cell>
          <cell r="K197">
            <v>0.40407855223952993</v>
          </cell>
          <cell r="L197">
            <v>0.14774907525740996</v>
          </cell>
          <cell r="M197">
            <v>0.51142851222286823</v>
          </cell>
        </row>
        <row r="198">
          <cell r="H198">
            <v>0.47030821027299857</v>
          </cell>
          <cell r="I198">
            <v>2.7192918686738454E-2</v>
          </cell>
          <cell r="J198">
            <v>6.2885817361690941E-3</v>
          </cell>
          <cell r="K198">
            <v>7.948671968787516</v>
          </cell>
          <cell r="L198">
            <v>1.7460317460317458</v>
          </cell>
          <cell r="M198">
            <v>5.0582036460816839</v>
          </cell>
        </row>
        <row r="199">
          <cell r="H199">
            <v>0.53897320897285639</v>
          </cell>
          <cell r="I199">
            <v>3.0912909963084274E-2</v>
          </cell>
          <cell r="J199">
            <v>7.1182794312029223E-3</v>
          </cell>
          <cell r="K199">
            <v>8.3527505210270458</v>
          </cell>
          <cell r="L199">
            <v>1.8937808212891558</v>
          </cell>
          <cell r="M199">
            <v>5.569632158304552</v>
          </cell>
        </row>
        <row r="200">
          <cell r="H200">
            <v>0.59154539910209647</v>
          </cell>
          <cell r="I200">
            <v>3.5850173038217206E-2</v>
          </cell>
          <cell r="J200">
            <v>1.058260327931118E-2</v>
          </cell>
        </row>
        <row r="216">
          <cell r="A216" t="str">
            <v>Name:</v>
          </cell>
          <cell r="B216" t="str">
            <v>Virgin LDPE Pellet</v>
          </cell>
        </row>
        <row r="217">
          <cell r="A217" t="str">
            <v>Source:</v>
          </cell>
          <cell r="B217" t="str">
            <v>FAL (2011 Cradle-to-Gate Life Cycle Inventory of Nine Plastic Resins and Four Polyurethane Precursors: Revised Final Report. Franklin Associates Ltd. (FAL), August 2011.</v>
          </cell>
        </row>
        <row r="218">
          <cell r="A218" t="str">
            <v>Links:</v>
          </cell>
          <cell r="B218" t="str">
            <v>http://www.americanchemistry.com/s_plastics/sec_pfpg.asp?CID=1439&amp;DID=5336</v>
          </cell>
        </row>
        <row r="219">
          <cell r="A219" t="str">
            <v>Assumptions:</v>
          </cell>
          <cell r="B219" t="str">
            <v>N/A</v>
          </cell>
        </row>
        <row r="220">
          <cell r="A220" t="str">
            <v>Spreadsheets:</v>
          </cell>
          <cell r="B220" t="str">
            <v>K:\MSW\Greenblue_EPA Data Collection\All Plastics\_LIVE Virgin</v>
          </cell>
        </row>
        <row r="223">
          <cell r="D223" t="str">
            <v>Process Energy</v>
          </cell>
        </row>
        <row r="224">
          <cell r="D224" t="str">
            <v>inputs listed in Franklin Appendix</v>
          </cell>
          <cell r="N224" t="str">
            <v>Inputs NOT listed in Appendix (but are in the unit process level data)</v>
          </cell>
        </row>
        <row r="225">
          <cell r="B225" t="str">
            <v>Input names</v>
          </cell>
          <cell r="C225" t="str">
            <v>Weights</v>
          </cell>
          <cell r="D225" t="str">
            <v>Electricity, at grid, US</v>
          </cell>
          <cell r="E225" t="str">
            <v>Electricity, cogenerated, at plant</v>
          </cell>
          <cell r="F225" t="str">
            <v>Natural gas, combusted in industrial boiler</v>
          </cell>
          <cell r="G225" t="str">
            <v>Diesel, combusted in industrial equipment</v>
          </cell>
          <cell r="H225" t="str">
            <v>Residual fuel oil, combusted in industrial boiler</v>
          </cell>
          <cell r="I225" t="str">
            <v>Gasoline, combusted in equipment</v>
          </cell>
          <cell r="J225" t="str">
            <v>Liquefied petroleum gas, combusted in industrial boiler</v>
          </cell>
          <cell r="K225" t="str">
            <v>Natural gas, processed, for olefins production, at plant, internal offgas use</v>
          </cell>
          <cell r="L225" t="str">
            <v>Petroleum refining, for olefins production, at plant, internal offgas use</v>
          </cell>
          <cell r="M225" t="str">
            <v>Natural gas, combusted in industrial boiler, at hydrocracker, for ethylene</v>
          </cell>
          <cell r="N225" t="str">
            <v>Ethylene, at plant</v>
          </cell>
          <cell r="O225" t="str">
            <v>Natural gas, extracted, material use</v>
          </cell>
          <cell r="P225" t="str">
            <v>Natural gas, processed, for olefins production, at plant, material use</v>
          </cell>
          <cell r="Q225" t="str">
            <v>Dummy_Disposal, solid waste, unspecified, to sanitary landfill</v>
          </cell>
          <cell r="R225" t="str">
            <v>Dummy_Disposal, solid waste, unspecified, to municipal incineration</v>
          </cell>
          <cell r="S225" t="str">
            <v>Dummy_Disposal, solid waste, unspecified, to waste-to-energy</v>
          </cell>
        </row>
        <row r="226">
          <cell r="B226" t="str">
            <v>WARM fuel names</v>
          </cell>
          <cell r="D226" t="str">
            <v>Electricity, at grid, US</v>
          </cell>
          <cell r="E226" t="str">
            <v>Electricity, cogenerated, at plant</v>
          </cell>
          <cell r="F226" t="str">
            <v>Natural gas, combusted in industrial boiler</v>
          </cell>
          <cell r="G226" t="str">
            <v>Diesel, combusted in industrial equipment</v>
          </cell>
          <cell r="H226" t="str">
            <v>Residual fuel oil, combusted in industrial boiler</v>
          </cell>
          <cell r="I226" t="str">
            <v>Gasoline, combusted in equipment</v>
          </cell>
          <cell r="J226" t="str">
            <v>Liquefied petroleum gas, combusted in industrial boiler</v>
          </cell>
          <cell r="K226" t="str">
            <v>Natural gas, processed, for ethylene production, at plant, internal offgas use</v>
          </cell>
          <cell r="L226" t="str">
            <v>Petroleum refining, for ethylene production, at plant, internal offgas use</v>
          </cell>
          <cell r="M226" t="str">
            <v>Natural gas, combusted in industrial boiler, at hydrocracker, for ethylene</v>
          </cell>
        </row>
        <row r="227">
          <cell r="B227" t="str">
            <v>Units</v>
          </cell>
          <cell r="D227" t="str">
            <v>kwh</v>
          </cell>
          <cell r="E227" t="str">
            <v>kwh</v>
          </cell>
          <cell r="F227" t="str">
            <v>m3</v>
          </cell>
          <cell r="G227" t="str">
            <v>Liter</v>
          </cell>
          <cell r="H227" t="str">
            <v>Liter</v>
          </cell>
          <cell r="I227" t="str">
            <v>Liter</v>
          </cell>
          <cell r="J227" t="str">
            <v>Liter</v>
          </cell>
          <cell r="K227" t="str">
            <v>kg</v>
          </cell>
          <cell r="L227" t="str">
            <v>kg</v>
          </cell>
          <cell r="M227" t="str">
            <v>m3</v>
          </cell>
          <cell r="N227" t="str">
            <v>kg</v>
          </cell>
          <cell r="O227" t="str">
            <v>kg</v>
          </cell>
          <cell r="P227" t="str">
            <v>kg</v>
          </cell>
          <cell r="Q227" t="str">
            <v>kg</v>
          </cell>
          <cell r="R227" t="str">
            <v>kg</v>
          </cell>
          <cell r="S227" t="str">
            <v>kg</v>
          </cell>
        </row>
        <row r="228">
          <cell r="B228" t="str">
            <v>Crude oil, extracted, material use</v>
          </cell>
          <cell r="C228">
            <v>0.19091192530337042</v>
          </cell>
          <cell r="D228">
            <v>3.9007760922910306E-2</v>
          </cell>
          <cell r="E228">
            <v>0</v>
          </cell>
          <cell r="F228">
            <v>3.2773193101835504E-2</v>
          </cell>
          <cell r="G228">
            <v>1.292841229219902E-3</v>
          </cell>
          <cell r="H228">
            <v>7.9811801371544784E-4</v>
          </cell>
          <cell r="I228">
            <v>6.8420799999999995E-4</v>
          </cell>
          <cell r="J228">
            <v>0</v>
          </cell>
          <cell r="K228">
            <v>0</v>
          </cell>
          <cell r="L228">
            <v>0</v>
          </cell>
          <cell r="M228">
            <v>0</v>
          </cell>
          <cell r="N228">
            <v>0</v>
          </cell>
          <cell r="O228">
            <v>0</v>
          </cell>
          <cell r="P228">
            <v>0</v>
          </cell>
          <cell r="Q228">
            <v>2.6145465323843063E-2</v>
          </cell>
          <cell r="R228">
            <v>0</v>
          </cell>
          <cell r="S228">
            <v>0</v>
          </cell>
        </row>
        <row r="229">
          <cell r="B229" t="str">
            <v>Petroleum refining coproduct, for olefins production, at refinery, material use</v>
          </cell>
          <cell r="C229">
            <v>0.1875362724001674</v>
          </cell>
          <cell r="D229">
            <v>0.14299999999999999</v>
          </cell>
          <cell r="E229">
            <v>0</v>
          </cell>
          <cell r="F229">
            <v>1.11E-2</v>
          </cell>
          <cell r="G229">
            <v>0</v>
          </cell>
          <cell r="H229">
            <v>2.7199999999999998E-2</v>
          </cell>
          <cell r="I229">
            <v>0</v>
          </cell>
          <cell r="J229">
            <v>1.1492253471102709E-3</v>
          </cell>
          <cell r="K229">
            <v>0</v>
          </cell>
          <cell r="L229">
            <v>0</v>
          </cell>
          <cell r="M229">
            <v>0</v>
          </cell>
          <cell r="N229">
            <v>0</v>
          </cell>
          <cell r="O229">
            <v>0</v>
          </cell>
          <cell r="P229">
            <v>0</v>
          </cell>
          <cell r="Q229">
            <v>5.604210839866227E-3</v>
          </cell>
          <cell r="R229">
            <v>0</v>
          </cell>
          <cell r="S229">
            <v>0</v>
          </cell>
        </row>
        <row r="230">
          <cell r="B230" t="str">
            <v>Natural gas, extracted, material use</v>
          </cell>
          <cell r="C230">
            <v>0.84137432331156048</v>
          </cell>
          <cell r="D230">
            <v>3.9007760922910306E-2</v>
          </cell>
          <cell r="E230">
            <v>0</v>
          </cell>
          <cell r="F230">
            <v>3.2773193101835504E-2</v>
          </cell>
          <cell r="G230">
            <v>1.2928412292199023E-3</v>
          </cell>
          <cell r="H230">
            <v>7.9811801371544784E-4</v>
          </cell>
          <cell r="I230">
            <v>6.8420799999999995E-4</v>
          </cell>
          <cell r="J230">
            <v>0</v>
          </cell>
          <cell r="K230">
            <v>0</v>
          </cell>
          <cell r="L230">
            <v>0</v>
          </cell>
          <cell r="M230">
            <v>0</v>
          </cell>
          <cell r="N230">
            <v>0</v>
          </cell>
          <cell r="O230">
            <v>0</v>
          </cell>
          <cell r="P230">
            <v>0</v>
          </cell>
          <cell r="Q230">
            <v>2.4697908042181894E-2</v>
          </cell>
          <cell r="R230">
            <v>0</v>
          </cell>
          <cell r="S230">
            <v>0</v>
          </cell>
        </row>
        <row r="231">
          <cell r="B231" t="str">
            <v>Natural gas, processed, for olefins production, at plant, material use</v>
          </cell>
          <cell r="C231">
            <v>0.83693854900185061</v>
          </cell>
          <cell r="D231">
            <v>2.1322549914683849E-2</v>
          </cell>
          <cell r="E231">
            <v>0</v>
          </cell>
          <cell r="F231">
            <v>3.4567420882417418E-2</v>
          </cell>
          <cell r="G231">
            <v>5.019674551149041E-5</v>
          </cell>
          <cell r="H231">
            <v>4.956533990757228E-5</v>
          </cell>
          <cell r="I231">
            <v>4.7605978073191451E-5</v>
          </cell>
          <cell r="J231">
            <v>0</v>
          </cell>
          <cell r="K231">
            <v>0</v>
          </cell>
          <cell r="L231">
            <v>0</v>
          </cell>
          <cell r="M231">
            <v>0</v>
          </cell>
          <cell r="N231">
            <v>0</v>
          </cell>
          <cell r="O231">
            <v>1.0053000000000001</v>
          </cell>
          <cell r="P231">
            <v>0</v>
          </cell>
          <cell r="Q231">
            <v>0</v>
          </cell>
          <cell r="R231">
            <v>0</v>
          </cell>
          <cell r="S231">
            <v>0</v>
          </cell>
        </row>
        <row r="232">
          <cell r="B232" t="str">
            <v>Ethylene, at plant</v>
          </cell>
          <cell r="C232">
            <v>1.0077865699050133</v>
          </cell>
          <cell r="D232">
            <v>7.8775271768157767E-2</v>
          </cell>
          <cell r="E232">
            <v>6.7391643429430867E-2</v>
          </cell>
          <cell r="F232">
            <v>0</v>
          </cell>
          <cell r="G232">
            <v>7.9401871578878264E-5</v>
          </cell>
          <cell r="H232">
            <v>0</v>
          </cell>
          <cell r="I232">
            <v>9.1432458181738591E-5</v>
          </cell>
          <cell r="J232">
            <v>0</v>
          </cell>
          <cell r="K232">
            <v>0.11890000000000001</v>
          </cell>
          <cell r="L232">
            <v>2.6100000000000002E-2</v>
          </cell>
          <cell r="M232">
            <v>0.14184232196242397</v>
          </cell>
          <cell r="N232">
            <v>0</v>
          </cell>
          <cell r="O232">
            <v>0</v>
          </cell>
          <cell r="P232">
            <v>0.83047202055960567</v>
          </cell>
          <cell r="Q232">
            <v>2.8240239193861694E-4</v>
          </cell>
          <cell r="R232">
            <v>3.6186239428491413E-3</v>
          </cell>
          <cell r="S232">
            <v>2.3357562675735568E-5</v>
          </cell>
        </row>
        <row r="233">
          <cell r="B233" t="str">
            <v>Polyethylene, low density, resin, at plant</v>
          </cell>
          <cell r="C233">
            <v>1</v>
          </cell>
          <cell r="D233">
            <v>0.18849765197610785</v>
          </cell>
          <cell r="E233">
            <v>0.72405515778506524</v>
          </cell>
          <cell r="F233">
            <v>4.8371278096506112E-2</v>
          </cell>
          <cell r="G233">
            <v>0</v>
          </cell>
          <cell r="H233">
            <v>1.330109655509525E-3</v>
          </cell>
          <cell r="I233">
            <v>0</v>
          </cell>
          <cell r="J233">
            <v>3.1847695976988641E-5</v>
          </cell>
          <cell r="K233">
            <v>0</v>
          </cell>
          <cell r="L233">
            <v>0</v>
          </cell>
          <cell r="M233">
            <v>0</v>
          </cell>
          <cell r="N233">
            <v>1.0077865699050133</v>
          </cell>
          <cell r="O233">
            <v>0</v>
          </cell>
          <cell r="P233">
            <v>0</v>
          </cell>
          <cell r="Q233">
            <v>6.2865566476487641E-5</v>
          </cell>
          <cell r="R233">
            <v>2.3686847368819446E-4</v>
          </cell>
          <cell r="S233">
            <v>0</v>
          </cell>
        </row>
        <row r="234">
          <cell r="H234">
            <v>7.2964656587874259E-3</v>
          </cell>
          <cell r="I234">
            <v>8.382861912136733E-4</v>
          </cell>
          <cell r="J234">
            <v>2.4736913372183736E-4</v>
          </cell>
          <cell r="K234">
            <v>0.11982582316170608</v>
          </cell>
          <cell r="L234">
            <v>2.6303229474520847E-2</v>
          </cell>
          <cell r="M234">
            <v>0.14294678711787379</v>
          </cell>
          <cell r="N234">
            <v>1.0077865699050133</v>
          </cell>
          <cell r="O234">
            <v>0.84137432331156048</v>
          </cell>
          <cell r="P234">
            <v>0.83693854900185061</v>
          </cell>
          <cell r="Q234">
            <v>2.7170126504163727E-2</v>
          </cell>
          <cell r="R234">
            <v>3.8836690848282852E-3</v>
          </cell>
        </row>
        <row r="236">
          <cell r="H236">
            <v>7.2964656587874259</v>
          </cell>
          <cell r="I236">
            <v>0.83828619121367332</v>
          </cell>
          <cell r="J236">
            <v>0.24736913372183736</v>
          </cell>
          <cell r="K236">
            <v>119.82582316170608</v>
          </cell>
          <cell r="L236">
            <v>26.303229474520847</v>
          </cell>
          <cell r="M236">
            <v>142.94678711787378</v>
          </cell>
          <cell r="N236">
            <v>1007.7865699050133</v>
          </cell>
          <cell r="O236">
            <v>841.37432331156049</v>
          </cell>
          <cell r="P236">
            <v>836.93854900185056</v>
          </cell>
          <cell r="Q236">
            <v>27.170126504163726</v>
          </cell>
          <cell r="R236">
            <v>3.8836690848282851</v>
          </cell>
        </row>
        <row r="237">
          <cell r="H237">
            <v>8.17</v>
          </cell>
          <cell r="I237">
            <v>0.96</v>
          </cell>
          <cell r="J237">
            <v>0.28000000000000003</v>
          </cell>
        </row>
        <row r="239">
          <cell r="H239" t="str">
            <v>MMBtu</v>
          </cell>
          <cell r="I239" t="str">
            <v>MMBtu</v>
          </cell>
          <cell r="J239" t="str">
            <v>MMBtu</v>
          </cell>
          <cell r="K239" t="str">
            <v>MMBtu</v>
          </cell>
          <cell r="L239" t="str">
            <v>MMBtu</v>
          </cell>
          <cell r="M239" t="str">
            <v>MMBtu</v>
          </cell>
        </row>
        <row r="240">
          <cell r="H240">
            <v>4.2212738590739159E-2</v>
          </cell>
          <cell r="I240">
            <v>3.786825503500128E-3</v>
          </cell>
          <cell r="J240">
            <v>8.2338494886153462E-4</v>
          </cell>
          <cell r="K240">
            <v>0.41133832134713089</v>
          </cell>
          <cell r="L240">
            <v>0.15040356945485137</v>
          </cell>
          <cell r="M240">
            <v>0.52061695564111965</v>
          </cell>
        </row>
        <row r="241">
          <cell r="H241">
            <v>0.28912834651191205</v>
          </cell>
          <cell r="I241">
            <v>2.7681472978802104E-2</v>
          </cell>
          <cell r="J241">
            <v>6.2407351282759167E-3</v>
          </cell>
          <cell r="K241">
            <v>8.0914796552772721</v>
          </cell>
          <cell r="L241">
            <v>1.7774013578571659</v>
          </cell>
          <cell r="M241">
            <v>5.1490805074400923</v>
          </cell>
        </row>
        <row r="242">
          <cell r="H242">
            <v>0.3313410851026512</v>
          </cell>
          <cell r="I242">
            <v>3.1468298482302232E-2</v>
          </cell>
          <cell r="J242">
            <v>7.0641200771374511E-3</v>
          </cell>
          <cell r="K242">
            <v>8.502817976624403</v>
          </cell>
          <cell r="L242">
            <v>1.9278049273120172</v>
          </cell>
          <cell r="M242">
            <v>5.6696974630812118</v>
          </cell>
        </row>
        <row r="243">
          <cell r="D243">
            <v>4.2962799854591021</v>
          </cell>
          <cell r="E243">
            <v>5.865044431308835</v>
          </cell>
          <cell r="F243">
            <v>16.262931256833287</v>
          </cell>
          <cell r="G243">
            <v>1.4862256232551048</v>
          </cell>
          <cell r="H243">
            <v>0.38516993066961464</v>
          </cell>
          <cell r="I243">
            <v>3.6565433968538875E-2</v>
          </cell>
          <cell r="J243">
            <v>1.0536755115609392E-2</v>
          </cell>
        </row>
        <row r="244">
          <cell r="B244" t="str">
            <v>Electricity precombustion energy and GHG emissions</v>
          </cell>
          <cell r="C244" t="str">
            <v>Energy</v>
          </cell>
          <cell r="D244">
            <v>0.17574512385986163</v>
          </cell>
          <cell r="E244" t="str">
            <v>million BTU/metric ton resin</v>
          </cell>
        </row>
        <row r="245">
          <cell r="C245" t="str">
            <v>GHG emissions</v>
          </cell>
          <cell r="D245">
            <v>49.518287519666195</v>
          </cell>
          <cell r="E245" t="str">
            <v>kgCO2/metric ton resin</v>
          </cell>
        </row>
        <row r="259">
          <cell r="A259" t="str">
            <v>Name:</v>
          </cell>
          <cell r="B259" t="str">
            <v>Virgin PET Pellet</v>
          </cell>
        </row>
        <row r="260">
          <cell r="A260" t="str">
            <v>Source:</v>
          </cell>
          <cell r="B260" t="str">
            <v>FAL (2011) Cradle-to-Gate Life Cycle Inventory of Nine Plastic Resins and Four Polyurethane Precursors: Revised Final Report. Franklin Associates Ltd. (FAL), August 2011.</v>
          </cell>
        </row>
        <row r="261">
          <cell r="A261" t="str">
            <v>Links:</v>
          </cell>
          <cell r="B261" t="str">
            <v>http://www.americanchemistry.com/s_plastics/sec_pfpg.asp?CID=1439&amp;DID=5336</v>
          </cell>
        </row>
        <row r="262">
          <cell r="A262" t="str">
            <v>Assumptions:</v>
          </cell>
          <cell r="B262" t="str">
            <v>N/A</v>
          </cell>
        </row>
        <row r="263">
          <cell r="A263" t="str">
            <v>Spreadsheets:</v>
          </cell>
          <cell r="B263" t="str">
            <v>K:\MSW\Greenblue_EPA Data Collection\All Plastics\_LIVE Virgin</v>
          </cell>
        </row>
        <row r="266">
          <cell r="D266" t="str">
            <v>Process Energy</v>
          </cell>
        </row>
        <row r="267">
          <cell r="D267" t="str">
            <v>inputs listed in Franklin Appendix</v>
          </cell>
          <cell r="O267" t="str">
            <v>Energy inputs from nature (I.e., rolled up data for confidential unit processes)</v>
          </cell>
        </row>
        <row r="268">
          <cell r="B268" t="str">
            <v>Input names</v>
          </cell>
          <cell r="C268" t="str">
            <v>Weights</v>
          </cell>
          <cell r="D268" t="str">
            <v>Electricity, at grid, US</v>
          </cell>
          <cell r="E268" t="str">
            <v>Electricity, cogenerated, at plant</v>
          </cell>
          <cell r="F268" t="str">
            <v>Natural gas, combusted in industrial boiler</v>
          </cell>
          <cell r="G268" t="str">
            <v>Diesel, combusted in industrial equipment</v>
          </cell>
          <cell r="H268" t="str">
            <v>Residual fuel oil, combusted in industrial boiler</v>
          </cell>
          <cell r="I268" t="str">
            <v>Gasoline, combusted in equipment</v>
          </cell>
          <cell r="J268" t="str">
            <v>Liquefied petroleum gas, combusted in industrial boiler</v>
          </cell>
          <cell r="K268" t="str">
            <v>Bituminous coal, combusted in industrial boiler</v>
          </cell>
          <cell r="L268" t="str">
            <v>Natural gas, processed, for olefins production, at plant, internal offgas use</v>
          </cell>
          <cell r="M268" t="str">
            <v>Petroleum refining, for olefins production, at plant, internal offgas use</v>
          </cell>
          <cell r="N268" t="str">
            <v>Natural gas, combusted in industrial boiler, at hydrocracker, for ethylene</v>
          </cell>
          <cell r="O268" t="str">
            <v>Coal, lignite, in ground</v>
          </cell>
          <cell r="P268" t="str">
            <v>Coal, unprocessed bituminous, in ground</v>
          </cell>
          <cell r="Q268" t="str">
            <v>Energy, from biomass</v>
          </cell>
          <cell r="R268" t="str">
            <v>Energy, from hydro power</v>
          </cell>
          <cell r="S268" t="str">
            <v>Energy, geothermal</v>
          </cell>
        </row>
        <row r="269">
          <cell r="B269" t="str">
            <v>WARM fuel names</v>
          </cell>
          <cell r="D269" t="str">
            <v>Electricity, at grid, US</v>
          </cell>
          <cell r="E269" t="str">
            <v>Electricity, cogenerated, at plant</v>
          </cell>
          <cell r="F269" t="str">
            <v>Natural gas, combusted in industrial boiler</v>
          </cell>
          <cell r="G269" t="str">
            <v>Diesel, combusted in industrial equipment</v>
          </cell>
          <cell r="H269" t="str">
            <v>Residual fuel oil, combusted in industrial boiler</v>
          </cell>
          <cell r="I269" t="str">
            <v>Gasoline, combusted in equipment</v>
          </cell>
          <cell r="J269" t="str">
            <v>Liquefied petroleum gas, combusted in industrial boiler</v>
          </cell>
          <cell r="K269" t="str">
            <v>Bituminous coal, combusted in industrial boiler</v>
          </cell>
          <cell r="L269" t="str">
            <v>Natural gas, processed, for ethylene production, at plant, internal offgas use</v>
          </cell>
          <cell r="M269" t="str">
            <v>Petroleum refining, for ethylene production, at plant, internal offgas use</v>
          </cell>
          <cell r="N269" t="str">
            <v>Natural gas, combusted in industrial boiler, at hydrocracker, for ethylene</v>
          </cell>
          <cell r="O269" t="str">
            <v>Coal, lignite, in ground</v>
          </cell>
          <cell r="P269" t="str">
            <v>Coal, unprocessed bituminous, in ground</v>
          </cell>
          <cell r="Q269" t="str">
            <v>Energy, from biomass</v>
          </cell>
          <cell r="R269" t="str">
            <v>Energy, from hydro power</v>
          </cell>
          <cell r="S269" t="str">
            <v>Energy, geothermal</v>
          </cell>
        </row>
        <row r="270">
          <cell r="B270" t="str">
            <v>Units</v>
          </cell>
          <cell r="D270" t="str">
            <v>kwh</v>
          </cell>
          <cell r="E270" t="str">
            <v>kwh</v>
          </cell>
          <cell r="F270" t="str">
            <v>m3</v>
          </cell>
          <cell r="G270" t="str">
            <v>Liter</v>
          </cell>
          <cell r="H270" t="str">
            <v>Liter</v>
          </cell>
          <cell r="I270" t="str">
            <v>Liter</v>
          </cell>
          <cell r="J270" t="str">
            <v>Liter</v>
          </cell>
          <cell r="K270" t="str">
            <v>kg</v>
          </cell>
          <cell r="L270" t="str">
            <v>kg</v>
          </cell>
          <cell r="M270" t="str">
            <v>kg</v>
          </cell>
          <cell r="N270" t="str">
            <v>m3</v>
          </cell>
          <cell r="O270" t="str">
            <v>kg</v>
          </cell>
          <cell r="P270" t="str">
            <v>kg</v>
          </cell>
          <cell r="Q270" t="str">
            <v>MJ</v>
          </cell>
          <cell r="R270" t="str">
            <v>MJ</v>
          </cell>
          <cell r="S270" t="str">
            <v>MJ</v>
          </cell>
        </row>
        <row r="271">
          <cell r="B271" t="str">
            <v>Crude oil, extracted, material use</v>
          </cell>
          <cell r="C271">
            <v>0.53037800000000002</v>
          </cell>
          <cell r="D271">
            <v>3.9007760922910306E-2</v>
          </cell>
          <cell r="E271">
            <v>0</v>
          </cell>
          <cell r="F271">
            <v>3.2773193101835504E-2</v>
          </cell>
          <cell r="G271">
            <v>1.292841229219902E-3</v>
          </cell>
          <cell r="H271">
            <v>7.9811801371544784E-4</v>
          </cell>
          <cell r="I271">
            <v>6.8420799999999995E-4</v>
          </cell>
          <cell r="J271">
            <v>0</v>
          </cell>
          <cell r="K271">
            <v>0</v>
          </cell>
          <cell r="L271">
            <v>0</v>
          </cell>
          <cell r="M271">
            <v>0</v>
          </cell>
          <cell r="N271">
            <v>0</v>
          </cell>
          <cell r="O271">
            <v>0</v>
          </cell>
          <cell r="P271">
            <v>0</v>
          </cell>
          <cell r="Q271">
            <v>0</v>
          </cell>
          <cell r="R271">
            <v>0</v>
          </cell>
          <cell r="S271">
            <v>0</v>
          </cell>
        </row>
        <row r="272">
          <cell r="H272">
            <v>2.7199999999999998E-2</v>
          </cell>
          <cell r="I272">
            <v>0</v>
          </cell>
          <cell r="J272">
            <v>1.1492253471102709E-3</v>
          </cell>
          <cell r="K272">
            <v>0</v>
          </cell>
          <cell r="L272">
            <v>0</v>
          </cell>
          <cell r="M272">
            <v>0</v>
          </cell>
          <cell r="N272">
            <v>0</v>
          </cell>
          <cell r="O272">
            <v>0</v>
          </cell>
          <cell r="P272">
            <v>0</v>
          </cell>
          <cell r="Q272">
            <v>0</v>
          </cell>
          <cell r="R272">
            <v>0</v>
          </cell>
        </row>
        <row r="277">
          <cell r="H277">
            <v>0</v>
          </cell>
          <cell r="I277">
            <v>0</v>
          </cell>
          <cell r="J277">
            <v>2.0859999999999997E-3</v>
          </cell>
          <cell r="K277">
            <v>7.0199999999999993E-3</v>
          </cell>
          <cell r="L277">
            <v>0</v>
          </cell>
          <cell r="M277">
            <v>0</v>
          </cell>
          <cell r="N277">
            <v>0</v>
          </cell>
          <cell r="O277">
            <v>0</v>
          </cell>
          <cell r="P277">
            <v>0</v>
          </cell>
          <cell r="Q277">
            <v>0</v>
          </cell>
          <cell r="R277">
            <v>0</v>
          </cell>
        </row>
        <row r="278">
          <cell r="H278">
            <v>0</v>
          </cell>
          <cell r="I278">
            <v>0</v>
          </cell>
          <cell r="J278">
            <v>7.5930399999999997E-3</v>
          </cell>
          <cell r="K278">
            <v>2.5700000000000001E-2</v>
          </cell>
          <cell r="L278">
            <v>0</v>
          </cell>
          <cell r="M278">
            <v>0</v>
          </cell>
          <cell r="N278">
            <v>0</v>
          </cell>
          <cell r="O278">
            <v>0</v>
          </cell>
          <cell r="P278">
            <v>0</v>
          </cell>
          <cell r="Q278">
            <v>0</v>
          </cell>
          <cell r="R278">
            <v>0</v>
          </cell>
        </row>
        <row r="279">
          <cell r="H279">
            <v>0</v>
          </cell>
          <cell r="I279">
            <v>0</v>
          </cell>
          <cell r="J279">
            <v>0</v>
          </cell>
          <cell r="K279">
            <v>0</v>
          </cell>
          <cell r="L279">
            <v>0</v>
          </cell>
          <cell r="M279">
            <v>0</v>
          </cell>
          <cell r="N279">
            <v>0</v>
          </cell>
          <cell r="O279">
            <v>1.2780446000000001E-2</v>
          </cell>
          <cell r="P279">
            <v>0.14209095999999999</v>
          </cell>
          <cell r="Q279">
            <v>2.3599399E-2</v>
          </cell>
          <cell r="R279">
            <v>0.12444888</v>
          </cell>
        </row>
        <row r="280">
          <cell r="H280">
            <v>2.6784239999999997E-2</v>
          </cell>
          <cell r="I280">
            <v>0</v>
          </cell>
          <cell r="J280">
            <v>0</v>
          </cell>
          <cell r="K280">
            <v>1.89E-2</v>
          </cell>
          <cell r="L280">
            <v>0</v>
          </cell>
          <cell r="M280">
            <v>0</v>
          </cell>
          <cell r="N280">
            <v>0</v>
          </cell>
          <cell r="O280">
            <v>0</v>
          </cell>
          <cell r="P280">
            <v>0</v>
          </cell>
          <cell r="Q280">
            <v>0</v>
          </cell>
          <cell r="R280">
            <v>0</v>
          </cell>
        </row>
        <row r="281">
          <cell r="B281" t="str">
            <v>Weighted Cradle to resin for 1 kg of PET</v>
          </cell>
          <cell r="D281">
            <v>0.7447713918257538</v>
          </cell>
          <cell r="E281">
            <v>5.1222654320987653E-2</v>
          </cell>
          <cell r="F281">
            <v>0.24292850252612869</v>
          </cell>
          <cell r="G281">
            <v>1.3515981914066076E-2</v>
          </cell>
          <cell r="H281">
            <v>4.1419113936957262E-2</v>
          </cell>
          <cell r="I281">
            <v>3.9773924979705005E-4</v>
          </cell>
          <cell r="J281">
            <v>5.6415262458444507E-3</v>
          </cell>
          <cell r="K281">
            <v>3.5947119999999999E-2</v>
          </cell>
          <cell r="L281">
            <v>0</v>
          </cell>
          <cell r="M281">
            <v>0</v>
          </cell>
          <cell r="N281">
            <v>0</v>
          </cell>
          <cell r="O281">
            <v>4.115303612E-3</v>
          </cell>
          <cell r="P281">
            <v>4.5753289119999999E-2</v>
          </cell>
          <cell r="Q281">
            <v>7.599006478E-3</v>
          </cell>
          <cell r="R281">
            <v>4.0072539359999999E-2</v>
          </cell>
          <cell r="S281">
            <v>2.1163899834000001E-3</v>
          </cell>
        </row>
        <row r="283">
          <cell r="B283" t="str">
            <v>Weighted Cradle to resin for 1 metric ton of PET</v>
          </cell>
          <cell r="D283">
            <v>744.77139182575377</v>
          </cell>
          <cell r="E283">
            <v>51.222654320987651</v>
          </cell>
          <cell r="F283">
            <v>242.92850252612868</v>
          </cell>
          <cell r="G283">
            <v>13.515981914066076</v>
          </cell>
          <cell r="H283">
            <v>41.41911393695726</v>
          </cell>
          <cell r="I283">
            <v>0.39773924979705005</v>
          </cell>
          <cell r="J283">
            <v>5.6415262458444504</v>
          </cell>
          <cell r="K283">
            <v>35.947119999999998</v>
          </cell>
          <cell r="L283">
            <v>0</v>
          </cell>
          <cell r="M283">
            <v>0</v>
          </cell>
          <cell r="N283">
            <v>0</v>
          </cell>
          <cell r="O283">
            <v>4.1153036119999999</v>
          </cell>
          <cell r="P283">
            <v>45.753289119999998</v>
          </cell>
          <cell r="Q283">
            <v>7.5990064779999997</v>
          </cell>
          <cell r="R283">
            <v>40.07253936</v>
          </cell>
          <cell r="S283">
            <v>2.1163899834</v>
          </cell>
        </row>
        <row r="284">
          <cell r="B284" t="str">
            <v>Franklin Appendices DATA from February 2011</v>
          </cell>
          <cell r="D284">
            <v>882</v>
          </cell>
          <cell r="E284">
            <v>64.7</v>
          </cell>
          <cell r="F284">
            <v>352</v>
          </cell>
          <cell r="G284">
            <v>13.8</v>
          </cell>
          <cell r="H284">
            <v>80.099999999999994</v>
          </cell>
          <cell r="I284">
            <v>0.59</v>
          </cell>
          <cell r="J284">
            <v>5.7</v>
          </cell>
          <cell r="K284">
            <v>35.9</v>
          </cell>
          <cell r="L284">
            <v>23.8</v>
          </cell>
          <cell r="M284">
            <v>5.22</v>
          </cell>
        </row>
        <row r="286">
          <cell r="B286" t="str">
            <v>Per metric ton of PET(1000 kg)</v>
          </cell>
          <cell r="D286" t="str">
            <v>MMBtu</v>
          </cell>
          <cell r="E286" t="str">
            <v>MMBtu</v>
          </cell>
          <cell r="F286" t="str">
            <v>MMBtu</v>
          </cell>
          <cell r="G286" t="str">
            <v>MMBtu</v>
          </cell>
          <cell r="H286" t="str">
            <v>MMBtu</v>
          </cell>
          <cell r="I286" t="str">
            <v>MMBtu</v>
          </cell>
          <cell r="J286" t="str">
            <v>MMBtu</v>
          </cell>
          <cell r="K286" t="str">
            <v>MMBtu</v>
          </cell>
          <cell r="L286" t="str">
            <v>MMBtu</v>
          </cell>
          <cell r="M286" t="str">
            <v>MMBtu</v>
          </cell>
          <cell r="N286" t="str">
            <v>MMBtu</v>
          </cell>
          <cell r="O286" t="str">
            <v>MMBtu</v>
          </cell>
          <cell r="P286" t="str">
            <v>MMBtu</v>
          </cell>
          <cell r="Q286" t="str">
            <v>MMBtu</v>
          </cell>
          <cell r="R286" t="str">
            <v>MMBtu</v>
          </cell>
          <cell r="S286" t="str">
            <v>MMBtu</v>
          </cell>
        </row>
        <row r="287">
          <cell r="B287" t="str">
            <v>Pre-combustion</v>
          </cell>
          <cell r="D287">
            <v>0</v>
          </cell>
          <cell r="E287">
            <v>0</v>
          </cell>
          <cell r="F287">
            <v>0.76352558002787829</v>
          </cell>
          <cell r="G287">
            <v>7.1767948181512803E-2</v>
          </cell>
          <cell r="H287">
            <v>0.23962481440245426</v>
          </cell>
          <cell r="I287">
            <v>1.7967242579695138E-3</v>
          </cell>
          <cell r="J287">
            <v>1.8778202961486024E-2</v>
          </cell>
          <cell r="K287">
            <v>4.2002411989425663E-2</v>
          </cell>
          <cell r="L287">
            <v>0</v>
          </cell>
          <cell r="M287">
            <v>0</v>
          </cell>
          <cell r="N287">
            <v>0</v>
          </cell>
          <cell r="O287">
            <v>0</v>
          </cell>
          <cell r="P287">
            <v>0</v>
          </cell>
          <cell r="Q287">
            <v>0</v>
          </cell>
          <cell r="R287">
            <v>0</v>
          </cell>
          <cell r="S287">
            <v>0</v>
          </cell>
        </row>
        <row r="288">
          <cell r="B288" t="str">
            <v>Combustion</v>
          </cell>
          <cell r="D288">
            <v>7.8959182993089421</v>
          </cell>
          <cell r="E288">
            <v>0.37953213193315893</v>
          </cell>
          <cell r="F288">
            <v>8.8363072744799407</v>
          </cell>
          <cell r="G288">
            <v>0.49630571130498896</v>
          </cell>
          <cell r="H288">
            <v>1.6412658520716044</v>
          </cell>
          <cell r="I288">
            <v>1.3133949254163113E-2</v>
          </cell>
          <cell r="J288">
            <v>0.14232685577951706</v>
          </cell>
          <cell r="K288">
            <v>0.84797322318274426</v>
          </cell>
          <cell r="L288">
            <v>0</v>
          </cell>
          <cell r="M288">
            <v>0</v>
          </cell>
          <cell r="N288">
            <v>0</v>
          </cell>
          <cell r="O288">
            <v>5.8609586694591001E-2</v>
          </cell>
          <cell r="P288">
            <v>1.0792954775319521</v>
          </cell>
          <cell r="Q288">
            <v>7.2024684551059547E-3</v>
          </cell>
          <cell r="R288">
            <v>3.7981438954155844E-2</v>
          </cell>
          <cell r="S288">
            <v>2.0059506645074762E-3</v>
          </cell>
        </row>
        <row r="289">
          <cell r="B289" t="str">
            <v>Total Energy</v>
          </cell>
          <cell r="D289">
            <v>7.8959182993089421</v>
          </cell>
          <cell r="E289">
            <v>0.37953213193315893</v>
          </cell>
          <cell r="F289">
            <v>9.5998328545078184</v>
          </cell>
          <cell r="G289">
            <v>0.56807365948650179</v>
          </cell>
          <cell r="H289">
            <v>1.8808906664740586</v>
          </cell>
          <cell r="I289">
            <v>1.4930673512132626E-2</v>
          </cell>
          <cell r="J289">
            <v>0.16110505874100309</v>
          </cell>
          <cell r="K289">
            <v>0.88997563517216993</v>
          </cell>
          <cell r="L289">
            <v>0</v>
          </cell>
          <cell r="M289">
            <v>0</v>
          </cell>
          <cell r="N289">
            <v>0</v>
          </cell>
          <cell r="O289">
            <v>5.8609586694591001E-2</v>
          </cell>
          <cell r="P289">
            <v>1.0792954775319521</v>
          </cell>
          <cell r="Q289">
            <v>7.2024684551059547E-3</v>
          </cell>
          <cell r="R289">
            <v>3.7981438954155844E-2</v>
          </cell>
          <cell r="S289">
            <v>2.0059506645074762E-3</v>
          </cell>
        </row>
        <row r="290">
          <cell r="D290">
            <v>10.132687168723933</v>
          </cell>
          <cell r="E290">
            <v>0.48012002147932087</v>
          </cell>
          <cell r="F290">
            <v>14.949805991740547</v>
          </cell>
          <cell r="G290">
            <v>0.86221896267026477</v>
          </cell>
          <cell r="H290">
            <v>3.5305810190310205</v>
          </cell>
          <cell r="I290">
            <v>2.2293450406236464E-2</v>
          </cell>
          <cell r="J290">
            <v>0.2031465876197556</v>
          </cell>
          <cell r="K290">
            <v>0.88997563517216993</v>
          </cell>
        </row>
        <row r="291">
          <cell r="B291" t="str">
            <v>Electricity precombustion energy and GHG emissions</v>
          </cell>
          <cell r="C291" t="str">
            <v>Energy</v>
          </cell>
          <cell r="D291">
            <v>0.37098552569624449</v>
          </cell>
          <cell r="E291" t="str">
            <v>million BTU/metric ton resin</v>
          </cell>
        </row>
        <row r="292">
          <cell r="C292" t="str">
            <v>GHG emissions</v>
          </cell>
          <cell r="D292">
            <v>104.52960243556888</v>
          </cell>
          <cell r="E292" t="str">
            <v>kgCO2/metric ton resin</v>
          </cell>
        </row>
        <row r="306">
          <cell r="A306" t="str">
            <v>Name:</v>
          </cell>
          <cell r="B306" t="str">
            <v>Virgin LLDPE Pellet</v>
          </cell>
        </row>
        <row r="307">
          <cell r="A307" t="str">
            <v>Source:</v>
          </cell>
          <cell r="B307" t="str">
            <v>FAL (2011) Cradle-to-Gate Life Cycle Inventory of Nine Plastic Resins and Four Polyurethane Precursors: Revised Final Report. Franklin Associates Ltd. (FAL), August 2011.</v>
          </cell>
        </row>
        <row r="308">
          <cell r="A308" t="str">
            <v>Links:</v>
          </cell>
          <cell r="B308" t="str">
            <v>http://www.americanchemistry.com/s_plastics/sec_pfpg.asp?CID=1439&amp;DID=5336</v>
          </cell>
        </row>
        <row r="309">
          <cell r="A309" t="str">
            <v>Assumptions:</v>
          </cell>
          <cell r="B309" t="str">
            <v>N/A</v>
          </cell>
        </row>
        <row r="314">
          <cell r="N314" t="str">
            <v>Inputs NOT listed in Appendix (but are in the unit process level data)</v>
          </cell>
        </row>
        <row r="315">
          <cell r="H315" t="str">
            <v>Residual fuel oil, combusted in industrial boiler</v>
          </cell>
          <cell r="I315" t="str">
            <v>Gasoline, combusted in equipment</v>
          </cell>
          <cell r="J315" t="str">
            <v>Liquefied petroleum gas, combusted in industrial boiler</v>
          </cell>
          <cell r="K315" t="str">
            <v>Natural gas, processed, for olefins production, at plant, internal offgas use</v>
          </cell>
          <cell r="L315" t="str">
            <v>Petroleum refining, for olefins production, at plant, internal offgas use</v>
          </cell>
          <cell r="M315" t="str">
            <v>Natural gas, combusted in industrial boiler, at hydrocracker, for ethylene</v>
          </cell>
          <cell r="N315" t="str">
            <v>Ethylene, at plant</v>
          </cell>
          <cell r="O315" t="str">
            <v>Natural gas, extracted, material use</v>
          </cell>
          <cell r="P315" t="str">
            <v>Natural gas, processed, for olefins production, at plant, material use</v>
          </cell>
          <cell r="Q315" t="str">
            <v>Dummy_Disposal, solid waste, unspecified, to sanitary landfill</v>
          </cell>
          <cell r="R315" t="str">
            <v>Dummy_Disposal, solid waste, unspecified, to municipal incineration</v>
          </cell>
        </row>
        <row r="316">
          <cell r="H316" t="str">
            <v>Residual fuel oil, combusted in industrial boiler</v>
          </cell>
          <cell r="I316" t="str">
            <v>Gasoline, combusted in equipment</v>
          </cell>
          <cell r="J316" t="str">
            <v>Liquefied petroleum gas, combusted in industrial boiler</v>
          </cell>
          <cell r="K316" t="str">
            <v>Natural gas, processed, for ethylene production, at plant, internal offgas use</v>
          </cell>
          <cell r="L316" t="str">
            <v>Petroleum refining, for ethylene production, at plant, internal offgas use</v>
          </cell>
          <cell r="M316" t="str">
            <v>Natural gas, combusted in industrial boiler, at hydrocracker, for ethylene</v>
          </cell>
          <cell r="N316" t="str">
            <v>Natural gas, processed, for propylene production, at plant, internal offgas use</v>
          </cell>
          <cell r="O316" t="str">
            <v>Petroleum refining, for propylene production, at plant, internal offgas use</v>
          </cell>
        </row>
        <row r="317">
          <cell r="H317" t="str">
            <v>Liter</v>
          </cell>
          <cell r="I317" t="str">
            <v>Liter</v>
          </cell>
          <cell r="J317" t="str">
            <v>Liter</v>
          </cell>
          <cell r="K317" t="str">
            <v>kg</v>
          </cell>
          <cell r="L317" t="str">
            <v>kg</v>
          </cell>
          <cell r="M317" t="str">
            <v>m3</v>
          </cell>
          <cell r="N317" t="str">
            <v>kg</v>
          </cell>
          <cell r="O317" t="str">
            <v>kg</v>
          </cell>
          <cell r="P317" t="str">
            <v>kg</v>
          </cell>
          <cell r="Q317" t="str">
            <v>kg</v>
          </cell>
          <cell r="R317" t="str">
            <v>kg</v>
          </cell>
        </row>
        <row r="318">
          <cell r="H318">
            <v>7.9811801371544784E-4</v>
          </cell>
          <cell r="I318">
            <v>6.8420799999999995E-4</v>
          </cell>
          <cell r="J318">
            <v>0</v>
          </cell>
          <cell r="K318">
            <v>0</v>
          </cell>
          <cell r="L318">
            <v>0</v>
          </cell>
          <cell r="M318">
            <v>0</v>
          </cell>
          <cell r="N318">
            <v>0</v>
          </cell>
          <cell r="O318">
            <v>0</v>
          </cell>
          <cell r="P318">
            <v>0</v>
          </cell>
          <cell r="Q318">
            <v>2.6145465323843063E-2</v>
          </cell>
          <cell r="R318">
            <v>0</v>
          </cell>
        </row>
        <row r="319">
          <cell r="B319" t="str">
            <v>Petroleum refining coproduct, for olefins production, at refinery, material use</v>
          </cell>
          <cell r="C319">
            <v>0.18597563832825487</v>
          </cell>
          <cell r="D319">
            <v>0.14299999999999999</v>
          </cell>
          <cell r="E319">
            <v>0</v>
          </cell>
          <cell r="F319">
            <v>1.11E-2</v>
          </cell>
          <cell r="G319">
            <v>0</v>
          </cell>
          <cell r="H319">
            <v>2.7199999999999998E-2</v>
          </cell>
          <cell r="I319">
            <v>0</v>
          </cell>
          <cell r="J319">
            <v>1.1492253471102709E-3</v>
          </cell>
          <cell r="K319">
            <v>0</v>
          </cell>
          <cell r="L319">
            <v>0</v>
          </cell>
          <cell r="M319">
            <v>0</v>
          </cell>
          <cell r="N319">
            <v>0</v>
          </cell>
          <cell r="O319">
            <v>0</v>
          </cell>
          <cell r="P319">
            <v>0</v>
          </cell>
          <cell r="Q319">
            <v>5.604210839866227E-3</v>
          </cell>
          <cell r="R319">
            <v>0</v>
          </cell>
          <cell r="S319">
            <v>0</v>
          </cell>
        </row>
        <row r="320">
          <cell r="B320" t="str">
            <v>Natural gas, extracted, material use</v>
          </cell>
          <cell r="C320">
            <v>0.83437259815521048</v>
          </cell>
          <cell r="D320">
            <v>3.9007760922910306E-2</v>
          </cell>
          <cell r="E320">
            <v>0</v>
          </cell>
          <cell r="F320">
            <v>3.2773193101835504E-2</v>
          </cell>
          <cell r="G320">
            <v>1.2928412292199023E-3</v>
          </cell>
          <cell r="H320">
            <v>7.9811801371544784E-4</v>
          </cell>
          <cell r="I320">
            <v>6.8420799999999995E-4</v>
          </cell>
          <cell r="J320">
            <v>0</v>
          </cell>
          <cell r="K320">
            <v>0</v>
          </cell>
          <cell r="L320">
            <v>0</v>
          </cell>
          <cell r="M320">
            <v>0</v>
          </cell>
          <cell r="N320">
            <v>0</v>
          </cell>
          <cell r="O320">
            <v>0</v>
          </cell>
          <cell r="P320">
            <v>0</v>
          </cell>
          <cell r="Q320">
            <v>2.4697908042181894E-2</v>
          </cell>
          <cell r="R320">
            <v>0</v>
          </cell>
          <cell r="S320">
            <v>0</v>
          </cell>
        </row>
        <row r="321">
          <cell r="B321" t="str">
            <v>Natural gas, processed, for olefins production, at plant, material use</v>
          </cell>
          <cell r="C321">
            <v>0.82997373734726987</v>
          </cell>
          <cell r="D321">
            <v>2.1322549914683849E-2</v>
          </cell>
          <cell r="E321">
            <v>0</v>
          </cell>
          <cell r="F321">
            <v>3.4567420882417418E-2</v>
          </cell>
          <cell r="G321">
            <v>5.019674551149041E-5</v>
          </cell>
          <cell r="H321">
            <v>4.956533990757228E-5</v>
          </cell>
          <cell r="I321">
            <v>4.7605978073191451E-5</v>
          </cell>
          <cell r="J321">
            <v>0</v>
          </cell>
          <cell r="K321">
            <v>0</v>
          </cell>
          <cell r="L321">
            <v>0</v>
          </cell>
          <cell r="M321">
            <v>0</v>
          </cell>
          <cell r="N321">
            <v>0</v>
          </cell>
          <cell r="O321">
            <v>1.0053000000000001</v>
          </cell>
          <cell r="P321">
            <v>0</v>
          </cell>
          <cell r="Q321">
            <v>0</v>
          </cell>
          <cell r="R321">
            <v>0</v>
          </cell>
          <cell r="S321">
            <v>0</v>
          </cell>
        </row>
        <row r="322">
          <cell r="B322" t="str">
            <v>Ethylene, at plant</v>
          </cell>
          <cell r="C322">
            <v>0.99939999999999996</v>
          </cell>
          <cell r="D322">
            <v>7.8775271768157767E-2</v>
          </cell>
          <cell r="E322">
            <v>6.7391643429430867E-2</v>
          </cell>
          <cell r="F322">
            <v>0</v>
          </cell>
          <cell r="G322">
            <v>7.9401871578878264E-5</v>
          </cell>
          <cell r="H322">
            <v>0</v>
          </cell>
          <cell r="I322">
            <v>9.1432458181738591E-5</v>
          </cell>
          <cell r="J322">
            <v>0</v>
          </cell>
          <cell r="K322">
            <v>0.11890000000000001</v>
          </cell>
          <cell r="L322">
            <v>2.6100000000000002E-2</v>
          </cell>
          <cell r="M322">
            <v>0.14184232196242397</v>
          </cell>
          <cell r="N322">
            <v>0</v>
          </cell>
          <cell r="O322">
            <v>0</v>
          </cell>
          <cell r="P322">
            <v>0.83047202055960567</v>
          </cell>
          <cell r="Q322">
            <v>2.8240239193861694E-4</v>
          </cell>
          <cell r="R322">
            <v>3.6186239428491413E-3</v>
          </cell>
          <cell r="S322">
            <v>2.3357562675735568E-5</v>
          </cell>
        </row>
        <row r="323">
          <cell r="B323" t="str">
            <v>Polyethylene, linear low density, resin, at plant</v>
          </cell>
          <cell r="C323">
            <v>1</v>
          </cell>
          <cell r="D323">
            <v>0.12698412698412698</v>
          </cell>
          <cell r="E323">
            <v>0.15277777777777776</v>
          </cell>
          <cell r="F323">
            <v>4.2075797999999998E-2</v>
          </cell>
          <cell r="G323">
            <v>6.2580000000000001E-6</v>
          </cell>
          <cell r="H323">
            <v>3.3376E-3</v>
          </cell>
          <cell r="I323">
            <v>8.3439999999999984E-6</v>
          </cell>
          <cell r="J323">
            <v>0</v>
          </cell>
          <cell r="K323">
            <v>0</v>
          </cell>
          <cell r="L323">
            <v>0</v>
          </cell>
          <cell r="M323">
            <v>0</v>
          </cell>
          <cell r="N323">
            <v>0.99939999999999996</v>
          </cell>
          <cell r="O323">
            <v>0</v>
          </cell>
          <cell r="P323">
            <v>0</v>
          </cell>
          <cell r="Q323">
            <v>3.5E-4</v>
          </cell>
          <cell r="R323">
            <v>1.3000000000000002E-4</v>
          </cell>
          <cell r="S323">
            <v>9.1000000000000003E-5</v>
          </cell>
        </row>
        <row r="324">
          <cell r="B324" t="str">
            <v>Weighted Cradle to resin for 1 kg of LLDPE</v>
          </cell>
          <cell r="D324">
            <v>0.28993588725776143</v>
          </cell>
          <cell r="E324">
            <v>0.22012898622115096</v>
          </cell>
          <cell r="F324">
            <v>0.10637995915019864</v>
          </cell>
          <cell r="G324">
            <v>1.4507503447299178E-3</v>
          </cell>
          <cell r="H324">
            <v>9.2543053498618678E-3</v>
          </cell>
          <cell r="I324">
            <v>8.3965416478807458E-4</v>
          </cell>
          <cell r="J324">
            <v>2.137279175118429E-4</v>
          </cell>
          <cell r="K324">
            <v>0.11882866</v>
          </cell>
          <cell r="L324">
            <v>2.6084340000000001E-2</v>
          </cell>
          <cell r="M324">
            <v>0.1417572165692465</v>
          </cell>
          <cell r="N324">
            <v>0.99939999999999996</v>
          </cell>
          <cell r="O324">
            <v>0.83437259815521048</v>
          </cell>
          <cell r="P324">
            <v>0.82997373734726987</v>
          </cell>
          <cell r="Q324">
            <v>2.7231680496772281E-2</v>
          </cell>
          <cell r="R324">
            <v>3.7464527684834313E-3</v>
          </cell>
          <cell r="S324">
            <v>1.1434354813813013E-4</v>
          </cell>
        </row>
        <row r="326">
          <cell r="B326" t="str">
            <v>Weighted Cradle to resin for 1 metric ton of LLDPE</v>
          </cell>
          <cell r="D326">
            <v>289.93588725776141</v>
          </cell>
          <cell r="E326">
            <v>220.12898622115097</v>
          </cell>
          <cell r="F326">
            <v>106.37995915019864</v>
          </cell>
          <cell r="G326">
            <v>1.4507503447299177</v>
          </cell>
          <cell r="H326">
            <v>9.2543053498618679</v>
          </cell>
          <cell r="I326">
            <v>0.83965416478807453</v>
          </cell>
          <cell r="J326">
            <v>0.21372791751184289</v>
          </cell>
          <cell r="K326">
            <v>118.82866</v>
          </cell>
          <cell r="L326">
            <v>26.084340000000001</v>
          </cell>
          <cell r="M326">
            <v>141.75721656924651</v>
          </cell>
          <cell r="N326">
            <v>999.4</v>
          </cell>
          <cell r="O326">
            <v>834.37259815521043</v>
          </cell>
          <cell r="P326">
            <v>829.97373734726989</v>
          </cell>
          <cell r="Q326">
            <v>27.231680496772281</v>
          </cell>
          <cell r="R326">
            <v>3.7464527684834312</v>
          </cell>
          <cell r="S326">
            <v>0.11434354813813012</v>
          </cell>
        </row>
        <row r="327">
          <cell r="B327" t="str">
            <v>Franklin Appendices DATA from February 2011</v>
          </cell>
          <cell r="D327">
            <v>303</v>
          </cell>
          <cell r="E327">
            <v>221</v>
          </cell>
          <cell r="F327">
            <v>299</v>
          </cell>
          <cell r="G327">
            <v>1.6259999999999999</v>
          </cell>
          <cell r="H327">
            <v>10.1</v>
          </cell>
          <cell r="I327">
            <v>0.96</v>
          </cell>
          <cell r="J327">
            <v>0.25</v>
          </cell>
          <cell r="N327">
            <v>0</v>
          </cell>
        </row>
        <row r="329">
          <cell r="B329" t="str">
            <v>Per metric ton of LLDPE (1000 kg)</v>
          </cell>
          <cell r="D329" t="str">
            <v>MMBtu</v>
          </cell>
          <cell r="E329" t="str">
            <v>MMBtu</v>
          </cell>
          <cell r="F329" t="str">
            <v>MMBtu</v>
          </cell>
          <cell r="G329" t="str">
            <v>MMBtu</v>
          </cell>
          <cell r="H329" t="str">
            <v>MMBtu</v>
          </cell>
          <cell r="I329" t="str">
            <v>MMBtu</v>
          </cell>
          <cell r="J329" t="str">
            <v>MMBtu</v>
          </cell>
          <cell r="K329" t="str">
            <v>MMBtu</v>
          </cell>
          <cell r="L329" t="str">
            <v>MMBtu</v>
          </cell>
          <cell r="M329" t="str">
            <v>MMBtu</v>
          </cell>
        </row>
        <row r="330">
          <cell r="B330" t="str">
            <v>Pre-combustion</v>
          </cell>
          <cell r="D330">
            <v>0</v>
          </cell>
          <cell r="E330">
            <v>0</v>
          </cell>
          <cell r="F330">
            <v>0.33435277939343994</v>
          </cell>
          <cell r="G330">
            <v>7.7032786982744973E-3</v>
          </cell>
          <cell r="H330">
            <v>5.3539561596116475E-2</v>
          </cell>
          <cell r="I330">
            <v>3.7930051081195917E-3</v>
          </cell>
          <cell r="J330">
            <v>7.1140787770497733E-4</v>
          </cell>
          <cell r="K330">
            <v>0.40791525768503656</v>
          </cell>
          <cell r="L330">
            <v>0.14915194526490455</v>
          </cell>
          <cell r="M330">
            <v>0.51628450011670146</v>
          </cell>
        </row>
        <row r="331">
          <cell r="B331" t="str">
            <v>Combustion</v>
          </cell>
          <cell r="D331">
            <v>3.0738426622602311</v>
          </cell>
          <cell r="E331">
            <v>1.631036590123889</v>
          </cell>
          <cell r="F331">
            <v>3.8694759862386872</v>
          </cell>
          <cell r="G331">
            <v>5.3271429803987809E-2</v>
          </cell>
          <cell r="H331">
            <v>0.36670932600079775</v>
          </cell>
          <cell r="I331">
            <v>2.7726645527189998E-2</v>
          </cell>
          <cell r="J331">
            <v>5.3920200254623275E-3</v>
          </cell>
          <cell r="K331">
            <v>8.024144207683074</v>
          </cell>
          <cell r="L331">
            <v>1.7626102292768957</v>
          </cell>
          <cell r="M331">
            <v>5.1062310342363988</v>
          </cell>
        </row>
        <row r="332">
          <cell r="B332" t="str">
            <v>Total Energy</v>
          </cell>
          <cell r="D332">
            <v>3.0738426622602311</v>
          </cell>
          <cell r="E332">
            <v>1.631036590123889</v>
          </cell>
          <cell r="F332">
            <v>4.2038287656321272</v>
          </cell>
          <cell r="G332">
            <v>6.0974708502262304E-2</v>
          </cell>
          <cell r="H332">
            <v>0.42024888759691426</v>
          </cell>
          <cell r="I332">
            <v>3.1519650635309593E-2</v>
          </cell>
          <cell r="J332">
            <v>6.1034279031673046E-3</v>
          </cell>
          <cell r="K332">
            <v>8.4320594653681109</v>
          </cell>
          <cell r="L332">
            <v>1.9117621745418003</v>
          </cell>
          <cell r="M332">
            <v>5.6225155343531004</v>
          </cell>
        </row>
        <row r="333">
          <cell r="D333">
            <v>3.5691954782612196</v>
          </cell>
          <cell r="E333">
            <v>1.6346363706906128</v>
          </cell>
          <cell r="F333">
            <v>16.292635171627712</v>
          </cell>
          <cell r="G333">
            <v>1.4732450864495179</v>
          </cell>
          <cell r="H333">
            <v>0.47335880232696981</v>
          </cell>
          <cell r="I333">
            <v>3.6565079944000704E-2</v>
          </cell>
          <cell r="J333">
            <v>9.3040814443051054E-3</v>
          </cell>
        </row>
        <row r="334">
          <cell r="B334" t="str">
            <v>Electricity precombustion energy and GHG emissions</v>
          </cell>
          <cell r="C334" t="str">
            <v>Energy</v>
          </cell>
          <cell r="D334">
            <v>0.14442286416083611</v>
          </cell>
          <cell r="E334" t="str">
            <v>million BTU/metric ton resin</v>
          </cell>
        </row>
        <row r="335">
          <cell r="C335" t="str">
            <v>GHG emissions</v>
          </cell>
          <cell r="D335">
            <v>40.692866776961672</v>
          </cell>
          <cell r="E335" t="str">
            <v>kgCO2/metric ton resin</v>
          </cell>
        </row>
        <row r="357">
          <cell r="D357" t="str">
            <v>inputs listed in Franklin Appendix</v>
          </cell>
          <cell r="N357" t="str">
            <v>Inputs NOT listed in Appendix (but are in the unit process level data)</v>
          </cell>
        </row>
        <row r="358">
          <cell r="B358" t="str">
            <v>Input names</v>
          </cell>
          <cell r="C358" t="str">
            <v>Weights</v>
          </cell>
          <cell r="D358" t="str">
            <v>Electricity, at grid, US</v>
          </cell>
          <cell r="E358" t="str">
            <v>Electricity, cogenerated, at plant</v>
          </cell>
          <cell r="F358" t="str">
            <v>Natural gas, combusted in industrial boiler</v>
          </cell>
          <cell r="G358" t="str">
            <v>Diesel, combusted in industrial equipment</v>
          </cell>
          <cell r="H358" t="str">
            <v>Residual fuel oil, combusted in industrial boiler</v>
          </cell>
          <cell r="I358" t="str">
            <v>Gasoline, combusted in equipment</v>
          </cell>
          <cell r="J358" t="str">
            <v>Liquefied petroleum gas, combusted in industrial boiler</v>
          </cell>
          <cell r="K358" t="str">
            <v>Natural gas, processed, for olefins production, at plant, internal offgas use</v>
          </cell>
          <cell r="L358" t="str">
            <v>Petroleum refining, for olefins production, at plant, internal offgas use</v>
          </cell>
          <cell r="M358" t="str">
            <v>Natural gas, combusted in industrial boiler, at hydrocracker, for propylene</v>
          </cell>
          <cell r="N358" t="str">
            <v>Propylene, at plant</v>
          </cell>
          <cell r="O358" t="str">
            <v>Natural gas, extracted, material use</v>
          </cell>
          <cell r="P358" t="str">
            <v>Natural gas, processed, for olefins production, at plant, material use</v>
          </cell>
          <cell r="Q358" t="str">
            <v>Dummy_Disposal, solid waste, unspecified, to sanitary landfill</v>
          </cell>
          <cell r="R358" t="str">
            <v>Dummy_Disposal, solid waste, unspecified, to municipal incineration</v>
          </cell>
          <cell r="S358" t="str">
            <v>Dummy_Disposal, solid waste, unspecified, to waste-to-energy</v>
          </cell>
        </row>
        <row r="359">
          <cell r="B359" t="str">
            <v>WARM fuel names</v>
          </cell>
          <cell r="D359" t="str">
            <v>Electricity, at grid, US</v>
          </cell>
          <cell r="E359" t="str">
            <v>Electricity, cogenerated, at plant</v>
          </cell>
          <cell r="F359" t="str">
            <v>Natural gas, combusted in industrial boiler</v>
          </cell>
          <cell r="G359" t="str">
            <v>Diesel, combusted in industrial equipment</v>
          </cell>
          <cell r="H359" t="str">
            <v>Residual fuel oil, combusted in industrial boiler</v>
          </cell>
          <cell r="I359" t="str">
            <v>Gasoline, combusted in equipment</v>
          </cell>
          <cell r="J359" t="str">
            <v>Liquefied petroleum gas, combusted in industrial boiler</v>
          </cell>
          <cell r="K359" t="str">
            <v>Natural gas, processed, for propylene production, at plant, internal offgas use</v>
          </cell>
          <cell r="L359" t="str">
            <v>Petroleum refining, for propylene production, at plant, internal offgas use</v>
          </cell>
          <cell r="M359" t="str">
            <v>Natural gas, combusted in industrial boiler, at hydrocracker, for propylene</v>
          </cell>
        </row>
        <row r="360">
          <cell r="B360" t="str">
            <v>Units</v>
          </cell>
          <cell r="D360" t="str">
            <v>kwh</v>
          </cell>
          <cell r="E360" t="str">
            <v>kwh</v>
          </cell>
          <cell r="F360" t="str">
            <v>m3</v>
          </cell>
          <cell r="G360" t="str">
            <v>Liter</v>
          </cell>
          <cell r="H360" t="str">
            <v>Liter</v>
          </cell>
          <cell r="I360" t="str">
            <v>Liter</v>
          </cell>
          <cell r="J360" t="str">
            <v>Liter</v>
          </cell>
          <cell r="K360" t="str">
            <v>kg</v>
          </cell>
          <cell r="L360" t="str">
            <v>kg</v>
          </cell>
          <cell r="M360" t="str">
            <v>m3</v>
          </cell>
          <cell r="N360" t="str">
            <v>kg</v>
          </cell>
          <cell r="O360" t="str">
            <v>kg</v>
          </cell>
          <cell r="P360" t="str">
            <v>kg</v>
          </cell>
          <cell r="Q360" t="str">
            <v>kg</v>
          </cell>
          <cell r="R360" t="str">
            <v>kg</v>
          </cell>
          <cell r="S360" t="str">
            <v>kg</v>
          </cell>
        </row>
        <row r="361">
          <cell r="B361" t="str">
            <v>Crude oil, extracted, material use</v>
          </cell>
          <cell r="C361">
            <v>0.36717615195591968</v>
          </cell>
          <cell r="D361">
            <v>3.9007760922910306E-2</v>
          </cell>
          <cell r="E361">
            <v>0</v>
          </cell>
          <cell r="F361">
            <v>3.2773193101835504E-2</v>
          </cell>
          <cell r="G361">
            <v>1.292841229219902E-3</v>
          </cell>
          <cell r="H361">
            <v>7.9811801371544784E-4</v>
          </cell>
          <cell r="I361">
            <v>6.8420799999999995E-4</v>
          </cell>
          <cell r="J361">
            <v>0</v>
          </cell>
          <cell r="K361">
            <v>0</v>
          </cell>
          <cell r="L361">
            <v>0</v>
          </cell>
          <cell r="M361">
            <v>0</v>
          </cell>
          <cell r="N361">
            <v>0</v>
          </cell>
          <cell r="O361">
            <v>0</v>
          </cell>
          <cell r="P361">
            <v>0</v>
          </cell>
          <cell r="Q361">
            <v>2.6145465323843063E-2</v>
          </cell>
          <cell r="R361">
            <v>0</v>
          </cell>
          <cell r="S361">
            <v>0</v>
          </cell>
        </row>
        <row r="362">
          <cell r="B362" t="str">
            <v>Petroleum refining coproduct, for olefins production, at refinery, material use</v>
          </cell>
          <cell r="C362">
            <v>0.3606838427857757</v>
          </cell>
          <cell r="D362">
            <v>0.14299999999999999</v>
          </cell>
          <cell r="E362">
            <v>0</v>
          </cell>
          <cell r="F362">
            <v>1.11E-2</v>
          </cell>
          <cell r="G362">
            <v>0</v>
          </cell>
          <cell r="H362">
            <v>2.7199999999999998E-2</v>
          </cell>
          <cell r="I362">
            <v>0</v>
          </cell>
          <cell r="J362">
            <v>1.1492253471102709E-3</v>
          </cell>
          <cell r="K362">
            <v>0</v>
          </cell>
          <cell r="L362">
            <v>0</v>
          </cell>
          <cell r="M362">
            <v>0</v>
          </cell>
          <cell r="N362">
            <v>0</v>
          </cell>
          <cell r="O362">
            <v>0</v>
          </cell>
          <cell r="P362">
            <v>0</v>
          </cell>
          <cell r="Q362">
            <v>5.604210839866227E-3</v>
          </cell>
          <cell r="R362">
            <v>0</v>
          </cell>
          <cell r="S362">
            <v>0</v>
          </cell>
        </row>
        <row r="363">
          <cell r="B363" t="str">
            <v>Natural gas, extracted, material use</v>
          </cell>
          <cell r="C363">
            <v>0.64350407038962798</v>
          </cell>
          <cell r="D363">
            <v>3.9007760922910306E-2</v>
          </cell>
          <cell r="E363">
            <v>0</v>
          </cell>
          <cell r="F363">
            <v>3.2773193101835504E-2</v>
          </cell>
          <cell r="G363">
            <v>1.2928412292199023E-3</v>
          </cell>
          <cell r="H363">
            <v>7.9811801371544784E-4</v>
          </cell>
          <cell r="I363">
            <v>6.8420799999999995E-4</v>
          </cell>
          <cell r="J363">
            <v>0</v>
          </cell>
          <cell r="K363">
            <v>0</v>
          </cell>
          <cell r="L363">
            <v>0</v>
          </cell>
          <cell r="M363">
            <v>0</v>
          </cell>
          <cell r="N363">
            <v>0</v>
          </cell>
          <cell r="O363">
            <v>0</v>
          </cell>
          <cell r="P363">
            <v>0</v>
          </cell>
          <cell r="Q363">
            <v>2.4697908042181894E-2</v>
          </cell>
          <cell r="R363">
            <v>0</v>
          </cell>
          <cell r="S363">
            <v>0</v>
          </cell>
        </row>
        <row r="364">
          <cell r="B364" t="str">
            <v>Natural gas, processed, for olefins production, at plant, material use</v>
          </cell>
          <cell r="C364">
            <v>0.64011147954802339</v>
          </cell>
          <cell r="D364">
            <v>2.1322549914683849E-2</v>
          </cell>
          <cell r="E364">
            <v>0</v>
          </cell>
          <cell r="F364">
            <v>3.4567420882417418E-2</v>
          </cell>
          <cell r="G364">
            <v>5.019674551149041E-5</v>
          </cell>
          <cell r="H364">
            <v>4.956533990757228E-5</v>
          </cell>
          <cell r="I364">
            <v>4.7605978073191451E-5</v>
          </cell>
          <cell r="J364">
            <v>0</v>
          </cell>
          <cell r="K364">
            <v>0</v>
          </cell>
          <cell r="L364">
            <v>0</v>
          </cell>
          <cell r="M364">
            <v>0</v>
          </cell>
          <cell r="N364">
            <v>0</v>
          </cell>
          <cell r="O364">
            <v>1.0053000000000001</v>
          </cell>
          <cell r="P364">
            <v>0</v>
          </cell>
          <cell r="Q364">
            <v>0</v>
          </cell>
          <cell r="R364">
            <v>0</v>
          </cell>
          <cell r="S364">
            <v>0</v>
          </cell>
        </row>
        <row r="365">
          <cell r="B365" t="str">
            <v>Propylene, at plant</v>
          </cell>
          <cell r="C365">
            <v>0.996</v>
          </cell>
          <cell r="D365">
            <v>0.10192998603307039</v>
          </cell>
          <cell r="E365">
            <v>4.7119021356034421E-2</v>
          </cell>
          <cell r="F365">
            <v>0</v>
          </cell>
          <cell r="G365">
            <v>1.487195658324629E-5</v>
          </cell>
          <cell r="H365">
            <v>0</v>
          </cell>
          <cell r="I365">
            <v>1.7125283338283607E-5</v>
          </cell>
          <cell r="J365">
            <v>0</v>
          </cell>
          <cell r="K365">
            <v>0.12050726285056428</v>
          </cell>
          <cell r="L365">
            <v>6.6239999999999993E-2</v>
          </cell>
          <cell r="M365">
            <v>0.10980001284585959</v>
          </cell>
          <cell r="N365">
            <v>0</v>
          </cell>
          <cell r="O365">
            <v>0</v>
          </cell>
          <cell r="P365">
            <v>0.64268220838154955</v>
          </cell>
          <cell r="Q365">
            <v>3.6214082731013701E-4</v>
          </cell>
          <cell r="R365">
            <v>5.595489420140938E-3</v>
          </cell>
          <cell r="S365">
            <v>4.3748673815441674E-6</v>
          </cell>
        </row>
        <row r="366">
          <cell r="B366" t="str">
            <v>Polypropylene resin, at plant</v>
          </cell>
          <cell r="C366">
            <v>1</v>
          </cell>
          <cell r="D366">
            <v>0.16313932980599649</v>
          </cell>
          <cell r="E366">
            <v>0.15079365079365081</v>
          </cell>
          <cell r="F366">
            <v>1.9352370000000001E-2</v>
          </cell>
          <cell r="G366">
            <v>0</v>
          </cell>
          <cell r="H366">
            <v>4.3388799999999998E-3</v>
          </cell>
          <cell r="I366">
            <v>0</v>
          </cell>
          <cell r="J366">
            <v>0</v>
          </cell>
          <cell r="K366">
            <v>0</v>
          </cell>
          <cell r="L366">
            <v>0</v>
          </cell>
          <cell r="M366">
            <v>0</v>
          </cell>
          <cell r="N366">
            <v>0.996</v>
          </cell>
          <cell r="O366">
            <v>0</v>
          </cell>
          <cell r="P366">
            <v>0</v>
          </cell>
          <cell r="Q366">
            <v>1.1E-4</v>
          </cell>
          <cell r="R366">
            <v>2.0600000000000002E-3</v>
          </cell>
          <cell r="S366">
            <v>0</v>
          </cell>
        </row>
        <row r="367">
          <cell r="B367" t="str">
            <v>Weighted Cradle to resin for 1 kg of PP</v>
          </cell>
          <cell r="D367">
            <v>0.36931256686969433</v>
          </cell>
          <cell r="E367">
            <v>0.19772419606426109</v>
          </cell>
          <cell r="F367">
            <v>7.8606181671262237E-2</v>
          </cell>
          <cell r="G367">
            <v>1.3535930428002312E-3</v>
          </cell>
          <cell r="H367">
            <v>1.4987849958395551E-2</v>
          </cell>
          <cell r="I367">
            <v>7.3904540883529431E-4</v>
          </cell>
          <cell r="J367">
            <v>4.1450701442254947E-4</v>
          </cell>
          <cell r="K367">
            <v>0.12002523379916202</v>
          </cell>
          <cell r="L367">
            <v>6.5975039999999999E-2</v>
          </cell>
          <cell r="M367">
            <v>0.10936081279447615</v>
          </cell>
          <cell r="N367">
            <v>0.996</v>
          </cell>
          <cell r="O367">
            <v>0.64350407038962798</v>
          </cell>
          <cell r="P367">
            <v>0.64011147954802339</v>
          </cell>
          <cell r="Q367">
            <v>2.7985236269463951E-2</v>
          </cell>
          <cell r="R367">
            <v>7.6331074624603748E-3</v>
          </cell>
          <cell r="S367">
            <v>4.3573679120179906E-6</v>
          </cell>
        </row>
        <row r="369">
          <cell r="B369" t="str">
            <v>Weighted Cradle to resin for 1 metric ton of PP</v>
          </cell>
          <cell r="D369">
            <v>369.31256686969431</v>
          </cell>
          <cell r="E369">
            <v>197.72419606426109</v>
          </cell>
          <cell r="F369">
            <v>78.606181671262235</v>
          </cell>
          <cell r="G369">
            <v>1.3535930428002312</v>
          </cell>
          <cell r="H369">
            <v>14.987849958395552</v>
          </cell>
          <cell r="I369">
            <v>0.73904540883529435</v>
          </cell>
          <cell r="J369">
            <v>0.41450701442254945</v>
          </cell>
          <cell r="K369">
            <v>120.02523379916202</v>
          </cell>
          <cell r="L369">
            <v>65.975039999999993</v>
          </cell>
          <cell r="M369">
            <v>109.36081279447615</v>
          </cell>
          <cell r="N369">
            <v>996</v>
          </cell>
          <cell r="O369">
            <v>643.50407038962794</v>
          </cell>
          <cell r="P369">
            <v>640.11147954802334</v>
          </cell>
          <cell r="Q369">
            <v>27.98523626946395</v>
          </cell>
          <cell r="R369">
            <v>7.6331074624603747</v>
          </cell>
          <cell r="S369">
            <v>4.3573679120179907E-3</v>
          </cell>
        </row>
        <row r="370">
          <cell r="B370" t="str">
            <v>Franklin Appendices DATA from February 2011</v>
          </cell>
          <cell r="D370">
            <v>389</v>
          </cell>
          <cell r="E370">
            <v>198</v>
          </cell>
          <cell r="F370">
            <v>237</v>
          </cell>
          <cell r="G370">
            <v>1.575</v>
          </cell>
          <cell r="H370">
            <v>17</v>
          </cell>
          <cell r="I370">
            <v>0.89</v>
          </cell>
          <cell r="J370">
            <v>0.5</v>
          </cell>
          <cell r="N370">
            <v>0</v>
          </cell>
        </row>
        <row r="372">
          <cell r="B372" t="str">
            <v>Per metric ton of PP (1000 kg)</v>
          </cell>
          <cell r="D372" t="str">
            <v>MMBtu</v>
          </cell>
          <cell r="E372" t="str">
            <v>MMBtu</v>
          </cell>
          <cell r="F372" t="str">
            <v>MMBtu</v>
          </cell>
          <cell r="G372" t="str">
            <v>MMBtu</v>
          </cell>
          <cell r="H372" t="str">
            <v>MMBtu</v>
          </cell>
          <cell r="I372" t="str">
            <v>MMBtu</v>
          </cell>
          <cell r="J372" t="str">
            <v>MMBtu</v>
          </cell>
          <cell r="K372" t="str">
            <v>MMBtu</v>
          </cell>
          <cell r="L372" t="str">
            <v>MMBtu</v>
          </cell>
          <cell r="M372" t="str">
            <v>MMBtu</v>
          </cell>
        </row>
        <row r="373">
          <cell r="B373" t="str">
            <v>Pre-combustion</v>
          </cell>
          <cell r="D373">
            <v>0</v>
          </cell>
          <cell r="E373">
            <v>0</v>
          </cell>
          <cell r="F373">
            <v>0.24705964853947893</v>
          </cell>
          <cell r="G373">
            <v>7.1873871962972145E-3</v>
          </cell>
          <cell r="H373">
            <v>8.6710226830028672E-2</v>
          </cell>
          <cell r="I373">
            <v>3.3385209392156365E-3</v>
          </cell>
          <cell r="J373">
            <v>1.3797147272902827E-3</v>
          </cell>
          <cell r="K373">
            <v>0.41202285857546433</v>
          </cell>
          <cell r="L373">
            <v>0.37724955106895125</v>
          </cell>
          <cell r="M373">
            <v>0.39829571948720999</v>
          </cell>
        </row>
        <row r="374">
          <cell r="B374" t="str">
            <v>Combustion</v>
          </cell>
          <cell r="D374">
            <v>3.9153784462137566</v>
          </cell>
          <cell r="E374">
            <v>1.4650292270443979</v>
          </cell>
          <cell r="F374">
            <v>2.8592296404007116</v>
          </cell>
          <cell r="G374">
            <v>4.9703821904741922E-2</v>
          </cell>
          <cell r="H374">
            <v>0.59390566321937444</v>
          </cell>
          <cell r="I374">
            <v>2.4404392830523657E-2</v>
          </cell>
          <cell r="J374">
            <v>1.0457361623509681E-2</v>
          </cell>
          <cell r="K374">
            <v>7.5121164997756713</v>
          </cell>
          <cell r="L374">
            <v>4.1393249892101842</v>
          </cell>
          <cell r="M374">
            <v>3.9392814682396757</v>
          </cell>
        </row>
        <row r="375">
          <cell r="B375" t="str">
            <v>Total Energy</v>
          </cell>
          <cell r="D375">
            <v>3.9153784462137566</v>
          </cell>
          <cell r="E375">
            <v>1.4650292270443979</v>
          </cell>
          <cell r="F375">
            <v>3.1062892889401903</v>
          </cell>
          <cell r="G375">
            <v>5.6891209101039134E-2</v>
          </cell>
          <cell r="H375">
            <v>0.68061589004940315</v>
          </cell>
          <cell r="I375">
            <v>2.7742913769739294E-2</v>
          </cell>
          <cell r="J375">
            <v>1.1837076350799964E-2</v>
          </cell>
          <cell r="K375">
            <v>7.9241393583511357</v>
          </cell>
          <cell r="L375">
            <v>4.5165745402791355</v>
          </cell>
          <cell r="M375">
            <v>4.3375771877268861</v>
          </cell>
        </row>
        <row r="376">
          <cell r="D376">
            <v>4.3815248173431067</v>
          </cell>
          <cell r="E376">
            <v>1.4654900930025014</v>
          </cell>
          <cell r="F376">
            <v>13.960830744802804</v>
          </cell>
          <cell r="G376">
            <v>2.1280294473394719</v>
          </cell>
          <cell r="H376">
            <v>0.61446132632817851</v>
          </cell>
          <cell r="I376">
            <v>3.3811500767323671E-2</v>
          </cell>
          <cell r="J376">
            <v>1.251089262213826E-2</v>
          </cell>
        </row>
        <row r="377">
          <cell r="B377" t="str">
            <v>Electricity precombustion energy and GHG emissions</v>
          </cell>
          <cell r="C377" t="str">
            <v>Energy</v>
          </cell>
          <cell r="D377">
            <v>0.18396197580913212</v>
          </cell>
          <cell r="E377" t="str">
            <v>million BTU/metric ton resin</v>
          </cell>
        </row>
        <row r="378">
          <cell r="C378" t="str">
            <v>GHG emissions</v>
          </cell>
          <cell r="D378">
            <v>51.833483687811125</v>
          </cell>
          <cell r="E378" t="str">
            <v>kgCO2/metric ton resin</v>
          </cell>
        </row>
        <row r="395">
          <cell r="A395" t="str">
            <v>Assumptions:</v>
          </cell>
          <cell r="B395" t="str">
            <v>N/A</v>
          </cell>
        </row>
        <row r="396">
          <cell r="A396" t="str">
            <v>Spreadsheets:</v>
          </cell>
          <cell r="B396" t="str">
            <v>K:\MSW\Greenblue_EPA Data Collection\All Plastics\_LIVE Virgin</v>
          </cell>
        </row>
        <row r="399">
          <cell r="D399" t="str">
            <v>Process Energy</v>
          </cell>
        </row>
        <row r="400">
          <cell r="D400" t="str">
            <v>inputs listed in Franklin Appendix</v>
          </cell>
          <cell r="S400" t="str">
            <v>Inputs NOT listed in Appendix (but are in the unit process level data)</v>
          </cell>
        </row>
        <row r="401">
          <cell r="B401" t="str">
            <v>Input names</v>
          </cell>
          <cell r="C401" t="str">
            <v>Weights</v>
          </cell>
          <cell r="D401" t="str">
            <v>Electricity, at grid, US</v>
          </cell>
          <cell r="E401" t="str">
            <v>Electricity, cogenerated, at plant</v>
          </cell>
          <cell r="F401" t="str">
            <v>Natural gas, combusted in industrial boiler</v>
          </cell>
          <cell r="G401" t="str">
            <v>Diesel, combusted in industrial equipment</v>
          </cell>
          <cell r="H401" t="str">
            <v>Residual fuel oil, combusted in industrial boiler</v>
          </cell>
          <cell r="I401" t="str">
            <v>Gasoline, combusted in equipment</v>
          </cell>
          <cell r="J401" t="str">
            <v>Liquefied petroleum gas, combusted in industrial boiler</v>
          </cell>
          <cell r="K401" t="str">
            <v>Natural gas, processed, for olefins production, at plant, internal offgas use</v>
          </cell>
          <cell r="L401" t="str">
            <v>Natural gas, processed, for olefins production, at plant, internal offgas use</v>
          </cell>
          <cell r="M401" t="str">
            <v>Natural gas, processed, for olefins production, at plant, internal offgas use</v>
          </cell>
          <cell r="N401" t="str">
            <v>Petroleum refining, for olefins production, at plant, internal offgas use</v>
          </cell>
          <cell r="O401" t="str">
            <v>Petroleum refining, for olefins production, at plant, internal offgas use</v>
          </cell>
          <cell r="P401" t="str">
            <v>Petroleum refining, for olefins production, at plant, internal offgas use</v>
          </cell>
          <cell r="Q401" t="str">
            <v>Natural gas, combusted in industrial boiler, at hydrocracker, for ethylene</v>
          </cell>
          <cell r="R401" t="str">
            <v>Natural gas, combusted in industrial boiler, at hydrocracker, for pyrolysis gas</v>
          </cell>
          <cell r="S401" t="str">
            <v>Pyrolysis gasoline, at plant</v>
          </cell>
        </row>
        <row r="402">
          <cell r="B402" t="str">
            <v>WARM fuel names</v>
          </cell>
          <cell r="D402" t="str">
            <v>Electricity, at grid, US</v>
          </cell>
          <cell r="E402" t="str">
            <v>Electricity, cogenerated, at plant</v>
          </cell>
          <cell r="F402" t="str">
            <v>Natural gas, combusted in industrial boiler</v>
          </cell>
          <cell r="G402" t="str">
            <v>Diesel, combusted in industrial equipment</v>
          </cell>
          <cell r="H402" t="str">
            <v>Residual fuel oil, combusted in industrial boiler</v>
          </cell>
          <cell r="I402" t="str">
            <v>Gasoline, combusted in equipment</v>
          </cell>
          <cell r="J402" t="str">
            <v>Liquefied petroleum gas, combusted in industrial boiler</v>
          </cell>
          <cell r="K402" t="str">
            <v>Natural gas, processed, for ethylene production, at plant, internal offgas use</v>
          </cell>
          <cell r="L402" t="str">
            <v>Natural gas, processed, for pyrolysis gas production, at plant, internal offgas use</v>
          </cell>
          <cell r="M402" t="str">
            <v>Natural gas, processed, for benzene production, at plant, internal offgas use</v>
          </cell>
          <cell r="N402" t="str">
            <v>Petroleum refining, for ethylene production, at plant, internal offgas use</v>
          </cell>
          <cell r="O402" t="str">
            <v>Petroleum refining, for pyrolysis gas production, at plant, internal offgas use</v>
          </cell>
          <cell r="P402" t="str">
            <v>Petroleum refining, for benzene production, at plant, internal offgas use</v>
          </cell>
          <cell r="Q402" t="str">
            <v>Natural gas, combusted in industrial boiler, at hydrocracker, for ethylene</v>
          </cell>
          <cell r="R402" t="str">
            <v>Natural gas, combusted in industrial boiler, at hydrocracker, for pyrolysis gas</v>
          </cell>
        </row>
        <row r="403">
          <cell r="B403" t="str">
            <v>Units</v>
          </cell>
          <cell r="D403" t="str">
            <v>kwh</v>
          </cell>
          <cell r="E403" t="str">
            <v>kwh</v>
          </cell>
          <cell r="F403" t="str">
            <v>m3</v>
          </cell>
          <cell r="G403" t="str">
            <v>Liter</v>
          </cell>
          <cell r="H403" t="str">
            <v>Liter</v>
          </cell>
          <cell r="I403" t="str">
            <v>Liter</v>
          </cell>
          <cell r="J403" t="str">
            <v>Liter</v>
          </cell>
          <cell r="K403" t="str">
            <v>kg</v>
          </cell>
          <cell r="L403" t="str">
            <v>kg</v>
          </cell>
          <cell r="M403" t="str">
            <v>kg</v>
          </cell>
          <cell r="N403" t="str">
            <v>kg</v>
          </cell>
          <cell r="O403" t="str">
            <v>kg</v>
          </cell>
          <cell r="P403" t="str">
            <v>kg</v>
          </cell>
          <cell r="Q403" t="str">
            <v>m3</v>
          </cell>
          <cell r="R403" t="str">
            <v>m3</v>
          </cell>
          <cell r="S403" t="str">
            <v>kg</v>
          </cell>
        </row>
        <row r="404">
          <cell r="B404" t="str">
            <v>Crude oil, extracted, material use</v>
          </cell>
          <cell r="C404">
            <v>0.70086517865542963</v>
          </cell>
          <cell r="D404">
            <v>3.9007760922910306E-2</v>
          </cell>
          <cell r="E404">
            <v>0</v>
          </cell>
          <cell r="F404">
            <v>3.2773193101835504E-2</v>
          </cell>
          <cell r="G404">
            <v>1.292841229219902E-3</v>
          </cell>
          <cell r="H404">
            <v>7.9811801371544784E-4</v>
          </cell>
          <cell r="I404">
            <v>6.8420799999999995E-4</v>
          </cell>
          <cell r="J404">
            <v>0</v>
          </cell>
          <cell r="K404">
            <v>0</v>
          </cell>
          <cell r="L404">
            <v>0</v>
          </cell>
          <cell r="M404">
            <v>0</v>
          </cell>
          <cell r="N404">
            <v>0</v>
          </cell>
          <cell r="O404">
            <v>0</v>
          </cell>
          <cell r="P404">
            <v>0</v>
          </cell>
          <cell r="Q404">
            <v>0</v>
          </cell>
          <cell r="R404">
            <v>0</v>
          </cell>
          <cell r="S404">
            <v>0</v>
          </cell>
        </row>
        <row r="405">
          <cell r="B405" t="str">
            <v>Petroleum refining coproduct, for olefins production, at refinery, material use</v>
          </cell>
          <cell r="C405">
            <v>0.68847267058490136</v>
          </cell>
          <cell r="D405">
            <v>0.14299999999999999</v>
          </cell>
          <cell r="E405">
            <v>0</v>
          </cell>
          <cell r="F405">
            <v>1.11E-2</v>
          </cell>
          <cell r="G405">
            <v>0</v>
          </cell>
          <cell r="H405">
            <v>2.7199999999999998E-2</v>
          </cell>
          <cell r="I405">
            <v>0</v>
          </cell>
          <cell r="J405">
            <v>1.1492253471102709E-3</v>
          </cell>
          <cell r="K405">
            <v>0</v>
          </cell>
          <cell r="L405">
            <v>0</v>
          </cell>
          <cell r="M405">
            <v>0</v>
          </cell>
          <cell r="N405">
            <v>0</v>
          </cell>
          <cell r="O405">
            <v>0</v>
          </cell>
          <cell r="P405">
            <v>0</v>
          </cell>
          <cell r="Q405">
            <v>0</v>
          </cell>
          <cell r="R405">
            <v>0</v>
          </cell>
          <cell r="S405">
            <v>0</v>
          </cell>
        </row>
        <row r="406">
          <cell r="B406" t="str">
            <v>Natural gas, extracted, material use</v>
          </cell>
          <cell r="C406">
            <v>0.3982807685511997</v>
          </cell>
          <cell r="D406">
            <v>3.9007760922910306E-2</v>
          </cell>
          <cell r="E406">
            <v>0</v>
          </cell>
          <cell r="F406">
            <v>3.2773193101835504E-2</v>
          </cell>
          <cell r="G406">
            <v>1.2928412292199023E-3</v>
          </cell>
          <cell r="H406">
            <v>7.9811801371544784E-4</v>
          </cell>
          <cell r="I406">
            <v>6.8420799999999995E-4</v>
          </cell>
          <cell r="J406">
            <v>0</v>
          </cell>
          <cell r="K406">
            <v>0</v>
          </cell>
          <cell r="L406">
            <v>0</v>
          </cell>
          <cell r="M406">
            <v>0</v>
          </cell>
          <cell r="N406">
            <v>0</v>
          </cell>
          <cell r="O406">
            <v>0</v>
          </cell>
          <cell r="P406">
            <v>0</v>
          </cell>
          <cell r="Q406">
            <v>0</v>
          </cell>
          <cell r="R406">
            <v>0</v>
          </cell>
          <cell r="S406">
            <v>0</v>
          </cell>
        </row>
        <row r="407">
          <cell r="B407" t="str">
            <v>Natural gas, processed, for olefins production, at plant, material use</v>
          </cell>
          <cell r="C407">
            <v>0.39618100920242683</v>
          </cell>
          <cell r="D407">
            <v>2.1322549914683849E-2</v>
          </cell>
          <cell r="E407">
            <v>0</v>
          </cell>
          <cell r="F407">
            <v>3.4567420882417418E-2</v>
          </cell>
          <cell r="G407">
            <v>5.019674551149041E-5</v>
          </cell>
          <cell r="H407">
            <v>4.956533990757228E-5</v>
          </cell>
          <cell r="I407">
            <v>4.7605978073191451E-5</v>
          </cell>
          <cell r="J407">
            <v>0</v>
          </cell>
          <cell r="K407">
            <v>0</v>
          </cell>
          <cell r="L407">
            <v>0</v>
          </cell>
          <cell r="M407">
            <v>0</v>
          </cell>
          <cell r="N407">
            <v>0</v>
          </cell>
          <cell r="O407">
            <v>0</v>
          </cell>
          <cell r="P407">
            <v>0</v>
          </cell>
          <cell r="Q407">
            <v>0</v>
          </cell>
          <cell r="R407">
            <v>0</v>
          </cell>
          <cell r="S407">
            <v>0</v>
          </cell>
        </row>
        <row r="408">
          <cell r="B408" t="str">
            <v>Ethylene, at plant</v>
          </cell>
          <cell r="C408">
            <v>0.29270699999999999</v>
          </cell>
          <cell r="D408">
            <v>7.8775271768157767E-2</v>
          </cell>
          <cell r="E408">
            <v>6.7391643429430867E-2</v>
          </cell>
          <cell r="F408">
            <v>0</v>
          </cell>
          <cell r="G408">
            <v>7.9401871578878264E-5</v>
          </cell>
          <cell r="H408">
            <v>0</v>
          </cell>
          <cell r="I408">
            <v>9.1432458181738591E-5</v>
          </cell>
          <cell r="J408">
            <v>0</v>
          </cell>
          <cell r="K408">
            <v>0.11890000000000001</v>
          </cell>
          <cell r="L408">
            <v>0</v>
          </cell>
          <cell r="M408">
            <v>0</v>
          </cell>
          <cell r="N408">
            <v>2.6100000000000002E-2</v>
          </cell>
          <cell r="O408">
            <v>0</v>
          </cell>
          <cell r="P408">
            <v>0</v>
          </cell>
          <cell r="Q408">
            <v>0.14184232196242397</v>
          </cell>
          <cell r="R408">
            <v>0</v>
          </cell>
          <cell r="S408">
            <v>0</v>
          </cell>
        </row>
        <row r="409">
          <cell r="B409" t="str">
            <v>Pyrolysis gasoline, at plant</v>
          </cell>
          <cell r="C409">
            <v>0.26204269500000005</v>
          </cell>
          <cell r="D409">
            <v>0.11597034656038656</v>
          </cell>
          <cell r="E409">
            <v>4.2323300509392148E-2</v>
          </cell>
          <cell r="F409">
            <v>0</v>
          </cell>
          <cell r="G409">
            <v>1.6016264414463768E-5</v>
          </cell>
          <cell r="H409">
            <v>0</v>
          </cell>
          <cell r="I409">
            <v>1.8442971143927977E-5</v>
          </cell>
          <cell r="J409">
            <v>0</v>
          </cell>
          <cell r="K409">
            <v>0</v>
          </cell>
          <cell r="L409">
            <v>0.10382</v>
          </cell>
          <cell r="M409">
            <v>0</v>
          </cell>
          <cell r="N409">
            <v>0</v>
          </cell>
          <cell r="O409">
            <v>7.5180000000000011E-2</v>
          </cell>
          <cell r="P409">
            <v>0</v>
          </cell>
          <cell r="Q409">
            <v>0</v>
          </cell>
          <cell r="R409">
            <v>9.63996188283779E-2</v>
          </cell>
          <cell r="S409">
            <v>0</v>
          </cell>
        </row>
        <row r="410">
          <cell r="B410" t="str">
            <v>Benzene, at plant</v>
          </cell>
          <cell r="C410">
            <v>0.78221700000000005</v>
          </cell>
          <cell r="D410">
            <v>1.5917107583774251E-2</v>
          </cell>
          <cell r="E410">
            <v>9.5899470899470877E-3</v>
          </cell>
          <cell r="F410">
            <v>3.9397679700000007E-2</v>
          </cell>
          <cell r="G410">
            <v>3.3376E-3</v>
          </cell>
          <cell r="H410">
            <v>3.2291279999999999E-2</v>
          </cell>
          <cell r="I410">
            <v>0</v>
          </cell>
          <cell r="J410">
            <v>0</v>
          </cell>
          <cell r="K410">
            <v>0</v>
          </cell>
          <cell r="L410">
            <v>0</v>
          </cell>
          <cell r="M410">
            <v>2.2100000000000002E-2</v>
          </cell>
          <cell r="N410">
            <v>0</v>
          </cell>
          <cell r="O410">
            <v>0</v>
          </cell>
          <cell r="P410">
            <v>1.6E-2</v>
          </cell>
          <cell r="Q410">
            <v>0</v>
          </cell>
          <cell r="R410">
            <v>0</v>
          </cell>
          <cell r="S410">
            <v>0.33500000000000002</v>
          </cell>
        </row>
        <row r="411">
          <cell r="B411" t="str">
            <v>Ethylbenzene styrene, at plant</v>
          </cell>
          <cell r="C411">
            <v>0.999</v>
          </cell>
          <cell r="D411">
            <v>0.16358024691358025</v>
          </cell>
          <cell r="E411">
            <v>2.2045855379188714E-4</v>
          </cell>
          <cell r="F411">
            <v>0.42668854500000003</v>
          </cell>
          <cell r="G411">
            <v>0</v>
          </cell>
          <cell r="H411">
            <v>0</v>
          </cell>
          <cell r="I411">
            <v>0</v>
          </cell>
          <cell r="J411">
            <v>0</v>
          </cell>
          <cell r="K411">
            <v>0</v>
          </cell>
          <cell r="L411">
            <v>0</v>
          </cell>
          <cell r="M411">
            <v>0</v>
          </cell>
          <cell r="N411">
            <v>0</v>
          </cell>
          <cell r="O411">
            <v>0</v>
          </cell>
          <cell r="P411">
            <v>0</v>
          </cell>
          <cell r="Q411">
            <v>0</v>
          </cell>
          <cell r="R411">
            <v>0</v>
          </cell>
          <cell r="S411">
            <v>0</v>
          </cell>
        </row>
        <row r="412">
          <cell r="B412" t="str">
            <v>White mineral oil, at plant</v>
          </cell>
          <cell r="C412">
            <v>2.5699999999999998E-3</v>
          </cell>
          <cell r="D412">
            <v>0.41446208112874777</v>
          </cell>
          <cell r="E412">
            <v>0</v>
          </cell>
          <cell r="F412">
            <v>7.4600265000000013E-2</v>
          </cell>
          <cell r="G412">
            <v>0</v>
          </cell>
          <cell r="H412">
            <v>0.18189919999999998</v>
          </cell>
          <cell r="I412">
            <v>0</v>
          </cell>
          <cell r="J412">
            <v>7.75992E-3</v>
          </cell>
          <cell r="K412">
            <v>0</v>
          </cell>
          <cell r="L412">
            <v>0</v>
          </cell>
          <cell r="M412">
            <v>0</v>
          </cell>
          <cell r="N412">
            <v>0</v>
          </cell>
          <cell r="O412">
            <v>0</v>
          </cell>
          <cell r="P412">
            <v>0</v>
          </cell>
          <cell r="Q412">
            <v>0</v>
          </cell>
          <cell r="R412">
            <v>0</v>
          </cell>
          <cell r="S412">
            <v>0</v>
          </cell>
        </row>
        <row r="413">
          <cell r="B413" t="str">
            <v>Polystyrene, general purpose, at plant</v>
          </cell>
          <cell r="C413">
            <v>1</v>
          </cell>
          <cell r="D413">
            <v>0.11507936507936509</v>
          </cell>
          <cell r="E413">
            <v>0</v>
          </cell>
          <cell r="F413">
            <v>2.0039067000000001E-2</v>
          </cell>
          <cell r="G413">
            <v>0</v>
          </cell>
          <cell r="H413">
            <v>0</v>
          </cell>
          <cell r="I413">
            <v>0</v>
          </cell>
          <cell r="J413">
            <v>0</v>
          </cell>
          <cell r="K413">
            <v>0</v>
          </cell>
          <cell r="L413">
            <v>0</v>
          </cell>
          <cell r="M413">
            <v>0</v>
          </cell>
          <cell r="N413">
            <v>0</v>
          </cell>
          <cell r="O413">
            <v>0</v>
          </cell>
          <cell r="P413">
            <v>0</v>
          </cell>
          <cell r="Q413">
            <v>0</v>
          </cell>
          <cell r="R413">
            <v>0</v>
          </cell>
          <cell r="S413">
            <v>0</v>
          </cell>
        </row>
        <row r="414">
          <cell r="B414" t="str">
            <v>Weighted Cradle to resin for 1 kg of GPPS</v>
          </cell>
          <cell r="D414">
            <v>0.49523349062923105</v>
          </cell>
          <cell r="E414">
            <v>3.8538175238169645E-2</v>
          </cell>
          <cell r="F414">
            <v>0.53466970566706129</v>
          </cell>
          <cell r="G414">
            <v>4.0790740826893495E-3</v>
          </cell>
          <cell r="H414">
            <v>4.5349610778223304E-2</v>
          </cell>
          <cell r="I414">
            <v>8.0250080108282317E-4</v>
          </cell>
          <cell r="J414">
            <v>8.1115323822886839E-4</v>
          </cell>
          <cell r="K414">
            <v>3.4802862300000001E-2</v>
          </cell>
          <cell r="L414">
            <v>2.7205272594900003E-2</v>
          </cell>
          <cell r="M414">
            <v>1.7286995700000002E-2</v>
          </cell>
          <cell r="N414">
            <v>7.6396527000000001E-3</v>
          </cell>
          <cell r="O414">
            <v>1.9700369810100007E-2</v>
          </cell>
          <cell r="P414">
            <v>1.2515472000000001E-2</v>
          </cell>
          <cell r="Q414">
            <v>4.1518240534655235E-2</v>
          </cell>
          <cell r="R414">
            <v>2.5260815914760891E-2</v>
          </cell>
          <cell r="S414">
            <v>0.26204269500000005</v>
          </cell>
        </row>
        <row r="416">
          <cell r="B416" t="str">
            <v>Weighted Cradle to resin for 1 metric ton of GPPS</v>
          </cell>
          <cell r="D416">
            <v>495.23349062923103</v>
          </cell>
          <cell r="E416">
            <v>38.538175238169643</v>
          </cell>
          <cell r="F416">
            <v>534.66970566706129</v>
          </cell>
          <cell r="G416">
            <v>4.0790740826893499</v>
          </cell>
          <cell r="H416">
            <v>45.349610778223301</v>
          </cell>
          <cell r="I416">
            <v>0.80250080108282318</v>
          </cell>
          <cell r="J416">
            <v>0.81115323822886842</v>
          </cell>
          <cell r="K416">
            <v>34.802862300000001</v>
          </cell>
          <cell r="L416">
            <v>27.205272594900002</v>
          </cell>
          <cell r="M416">
            <v>17.286995700000002</v>
          </cell>
          <cell r="N416">
            <v>7.6396527000000001</v>
          </cell>
          <cell r="O416">
            <v>19.700369810100007</v>
          </cell>
          <cell r="P416">
            <v>12.515472000000001</v>
          </cell>
          <cell r="Q416">
            <v>41.518240534655234</v>
          </cell>
          <cell r="R416">
            <v>25.26081591476089</v>
          </cell>
          <cell r="S416">
            <v>262.04269500000004</v>
          </cell>
        </row>
        <row r="417">
          <cell r="B417" t="str">
            <v>Franklin Appendices DATA from February 2011</v>
          </cell>
          <cell r="D417">
            <v>508</v>
          </cell>
          <cell r="E417">
            <v>38.5</v>
          </cell>
          <cell r="F417">
            <v>617</v>
          </cell>
          <cell r="G417">
            <v>4.2169999999999996</v>
          </cell>
          <cell r="H417">
            <v>46.6</v>
          </cell>
          <cell r="I417">
            <v>0.9</v>
          </cell>
          <cell r="J417">
            <v>0.87</v>
          </cell>
        </row>
        <row r="419">
          <cell r="B419" t="str">
            <v>Per metric ton of GPPS (1000 kg)</v>
          </cell>
          <cell r="D419" t="str">
            <v>MMBtu</v>
          </cell>
          <cell r="E419" t="str">
            <v>MMBtu</v>
          </cell>
          <cell r="F419" t="str">
            <v>MMBtu</v>
          </cell>
          <cell r="G419" t="str">
            <v>MMBtu</v>
          </cell>
          <cell r="H419" t="str">
            <v>MMBtu</v>
          </cell>
          <cell r="I419" t="str">
            <v>MMBtu</v>
          </cell>
          <cell r="J419" t="str">
            <v>MMBtu</v>
          </cell>
          <cell r="K419" t="str">
            <v>MMBtu</v>
          </cell>
          <cell r="L419" t="str">
            <v>MMBtu</v>
          </cell>
          <cell r="M419" t="str">
            <v>MMBtu</v>
          </cell>
          <cell r="N419" t="str">
            <v>MMBtu</v>
          </cell>
          <cell r="O419" t="str">
            <v>MMBtu</v>
          </cell>
          <cell r="P419" t="str">
            <v>MMBtu</v>
          </cell>
          <cell r="Q419" t="str">
            <v>MMBtu</v>
          </cell>
          <cell r="R419" t="str">
            <v>MMBtu</v>
          </cell>
        </row>
        <row r="420">
          <cell r="B420" t="str">
            <v>Pre-combustion</v>
          </cell>
          <cell r="D420">
            <v>0</v>
          </cell>
          <cell r="E420">
            <v>0</v>
          </cell>
          <cell r="F420">
            <v>1.6804697386173097</v>
          </cell>
          <cell r="G420">
            <v>2.1659305203001175E-2</v>
          </cell>
          <cell r="H420">
            <v>0.26236418486632657</v>
          </cell>
          <cell r="I420">
            <v>3.6251706540936157E-3</v>
          </cell>
          <cell r="J420">
            <v>2.6999786009235019E-3</v>
          </cell>
          <cell r="K420">
            <v>0.11947133413169302</v>
          </cell>
          <cell r="L420">
            <v>9.3390313253892604E-2</v>
          </cell>
          <cell r="M420">
            <v>5.9342832828087264E-2</v>
          </cell>
          <cell r="N420">
            <v>4.36840288599704E-2</v>
          </cell>
          <cell r="O420">
            <v>0.11264799031198085</v>
          </cell>
          <cell r="P420">
            <v>7.1564279361043662E-2</v>
          </cell>
          <cell r="Q420">
            <v>0.15121081366385766</v>
          </cell>
          <cell r="R420">
            <v>9.2000732186509976E-2</v>
          </cell>
        </row>
        <row r="421">
          <cell r="B421" t="str">
            <v>Combustion</v>
          </cell>
          <cell r="D421">
            <v>5.2503670576069137</v>
          </cell>
          <cell r="E421">
            <v>0.28554701045555225</v>
          </cell>
          <cell r="F421">
            <v>19.448132930065498</v>
          </cell>
          <cell r="G421">
            <v>0.14978325488642599</v>
          </cell>
          <cell r="H421">
            <v>1.7970149648378531</v>
          </cell>
          <cell r="I421">
            <v>2.6499785483140463E-2</v>
          </cell>
          <cell r="J421">
            <v>2.0464123522872572E-2</v>
          </cell>
          <cell r="K421">
            <v>2.3501332585534214</v>
          </cell>
          <cell r="L421">
            <v>1.6937552064514081</v>
          </cell>
          <cell r="M421">
            <v>0.95347772643171791</v>
          </cell>
          <cell r="N421">
            <v>0.51623809523809516</v>
          </cell>
          <cell r="O421">
            <v>1.2284316070162902</v>
          </cell>
          <cell r="P421">
            <v>0.69082039285714292</v>
          </cell>
          <cell r="Q421">
            <v>1.4955268834683146</v>
          </cell>
          <cell r="R421">
            <v>0.9099188407884411</v>
          </cell>
        </row>
        <row r="422">
          <cell r="B422" t="str">
            <v>Total Energy</v>
          </cell>
          <cell r="D422">
            <v>5.2503670576069137</v>
          </cell>
          <cell r="E422">
            <v>0.28554701045555225</v>
          </cell>
          <cell r="F422">
            <v>21.128602668682806</v>
          </cell>
          <cell r="G422">
            <v>0.17144256008942715</v>
          </cell>
          <cell r="H422">
            <v>2.0593791497041796</v>
          </cell>
          <cell r="I422">
            <v>3.012495613723408E-2</v>
          </cell>
          <cell r="J422">
            <v>2.3164102123796073E-2</v>
          </cell>
          <cell r="K422">
            <v>2.4696045926851142</v>
          </cell>
          <cell r="L422">
            <v>1.7871455197053008</v>
          </cell>
          <cell r="M422">
            <v>1.0128205592598052</v>
          </cell>
          <cell r="N422">
            <v>0.55992212409806552</v>
          </cell>
          <cell r="O422">
            <v>1.341079597328271</v>
          </cell>
          <cell r="P422">
            <v>0.76238467221818662</v>
          </cell>
          <cell r="Q422">
            <v>1.6467376971321723</v>
          </cell>
          <cell r="R422">
            <v>1.001919572974951</v>
          </cell>
        </row>
        <row r="423">
          <cell r="D423">
            <v>5.7963098887651618</v>
          </cell>
          <cell r="E423">
            <v>0.28389989853808306</v>
          </cell>
          <cell r="F423">
            <v>27.400164553127276</v>
          </cell>
          <cell r="G423">
            <v>1.1775210045737043</v>
          </cell>
          <cell r="H423">
            <v>1.9419098096576912</v>
          </cell>
          <cell r="I423">
            <v>3.4198594032626484E-2</v>
          </cell>
          <cell r="J423">
            <v>2.524400331521447E-2</v>
          </cell>
        </row>
        <row r="439">
          <cell r="A439" t="str">
            <v>Name:</v>
          </cell>
          <cell r="B439" t="str">
            <v>Virgin PVC Pellet</v>
          </cell>
        </row>
        <row r="440">
          <cell r="A440" t="str">
            <v>Source:</v>
          </cell>
          <cell r="B440" t="str">
            <v>FAL (2011) Cradle-to-Gate Life Cycle Inventory of Nine Plastic Resins and Four Polyurethane Precursors: Revised Final Report. Franklin Associates Ltd. (FAL), August 2011.</v>
          </cell>
        </row>
        <row r="441">
          <cell r="A441" t="str">
            <v>Links:</v>
          </cell>
          <cell r="B441" t="str">
            <v>http://www.americanchemistry.com/s_plastics/sec_pfpg.asp?CID=1439&amp;DID=5336</v>
          </cell>
        </row>
        <row r="442">
          <cell r="A442" t="str">
            <v>Assumptions:</v>
          </cell>
          <cell r="B442" t="str">
            <v>N/A</v>
          </cell>
        </row>
        <row r="443">
          <cell r="A443" t="str">
            <v>Spreadsheets:</v>
          </cell>
          <cell r="B443" t="str">
            <v>K:\MSW\Greenblue_EPA Data Collection\All Plastics\_LIVE Virgin</v>
          </cell>
        </row>
        <row r="446">
          <cell r="D446" t="str">
            <v>Process Energy</v>
          </cell>
        </row>
        <row r="447">
          <cell r="D447" t="str">
            <v>inputs listed in Franklin Appendix</v>
          </cell>
          <cell r="O447" t="str">
            <v>Energy inputs from nature (I.e., rolled up data for confidential unit processes)</v>
          </cell>
        </row>
        <row r="448">
          <cell r="B448" t="str">
            <v>Input names</v>
          </cell>
          <cell r="C448" t="str">
            <v>Weights</v>
          </cell>
          <cell r="D448" t="str">
            <v>Electricity, at grid, US</v>
          </cell>
          <cell r="E448" t="str">
            <v>Electricity, cogenerated, at plant</v>
          </cell>
          <cell r="F448" t="str">
            <v>Natural gas, combusted in industrial boiler</v>
          </cell>
          <cell r="G448" t="str">
            <v>Diesel, combusted in industrial equipment</v>
          </cell>
          <cell r="H448" t="str">
            <v>Residual fuel oil, combusted in industrial boiler</v>
          </cell>
          <cell r="I448" t="str">
            <v>Gasoline, combusted in equipment</v>
          </cell>
          <cell r="J448" t="str">
            <v>Liquefied petroleum gas, combusted in industrial boiler</v>
          </cell>
          <cell r="K448" t="str">
            <v>Bituminous coal, combusted in industrial boiler</v>
          </cell>
          <cell r="L448" t="str">
            <v>Natural gas, processed, for olefins production, at plant, internal offgas use</v>
          </cell>
          <cell r="M448" t="str">
            <v>Petroleum refining, for olefins production, at plant, internal offgas use</v>
          </cell>
          <cell r="N448" t="str">
            <v>Natural gas, combusted in industrial boiler, at hydrocracker, for ethylene</v>
          </cell>
          <cell r="O448" t="str">
            <v>Coal, lignite, in ground</v>
          </cell>
          <cell r="P448" t="str">
            <v>Coal, unprocessed bituminous, in ground</v>
          </cell>
          <cell r="Q448" t="str">
            <v>Energy, from biomass</v>
          </cell>
          <cell r="R448" t="str">
            <v>Energy, from hydro power</v>
          </cell>
          <cell r="S448" t="str">
            <v>Energy, geothermal</v>
          </cell>
        </row>
        <row r="449">
          <cell r="B449" t="str">
            <v>WARM fuel names</v>
          </cell>
          <cell r="D449" t="str">
            <v>Electricity, at grid, US</v>
          </cell>
          <cell r="E449" t="str">
            <v>Electricity, cogenerated, at plant</v>
          </cell>
          <cell r="F449" t="str">
            <v>Natural gas, combusted in industrial boiler</v>
          </cell>
          <cell r="G449" t="str">
            <v>Diesel, combusted in industrial equipment</v>
          </cell>
          <cell r="H449" t="str">
            <v>Residual fuel oil, combusted in industrial boiler</v>
          </cell>
          <cell r="I449" t="str">
            <v>Gasoline, combusted in equipment</v>
          </cell>
          <cell r="J449" t="str">
            <v>Liquefied petroleum gas, combusted in industrial boiler</v>
          </cell>
          <cell r="K449" t="str">
            <v>Bituminous coal, combusted in industrial boiler</v>
          </cell>
          <cell r="L449" t="str">
            <v>Natural gas, processed, for ethylene production, at plant, internal offgas use</v>
          </cell>
          <cell r="M449" t="str">
            <v>Petroleum refining, for ethylene production, at plant, internal offgas use</v>
          </cell>
          <cell r="N449" t="str">
            <v>Natural gas, combusted in industrial boiler, at hydrocracker, for ethylene</v>
          </cell>
          <cell r="O449" t="str">
            <v>Coal, lignite, in ground</v>
          </cell>
          <cell r="P449" t="str">
            <v>Coal, unprocessed bituminous, in ground</v>
          </cell>
          <cell r="Q449" t="str">
            <v>Energy, from biomass</v>
          </cell>
          <cell r="R449" t="str">
            <v>Energy, from hydro power</v>
          </cell>
          <cell r="S449" t="str">
            <v>Energy, geothermal</v>
          </cell>
        </row>
        <row r="450">
          <cell r="B450" t="str">
            <v>Units</v>
          </cell>
          <cell r="D450" t="str">
            <v>kwh</v>
          </cell>
          <cell r="E450" t="str">
            <v>kwh</v>
          </cell>
          <cell r="F450" t="str">
            <v>m3</v>
          </cell>
          <cell r="G450" t="str">
            <v>Liter</v>
          </cell>
          <cell r="H450" t="str">
            <v>Liter</v>
          </cell>
          <cell r="I450" t="str">
            <v>Liter</v>
          </cell>
          <cell r="J450" t="str">
            <v>Liter</v>
          </cell>
          <cell r="K450" t="str">
            <v>kg</v>
          </cell>
          <cell r="L450" t="str">
            <v>kg</v>
          </cell>
          <cell r="M450" t="str">
            <v>kg</v>
          </cell>
          <cell r="N450" t="str">
            <v>m3</v>
          </cell>
          <cell r="O450" t="str">
            <v>kg</v>
          </cell>
          <cell r="P450" t="str">
            <v>kg</v>
          </cell>
          <cell r="Q450" t="str">
            <v>MJ</v>
          </cell>
          <cell r="R450" t="str">
            <v>MJ</v>
          </cell>
          <cell r="S450" t="str">
            <v>MJ</v>
          </cell>
        </row>
        <row r="451">
          <cell r="B451" t="str">
            <v>Crude oil, extracted, material use</v>
          </cell>
          <cell r="C451">
            <v>8.5857805905930423E-2</v>
          </cell>
          <cell r="D451">
            <v>3.9007760922910306E-2</v>
          </cell>
          <cell r="E451">
            <v>0</v>
          </cell>
          <cell r="F451">
            <v>3.2773193101835504E-2</v>
          </cell>
          <cell r="G451">
            <v>1.292841229219902E-3</v>
          </cell>
          <cell r="H451">
            <v>7.9811801371544784E-4</v>
          </cell>
          <cell r="I451">
            <v>6.8420799999999995E-4</v>
          </cell>
          <cell r="J451">
            <v>0</v>
          </cell>
          <cell r="K451">
            <v>0</v>
          </cell>
          <cell r="L451">
            <v>0</v>
          </cell>
          <cell r="M451">
            <v>0</v>
          </cell>
          <cell r="N451">
            <v>0</v>
          </cell>
          <cell r="O451">
            <v>0</v>
          </cell>
          <cell r="P451">
            <v>0</v>
          </cell>
          <cell r="Q451">
            <v>0</v>
          </cell>
          <cell r="R451">
            <v>0</v>
          </cell>
          <cell r="S451">
            <v>0</v>
          </cell>
        </row>
        <row r="452">
          <cell r="B452" t="str">
            <v>Petroleum refining coproduct, for olefins production, at refinery, material use</v>
          </cell>
          <cell r="C452">
            <v>8.4339691459656599E-2</v>
          </cell>
          <cell r="D452">
            <v>0.14299999999999999</v>
          </cell>
          <cell r="E452">
            <v>0</v>
          </cell>
          <cell r="F452">
            <v>1.11E-2</v>
          </cell>
          <cell r="G452">
            <v>0</v>
          </cell>
          <cell r="H452">
            <v>2.7199999999999998E-2</v>
          </cell>
          <cell r="I452">
            <v>0</v>
          </cell>
          <cell r="J452">
            <v>1.1492253471102709E-3</v>
          </cell>
          <cell r="K452">
            <v>0</v>
          </cell>
          <cell r="L452">
            <v>0</v>
          </cell>
          <cell r="M452">
            <v>0</v>
          </cell>
          <cell r="N452">
            <v>0</v>
          </cell>
          <cell r="O452">
            <v>0</v>
          </cell>
          <cell r="P452">
            <v>0</v>
          </cell>
          <cell r="Q452">
            <v>0</v>
          </cell>
          <cell r="R452">
            <v>0</v>
          </cell>
          <cell r="S452">
            <v>0</v>
          </cell>
        </row>
        <row r="453">
          <cell r="B453" t="str">
            <v>Natural gas, extracted, material use</v>
          </cell>
          <cell r="C453">
            <v>0.3783868044404568</v>
          </cell>
          <cell r="D453">
            <v>3.9007760922910306E-2</v>
          </cell>
          <cell r="E453">
            <v>0</v>
          </cell>
          <cell r="F453">
            <v>3.2773193101835504E-2</v>
          </cell>
          <cell r="G453">
            <v>1.2928412292199023E-3</v>
          </cell>
          <cell r="H453">
            <v>7.9811801371544784E-4</v>
          </cell>
          <cell r="I453">
            <v>6.8420799999999995E-4</v>
          </cell>
          <cell r="J453">
            <v>0</v>
          </cell>
          <cell r="K453">
            <v>0</v>
          </cell>
          <cell r="L453">
            <v>0</v>
          </cell>
          <cell r="M453">
            <v>0</v>
          </cell>
          <cell r="N453">
            <v>0</v>
          </cell>
          <cell r="O453">
            <v>0</v>
          </cell>
          <cell r="P453">
            <v>0</v>
          </cell>
          <cell r="Q453">
            <v>0</v>
          </cell>
          <cell r="R453">
            <v>0</v>
          </cell>
          <cell r="S453">
            <v>0</v>
          </cell>
        </row>
        <row r="454">
          <cell r="B454" t="str">
            <v>Natural gas, processed, for olefins production, at plant, material use</v>
          </cell>
          <cell r="C454">
            <v>0.37639192722615811</v>
          </cell>
          <cell r="D454">
            <v>2.1322549914683849E-2</v>
          </cell>
          <cell r="E454">
            <v>0</v>
          </cell>
          <cell r="F454">
            <v>3.4567420882417418E-2</v>
          </cell>
          <cell r="G454">
            <v>5.019674551149041E-5</v>
          </cell>
          <cell r="H454">
            <v>4.956533990757228E-5</v>
          </cell>
          <cell r="I454">
            <v>4.7605978073191451E-5</v>
          </cell>
          <cell r="J454">
            <v>0</v>
          </cell>
          <cell r="K454">
            <v>0</v>
          </cell>
          <cell r="L454">
            <v>0</v>
          </cell>
          <cell r="M454">
            <v>0</v>
          </cell>
          <cell r="N454">
            <v>0</v>
          </cell>
          <cell r="O454">
            <v>0</v>
          </cell>
          <cell r="P454">
            <v>0</v>
          </cell>
          <cell r="Q454">
            <v>0</v>
          </cell>
          <cell r="R454">
            <v>0</v>
          </cell>
          <cell r="S454">
            <v>0</v>
          </cell>
        </row>
        <row r="455">
          <cell r="B455" t="str">
            <v>Ethylene, at plant</v>
          </cell>
          <cell r="C455">
            <v>0.45322649999999998</v>
          </cell>
          <cell r="D455">
            <v>7.8775271768157767E-2</v>
          </cell>
          <cell r="E455">
            <v>6.7391643429430867E-2</v>
          </cell>
          <cell r="F455">
            <v>0</v>
          </cell>
          <cell r="G455">
            <v>7.9401871578878264E-5</v>
          </cell>
          <cell r="H455">
            <v>0</v>
          </cell>
          <cell r="I455">
            <v>9.1432458181738591E-5</v>
          </cell>
          <cell r="J455">
            <v>0</v>
          </cell>
          <cell r="K455">
            <v>0</v>
          </cell>
          <cell r="L455">
            <v>0.11890000000000001</v>
          </cell>
          <cell r="M455">
            <v>2.6100000000000002E-2</v>
          </cell>
          <cell r="N455">
            <v>0.14184232196242397</v>
          </cell>
          <cell r="O455">
            <v>0</v>
          </cell>
          <cell r="P455">
            <v>0</v>
          </cell>
          <cell r="Q455">
            <v>0</v>
          </cell>
          <cell r="R455">
            <v>0</v>
          </cell>
          <cell r="S455">
            <v>0</v>
          </cell>
        </row>
        <row r="456">
          <cell r="B456" t="str">
            <v>Sodium chloride, at plant</v>
          </cell>
          <cell r="C456">
            <v>0.47745861000000001</v>
          </cell>
          <cell r="D456">
            <v>3.3289241622574954E-2</v>
          </cell>
          <cell r="E456">
            <v>0</v>
          </cell>
          <cell r="F456">
            <v>2.4783519E-2</v>
          </cell>
          <cell r="G456">
            <v>1.0096239999999999E-2</v>
          </cell>
          <cell r="H456">
            <v>0</v>
          </cell>
          <cell r="I456">
            <v>0</v>
          </cell>
          <cell r="J456">
            <v>0</v>
          </cell>
          <cell r="K456">
            <v>1.1699999999999999E-2</v>
          </cell>
          <cell r="L456">
            <v>0</v>
          </cell>
          <cell r="M456">
            <v>0</v>
          </cell>
          <cell r="N456">
            <v>0</v>
          </cell>
          <cell r="O456">
            <v>0</v>
          </cell>
          <cell r="P456">
            <v>0</v>
          </cell>
          <cell r="Q456">
            <v>0</v>
          </cell>
          <cell r="R456">
            <v>0</v>
          </cell>
          <cell r="S456">
            <v>0</v>
          </cell>
        </row>
        <row r="457">
          <cell r="B457" t="str">
            <v>Chlorine, PVC producer average, at plant</v>
          </cell>
          <cell r="C457">
            <v>0.53526750000000001</v>
          </cell>
          <cell r="D457">
            <v>0.61067019400352729</v>
          </cell>
          <cell r="E457">
            <v>0.37477954144620812</v>
          </cell>
          <cell r="F457">
            <v>0.12142051500000001</v>
          </cell>
          <cell r="G457">
            <v>0</v>
          </cell>
          <cell r="H457">
            <v>5.0064E-4</v>
          </cell>
          <cell r="I457">
            <v>0</v>
          </cell>
          <cell r="J457">
            <v>0</v>
          </cell>
          <cell r="K457">
            <v>2.5600000000000001E-2</v>
          </cell>
          <cell r="L457">
            <v>0</v>
          </cell>
          <cell r="M457">
            <v>0</v>
          </cell>
          <cell r="N457">
            <v>0</v>
          </cell>
          <cell r="O457">
            <v>0</v>
          </cell>
          <cell r="P457">
            <v>0</v>
          </cell>
          <cell r="Q457">
            <v>0</v>
          </cell>
          <cell r="R457">
            <v>0</v>
          </cell>
          <cell r="S457">
            <v>0</v>
          </cell>
        </row>
        <row r="458">
          <cell r="B458" t="str">
            <v>Oxygen, liquid, at plant</v>
          </cell>
          <cell r="C458">
            <v>0.14407199999999998</v>
          </cell>
          <cell r="D458">
            <v>0.13800705467372135</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row>
        <row r="459">
          <cell r="B459" t="str">
            <v>Hydrochloric acid, at plant</v>
          </cell>
          <cell r="C459">
            <v>8.5442699999999996E-2</v>
          </cell>
          <cell r="D459">
            <v>0</v>
          </cell>
          <cell r="E459">
            <v>0</v>
          </cell>
          <cell r="F459">
            <v>0</v>
          </cell>
          <cell r="G459">
            <v>0</v>
          </cell>
          <cell r="H459">
            <v>0</v>
          </cell>
          <cell r="I459">
            <v>0</v>
          </cell>
          <cell r="J459">
            <v>0</v>
          </cell>
          <cell r="K459">
            <v>0</v>
          </cell>
          <cell r="L459">
            <v>0</v>
          </cell>
          <cell r="M459">
            <v>0</v>
          </cell>
          <cell r="N459">
            <v>0</v>
          </cell>
          <cell r="O459">
            <v>2.6862054999999999E-2</v>
          </cell>
          <cell r="P459">
            <v>0.34291621</v>
          </cell>
          <cell r="Q459">
            <v>4.9601425999999997E-2</v>
          </cell>
          <cell r="R459">
            <v>0.26156775999999998</v>
          </cell>
          <cell r="S459">
            <v>1.3814432E-2</v>
          </cell>
        </row>
        <row r="460">
          <cell r="B460" t="str">
            <v>Ethylene dichloride-vinyl chloride monomer, at plant</v>
          </cell>
          <cell r="C460">
            <v>1.0004999999999999</v>
          </cell>
          <cell r="D460">
            <v>0.15123456790123455</v>
          </cell>
          <cell r="E460">
            <v>0.20921516754850089</v>
          </cell>
          <cell r="F460">
            <v>0.12522856200000002</v>
          </cell>
          <cell r="G460">
            <v>0</v>
          </cell>
          <cell r="H460">
            <v>0</v>
          </cell>
          <cell r="I460">
            <v>0</v>
          </cell>
          <cell r="J460">
            <v>0</v>
          </cell>
          <cell r="K460">
            <v>0</v>
          </cell>
          <cell r="L460">
            <v>0</v>
          </cell>
          <cell r="M460">
            <v>0</v>
          </cell>
          <cell r="N460">
            <v>0</v>
          </cell>
          <cell r="O460">
            <v>0</v>
          </cell>
          <cell r="P460">
            <v>0</v>
          </cell>
          <cell r="Q460">
            <v>0</v>
          </cell>
          <cell r="R460">
            <v>0</v>
          </cell>
          <cell r="S460">
            <v>0</v>
          </cell>
        </row>
        <row r="461">
          <cell r="B461" t="str">
            <v>Polyvinyl chloride, resin, at plant</v>
          </cell>
          <cell r="C461">
            <v>1</v>
          </cell>
          <cell r="D461">
            <v>0.16402116402116401</v>
          </cell>
          <cell r="E461">
            <v>9.1115520282186946E-2</v>
          </cell>
          <cell r="F461">
            <v>5.7744975000000004E-2</v>
          </cell>
          <cell r="G461">
            <v>0</v>
          </cell>
          <cell r="H461">
            <v>0</v>
          </cell>
          <cell r="I461">
            <v>0</v>
          </cell>
          <cell r="J461">
            <v>0</v>
          </cell>
          <cell r="K461">
            <v>0</v>
          </cell>
          <cell r="L461">
            <v>0</v>
          </cell>
          <cell r="M461">
            <v>0</v>
          </cell>
          <cell r="N461">
            <v>0</v>
          </cell>
          <cell r="O461">
            <v>0</v>
          </cell>
          <cell r="P461">
            <v>0</v>
          </cell>
          <cell r="Q461">
            <v>0</v>
          </cell>
          <cell r="R461">
            <v>0</v>
          </cell>
          <cell r="S461">
            <v>0</v>
          </cell>
        </row>
        <row r="462">
          <cell r="H462">
            <v>2.9511939090018503E-3</v>
          </cell>
          <cell r="I462">
            <v>3.7699799519844141E-4</v>
          </cell>
          <cell r="J462">
            <v>9.6925311192897011E-5</v>
          </cell>
          <cell r="K462">
            <v>1.9289113736999999E-2</v>
          </cell>
          <cell r="L462">
            <v>5.3888630850000001E-2</v>
          </cell>
          <cell r="M462">
            <v>1.1829211650000001E-2</v>
          </cell>
          <cell r="N462">
            <v>6.4286699134902536E-2</v>
          </cell>
          <cell r="O462">
            <v>2.2951665067484999E-3</v>
          </cell>
          <cell r="P462">
            <v>2.9299686856167E-2</v>
          </cell>
          <cell r="Q462">
            <v>4.2380797612901998E-3</v>
          </cell>
          <cell r="R462">
            <v>2.2349055647351998E-2</v>
          </cell>
        </row>
        <row r="464">
          <cell r="H464">
            <v>2.9511939090018502</v>
          </cell>
          <cell r="I464">
            <v>0.3769979951984414</v>
          </cell>
          <cell r="J464">
            <v>9.6925311192897004E-2</v>
          </cell>
          <cell r="K464">
            <v>19.289113737000001</v>
          </cell>
          <cell r="L464">
            <v>53.888630849999998</v>
          </cell>
          <cell r="M464">
            <v>11.829211650000001</v>
          </cell>
          <cell r="N464">
            <v>64.286699134902534</v>
          </cell>
          <cell r="O464">
            <v>2.2951665067485001</v>
          </cell>
          <cell r="P464">
            <v>29.299686856167</v>
          </cell>
          <cell r="Q464">
            <v>4.2380797612901997</v>
          </cell>
          <cell r="R464">
            <v>22.349055647351999</v>
          </cell>
        </row>
        <row r="469">
          <cell r="H469">
            <v>0.11694344290075556</v>
          </cell>
          <cell r="I469">
            <v>1.2449041778964713E-2</v>
          </cell>
          <cell r="J469">
            <v>2.4452735281871142E-3</v>
          </cell>
          <cell r="K469">
            <v>0.45501981655004464</v>
          </cell>
          <cell r="L469">
            <v>3.6389381576380555</v>
          </cell>
          <cell r="M469">
            <v>0.79934126984126974</v>
          </cell>
          <cell r="N469">
            <v>2.3156686210109494</v>
          </cell>
          <cell r="O469">
            <v>3.2687444970900439E-2</v>
          </cell>
          <cell r="P469">
            <v>0.69116385128124369</v>
          </cell>
          <cell r="Q469">
            <v>4.01692456497938E-3</v>
          </cell>
          <cell r="R469">
            <v>2.1182817617998138E-2</v>
          </cell>
        </row>
        <row r="470">
          <cell r="H470">
            <v>0.13401718556426587</v>
          </cell>
          <cell r="I470">
            <v>1.4152070694327086E-2</v>
          </cell>
          <cell r="J470">
            <v>2.7678960041573513E-3</v>
          </cell>
          <cell r="K470">
            <v>0.47755818129504685</v>
          </cell>
          <cell r="L470">
            <v>3.8239271555740042</v>
          </cell>
          <cell r="M470">
            <v>0.86698146808081777</v>
          </cell>
          <cell r="N470">
            <v>2.549802918581634</v>
          </cell>
          <cell r="O470">
            <v>3.2687444970900439E-2</v>
          </cell>
          <cell r="P470">
            <v>0.69116385128124369</v>
          </cell>
          <cell r="Q470">
            <v>4.01692456497938E-3</v>
          </cell>
          <cell r="R470">
            <v>2.1182817617998138E-2</v>
          </cell>
        </row>
        <row r="471">
          <cell r="D471">
            <v>8.8092948118966614</v>
          </cell>
          <cell r="E471">
            <v>3.9334279725742851</v>
          </cell>
          <cell r="F471">
            <v>16.89888659169608</v>
          </cell>
          <cell r="G471">
            <v>0.87101785805182286</v>
          </cell>
          <cell r="H471">
            <v>0.15799485247806777</v>
          </cell>
          <cell r="I471">
            <v>1.6443019998702658E-2</v>
          </cell>
          <cell r="J471">
            <v>4.2158078412635165E-3</v>
          </cell>
          <cell r="K471">
            <v>0.47759487903202602</v>
          </cell>
        </row>
        <row r="472">
          <cell r="B472" t="str">
            <v>Electricity precombustion energy and GHG emissions</v>
          </cell>
          <cell r="C472" t="str">
            <v>Energy</v>
          </cell>
          <cell r="D472">
            <v>0.37452588763326711</v>
          </cell>
          <cell r="E472" t="str">
            <v>million BTU/metric ton resin</v>
          </cell>
        </row>
        <row r="473">
          <cell r="C473" t="str">
            <v>GHG emissions</v>
          </cell>
          <cell r="D473">
            <v>105.52714169282282</v>
          </cell>
          <cell r="E473" t="str">
            <v>kgCO2/metric ton resin</v>
          </cell>
        </row>
        <row r="474">
          <cell r="D474">
            <v>281.76194270489037</v>
          </cell>
        </row>
        <row r="488">
          <cell r="B488" t="str">
            <v>Recycled Plastic Energy and GHG Emission Factors</v>
          </cell>
        </row>
        <row r="491">
          <cell r="A491" t="str">
            <v>Name:</v>
          </cell>
          <cell r="B491" t="str">
            <v>Recycled HDPE pellet</v>
          </cell>
        </row>
        <row r="492">
          <cell r="A492" t="str">
            <v>Source:</v>
          </cell>
          <cell r="B492" t="str">
            <v>Franklin Associates (FAL) 2011 Life cycle inventory of 100% postconsumer HDPE and PET recycled resin from postconsumer containers and packaging.</v>
          </cell>
        </row>
        <row r="493">
          <cell r="B493" t="str">
            <v>Prepared for the Plastics Devision of the American Chemistry Council, Inc.</v>
          </cell>
        </row>
        <row r="494">
          <cell r="B494" t="str">
            <v>http://www.americanchemistry.com/s_plastics/sec_pfpg.asp?CID=1439&amp;DID=10907</v>
          </cell>
        </row>
        <row r="495">
          <cell r="A495" t="str">
            <v>Assumptions:</v>
          </cell>
          <cell r="B495" t="str">
            <v>Cut-off method, weight-based allocation of fuel for collecting recyclables</v>
          </cell>
        </row>
        <row r="496">
          <cell r="A496" t="str">
            <v>Spreadsheets:</v>
          </cell>
          <cell r="B496" t="str">
            <v>K:\MSW\Greenblue_EPA Data Collection\All Plastics\_LIVE Recycled</v>
          </cell>
        </row>
        <row r="499">
          <cell r="C499" t="str">
            <v>Type</v>
          </cell>
          <cell r="D499" t="str">
            <v>Process Energy</v>
          </cell>
        </row>
        <row r="500">
          <cell r="I500" t="str">
            <v>Other, Non-Unit Process Material Inputs</v>
          </cell>
        </row>
        <row r="501">
          <cell r="H501" t="str">
            <v>Liquefied petroleum gas, combusted in industrial boiler</v>
          </cell>
          <cell r="I501" t="str">
            <v>Deposit containers, at collection, CRV</v>
          </cell>
          <cell r="J501" t="str">
            <v>Mixed recyclables, sorted at MRF</v>
          </cell>
          <cell r="K501" t="str">
            <v>Mixed recyclables, to MRF</v>
          </cell>
          <cell r="L501" t="str">
            <v>Mixed recyclables, at collection, curbside</v>
          </cell>
          <cell r="M501" t="str">
            <v>Mixed recyclables, at collection, dropoff</v>
          </cell>
          <cell r="N501" t="str">
            <v>Mixed recyclables, at collection, commercial</v>
          </cell>
          <cell r="O501" t="str">
            <v>Dummy, Mixed recyclables, at source</v>
          </cell>
          <cell r="P501" t="str">
            <v>Dummy, Mixed deposit containers, at source</v>
          </cell>
          <cell r="Q501" t="str">
            <v>Sodium hydroxide, production mix, at plant</v>
          </cell>
          <cell r="R501" t="str">
            <v>Dummy, Defoamant, unspecified</v>
          </cell>
        </row>
        <row r="502">
          <cell r="H502" t="str">
            <v>Liquefied petroleum gas, combusted in industrial boiler</v>
          </cell>
          <cell r="I502" t="str">
            <v>--</v>
          </cell>
          <cell r="J502" t="str">
            <v>--</v>
          </cell>
          <cell r="K502" t="str">
            <v>--</v>
          </cell>
          <cell r="L502" t="str">
            <v>--</v>
          </cell>
          <cell r="M502" t="str">
            <v>--</v>
          </cell>
          <cell r="N502" t="str">
            <v>--</v>
          </cell>
          <cell r="O502" t="str">
            <v>--</v>
          </cell>
          <cell r="P502" t="str">
            <v>--</v>
          </cell>
          <cell r="Q502" t="str">
            <v>--</v>
          </cell>
          <cell r="R502" t="str">
            <v>--</v>
          </cell>
        </row>
        <row r="503">
          <cell r="H503" t="str">
            <v>L</v>
          </cell>
          <cell r="I503" t="str">
            <v>kg</v>
          </cell>
          <cell r="J503" t="str">
            <v>kg</v>
          </cell>
          <cell r="K503" t="str">
            <v>kg</v>
          </cell>
          <cell r="L503" t="str">
            <v>kg</v>
          </cell>
          <cell r="M503" t="str">
            <v>kg</v>
          </cell>
          <cell r="N503" t="str">
            <v>kg</v>
          </cell>
          <cell r="O503" t="str">
            <v>kg</v>
          </cell>
          <cell r="P503" t="str">
            <v>kg</v>
          </cell>
          <cell r="Q503" t="str">
            <v>kg</v>
          </cell>
          <cell r="R503" t="str">
            <v>kg</v>
          </cell>
        </row>
        <row r="505">
          <cell r="H505">
            <v>0</v>
          </cell>
          <cell r="I505">
            <v>0</v>
          </cell>
          <cell r="J505">
            <v>0</v>
          </cell>
          <cell r="K505">
            <v>0</v>
          </cell>
          <cell r="L505">
            <v>0</v>
          </cell>
          <cell r="M505">
            <v>0</v>
          </cell>
          <cell r="N505">
            <v>0</v>
          </cell>
          <cell r="O505">
            <v>1</v>
          </cell>
          <cell r="P505">
            <v>0</v>
          </cell>
          <cell r="Q505">
            <v>0</v>
          </cell>
          <cell r="R505">
            <v>0</v>
          </cell>
        </row>
        <row r="506">
          <cell r="H506">
            <v>0</v>
          </cell>
          <cell r="I506">
            <v>0</v>
          </cell>
          <cell r="J506">
            <v>0</v>
          </cell>
          <cell r="K506">
            <v>0</v>
          </cell>
          <cell r="L506">
            <v>0</v>
          </cell>
          <cell r="M506">
            <v>0</v>
          </cell>
          <cell r="N506">
            <v>0</v>
          </cell>
          <cell r="O506">
            <v>1</v>
          </cell>
          <cell r="P506">
            <v>0</v>
          </cell>
          <cell r="Q506">
            <v>0</v>
          </cell>
          <cell r="R506">
            <v>0</v>
          </cell>
        </row>
        <row r="507">
          <cell r="H507">
            <v>0</v>
          </cell>
          <cell r="I507">
            <v>0</v>
          </cell>
          <cell r="J507">
            <v>0</v>
          </cell>
          <cell r="K507">
            <v>0</v>
          </cell>
          <cell r="L507">
            <v>0</v>
          </cell>
          <cell r="M507">
            <v>0</v>
          </cell>
          <cell r="N507">
            <v>0</v>
          </cell>
          <cell r="O507">
            <v>1</v>
          </cell>
          <cell r="P507">
            <v>0</v>
          </cell>
          <cell r="Q507">
            <v>0</v>
          </cell>
          <cell r="R507">
            <v>0</v>
          </cell>
        </row>
        <row r="508">
          <cell r="H508">
            <v>0</v>
          </cell>
          <cell r="I508">
            <v>0</v>
          </cell>
          <cell r="J508">
            <v>0</v>
          </cell>
          <cell r="K508">
            <v>0</v>
          </cell>
          <cell r="L508">
            <v>0.75079742691531848</v>
          </cell>
          <cell r="M508">
            <v>0.17278202264611686</v>
          </cell>
          <cell r="N508">
            <v>7.6420550438564605E-2</v>
          </cell>
          <cell r="O508">
            <v>0</v>
          </cell>
          <cell r="P508">
            <v>0</v>
          </cell>
          <cell r="Q508">
            <v>0</v>
          </cell>
          <cell r="R508">
            <v>0</v>
          </cell>
        </row>
        <row r="509">
          <cell r="B509" t="str">
            <v>Deposit containers, at collection, CRV</v>
          </cell>
          <cell r="C509">
            <v>4.6396999999999994E-2</v>
          </cell>
          <cell r="D509">
            <v>1.3215859030837005E-2</v>
          </cell>
          <cell r="E509">
            <v>0</v>
          </cell>
          <cell r="F509">
            <v>0</v>
          </cell>
          <cell r="G509">
            <v>0</v>
          </cell>
          <cell r="H509">
            <v>0</v>
          </cell>
          <cell r="I509">
            <v>0</v>
          </cell>
          <cell r="J509">
            <v>0</v>
          </cell>
          <cell r="K509">
            <v>0</v>
          </cell>
          <cell r="L509">
            <v>0</v>
          </cell>
          <cell r="M509">
            <v>0</v>
          </cell>
          <cell r="N509">
            <v>0</v>
          </cell>
          <cell r="O509">
            <v>0</v>
          </cell>
          <cell r="P509">
            <v>1</v>
          </cell>
          <cell r="Q509">
            <v>0</v>
          </cell>
          <cell r="R509">
            <v>0</v>
          </cell>
          <cell r="S509">
            <v>0</v>
          </cell>
        </row>
        <row r="510">
          <cell r="B510" t="str">
            <v>Mixed recyclables, sorted at MRF</v>
          </cell>
          <cell r="C510">
            <v>1.0326029999999999</v>
          </cell>
          <cell r="D510">
            <v>1.6E-2</v>
          </cell>
          <cell r="E510">
            <v>0</v>
          </cell>
          <cell r="F510">
            <v>2.2000000000000001E-6</v>
          </cell>
          <cell r="G510">
            <v>1.8E-3</v>
          </cell>
          <cell r="H510">
            <v>2.5000000000000001E-3</v>
          </cell>
          <cell r="I510">
            <v>0</v>
          </cell>
          <cell r="J510">
            <v>0</v>
          </cell>
          <cell r="K510">
            <v>1.087</v>
          </cell>
          <cell r="L510">
            <v>0</v>
          </cell>
          <cell r="M510">
            <v>0</v>
          </cell>
          <cell r="N510">
            <v>0</v>
          </cell>
          <cell r="O510">
            <v>0</v>
          </cell>
          <cell r="P510">
            <v>0</v>
          </cell>
          <cell r="Q510">
            <v>0</v>
          </cell>
          <cell r="R510">
            <v>0</v>
          </cell>
          <cell r="S510">
            <v>0</v>
          </cell>
        </row>
        <row r="511">
          <cell r="B511" t="str">
            <v>Processed post-consumer plastics, at reclaimer</v>
          </cell>
          <cell r="C511">
            <v>1</v>
          </cell>
          <cell r="D511">
            <v>0.49</v>
          </cell>
          <cell r="E511">
            <v>0</v>
          </cell>
          <cell r="F511">
            <v>7.7000000000000002E-3</v>
          </cell>
          <cell r="G511">
            <v>1.8000000000000001E-4</v>
          </cell>
          <cell r="H511">
            <v>1.1000000000000001E-3</v>
          </cell>
          <cell r="I511">
            <v>4.6396999999999994E-2</v>
          </cell>
          <cell r="J511">
            <v>1.0326029999999999</v>
          </cell>
          <cell r="K511">
            <v>0</v>
          </cell>
          <cell r="L511">
            <v>0</v>
          </cell>
          <cell r="M511">
            <v>0</v>
          </cell>
          <cell r="N511">
            <v>0</v>
          </cell>
          <cell r="O511">
            <v>0</v>
          </cell>
          <cell r="P511">
            <v>0</v>
          </cell>
          <cell r="Q511">
            <v>2.7E-4</v>
          </cell>
          <cell r="R511">
            <v>1.5200000000000001E-3</v>
          </cell>
          <cell r="S511">
            <v>5.6999999999999998E-4</v>
          </cell>
        </row>
        <row r="513">
          <cell r="B513" t="str">
            <v>Weighted cradle to resin inputs per kg HDPE</v>
          </cell>
          <cell r="D513">
            <v>0.50713482421145373</v>
          </cell>
          <cell r="E513">
            <v>0</v>
          </cell>
          <cell r="F513">
            <v>7.7022717265999999E-3</v>
          </cell>
          <cell r="G513">
            <v>2.0386853999999999E-3</v>
          </cell>
          <cell r="H513">
            <v>3.6815075000000003E-3</v>
          </cell>
          <cell r="I513">
            <v>4.6396999999999994E-2</v>
          </cell>
          <cell r="J513">
            <v>1.0326029999999999</v>
          </cell>
          <cell r="K513">
            <v>1.1224394609999999</v>
          </cell>
          <cell r="L513">
            <v>0.84272465918701689</v>
          </cell>
          <cell r="M513">
            <v>0.19393736036939718</v>
          </cell>
          <cell r="N513">
            <v>8.5777441443585761E-2</v>
          </cell>
          <cell r="O513">
            <v>1.1224394609999997</v>
          </cell>
          <cell r="P513">
            <v>4.6396999999999994E-2</v>
          </cell>
          <cell r="Q513">
            <v>2.7E-4</v>
          </cell>
          <cell r="R513">
            <v>1.5200000000000001E-3</v>
          </cell>
          <cell r="S513">
            <v>5.6999999999999998E-4</v>
          </cell>
        </row>
        <row r="514">
          <cell r="B514" t="str">
            <v>Weighted cradle to resin inputs per metric ton HDPE</v>
          </cell>
          <cell r="D514">
            <v>507.13482421145375</v>
          </cell>
          <cell r="E514">
            <v>0</v>
          </cell>
          <cell r="F514">
            <v>7.7022717266000003</v>
          </cell>
          <cell r="G514">
            <v>2.0386853999999999</v>
          </cell>
          <cell r="H514">
            <v>3.6815075000000004</v>
          </cell>
          <cell r="I514">
            <v>46.396999999999991</v>
          </cell>
          <cell r="J514">
            <v>1032.6029999999998</v>
          </cell>
          <cell r="K514">
            <v>1122.4394609999999</v>
          </cell>
          <cell r="L514">
            <v>842.72465918701687</v>
          </cell>
          <cell r="M514">
            <v>193.93736036939717</v>
          </cell>
          <cell r="N514">
            <v>85.777441443585758</v>
          </cell>
          <cell r="O514">
            <v>1122.4394609999997</v>
          </cell>
          <cell r="P514">
            <v>46.396999999999991</v>
          </cell>
          <cell r="Q514">
            <v>0.27</v>
          </cell>
          <cell r="R514">
            <v>1.52</v>
          </cell>
          <cell r="S514">
            <v>0.56999999999999995</v>
          </cell>
        </row>
        <row r="516">
          <cell r="A516" t="str">
            <v>Energy use</v>
          </cell>
          <cell r="B516" t="str">
            <v>Pre-combustion energy (million BTU / metric ton)</v>
          </cell>
          <cell r="C516">
            <v>0.36581772544708041</v>
          </cell>
          <cell r="D516">
            <v>0</v>
          </cell>
          <cell r="E516">
            <v>0</v>
          </cell>
          <cell r="F516">
            <v>2.4208281146227632E-2</v>
          </cell>
          <cell r="G516">
            <v>1.0825130506673702E-2</v>
          </cell>
          <cell r="H516">
            <v>1.2254147552739958E-2</v>
          </cell>
          <cell r="I516">
            <v>0</v>
          </cell>
          <cell r="J516">
            <v>0</v>
          </cell>
          <cell r="K516">
            <v>0</v>
          </cell>
          <cell r="L516">
            <v>0</v>
          </cell>
          <cell r="M516">
            <v>0</v>
          </cell>
          <cell r="N516">
            <v>0</v>
          </cell>
          <cell r="O516">
            <v>0</v>
          </cell>
          <cell r="P516">
            <v>0</v>
          </cell>
          <cell r="Q516">
            <v>0</v>
          </cell>
          <cell r="R516">
            <v>0</v>
          </cell>
          <cell r="S516">
            <v>0</v>
          </cell>
        </row>
        <row r="517">
          <cell r="B517" t="str">
            <v>Combustion energy (million BTU / metric ton)</v>
          </cell>
          <cell r="C517">
            <v>8.0485475304055711</v>
          </cell>
          <cell r="D517">
            <v>5.3765426312788387</v>
          </cell>
          <cell r="E517">
            <v>0</v>
          </cell>
          <cell r="F517">
            <v>0.28016325371476924</v>
          </cell>
          <cell r="G517">
            <v>7.4860355245156426E-2</v>
          </cell>
          <cell r="H517">
            <v>9.2878658038624273E-2</v>
          </cell>
          <cell r="I517">
            <v>0</v>
          </cell>
          <cell r="J517">
            <v>0</v>
          </cell>
          <cell r="K517">
            <v>0</v>
          </cell>
          <cell r="L517">
            <v>0</v>
          </cell>
          <cell r="M517">
            <v>0</v>
          </cell>
          <cell r="N517">
            <v>0</v>
          </cell>
          <cell r="O517">
            <v>0</v>
          </cell>
          <cell r="P517">
            <v>0</v>
          </cell>
          <cell r="Q517">
            <v>0</v>
          </cell>
          <cell r="R517">
            <v>0</v>
          </cell>
          <cell r="S517">
            <v>0</v>
          </cell>
        </row>
        <row r="518">
          <cell r="B518" t="str">
            <v>Total energy (million BTU / metric ton)</v>
          </cell>
          <cell r="C518">
            <v>8.4143652558526529</v>
          </cell>
          <cell r="D518">
            <v>5.3765426312788387</v>
          </cell>
          <cell r="E518">
            <v>0</v>
          </cell>
          <cell r="F518">
            <v>0.30437153486099688</v>
          </cell>
          <cell r="G518">
            <v>8.5685485751830132E-2</v>
          </cell>
          <cell r="H518">
            <v>0.10513280559136423</v>
          </cell>
          <cell r="I518">
            <v>0</v>
          </cell>
          <cell r="J518">
            <v>0</v>
          </cell>
          <cell r="K518">
            <v>0</v>
          </cell>
          <cell r="L518">
            <v>0</v>
          </cell>
          <cell r="M518">
            <v>0</v>
          </cell>
          <cell r="N518">
            <v>0</v>
          </cell>
          <cell r="O518">
            <v>0</v>
          </cell>
          <cell r="P518">
            <v>0</v>
          </cell>
          <cell r="Q518">
            <v>0</v>
          </cell>
          <cell r="R518">
            <v>0</v>
          </cell>
          <cell r="S518">
            <v>0</v>
          </cell>
        </row>
        <row r="519">
          <cell r="C519">
            <v>8.5333500000000004</v>
          </cell>
        </row>
        <row r="520">
          <cell r="B520" t="str">
            <v>Electricity precombustion energy and GHG emissions</v>
          </cell>
          <cell r="C520" t="str">
            <v>Energy</v>
          </cell>
          <cell r="D520">
            <v>0.25261399863620937</v>
          </cell>
          <cell r="E520" t="str">
            <v>million BTU/metric ton resin</v>
          </cell>
        </row>
        <row r="521">
          <cell r="C521" t="str">
            <v>GHG emissions</v>
          </cell>
          <cell r="D521">
            <v>71.177011010188878</v>
          </cell>
          <cell r="E521" t="str">
            <v>kgCO2/metric ton resin</v>
          </cell>
        </row>
        <row r="524">
          <cell r="C524">
            <v>8.6669792544888615</v>
          </cell>
        </row>
        <row r="525">
          <cell r="J525" t="str">
            <v>Diesel</v>
          </cell>
          <cell r="K525" t="str">
            <v>Gasoline</v>
          </cell>
        </row>
        <row r="526">
          <cell r="D526">
            <v>0.6389718615482205</v>
          </cell>
          <cell r="E526">
            <v>0</v>
          </cell>
          <cell r="F526">
            <v>3.6172845557101263E-2</v>
          </cell>
          <cell r="G526">
            <v>1.0183238205904025E-2</v>
          </cell>
          <cell r="H526">
            <v>1.2494442824221184E-2</v>
          </cell>
          <cell r="I526">
            <v>0</v>
          </cell>
          <cell r="J526">
            <v>0.24877810885989282</v>
          </cell>
          <cell r="K526">
            <v>5.3399503004659982E-2</v>
          </cell>
        </row>
        <row r="527">
          <cell r="D527">
            <v>0.91566546504122237</v>
          </cell>
          <cell r="E527">
            <v>0</v>
          </cell>
          <cell r="F527">
            <v>5.1836751259519816E-2</v>
          </cell>
          <cell r="G527">
            <v>1.4592879762876656E-2</v>
          </cell>
          <cell r="H527">
            <v>1.7904903936381038E-2</v>
          </cell>
          <cell r="J527">
            <v>0.82328438339569776</v>
          </cell>
          <cell r="K527">
            <v>0.17671561660430232</v>
          </cell>
        </row>
        <row r="528">
          <cell r="C528">
            <v>281.76194270489037</v>
          </cell>
          <cell r="D528">
            <v>52.313106828938473</v>
          </cell>
          <cell r="F528">
            <v>53.02</v>
          </cell>
          <cell r="G528">
            <v>73.956666666666663</v>
          </cell>
          <cell r="H528">
            <v>61.709999999999994</v>
          </cell>
          <cell r="I528">
            <v>52.833842210294726</v>
          </cell>
          <cell r="J528">
            <v>73.956666666666663</v>
          </cell>
          <cell r="K528">
            <v>71.353333333333339</v>
          </cell>
          <cell r="L528">
            <v>59.077670154199886</v>
          </cell>
        </row>
        <row r="535">
          <cell r="A535" t="str">
            <v>Name:</v>
          </cell>
          <cell r="B535" t="str">
            <v>Recycled PET pellet</v>
          </cell>
        </row>
        <row r="536">
          <cell r="A536" t="str">
            <v>Source:</v>
          </cell>
          <cell r="B536" t="str">
            <v>Franklin Associates (FAL) 2011 Life cycle inventory of 100% postconsumer HDPE and PET recycled resin from postconsumer containers and packaging.</v>
          </cell>
        </row>
        <row r="537">
          <cell r="B537" t="str">
            <v>Prepared for the Plastics Devision of the American Chemistry Council, Inc.</v>
          </cell>
        </row>
        <row r="547">
          <cell r="C547" t="str">
            <v>Units</v>
          </cell>
          <cell r="D547" t="str">
            <v>kWh</v>
          </cell>
          <cell r="E547" t="str">
            <v>kWh</v>
          </cell>
          <cell r="F547" t="str">
            <v>m3</v>
          </cell>
          <cell r="G547" t="str">
            <v>L</v>
          </cell>
          <cell r="H547" t="str">
            <v>L</v>
          </cell>
          <cell r="I547" t="str">
            <v>kg</v>
          </cell>
          <cell r="J547" t="str">
            <v>kg</v>
          </cell>
          <cell r="K547" t="str">
            <v>kg</v>
          </cell>
          <cell r="L547" t="str">
            <v>kg</v>
          </cell>
          <cell r="M547" t="str">
            <v>kg</v>
          </cell>
          <cell r="N547" t="str">
            <v>kg</v>
          </cell>
          <cell r="O547" t="str">
            <v>kg</v>
          </cell>
          <cell r="P547" t="str">
            <v>kg</v>
          </cell>
          <cell r="Q547" t="str">
            <v>kg</v>
          </cell>
          <cell r="R547" t="str">
            <v>kg</v>
          </cell>
          <cell r="S547" t="str">
            <v>kg</v>
          </cell>
        </row>
        <row r="548">
          <cell r="B548" t="str">
            <v>Unit process inputs</v>
          </cell>
          <cell r="C548" t="str">
            <v>Input per kg recycled HDPE</v>
          </cell>
        </row>
        <row r="549">
          <cell r="A549" t="str">
            <v>Unit process inputs</v>
          </cell>
          <cell r="B549" t="str">
            <v>Mixed recyclables, at collection, curbside, weight basis</v>
          </cell>
          <cell r="C549">
            <v>0.64419363732497392</v>
          </cell>
          <cell r="D549">
            <v>0</v>
          </cell>
          <cell r="E549">
            <v>0</v>
          </cell>
          <cell r="F549">
            <v>0</v>
          </cell>
          <cell r="G549">
            <v>0</v>
          </cell>
          <cell r="H549">
            <v>0</v>
          </cell>
          <cell r="I549">
            <v>0</v>
          </cell>
          <cell r="J549">
            <v>0</v>
          </cell>
          <cell r="K549">
            <v>0</v>
          </cell>
          <cell r="L549">
            <v>0</v>
          </cell>
          <cell r="M549">
            <v>0</v>
          </cell>
          <cell r="N549">
            <v>0</v>
          </cell>
          <cell r="O549">
            <v>0</v>
          </cell>
          <cell r="P549">
            <v>0</v>
          </cell>
          <cell r="Q549">
            <v>1</v>
          </cell>
          <cell r="R549">
            <v>0</v>
          </cell>
          <cell r="S549">
            <v>0</v>
          </cell>
        </row>
        <row r="550">
          <cell r="B550" t="str">
            <v>Mixed recyclables, at collection, dropoff</v>
          </cell>
          <cell r="C550">
            <v>0.14824914902821315</v>
          </cell>
          <cell r="D550">
            <v>0</v>
          </cell>
          <cell r="E550">
            <v>0</v>
          </cell>
          <cell r="F550">
            <v>0</v>
          </cell>
          <cell r="G550">
            <v>0</v>
          </cell>
          <cell r="H550">
            <v>0</v>
          </cell>
          <cell r="I550">
            <v>0</v>
          </cell>
          <cell r="J550">
            <v>0</v>
          </cell>
          <cell r="K550">
            <v>0</v>
          </cell>
          <cell r="L550">
            <v>0</v>
          </cell>
          <cell r="M550">
            <v>0</v>
          </cell>
          <cell r="N550">
            <v>0</v>
          </cell>
          <cell r="O550">
            <v>0</v>
          </cell>
          <cell r="P550">
            <v>0</v>
          </cell>
          <cell r="Q550">
            <v>1</v>
          </cell>
          <cell r="R550">
            <v>0</v>
          </cell>
          <cell r="S550">
            <v>0</v>
          </cell>
        </row>
        <row r="551">
          <cell r="B551" t="str">
            <v>Mixed recyclables, at collection, commercial</v>
          </cell>
          <cell r="C551">
            <v>6.5569793646812952E-2</v>
          </cell>
          <cell r="D551">
            <v>0</v>
          </cell>
          <cell r="E551">
            <v>0</v>
          </cell>
          <cell r="F551">
            <v>0</v>
          </cell>
          <cell r="G551">
            <v>0</v>
          </cell>
          <cell r="H551">
            <v>0</v>
          </cell>
          <cell r="I551">
            <v>0</v>
          </cell>
          <cell r="J551">
            <v>0</v>
          </cell>
          <cell r="K551">
            <v>0</v>
          </cell>
          <cell r="L551">
            <v>0</v>
          </cell>
          <cell r="M551">
            <v>0</v>
          </cell>
          <cell r="N551">
            <v>0</v>
          </cell>
          <cell r="O551">
            <v>0</v>
          </cell>
          <cell r="P551">
            <v>0</v>
          </cell>
          <cell r="Q551">
            <v>1</v>
          </cell>
          <cell r="R551">
            <v>0</v>
          </cell>
          <cell r="S551">
            <v>0</v>
          </cell>
        </row>
        <row r="552">
          <cell r="B552" t="str">
            <v>Mixed recyclables, to MRF</v>
          </cell>
          <cell r="C552">
            <v>0.85801258000000002</v>
          </cell>
          <cell r="D552">
            <v>0</v>
          </cell>
          <cell r="E552">
            <v>0</v>
          </cell>
          <cell r="F552">
            <v>0</v>
          </cell>
          <cell r="G552">
            <v>0</v>
          </cell>
          <cell r="H552">
            <v>0</v>
          </cell>
          <cell r="I552">
            <v>0</v>
          </cell>
          <cell r="J552">
            <v>0</v>
          </cell>
          <cell r="K552">
            <v>0</v>
          </cell>
          <cell r="L552">
            <v>0</v>
          </cell>
          <cell r="M552">
            <v>0</v>
          </cell>
          <cell r="N552">
            <v>0.75079742691531848</v>
          </cell>
          <cell r="O552">
            <v>0.17278202264611686</v>
          </cell>
          <cell r="P552">
            <v>7.6420550438564605E-2</v>
          </cell>
          <cell r="Q552">
            <v>0</v>
          </cell>
          <cell r="R552">
            <v>0</v>
          </cell>
          <cell r="S552">
            <v>0</v>
          </cell>
        </row>
        <row r="553">
          <cell r="B553" t="str">
            <v>Deposit containers, at collection</v>
          </cell>
          <cell r="C553">
            <v>0.15859999999999999</v>
          </cell>
          <cell r="D553">
            <v>1.3215859030837005E-2</v>
          </cell>
          <cell r="E553">
            <v>0</v>
          </cell>
          <cell r="F553">
            <v>0</v>
          </cell>
          <cell r="G553">
            <v>0</v>
          </cell>
          <cell r="H553">
            <v>0</v>
          </cell>
          <cell r="I553">
            <v>0</v>
          </cell>
          <cell r="J553">
            <v>0</v>
          </cell>
          <cell r="K553">
            <v>0</v>
          </cell>
          <cell r="L553">
            <v>0</v>
          </cell>
          <cell r="M553">
            <v>0</v>
          </cell>
          <cell r="N553">
            <v>0</v>
          </cell>
          <cell r="O553">
            <v>0</v>
          </cell>
          <cell r="P553">
            <v>0</v>
          </cell>
          <cell r="Q553">
            <v>0</v>
          </cell>
          <cell r="R553">
            <v>1</v>
          </cell>
          <cell r="S553">
            <v>0</v>
          </cell>
        </row>
        <row r="554">
          <cell r="B554" t="str">
            <v>Deposit containers, at collection, CRV</v>
          </cell>
          <cell r="C554">
            <v>0.27206000000000002</v>
          </cell>
          <cell r="D554">
            <v>1.3215859030837005E-2</v>
          </cell>
          <cell r="E554">
            <v>0</v>
          </cell>
          <cell r="F554">
            <v>0</v>
          </cell>
          <cell r="G554">
            <v>0</v>
          </cell>
          <cell r="H554">
            <v>0</v>
          </cell>
          <cell r="I554">
            <v>0</v>
          </cell>
          <cell r="J554">
            <v>0</v>
          </cell>
          <cell r="K554">
            <v>0</v>
          </cell>
          <cell r="L554">
            <v>0</v>
          </cell>
          <cell r="M554">
            <v>0</v>
          </cell>
          <cell r="N554">
            <v>0</v>
          </cell>
          <cell r="O554">
            <v>0</v>
          </cell>
          <cell r="P554">
            <v>0</v>
          </cell>
          <cell r="Q554">
            <v>0</v>
          </cell>
          <cell r="R554">
            <v>1</v>
          </cell>
          <cell r="S554">
            <v>0</v>
          </cell>
        </row>
        <row r="555">
          <cell r="B555" t="str">
            <v>Mixed recyclables, sorted at MRF</v>
          </cell>
          <cell r="C555">
            <v>0.78934000000000004</v>
          </cell>
          <cell r="D555">
            <v>1.6E-2</v>
          </cell>
          <cell r="E555">
            <v>0</v>
          </cell>
          <cell r="F555">
            <v>2.2000000000000001E-6</v>
          </cell>
          <cell r="G555">
            <v>1.8E-3</v>
          </cell>
          <cell r="H555">
            <v>2.5000000000000001E-3</v>
          </cell>
          <cell r="I555">
            <v>0</v>
          </cell>
          <cell r="J555">
            <v>0</v>
          </cell>
          <cell r="K555">
            <v>0</v>
          </cell>
          <cell r="L555">
            <v>1.087</v>
          </cell>
          <cell r="M555">
            <v>0</v>
          </cell>
          <cell r="N555">
            <v>0</v>
          </cell>
          <cell r="O555">
            <v>0</v>
          </cell>
          <cell r="P555">
            <v>0</v>
          </cell>
          <cell r="Q555">
            <v>0</v>
          </cell>
          <cell r="R555">
            <v>0</v>
          </cell>
          <cell r="S555">
            <v>0</v>
          </cell>
        </row>
        <row r="556">
          <cell r="B556" t="str">
            <v>Recycled postconsumer PET flake</v>
          </cell>
          <cell r="C556">
            <v>1</v>
          </cell>
          <cell r="D556">
            <v>0.46</v>
          </cell>
          <cell r="E556">
            <v>0</v>
          </cell>
          <cell r="F556">
            <v>7.4999999999999997E-2</v>
          </cell>
          <cell r="G556">
            <v>0</v>
          </cell>
          <cell r="H556">
            <v>3.0365907666406747E-4</v>
          </cell>
          <cell r="I556">
            <v>0</v>
          </cell>
          <cell r="J556">
            <v>0.27206000000000002</v>
          </cell>
          <cell r="K556">
            <v>0.78934000000000004</v>
          </cell>
          <cell r="L556">
            <v>0</v>
          </cell>
          <cell r="M556">
            <v>0.15859999999999999</v>
          </cell>
          <cell r="N556">
            <v>0</v>
          </cell>
          <cell r="O556">
            <v>0</v>
          </cell>
          <cell r="P556">
            <v>0</v>
          </cell>
          <cell r="Q556">
            <v>0</v>
          </cell>
          <cell r="R556">
            <v>0</v>
          </cell>
          <cell r="S556">
            <v>2.4E-2</v>
          </cell>
        </row>
        <row r="557">
          <cell r="B557" t="str">
            <v>Recycled postconsumer PET pellet</v>
          </cell>
          <cell r="C557">
            <v>1</v>
          </cell>
          <cell r="D557">
            <v>0.48059964726631393</v>
          </cell>
          <cell r="E557">
            <v>0</v>
          </cell>
          <cell r="F557">
            <v>0</v>
          </cell>
          <cell r="G557">
            <v>0</v>
          </cell>
          <cell r="H557">
            <v>0</v>
          </cell>
          <cell r="I557">
            <v>1</v>
          </cell>
          <cell r="J557">
            <v>0</v>
          </cell>
          <cell r="K557">
            <v>0</v>
          </cell>
          <cell r="L557">
            <v>0</v>
          </cell>
          <cell r="M557">
            <v>0</v>
          </cell>
          <cell r="N557">
            <v>0</v>
          </cell>
          <cell r="O557">
            <v>0</v>
          </cell>
          <cell r="P557">
            <v>0</v>
          </cell>
          <cell r="Q557">
            <v>0</v>
          </cell>
          <cell r="R557">
            <v>0</v>
          </cell>
          <cell r="S557">
            <v>0</v>
          </cell>
        </row>
        <row r="559">
          <cell r="B559" t="str">
            <v>Weighted cradle to resin inputs per kg PET</v>
          </cell>
          <cell r="D559">
            <v>0.9589206291165342</v>
          </cell>
          <cell r="E559">
            <v>0</v>
          </cell>
          <cell r="F559">
            <v>7.5001736547999992E-2</v>
          </cell>
          <cell r="G559">
            <v>1.420812E-3</v>
          </cell>
          <cell r="H559">
            <v>2.2770090766640674E-3</v>
          </cell>
          <cell r="I559">
            <v>1</v>
          </cell>
          <cell r="J559">
            <v>0.27206000000000002</v>
          </cell>
          <cell r="K559">
            <v>0.78934000000000004</v>
          </cell>
          <cell r="L559">
            <v>0.85801258000000002</v>
          </cell>
          <cell r="M559">
            <v>0.15859999999999999</v>
          </cell>
          <cell r="N559">
            <v>0.64419363732497392</v>
          </cell>
          <cell r="O559">
            <v>0.14824914902821315</v>
          </cell>
          <cell r="P559">
            <v>6.5569793646812952E-2</v>
          </cell>
          <cell r="Q559">
            <v>0.85801258000000002</v>
          </cell>
          <cell r="R559">
            <v>0.43066000000000004</v>
          </cell>
          <cell r="S559">
            <v>2.4E-2</v>
          </cell>
        </row>
        <row r="560">
          <cell r="B560" t="str">
            <v>Weighted cradle to resin inputs per metric ton PET</v>
          </cell>
          <cell r="D560">
            <v>958.9206291165342</v>
          </cell>
          <cell r="E560">
            <v>0</v>
          </cell>
          <cell r="F560">
            <v>75.001736547999997</v>
          </cell>
          <cell r="G560">
            <v>1.420812</v>
          </cell>
          <cell r="H560">
            <v>2.2770090766640676</v>
          </cell>
          <cell r="I560">
            <v>1000</v>
          </cell>
          <cell r="J560">
            <v>272.06</v>
          </cell>
          <cell r="K560">
            <v>789.34</v>
          </cell>
          <cell r="L560">
            <v>858.01258000000007</v>
          </cell>
          <cell r="M560">
            <v>158.6</v>
          </cell>
          <cell r="N560">
            <v>644.19363732497391</v>
          </cell>
          <cell r="O560">
            <v>148.24914902821314</v>
          </cell>
          <cell r="P560">
            <v>65.569793646812954</v>
          </cell>
          <cell r="Q560">
            <v>858.01258000000007</v>
          </cell>
          <cell r="R560">
            <v>430.66</v>
          </cell>
          <cell r="S560">
            <v>24</v>
          </cell>
        </row>
        <row r="562">
          <cell r="A562" t="str">
            <v>Energy use</v>
          </cell>
          <cell r="B562" t="str">
            <v>Pre-combustion energy (million BTU / metric ton)</v>
          </cell>
          <cell r="C562">
            <v>0.56922071562560828</v>
          </cell>
          <cell r="D562">
            <v>0</v>
          </cell>
          <cell r="E562">
            <v>0</v>
          </cell>
          <cell r="F562">
            <v>0.23573085827897233</v>
          </cell>
          <cell r="G562">
            <v>7.544310331279204E-3</v>
          </cell>
          <cell r="H562">
            <v>7.5791792368668683E-3</v>
          </cell>
          <cell r="I562">
            <v>0</v>
          </cell>
          <cell r="J562">
            <v>0</v>
          </cell>
          <cell r="K562">
            <v>0</v>
          </cell>
          <cell r="L562">
            <v>0</v>
          </cell>
          <cell r="M562">
            <v>0</v>
          </cell>
          <cell r="N562">
            <v>0</v>
          </cell>
          <cell r="O562">
            <v>0</v>
          </cell>
          <cell r="P562">
            <v>0</v>
          </cell>
          <cell r="Q562">
            <v>0</v>
          </cell>
          <cell r="R562">
            <v>0</v>
          </cell>
          <cell r="S562">
            <v>0</v>
          </cell>
        </row>
        <row r="563">
          <cell r="B563" t="str">
            <v>Combustion energy (million BTU / metric ton)</v>
          </cell>
          <cell r="C563">
            <v>15.205662655858033</v>
          </cell>
          <cell r="D563">
            <v>10.166285958520708</v>
          </cell>
          <cell r="E563">
            <v>0</v>
          </cell>
          <cell r="F563">
            <v>2.7281211688465343</v>
          </cell>
          <cell r="G563">
            <v>5.2172096320786523E-2</v>
          </cell>
          <cell r="H563">
            <v>5.7445366438157605E-2</v>
          </cell>
          <cell r="I563">
            <v>0</v>
          </cell>
          <cell r="J563">
            <v>0</v>
          </cell>
          <cell r="K563">
            <v>0</v>
          </cell>
          <cell r="L563">
            <v>0</v>
          </cell>
          <cell r="M563">
            <v>0</v>
          </cell>
          <cell r="N563">
            <v>0</v>
          </cell>
          <cell r="O563">
            <v>0</v>
          </cell>
          <cell r="P563">
            <v>0</v>
          </cell>
          <cell r="Q563">
            <v>0</v>
          </cell>
          <cell r="R563">
            <v>0</v>
          </cell>
          <cell r="S563">
            <v>0</v>
          </cell>
        </row>
        <row r="564">
          <cell r="B564" t="str">
            <v>Total energy (million BTU / metric ton)</v>
          </cell>
          <cell r="C564">
            <v>15.774883371483639</v>
          </cell>
          <cell r="D564">
            <v>10.166285958520708</v>
          </cell>
          <cell r="E564">
            <v>0</v>
          </cell>
          <cell r="F564">
            <v>2.9638520271255064</v>
          </cell>
          <cell r="G564">
            <v>5.9716406652065727E-2</v>
          </cell>
          <cell r="H564">
            <v>6.502454567502447E-2</v>
          </cell>
          <cell r="I564">
            <v>0</v>
          </cell>
          <cell r="J564">
            <v>0</v>
          </cell>
          <cell r="K564">
            <v>0</v>
          </cell>
          <cell r="L564">
            <v>0</v>
          </cell>
          <cell r="M564">
            <v>0</v>
          </cell>
          <cell r="N564">
            <v>0</v>
          </cell>
          <cell r="O564">
            <v>0</v>
          </cell>
          <cell r="P564">
            <v>0</v>
          </cell>
          <cell r="Q564">
            <v>0</v>
          </cell>
          <cell r="R564">
            <v>0</v>
          </cell>
          <cell r="S564">
            <v>0</v>
          </cell>
        </row>
        <row r="565">
          <cell r="C565">
            <v>16.537499999999998</v>
          </cell>
        </row>
        <row r="566">
          <cell r="B566" t="str">
            <v>Electricity precombustion energy and GHG emissions</v>
          </cell>
          <cell r="C566" t="str">
            <v>Energy</v>
          </cell>
          <cell r="D566">
            <v>0.47765754377552805</v>
          </cell>
          <cell r="E566" t="str">
            <v>MMBtu/metric ton resin</v>
          </cell>
        </row>
        <row r="567">
          <cell r="C567" t="str">
            <v>GHG emissions</v>
          </cell>
          <cell r="D567">
            <v>134.585717481839</v>
          </cell>
          <cell r="E567" t="str">
            <v>kgCO2/metric ton resin</v>
          </cell>
        </row>
      </sheetData>
      <sheetData sheetId="16" refreshError="1">
        <row r="18">
          <cell r="F18" t="str">
            <v>Tables 1 &amp; 2 below are from the July 27, 2010 memo sent by ICF to Natureworks for comment, and are included here to enable a quick review in relation to Erwin Vink's comments on the left.</v>
          </cell>
        </row>
        <row r="19">
          <cell r="F19" t="str">
            <v>Table 1: GHG emission factor calculation using US LCI Database spreadsheet for PLA manufacture</v>
          </cell>
        </row>
        <row r="21">
          <cell r="I21" t="str">
            <v>(precombustion + combustion)</v>
          </cell>
        </row>
        <row r="22">
          <cell r="H22" t="str">
            <v>Quantity/kg PLA</v>
          </cell>
          <cell r="I22" t="str">
            <v>MJ/kg PLA</v>
          </cell>
          <cell r="J22" t="str">
            <v>kgs of CO2 eq./kg PLA</v>
          </cell>
        </row>
        <row r="23">
          <cell r="F23" t="str">
            <v>Inputs from technosphere</v>
          </cell>
          <cell r="G23" t="str">
            <v>Diesel</v>
          </cell>
          <cell r="H23" t="str">
            <v>tkm</v>
          </cell>
        </row>
        <row r="24">
          <cell r="G24" t="str">
            <v>Transport, combination truck, diesel powered</v>
          </cell>
          <cell r="H24">
            <v>0.127</v>
          </cell>
          <cell r="I24">
            <v>0.17199999999999999</v>
          </cell>
          <cell r="J24">
            <v>1.2E-2</v>
          </cell>
        </row>
        <row r="25">
          <cell r="G25" t="str">
            <v>Total</v>
          </cell>
          <cell r="H25">
            <v>0.127</v>
          </cell>
          <cell r="I25">
            <v>0.17199999999999999</v>
          </cell>
          <cell r="J25">
            <v>1.2E-2</v>
          </cell>
        </row>
        <row r="27">
          <cell r="G27" t="str">
            <v>Natural Gas</v>
          </cell>
          <cell r="H27" t="str">
            <v>m3</v>
          </cell>
        </row>
        <row r="28">
          <cell r="G28" t="str">
            <v>combusted in industrial equipment</v>
          </cell>
          <cell r="H28">
            <v>0.154</v>
          </cell>
          <cell r="I28">
            <v>6.4210000000000003</v>
          </cell>
          <cell r="J28">
            <v>0.32300000000000001</v>
          </cell>
        </row>
        <row r="29">
          <cell r="G29" t="str">
            <v>combusted in industrial boiler</v>
          </cell>
          <cell r="H29">
            <v>0.224</v>
          </cell>
          <cell r="I29">
            <v>9.3390000000000004</v>
          </cell>
          <cell r="J29">
            <v>0.47</v>
          </cell>
        </row>
        <row r="30">
          <cell r="G30" t="str">
            <v>Total</v>
          </cell>
          <cell r="H30">
            <v>0.378</v>
          </cell>
          <cell r="I30">
            <v>15.76</v>
          </cell>
          <cell r="J30">
            <v>0.79300000000000004</v>
          </cell>
        </row>
        <row r="32">
          <cell r="G32" t="str">
            <v>Electricity</v>
          </cell>
          <cell r="H32" t="str">
            <v>kWh</v>
          </cell>
          <cell r="J32" t="str">
            <v>[1]</v>
          </cell>
        </row>
        <row r="33">
          <cell r="G33" t="str">
            <v>Electricity, as grid, US</v>
          </cell>
          <cell r="H33">
            <v>1.627</v>
          </cell>
          <cell r="I33">
            <v>18.728000000000002</v>
          </cell>
          <cell r="J33">
            <v>1.0349999999999999</v>
          </cell>
        </row>
        <row r="34">
          <cell r="G34" t="str">
            <v>Total</v>
          </cell>
          <cell r="H34">
            <v>1.627</v>
          </cell>
          <cell r="I34">
            <v>18.728000000000002</v>
          </cell>
          <cell r="J34">
            <v>1.0349999999999999</v>
          </cell>
        </row>
        <row r="36">
          <cell r="G36" t="str">
            <v>Total Technosphere GHG</v>
          </cell>
          <cell r="I36">
            <v>34.659999999999997</v>
          </cell>
          <cell r="J36">
            <v>1.84</v>
          </cell>
        </row>
        <row r="38">
          <cell r="F38" t="str">
            <v>Outputs to nature</v>
          </cell>
          <cell r="G38" t="str">
            <v xml:space="preserve">GHG output emissions </v>
          </cell>
          <cell r="H38" t="str">
            <v>kg</v>
          </cell>
        </row>
        <row r="39">
          <cell r="G39" t="str">
            <v>CO2</v>
          </cell>
          <cell r="H39">
            <v>0.36699999999999999</v>
          </cell>
          <cell r="J39">
            <v>0.36699999999999999</v>
          </cell>
        </row>
        <row r="40">
          <cell r="G40" t="str">
            <v>N2O</v>
          </cell>
          <cell r="H40">
            <v>0</v>
          </cell>
          <cell r="J40">
            <v>0.115</v>
          </cell>
        </row>
        <row r="41">
          <cell r="G41" t="str">
            <v>CH4</v>
          </cell>
          <cell r="H41">
            <v>1E-3</v>
          </cell>
          <cell r="J41">
            <v>2.7E-2</v>
          </cell>
        </row>
        <row r="42">
          <cell r="G42" t="str">
            <v>Total GHG listed as outputs</v>
          </cell>
          <cell r="J42">
            <v>0.50900000000000001</v>
          </cell>
        </row>
        <row r="44">
          <cell r="G44" t="str">
            <v xml:space="preserve">Total GHG factor </v>
          </cell>
          <cell r="J44">
            <v>2.3490000000000002</v>
          </cell>
        </row>
        <row r="45">
          <cell r="G45" t="str">
            <v>(Inputs from technosphere + Outputs to nature)</v>
          </cell>
        </row>
        <row r="46">
          <cell r="F46" t="str">
            <v>[1] Incorporates heat rate conversion and fuel mix combustion from upstream electricity production based on natural average grid mix. Also incorporates transmission and distribution losses.</v>
          </cell>
        </row>
        <row r="50">
          <cell r="F50" t="str">
            <v>Table 2: Input from nature per kg PLA output</v>
          </cell>
        </row>
        <row r="51">
          <cell r="F51" t="str">
            <v>Carbon dioxide, biogenic, uptaken by corn used to manufacture PLA</v>
          </cell>
          <cell r="H51" t="str">
            <v>kg CO2 /kg PLA</v>
          </cell>
          <cell r="I51">
            <v>1.9350000000000001</v>
          </cell>
        </row>
        <row r="52">
          <cell r="F52" t="str">
            <v>Carbon stored within PLA</v>
          </cell>
          <cell r="H52" t="str">
            <v>kg carbon /kg PLA</v>
          </cell>
          <cell r="I52">
            <v>0.52800000000000002</v>
          </cell>
        </row>
        <row r="53">
          <cell r="F53" t="str">
            <v>Biogenic Carbon Content</v>
          </cell>
          <cell r="I53">
            <v>0.53</v>
          </cell>
        </row>
        <row r="55">
          <cell r="F55" t="str">
            <v>Input per kg PLA output</v>
          </cell>
        </row>
        <row r="56">
          <cell r="F56" t="str">
            <v>Inputs from Nature</v>
          </cell>
          <cell r="G56" t="str">
            <v>Carbon dioxide, biogenic</v>
          </cell>
          <cell r="H56" t="str">
            <v>kg</v>
          </cell>
          <cell r="I56">
            <v>-1.833</v>
          </cell>
        </row>
        <row r="57">
          <cell r="G57" t="str">
            <v>Carbon equivalent</v>
          </cell>
          <cell r="H57" t="str">
            <v>kg</v>
          </cell>
          <cell r="I57">
            <v>-0.49990909090909091</v>
          </cell>
        </row>
        <row r="58">
          <cell r="G58" t="str">
            <v>Biogenic Carbon Content</v>
          </cell>
          <cell r="I58">
            <v>0.49990909090909091</v>
          </cell>
        </row>
        <row r="64">
          <cell r="A64" t="str">
            <v>GHG_MSTR ANALYSIS</v>
          </cell>
        </row>
        <row r="67">
          <cell r="A67" t="str">
            <v>Inputs from technosphere</v>
          </cell>
          <cell r="B67" t="str">
            <v>Quantity/kg PLA</v>
          </cell>
          <cell r="C67" t="str">
            <v>M Btu/kg PLA</v>
          </cell>
          <cell r="D67" t="str">
            <v>MJ per kg PLA</v>
          </cell>
          <cell r="E67" t="str">
            <v>kgs of C eq. /kg PLA</v>
          </cell>
          <cell r="F67" t="str">
            <v>kgs of CO2 eq./kg PLA</v>
          </cell>
        </row>
        <row r="68">
          <cell r="A68" t="str">
            <v>Diesel</v>
          </cell>
          <cell r="B68" t="str">
            <v>metric ton - km</v>
          </cell>
        </row>
        <row r="69">
          <cell r="A69" t="str">
            <v>Transport, combination truck, diesel powered</v>
          </cell>
          <cell r="B69">
            <v>0.12676000000000001</v>
          </cell>
          <cell r="C69">
            <v>1.8487098521154812E-4</v>
          </cell>
          <cell r="D69">
            <v>0.19504921444270731</v>
          </cell>
          <cell r="E69">
            <v>1.3672441829628727E-2</v>
          </cell>
          <cell r="F69">
            <v>5.0132286708638667E-2</v>
          </cell>
        </row>
        <row r="70">
          <cell r="A70" t="str">
            <v>Total</v>
          </cell>
          <cell r="B70">
            <v>0.12676000000000001</v>
          </cell>
          <cell r="C70">
            <v>1.8487098521154812E-4</v>
          </cell>
          <cell r="D70">
            <v>0.19504921444270731</v>
          </cell>
          <cell r="E70">
            <v>1.3672441829628727E-2</v>
          </cell>
          <cell r="F70">
            <v>5.0132286708638667E-2</v>
          </cell>
        </row>
        <row r="72">
          <cell r="A72" t="str">
            <v>Natural Gas</v>
          </cell>
          <cell r="B72" t="str">
            <v>m3</v>
          </cell>
        </row>
        <row r="73">
          <cell r="A73" t="str">
            <v>combusted in industrial equipment</v>
          </cell>
          <cell r="B73">
            <v>0.154</v>
          </cell>
          <cell r="C73">
            <v>6.0856352557279465E-3</v>
          </cell>
          <cell r="D73">
            <v>6.4206850775220152</v>
          </cell>
          <cell r="E73">
            <v>0.32266038125869573</v>
          </cell>
          <cell r="F73">
            <v>1.1830880646152175</v>
          </cell>
        </row>
        <row r="74">
          <cell r="A74" t="str">
            <v>combusted in industrial boiler</v>
          </cell>
          <cell r="B74">
            <v>0.224</v>
          </cell>
          <cell r="C74">
            <v>8.8518330992406486E-3</v>
          </cell>
          <cell r="D74">
            <v>9.3391782945774757</v>
          </cell>
          <cell r="E74">
            <v>0.46932419092173921</v>
          </cell>
          <cell r="F74">
            <v>1.7208553667130437</v>
          </cell>
        </row>
        <row r="75">
          <cell r="A75" t="str">
            <v>Total</v>
          </cell>
          <cell r="B75">
            <v>0.378</v>
          </cell>
          <cell r="C75">
            <v>1.4937468354968595E-2</v>
          </cell>
          <cell r="D75">
            <v>15.759863372099492</v>
          </cell>
          <cell r="E75">
            <v>0.79198457218043494</v>
          </cell>
          <cell r="F75">
            <v>2.903943431328261</v>
          </cell>
        </row>
        <row r="77">
          <cell r="A77" t="str">
            <v>Electricity</v>
          </cell>
          <cell r="B77" t="str">
            <v>kWh</v>
          </cell>
        </row>
        <row r="78">
          <cell r="A78" t="str">
            <v>Electricity, as grid, US</v>
          </cell>
          <cell r="B78">
            <v>1.627</v>
          </cell>
          <cell r="C78">
            <v>1.8116515309269925E-2</v>
          </cell>
          <cell r="D78">
            <v>19.113935458659792</v>
          </cell>
          <cell r="E78">
            <v>0.32963372856396317</v>
          </cell>
          <cell r="F78">
            <v>1.2086570047345315</v>
          </cell>
        </row>
        <row r="79">
          <cell r="A79" t="str">
            <v>Total</v>
          </cell>
          <cell r="B79">
            <v>1.627</v>
          </cell>
          <cell r="C79">
            <v>1.8116515309269925E-2</v>
          </cell>
          <cell r="D79">
            <v>19.113935458659792</v>
          </cell>
          <cell r="E79">
            <v>0.32963372856396317</v>
          </cell>
          <cell r="F79">
            <v>1.2086570047345315</v>
          </cell>
        </row>
        <row r="81">
          <cell r="A81" t="str">
            <v>Process</v>
          </cell>
          <cell r="C81">
            <v>3.305398366423852E-2</v>
          </cell>
          <cell r="D81">
            <v>34.873798830759284</v>
          </cell>
          <cell r="E81">
            <v>1.1216183007443981</v>
          </cell>
          <cell r="F81">
            <v>4.1126004360627926</v>
          </cell>
        </row>
        <row r="82">
          <cell r="C82">
            <v>1.8487098521154812E-4</v>
          </cell>
          <cell r="D82">
            <v>0.19504921444270731</v>
          </cell>
          <cell r="E82">
            <v>1.3672441829628727E-2</v>
          </cell>
          <cell r="F82">
            <v>5.0132286708638667E-2</v>
          </cell>
        </row>
        <row r="83">
          <cell r="F83">
            <v>4.6726887300324886</v>
          </cell>
        </row>
        <row r="84">
          <cell r="C84">
            <v>3.3238854649450068E-2</v>
          </cell>
          <cell r="D84">
            <v>35.068848045201989</v>
          </cell>
          <cell r="E84">
            <v>1.1352907425740268</v>
          </cell>
          <cell r="F84">
            <v>4.1627327227714312</v>
          </cell>
        </row>
        <row r="85">
          <cell r="C85">
            <v>0</v>
          </cell>
          <cell r="D85">
            <v>0</v>
          </cell>
          <cell r="E85">
            <v>0</v>
          </cell>
          <cell r="F85">
            <v>0</v>
          </cell>
        </row>
        <row r="86">
          <cell r="E86" t="str">
            <v>kgs of C eq. /kg PLA</v>
          </cell>
          <cell r="F86" t="str">
            <v>kgs of CO2 eq./kg PLA</v>
          </cell>
        </row>
        <row r="87">
          <cell r="B87" t="str">
            <v>kg</v>
          </cell>
        </row>
        <row r="88">
          <cell r="B88">
            <v>0.36693556816589751</v>
          </cell>
          <cell r="E88">
            <v>0.10007333677251751</v>
          </cell>
          <cell r="F88">
            <v>0.36693556816589751</v>
          </cell>
        </row>
        <row r="89">
          <cell r="E89">
            <v>7.0051335740762249E-2</v>
          </cell>
          <cell r="F89">
            <v>0.25685489771612824</v>
          </cell>
        </row>
        <row r="90">
          <cell r="E90">
            <v>3.0022001031755254E-2</v>
          </cell>
          <cell r="F90">
            <v>0.11008067044976926</v>
          </cell>
        </row>
        <row r="91">
          <cell r="A91" t="str">
            <v>N2O</v>
          </cell>
          <cell r="B91">
            <v>3.7070170061543202E-4</v>
          </cell>
          <cell r="E91">
            <v>3.0127938213654205E-2</v>
          </cell>
          <cell r="F91">
            <v>0.11046910678339875</v>
          </cell>
        </row>
        <row r="92">
          <cell r="A92" t="str">
            <v>non-process</v>
          </cell>
          <cell r="B92">
            <v>3.7070170061543202E-4</v>
          </cell>
          <cell r="E92">
            <v>3.0127938213654205E-2</v>
          </cell>
          <cell r="F92">
            <v>0.11046910678339875</v>
          </cell>
        </row>
        <row r="93">
          <cell r="A93" t="str">
            <v>CH4</v>
          </cell>
          <cell r="B93">
            <v>1.3020532924704401E-3</v>
          </cell>
          <cell r="E93">
            <v>0</v>
          </cell>
          <cell r="F93">
            <v>3.2551332311761001E-2</v>
          </cell>
        </row>
        <row r="94">
          <cell r="A94" t="str">
            <v>Total GHG listed as outputs</v>
          </cell>
          <cell r="E94">
            <v>0.13020127498617171</v>
          </cell>
          <cell r="F94">
            <v>0.50995600726105728</v>
          </cell>
        </row>
        <row r="97">
          <cell r="A97" t="str">
            <v>CO2 emissions</v>
          </cell>
          <cell r="B97" t="str">
            <v>Percent</v>
          </cell>
        </row>
        <row r="98">
          <cell r="A98" t="str">
            <v>process energy</v>
          </cell>
          <cell r="B98">
            <v>0.7</v>
          </cell>
        </row>
        <row r="99">
          <cell r="A99" t="str">
            <v>non-process energy</v>
          </cell>
          <cell r="B99">
            <v>0.3</v>
          </cell>
        </row>
        <row r="101">
          <cell r="B101" t="str">
            <v>Total GHG factor (transportation, process, and all other inputs)</v>
          </cell>
          <cell r="E101">
            <v>1.2654920175601985</v>
          </cell>
          <cell r="F101">
            <v>4.6726887300324886</v>
          </cell>
        </row>
        <row r="103">
          <cell r="A103" t="str">
            <v>Inputs from Nature</v>
          </cell>
          <cell r="B103" t="str">
            <v>kg</v>
          </cell>
          <cell r="E103" t="str">
            <v>kgs of C eq. /kg PLA</v>
          </cell>
          <cell r="F103" t="str">
            <v>kgs of CO2 eq./kg PLA</v>
          </cell>
        </row>
        <row r="104">
          <cell r="A104" t="str">
            <v>Carbon dioxide, biogenic</v>
          </cell>
          <cell r="B104">
            <v>-1.833</v>
          </cell>
          <cell r="E104">
            <v>-0.49990909090909091</v>
          </cell>
          <cell r="F104">
            <v>-1.833</v>
          </cell>
        </row>
        <row r="105">
          <cell r="A105" t="str">
            <v xml:space="preserve"> C3H4O2</v>
          </cell>
          <cell r="B105" t="str">
            <v>kg</v>
          </cell>
        </row>
        <row r="106">
          <cell r="C106">
            <v>72</v>
          </cell>
        </row>
        <row r="107">
          <cell r="A107" t="str">
            <v>[1] Electricty Incorporates heat rate conversion and fuel mix combustion from upstream electricity production based on natural average grid mix. Also incorporates transmission and distribution losses.</v>
          </cell>
        </row>
        <row r="111">
          <cell r="A111" t="str">
            <v>Other Lifecycle Information</v>
          </cell>
        </row>
        <row r="112">
          <cell r="A112" t="str">
            <v>Other lifecycle information obtained from the natureworks website: http://www.natureworksllc.com/the-ingeo-journey/end-of-life-options.aspx</v>
          </cell>
        </row>
        <row r="114">
          <cell r="A114" t="str">
            <v>Combustion</v>
          </cell>
        </row>
        <row r="115">
          <cell r="A115" t="str">
            <v>Energy Values from Heat Recovery</v>
          </cell>
        </row>
        <row r="116">
          <cell r="A116" t="str">
            <v>Material</v>
          </cell>
          <cell r="B116" t="str">
            <v>BTU/lb</v>
          </cell>
        </row>
        <row r="117">
          <cell r="A117" t="str">
            <v>INGEO</v>
          </cell>
          <cell r="B117">
            <v>8368</v>
          </cell>
        </row>
        <row r="118">
          <cell r="A118" t="str">
            <v>Source: http://www.natureworksllc.com/the-ingeo-journey/end-of-life-options/incineration.aspx</v>
          </cell>
        </row>
        <row r="130">
          <cell r="A130" t="str">
            <v>We assume 100% carbon storage</v>
          </cell>
        </row>
        <row r="132">
          <cell r="A132" t="str">
            <v xml:space="preserve">BACKGROUND </v>
          </cell>
        </row>
        <row r="133">
          <cell r="A133" t="str">
            <v>ASTM D5526-94 is the standard test method for determining the biodegradability of a material in a (somewhat optimized) landfill environment.</v>
          </cell>
        </row>
        <row r="134">
          <cell r="A134" t="str">
            <v>Test conditions:</v>
          </cell>
        </row>
        <row r="135">
          <cell r="A135" t="str">
            <v>Temperature:  21º C</v>
          </cell>
        </row>
        <row r="136">
          <cell r="A136" t="str">
            <v>Sample size:  pellets</v>
          </cell>
        </row>
        <row r="137">
          <cell r="A137" t="str">
            <v>Duration:  6 months (up to 12-24)</v>
          </cell>
        </row>
        <row r="138">
          <cell r="A138" t="str">
            <v>Inoculum to sample ratio:  150g/2g</v>
          </cell>
        </row>
        <row r="139">
          <cell r="A139" t="str">
            <v>Samples:</v>
          </cell>
        </row>
        <row r="140">
          <cell r="A140" t="str">
            <v>Degradation reference:  Cellulose (like white office paper)</v>
          </cell>
        </row>
        <row r="141">
          <cell r="A141" t="str">
            <v>Test samples:  Ingeo 2002D (thermoforming), Ingeo 4032D (film), Ingeo 4060D (film)</v>
          </cell>
        </row>
        <row r="143">
          <cell r="A143" t="str">
            <v>RESULTS under accelerated landfill conditions</v>
          </cell>
        </row>
        <row r="144">
          <cell r="A144" t="str">
            <v>At the end of 160 days OWS stated, "“The Ingeo grades tested would be poor feedstocks for a mesophilic biogasification facility.”  This means that even when forced, Ingeo is a poor generator of methane under accelerated landfill conditions.</v>
          </cell>
        </row>
        <row r="148">
          <cell r="A148" t="str">
            <v>Recycling</v>
          </cell>
        </row>
        <row r="149">
          <cell r="A149" t="str">
            <v>Recycling is assumed to be NA as no recycling data is available</v>
          </cell>
        </row>
        <row r="150">
          <cell r="A150" t="str">
            <v>Nature Works can recycle Ingeo by applying hydrolysis, this allows Ingeo (PLA) to be broken down into its primary component- lactic acid. This lactic acid can then be reconverted into Ingeo resin. NatureWorks has set up a BuyBack program to assist with re</v>
          </cell>
        </row>
        <row r="151">
          <cell r="A151" t="str">
            <v>For more details see: http://www.natureworksllc.com/the-ingeo-journey/end-of-life-options/feedstock-recycling.aspx</v>
          </cell>
        </row>
        <row r="155">
          <cell r="A155" t="str">
            <v>From NatureWorks US LCI spreadsheet (more details below)</v>
          </cell>
        </row>
        <row r="156">
          <cell r="B156" t="str">
            <v>Flow</v>
          </cell>
          <cell r="C156" t="str">
            <v>Location</v>
          </cell>
          <cell r="D156" t="str">
            <v>Category</v>
          </cell>
          <cell r="E156" t="str">
            <v>Units</v>
          </cell>
          <cell r="F156" t="str">
            <v>Quantity</v>
          </cell>
        </row>
        <row r="157">
          <cell r="A157" t="str">
            <v>Inputs from technosphere</v>
          </cell>
          <cell r="B157" t="str">
            <v>Electricity, as grid, US</v>
          </cell>
          <cell r="C157" t="str">
            <v>US</v>
          </cell>
          <cell r="E157" t="str">
            <v>kWh</v>
          </cell>
          <cell r="F157">
            <v>1.627</v>
          </cell>
          <cell r="H157">
            <v>-0.52772727272727271</v>
          </cell>
          <cell r="I157" t="str">
            <v>C content</v>
          </cell>
        </row>
        <row r="162">
          <cell r="D162" t="str">
            <v>air</v>
          </cell>
          <cell r="E162" t="str">
            <v>kg</v>
          </cell>
          <cell r="F162">
            <v>-1.9350000000000001</v>
          </cell>
        </row>
        <row r="164">
          <cell r="D164" t="str">
            <v>air</v>
          </cell>
          <cell r="E164" t="str">
            <v>kg</v>
          </cell>
          <cell r="F164">
            <v>0.36693556816589751</v>
          </cell>
        </row>
        <row r="165">
          <cell r="D165" t="str">
            <v>air</v>
          </cell>
          <cell r="E165" t="str">
            <v>kg</v>
          </cell>
          <cell r="F165">
            <v>3.7070170061543202E-4</v>
          </cell>
        </row>
        <row r="166">
          <cell r="D166" t="str">
            <v>air</v>
          </cell>
          <cell r="E166" t="str">
            <v>kg</v>
          </cell>
          <cell r="F166">
            <v>1.3020532924704401E-3</v>
          </cell>
        </row>
        <row r="168">
          <cell r="A168" t="str">
            <v>Product output</v>
          </cell>
          <cell r="B168" t="str">
            <v>Polylactide Biopolymer Resin, Nebraska USA, at plant</v>
          </cell>
          <cell r="C168" t="str">
            <v>US</v>
          </cell>
          <cell r="E168">
            <v>0</v>
          </cell>
          <cell r="F168">
            <v>0</v>
          </cell>
        </row>
        <row r="173">
          <cell r="A173" t="str">
            <v xml:space="preserve"> </v>
          </cell>
        </row>
        <row r="174">
          <cell r="A174" t="str">
            <v>The following Flow info is obtained from the NatureWorks US LCI spreadsheet "SS Polylactide Biopolymer Resin_US LCI May_2010.xls"</v>
          </cell>
        </row>
        <row r="175">
          <cell r="A175">
            <v>0</v>
          </cell>
          <cell r="B175">
            <v>1</v>
          </cell>
          <cell r="C175">
            <v>2</v>
          </cell>
          <cell r="D175">
            <v>3</v>
          </cell>
          <cell r="E175">
            <v>4</v>
          </cell>
          <cell r="F175">
            <v>5</v>
          </cell>
          <cell r="G175">
            <v>6</v>
          </cell>
          <cell r="H175">
            <v>7</v>
          </cell>
          <cell r="I175">
            <v>8</v>
          </cell>
        </row>
        <row r="176">
          <cell r="A176" t="str">
            <v>Name
(blue shading indicates no input required)</v>
          </cell>
          <cell r="B176" t="str">
            <v>Flow</v>
          </cell>
          <cell r="C176" t="str">
            <v>CAS-number</v>
          </cell>
          <cell r="D176" t="str">
            <v>Location</v>
          </cell>
          <cell r="E176" t="str">
            <v>Category</v>
          </cell>
          <cell r="F176" t="str">
            <v>SubCategory</v>
          </cell>
          <cell r="G176" t="str">
            <v>Infrastructure Process</v>
          </cell>
          <cell r="H176" t="str">
            <v>Units</v>
          </cell>
          <cell r="I176" t="str">
            <v>Quantity</v>
          </cell>
          <cell r="J176" t="str">
            <v>uncertainty type (undefined, lognormal, normal, triangular, uniform)</v>
          </cell>
          <cell r="K176" t="str">
            <v>std dev 95 (lognormal or normal)</v>
          </cell>
          <cell r="L176" t="str">
            <v>min (triangular or uniform)</v>
          </cell>
          <cell r="M176" t="str">
            <v>max (triangular or uniform)</v>
          </cell>
          <cell r="N176" t="str">
            <v>most likely (triangular)</v>
          </cell>
          <cell r="O176" t="str">
            <v>comment</v>
          </cell>
          <cell r="P176" t="str">
            <v>Allocation Factors</v>
          </cell>
        </row>
        <row r="177">
          <cell r="A177" t="str">
            <v>Inputs from Technosphere</v>
          </cell>
          <cell r="B177" t="str">
            <v>Electricity, as grid, US</v>
          </cell>
          <cell r="D177" t="str">
            <v>US</v>
          </cell>
          <cell r="H177" t="str">
            <v>kWh</v>
          </cell>
          <cell r="I177">
            <v>1.627</v>
          </cell>
          <cell r="Q177" t="str">
            <v>Allocation Method</v>
          </cell>
        </row>
        <row r="178">
          <cell r="B178" t="str">
            <v>Natural gas, combusted in industrial equipment</v>
          </cell>
          <cell r="D178" t="str">
            <v>US</v>
          </cell>
          <cell r="H178" t="str">
            <v>m3</v>
          </cell>
          <cell r="I178">
            <v>0.154</v>
          </cell>
          <cell r="Q178" t="str">
            <v>Physical</v>
          </cell>
        </row>
        <row r="179">
          <cell r="B179" t="str">
            <v>Natural gas, combusted in industrial boiler</v>
          </cell>
          <cell r="D179" t="str">
            <v>US</v>
          </cell>
          <cell r="H179" t="str">
            <v>m3</v>
          </cell>
          <cell r="I179">
            <v>0.224</v>
          </cell>
        </row>
        <row r="180">
          <cell r="B180" t="str">
            <v>Transport, combination truck, diesel powered</v>
          </cell>
          <cell r="D180" t="str">
            <v>US</v>
          </cell>
          <cell r="H180" t="str">
            <v>tkm</v>
          </cell>
          <cell r="I180">
            <v>0.12676000000000001</v>
          </cell>
        </row>
        <row r="181">
          <cell r="B181" t="str">
            <v xml:space="preserve">Dummy_Disposal, mineral waste, underground deposit </v>
          </cell>
          <cell r="C181" t="str">
            <v>-</v>
          </cell>
          <cell r="D181" t="str">
            <v>US</v>
          </cell>
          <cell r="H181" t="str">
            <v>kg</v>
          </cell>
          <cell r="I181">
            <v>1.6939618289556101E-2</v>
          </cell>
          <cell r="O181" t="str">
            <v>See Data Module report for further clarification</v>
          </cell>
        </row>
        <row r="182">
          <cell r="B182" t="str">
            <v xml:space="preserve">Dummy_Disposal, slags &amp; ash waste, unspecified reuse </v>
          </cell>
          <cell r="C182" t="str">
            <v>-</v>
          </cell>
          <cell r="D182" t="str">
            <v>US</v>
          </cell>
          <cell r="H182" t="str">
            <v>kg</v>
          </cell>
          <cell r="I182">
            <v>1.4171015874530201E-3</v>
          </cell>
        </row>
        <row r="183">
          <cell r="B183" t="str">
            <v>Dummy_Disposal, inert solid waste, to inert material landfill</v>
          </cell>
          <cell r="C183" t="str">
            <v>-</v>
          </cell>
          <cell r="D183" t="str">
            <v>US</v>
          </cell>
          <cell r="H183" t="str">
            <v>kg</v>
          </cell>
          <cell r="I183">
            <v>1.66455642146672E-3</v>
          </cell>
        </row>
        <row r="184">
          <cell r="B184" t="str">
            <v xml:space="preserve">Dummy_Disposal, chemical waste, unspecified, to sanitary landfill </v>
          </cell>
          <cell r="C184" t="str">
            <v>-</v>
          </cell>
          <cell r="D184" t="str">
            <v>US</v>
          </cell>
          <cell r="H184" t="str">
            <v>kg</v>
          </cell>
          <cell r="I184">
            <v>1.0110129339564601E-3</v>
          </cell>
        </row>
        <row r="185">
          <cell r="B185" t="str">
            <v xml:space="preserve">Dummy_Disposal, chemical waste, unspecified, to residual materials landfill </v>
          </cell>
          <cell r="C185" t="str">
            <v>-</v>
          </cell>
          <cell r="D185" t="str">
            <v>US</v>
          </cell>
          <cell r="H185" t="str">
            <v>kg</v>
          </cell>
          <cell r="I185">
            <v>6.2344221930584604E-4</v>
          </cell>
        </row>
        <row r="186">
          <cell r="B186" t="str">
            <v xml:space="preserve">Dummy_Disposal, mining waste, underground deposit </v>
          </cell>
          <cell r="C186" t="str">
            <v>-</v>
          </cell>
          <cell r="D186" t="str">
            <v>US</v>
          </cell>
          <cell r="H186" t="str">
            <v>kg</v>
          </cell>
          <cell r="I186">
            <v>3.3805816655449444E-3</v>
          </cell>
        </row>
        <row r="187">
          <cell r="B187" t="str">
            <v xml:space="preserve">Dummy_Disposal, tailings waste, underground deposit </v>
          </cell>
          <cell r="C187" t="str">
            <v>-</v>
          </cell>
          <cell r="D187" t="str">
            <v>US</v>
          </cell>
          <cell r="H187" t="str">
            <v>kg</v>
          </cell>
          <cell r="I187">
            <v>1.2586694859123566E-3</v>
          </cell>
        </row>
        <row r="188">
          <cell r="R188" t="e">
            <v>#DIV/0!</v>
          </cell>
          <cell r="S188" t="str">
            <v>kg C per kg PLA</v>
          </cell>
        </row>
        <row r="189">
          <cell r="A189" t="str">
            <v>Inputs from Nature</v>
          </cell>
          <cell r="B189" t="str">
            <v>Carbon dioxide, biogenic</v>
          </cell>
          <cell r="C189" t="str">
            <v>124-38-9</v>
          </cell>
          <cell r="D189" t="str">
            <v>US</v>
          </cell>
          <cell r="E189" t="str">
            <v>air</v>
          </cell>
          <cell r="H189" t="str">
            <v>kg</v>
          </cell>
          <cell r="I189">
            <v>-1.9350000000000001</v>
          </cell>
          <cell r="O189" t="str">
            <v>CO2 taken from air during corn production and stored in polymer</v>
          </cell>
        </row>
        <row r="190">
          <cell r="B190" t="str">
            <v>Water, used in process</v>
          </cell>
          <cell r="C190" t="str">
            <v>-</v>
          </cell>
          <cell r="D190" t="str">
            <v>US</v>
          </cell>
          <cell r="E190" t="str">
            <v>water</v>
          </cell>
          <cell r="F190" t="str">
            <v>river</v>
          </cell>
          <cell r="H190" t="str">
            <v>kg</v>
          </cell>
          <cell r="I190">
            <v>16.1268929871712</v>
          </cell>
          <cell r="O190" t="str">
            <v>Net quantity of water used in processes such as the corn wet mill, the lactic acid production plant and the steam boiler.</v>
          </cell>
        </row>
        <row r="191">
          <cell r="B191" t="str">
            <v>Water, used for cooling</v>
          </cell>
          <cell r="C191" t="str">
            <v>-</v>
          </cell>
          <cell r="D191" t="str">
            <v>US</v>
          </cell>
          <cell r="E191" t="str">
            <v>water</v>
          </cell>
          <cell r="F191" t="str">
            <v>river</v>
          </cell>
          <cell r="H191" t="str">
            <v>kg</v>
          </cell>
          <cell r="I191">
            <v>10.744515016502401</v>
          </cell>
          <cell r="O191" t="str">
            <v xml:space="preserve">This is the sum of make up water of cooling towers ( = the water to offset losses by evaporation, drift and blowdown) + the water used in once-though cooling water systems. </v>
          </cell>
        </row>
        <row r="192">
          <cell r="B192" t="str">
            <v>Water, used for irrigation</v>
          </cell>
          <cell r="C192" t="str">
            <v>-</v>
          </cell>
          <cell r="D192" t="str">
            <v>US</v>
          </cell>
          <cell r="E192" t="str">
            <v>water</v>
          </cell>
          <cell r="F192" t="str">
            <v>ground-</v>
          </cell>
          <cell r="H192" t="str">
            <v>kg</v>
          </cell>
          <cell r="I192">
            <v>20.014959898797407</v>
          </cell>
          <cell r="O192" t="str">
            <v>Water used for corn irrigation in East Nebraska and West Iowa.: 96% is ground, 4% is surface water (river).</v>
          </cell>
        </row>
        <row r="193">
          <cell r="B193" t="str">
            <v>Water, used fir irrigation</v>
          </cell>
          <cell r="D193" t="str">
            <v>US</v>
          </cell>
          <cell r="E193" t="str">
            <v>water</v>
          </cell>
          <cell r="F193" t="str">
            <v>river</v>
          </cell>
          <cell r="H193" t="str">
            <v>kg</v>
          </cell>
          <cell r="I193">
            <v>0.83395666244989197</v>
          </cell>
        </row>
        <row r="194">
          <cell r="B194" t="str">
            <v>Oil, crude, in ground</v>
          </cell>
          <cell r="C194" t="str">
            <v>-</v>
          </cell>
          <cell r="D194" t="str">
            <v>US</v>
          </cell>
          <cell r="E194" t="str">
            <v>resource</v>
          </cell>
          <cell r="F194" t="str">
            <v>in ground</v>
          </cell>
          <cell r="H194" t="str">
            <v>kg</v>
          </cell>
          <cell r="I194">
            <v>4.6622637763795202E-2</v>
          </cell>
        </row>
        <row r="195">
          <cell r="B195" t="str">
            <v>Gas, natural, in ground</v>
          </cell>
          <cell r="C195" t="str">
            <v>-</v>
          </cell>
          <cell r="D195" t="str">
            <v>US</v>
          </cell>
          <cell r="E195" t="str">
            <v>resource</v>
          </cell>
          <cell r="F195" t="str">
            <v>in ground</v>
          </cell>
          <cell r="H195" t="str">
            <v>kg</v>
          </cell>
          <cell r="I195">
            <v>4.7945161936319598E-2</v>
          </cell>
        </row>
        <row r="196">
          <cell r="B196" t="str">
            <v>Coal, bituminous, 24.8 MJ/kg, in ground</v>
          </cell>
          <cell r="C196" t="str">
            <v>-</v>
          </cell>
          <cell r="D196" t="str">
            <v>US</v>
          </cell>
          <cell r="E196" t="str">
            <v>resource</v>
          </cell>
          <cell r="F196" t="str">
            <v>in ground</v>
          </cell>
          <cell r="H196" t="str">
            <v>kg</v>
          </cell>
          <cell r="I196">
            <v>1.7332628094328499E-2</v>
          </cell>
        </row>
        <row r="197">
          <cell r="B197" t="str">
            <v>Coal, metallurgical, in ground</v>
          </cell>
          <cell r="C197" t="str">
            <v>-</v>
          </cell>
          <cell r="D197" t="str">
            <v>US</v>
          </cell>
          <cell r="E197" t="str">
            <v>resource</v>
          </cell>
          <cell r="F197" t="str">
            <v>in ground</v>
          </cell>
          <cell r="H197" t="str">
            <v>kg</v>
          </cell>
          <cell r="I197">
            <v>2.2677229579470299E-5</v>
          </cell>
        </row>
        <row r="198">
          <cell r="B198" t="str">
            <v>Lignite coal, at surface mine</v>
          </cell>
          <cell r="C198" t="str">
            <v>-</v>
          </cell>
          <cell r="D198" t="str">
            <v>US</v>
          </cell>
          <cell r="E198" t="str">
            <v>resource</v>
          </cell>
          <cell r="F198" t="str">
            <v>in ground</v>
          </cell>
          <cell r="H198" t="str">
            <v>kg</v>
          </cell>
          <cell r="I198">
            <v>2.55689900739422E-5</v>
          </cell>
        </row>
        <row r="199">
          <cell r="B199" t="str">
            <v>Occupation, arable, conservation tillage</v>
          </cell>
          <cell r="C199" t="str">
            <v>-</v>
          </cell>
          <cell r="D199" t="str">
            <v>US</v>
          </cell>
          <cell r="E199" t="str">
            <v>others</v>
          </cell>
          <cell r="F199" t="str">
            <v>unspecified</v>
          </cell>
          <cell r="H199" t="str">
            <v>m2</v>
          </cell>
          <cell r="I199">
            <v>1.0367999999999999</v>
          </cell>
          <cell r="K199" t="str">
            <v xml:space="preserve"> </v>
          </cell>
          <cell r="O199" t="str">
            <v>net land use / kg PLA resin</v>
          </cell>
        </row>
        <row r="200">
          <cell r="B200" t="str">
            <v>Occupation, arable, reduced tillage</v>
          </cell>
          <cell r="C200" t="str">
            <v>-</v>
          </cell>
          <cell r="D200" t="str">
            <v>US</v>
          </cell>
          <cell r="E200" t="str">
            <v>others</v>
          </cell>
          <cell r="F200" t="str">
            <v>unspecified</v>
          </cell>
          <cell r="H200" t="str">
            <v>m2</v>
          </cell>
          <cell r="I200">
            <v>0.42163200000000001</v>
          </cell>
        </row>
        <row r="201">
          <cell r="B201" t="str">
            <v>Occupational, arable, conventional tillage</v>
          </cell>
          <cell r="C201" t="str">
            <v>-</v>
          </cell>
          <cell r="D201" t="str">
            <v>US</v>
          </cell>
          <cell r="E201" t="str">
            <v>others</v>
          </cell>
          <cell r="F201" t="str">
            <v>unspecified</v>
          </cell>
          <cell r="H201" t="str">
            <v>m2</v>
          </cell>
          <cell r="I201">
            <v>0.26611200000000002</v>
          </cell>
          <cell r="K201" t="str">
            <v xml:space="preserve"> </v>
          </cell>
        </row>
        <row r="202">
          <cell r="B202" t="str">
            <v>Barite, at mine</v>
          </cell>
          <cell r="C202" t="str">
            <v>-</v>
          </cell>
          <cell r="D202" t="str">
            <v>US</v>
          </cell>
          <cell r="E202" t="str">
            <v>resource</v>
          </cell>
          <cell r="F202" t="str">
            <v>in ground</v>
          </cell>
          <cell r="H202" t="str">
            <v>kg</v>
          </cell>
          <cell r="I202">
            <v>7.2539328381754993E-5</v>
          </cell>
        </row>
        <row r="203">
          <cell r="B203" t="str">
            <v>Bauxite, at mine</v>
          </cell>
          <cell r="C203" t="str">
            <v>-</v>
          </cell>
          <cell r="D203" t="str">
            <v>US</v>
          </cell>
          <cell r="E203" t="str">
            <v>resource</v>
          </cell>
          <cell r="F203" t="str">
            <v>in ground</v>
          </cell>
          <cell r="H203" t="str">
            <v>kg</v>
          </cell>
          <cell r="I203">
            <v>5.0388687929252798E-6</v>
          </cell>
        </row>
        <row r="204">
          <cell r="B204" t="str">
            <v>Sodium chloride, in ground</v>
          </cell>
          <cell r="C204" t="str">
            <v>7647-14-5</v>
          </cell>
          <cell r="D204" t="str">
            <v>US</v>
          </cell>
          <cell r="E204" t="str">
            <v>resource</v>
          </cell>
          <cell r="F204" t="str">
            <v>in ground</v>
          </cell>
          <cell r="H204" t="str">
            <v>kg</v>
          </cell>
          <cell r="I204">
            <v>8.14531284206233E-2</v>
          </cell>
        </row>
        <row r="205">
          <cell r="B205" t="str">
            <v>Calcium sulphate (CaSO4.2H2O), at mine</v>
          </cell>
          <cell r="D205" t="str">
            <v>US</v>
          </cell>
          <cell r="E205" t="str">
            <v>resource</v>
          </cell>
          <cell r="F205" t="str">
            <v>in ground</v>
          </cell>
          <cell r="H205" t="str">
            <v>kg</v>
          </cell>
          <cell r="I205">
            <v>2.68607102718905E-8</v>
          </cell>
        </row>
        <row r="206">
          <cell r="B206" t="str">
            <v>Calcium carbonate, in ground</v>
          </cell>
          <cell r="D206" t="str">
            <v>US</v>
          </cell>
          <cell r="E206" t="str">
            <v>resource</v>
          </cell>
          <cell r="F206" t="str">
            <v>in ground</v>
          </cell>
          <cell r="H206" t="str">
            <v>kg</v>
          </cell>
          <cell r="I206">
            <v>0.10105081360981499</v>
          </cell>
        </row>
        <row r="207">
          <cell r="B207" t="str">
            <v>Ferromanganese, in ground</v>
          </cell>
          <cell r="D207" t="str">
            <v>US</v>
          </cell>
          <cell r="E207" t="str">
            <v>resource</v>
          </cell>
          <cell r="F207" t="str">
            <v>in ground</v>
          </cell>
          <cell r="H207" t="str">
            <v>kg</v>
          </cell>
          <cell r="I207">
            <v>5.0645288096172995E-8</v>
          </cell>
        </row>
        <row r="208">
          <cell r="B208" t="str">
            <v>Fluorspar, fluorite or calcium fluoride, in ground</v>
          </cell>
          <cell r="D208" t="str">
            <v>US</v>
          </cell>
          <cell r="E208" t="str">
            <v>resource</v>
          </cell>
          <cell r="F208" t="str">
            <v>in ground</v>
          </cell>
          <cell r="H208" t="str">
            <v>kg</v>
          </cell>
          <cell r="I208">
            <v>9.1723602489536399E-8</v>
          </cell>
        </row>
        <row r="209">
          <cell r="B209" t="str">
            <v>Iron ore, in ground</v>
          </cell>
          <cell r="D209" t="str">
            <v>US</v>
          </cell>
          <cell r="E209" t="str">
            <v>resource</v>
          </cell>
          <cell r="F209" t="str">
            <v>in ground</v>
          </cell>
          <cell r="H209" t="str">
            <v>kg</v>
          </cell>
          <cell r="I209">
            <v>5.5760488062011902E-5</v>
          </cell>
        </row>
        <row r="210">
          <cell r="B210" t="str">
            <v>Lead - lead ore, in ground</v>
          </cell>
          <cell r="D210" t="str">
            <v>US</v>
          </cell>
          <cell r="E210" t="str">
            <v>resource</v>
          </cell>
          <cell r="F210" t="str">
            <v>in ground</v>
          </cell>
          <cell r="H210" t="str">
            <v>kg</v>
          </cell>
          <cell r="I210">
            <v>3.1529265059649097E-7</v>
          </cell>
        </row>
        <row r="211">
          <cell r="B211" t="str">
            <v>Limestone, in ground</v>
          </cell>
          <cell r="D211" t="str">
            <v>US</v>
          </cell>
          <cell r="E211" t="str">
            <v>resource</v>
          </cell>
          <cell r="F211" t="str">
            <v>in ground</v>
          </cell>
          <cell r="H211" t="str">
            <v>kg</v>
          </cell>
          <cell r="I211">
            <v>3.4380607549578099E-2</v>
          </cell>
        </row>
        <row r="212">
          <cell r="B212" t="str">
            <v>Sand quarz, in ground</v>
          </cell>
          <cell r="D212" t="str">
            <v>US</v>
          </cell>
          <cell r="E212" t="str">
            <v>resource</v>
          </cell>
          <cell r="F212" t="str">
            <v>in ground</v>
          </cell>
          <cell r="H212" t="str">
            <v>kg</v>
          </cell>
          <cell r="I212">
            <v>4.4460699013678506E-3</v>
          </cell>
        </row>
        <row r="213">
          <cell r="B213" t="str">
            <v>Zinc - Zinc ore, in ground</v>
          </cell>
          <cell r="D213" t="str">
            <v>US</v>
          </cell>
          <cell r="E213" t="str">
            <v>resource</v>
          </cell>
          <cell r="F213" t="str">
            <v>in ground</v>
          </cell>
          <cell r="H213" t="str">
            <v>kg</v>
          </cell>
          <cell r="I213">
            <v>1.14966978141639E-8</v>
          </cell>
        </row>
        <row r="214">
          <cell r="B214" t="str">
            <v>Copper - copper ore in ground</v>
          </cell>
          <cell r="D214" t="str">
            <v>US</v>
          </cell>
          <cell r="E214" t="str">
            <v>resource</v>
          </cell>
          <cell r="F214" t="str">
            <v>in ground</v>
          </cell>
          <cell r="H214" t="str">
            <v>kg</v>
          </cell>
          <cell r="I214">
            <v>1.71958403348867E-11</v>
          </cell>
        </row>
        <row r="215">
          <cell r="B215" t="str">
            <v>Phosphate as P2O5, phosphate rock at mine</v>
          </cell>
          <cell r="D215" t="str">
            <v>US</v>
          </cell>
          <cell r="E215" t="str">
            <v>resource</v>
          </cell>
          <cell r="F215" t="str">
            <v>in ground</v>
          </cell>
          <cell r="H215" t="str">
            <v>kg</v>
          </cell>
          <cell r="I215">
            <v>3.22101465471379E-3</v>
          </cell>
        </row>
        <row r="216">
          <cell r="B216" t="str">
            <v>Sulfur, in ground</v>
          </cell>
          <cell r="D216" t="str">
            <v>US</v>
          </cell>
          <cell r="E216" t="str">
            <v>resource</v>
          </cell>
          <cell r="F216" t="str">
            <v>in ground</v>
          </cell>
          <cell r="H216" t="str">
            <v>kg</v>
          </cell>
          <cell r="I216">
            <v>7.7547083046696696E-3</v>
          </cell>
        </row>
        <row r="217">
          <cell r="B217" t="str">
            <v>Dolomite - dolomite at mine</v>
          </cell>
          <cell r="D217" t="str">
            <v>US</v>
          </cell>
          <cell r="E217" t="str">
            <v>resource</v>
          </cell>
          <cell r="F217" t="str">
            <v>in ground</v>
          </cell>
          <cell r="H217" t="str">
            <v>kg</v>
          </cell>
          <cell r="I217">
            <v>6.9287027020298701E-7</v>
          </cell>
        </row>
        <row r="218">
          <cell r="B218" t="str">
            <v>Oxygen, in air</v>
          </cell>
          <cell r="D218" t="str">
            <v>US</v>
          </cell>
          <cell r="E218" t="str">
            <v>resource</v>
          </cell>
          <cell r="F218" t="str">
            <v>in air</v>
          </cell>
          <cell r="H218" t="str">
            <v>kg</v>
          </cell>
          <cell r="I218">
            <v>1.7292680080657299E-4</v>
          </cell>
        </row>
        <row r="219">
          <cell r="B219" t="str">
            <v>Nitrogen, in air</v>
          </cell>
          <cell r="D219" t="str">
            <v>US</v>
          </cell>
          <cell r="E219" t="str">
            <v>resource</v>
          </cell>
          <cell r="F219" t="str">
            <v>in air</v>
          </cell>
          <cell r="H219" t="str">
            <v>kg</v>
          </cell>
          <cell r="I219">
            <v>1.1113931120724202E-3</v>
          </cell>
        </row>
        <row r="220">
          <cell r="B220" t="str">
            <v>Air</v>
          </cell>
          <cell r="D220" t="str">
            <v>US</v>
          </cell>
          <cell r="E220" t="str">
            <v>resource</v>
          </cell>
          <cell r="F220" t="str">
            <v>in air</v>
          </cell>
          <cell r="H220" t="str">
            <v>kg</v>
          </cell>
          <cell r="I220">
            <v>0.25431921409300301</v>
          </cell>
        </row>
        <row r="221">
          <cell r="B221" t="str">
            <v>Bentonite - bentonite, at mine</v>
          </cell>
          <cell r="D221" t="str">
            <v>US</v>
          </cell>
          <cell r="E221" t="str">
            <v>resource</v>
          </cell>
          <cell r="F221" t="str">
            <v>in ground</v>
          </cell>
          <cell r="H221" t="str">
            <v>kg</v>
          </cell>
          <cell r="I221">
            <v>5.3366556432108902E-6</v>
          </cell>
        </row>
        <row r="222">
          <cell r="B222" t="str">
            <v>Gravel - gravel, at mine</v>
          </cell>
          <cell r="D222" t="str">
            <v>US</v>
          </cell>
          <cell r="E222" t="str">
            <v>resource</v>
          </cell>
          <cell r="F222" t="str">
            <v>in ground</v>
          </cell>
          <cell r="H222" t="str">
            <v>kg</v>
          </cell>
          <cell r="I222">
            <v>2.05726376673052E-7</v>
          </cell>
        </row>
        <row r="223">
          <cell r="B223" t="str">
            <v>Olivine - olivine, at mine</v>
          </cell>
          <cell r="D223" t="str">
            <v>US</v>
          </cell>
          <cell r="E223" t="str">
            <v>resource</v>
          </cell>
          <cell r="F223" t="str">
            <v>in ground</v>
          </cell>
          <cell r="H223" t="str">
            <v>kg</v>
          </cell>
          <cell r="I223">
            <v>5.2311123402593796E-7</v>
          </cell>
        </row>
        <row r="224">
          <cell r="B224" t="str">
            <v>Shale - shale, at mine</v>
          </cell>
          <cell r="D224" t="str">
            <v>US</v>
          </cell>
          <cell r="E224" t="str">
            <v>resource</v>
          </cell>
          <cell r="F224" t="str">
            <v>in ground</v>
          </cell>
          <cell r="H224" t="str">
            <v>kg</v>
          </cell>
          <cell r="I224">
            <v>7.60428642995397E-8</v>
          </cell>
        </row>
        <row r="225">
          <cell r="B225" t="str">
            <v>Potassium chloride (KCl), at mine</v>
          </cell>
          <cell r="D225" t="str">
            <v>US</v>
          </cell>
          <cell r="E225" t="str">
            <v>resource</v>
          </cell>
          <cell r="F225" t="str">
            <v>in ground</v>
          </cell>
          <cell r="H225" t="str">
            <v>kg</v>
          </cell>
          <cell r="I225">
            <v>1.48015706889218E-2</v>
          </cell>
        </row>
        <row r="226">
          <cell r="B226" t="str">
            <v>S (bonded) naturally occuring, in ground</v>
          </cell>
          <cell r="D226" t="str">
            <v>US</v>
          </cell>
          <cell r="E226" t="str">
            <v>resource</v>
          </cell>
          <cell r="F226" t="str">
            <v>in ground</v>
          </cell>
          <cell r="H226" t="str">
            <v>kg</v>
          </cell>
          <cell r="I226">
            <v>3.2886862967252198E-2</v>
          </cell>
        </row>
        <row r="228">
          <cell r="A228" t="str">
            <v>Outputs to Nature</v>
          </cell>
          <cell r="B228" t="str">
            <v>COD, Chemical Oxygen Demand</v>
          </cell>
          <cell r="C228" t="str">
            <v>-</v>
          </cell>
          <cell r="D228" t="str">
            <v>US</v>
          </cell>
          <cell r="E228" t="str">
            <v>water</v>
          </cell>
          <cell r="F228" t="str">
            <v>low population density, long-term</v>
          </cell>
          <cell r="H228" t="str">
            <v>kg</v>
          </cell>
          <cell r="I228">
            <v>4.8945518660175706E-3</v>
          </cell>
        </row>
        <row r="229">
          <cell r="B229" t="str">
            <v>BOD5, Biological Oxygen Demand</v>
          </cell>
          <cell r="C229" t="str">
            <v>-</v>
          </cell>
          <cell r="D229" t="str">
            <v>US</v>
          </cell>
          <cell r="E229" t="str">
            <v>water</v>
          </cell>
          <cell r="F229" t="str">
            <v>low population density, long-term</v>
          </cell>
          <cell r="H229" t="str">
            <v>kg</v>
          </cell>
          <cell r="I229">
            <v>2.7036436588306899E-6</v>
          </cell>
        </row>
        <row r="230">
          <cell r="B230" t="str">
            <v>Lead compounds, unspecified</v>
          </cell>
          <cell r="D230" t="str">
            <v>US</v>
          </cell>
          <cell r="E230" t="str">
            <v>water</v>
          </cell>
          <cell r="F230" t="str">
            <v>low population density, long-term</v>
          </cell>
          <cell r="H230" t="str">
            <v>kg</v>
          </cell>
          <cell r="I230">
            <v>5.6248783491107697E-11</v>
          </cell>
        </row>
        <row r="231">
          <cell r="B231" t="str">
            <v>Iron compounds, unspecified</v>
          </cell>
          <cell r="D231" t="str">
            <v>US</v>
          </cell>
          <cell r="E231" t="str">
            <v>water</v>
          </cell>
          <cell r="F231" t="str">
            <v>low population density, long-term</v>
          </cell>
          <cell r="H231" t="str">
            <v>kg</v>
          </cell>
          <cell r="I231">
            <v>1.25568353580016E-5</v>
          </cell>
        </row>
        <row r="232">
          <cell r="B232" t="str">
            <v>Sodium compounds, unspecified</v>
          </cell>
          <cell r="D232" t="str">
            <v>US</v>
          </cell>
          <cell r="E232" t="str">
            <v>water</v>
          </cell>
          <cell r="F232" t="str">
            <v>low population density, long-term</v>
          </cell>
          <cell r="H232" t="str">
            <v>kg</v>
          </cell>
          <cell r="I232">
            <v>6.1606406292800801E-4</v>
          </cell>
        </row>
        <row r="233">
          <cell r="B233" t="str">
            <v>Nitrate</v>
          </cell>
          <cell r="C233" t="str">
            <v>-</v>
          </cell>
          <cell r="D233" t="str">
            <v>US</v>
          </cell>
          <cell r="E233" t="str">
            <v>water</v>
          </cell>
          <cell r="F233" t="str">
            <v>low population density, long-term</v>
          </cell>
          <cell r="H233" t="str">
            <v>kg</v>
          </cell>
          <cell r="I233">
            <v>1.2268669386091E-3</v>
          </cell>
        </row>
        <row r="234">
          <cell r="B234" t="str">
            <v>Mercury compounds, unspecified</v>
          </cell>
          <cell r="D234" t="str">
            <v>US</v>
          </cell>
          <cell r="E234" t="str">
            <v>water</v>
          </cell>
          <cell r="F234" t="str">
            <v>low population density, long-term</v>
          </cell>
          <cell r="H234" t="str">
            <v>kg</v>
          </cell>
          <cell r="I234">
            <v>1.18858407028581E-11</v>
          </cell>
        </row>
        <row r="235">
          <cell r="B235" t="str">
            <v>Ammonium ion</v>
          </cell>
          <cell r="C235" t="str">
            <v>-</v>
          </cell>
          <cell r="D235" t="str">
            <v>US</v>
          </cell>
          <cell r="E235" t="str">
            <v>water</v>
          </cell>
          <cell r="F235" t="str">
            <v>low population density, long-term</v>
          </cell>
          <cell r="H235" t="str">
            <v>kg</v>
          </cell>
          <cell r="I235">
            <v>3.5066447959755696E-7</v>
          </cell>
        </row>
        <row r="236">
          <cell r="B236" t="str">
            <v>Chloride</v>
          </cell>
          <cell r="C236" t="str">
            <v>-</v>
          </cell>
          <cell r="D236" t="str">
            <v>US</v>
          </cell>
          <cell r="E236" t="str">
            <v>water</v>
          </cell>
          <cell r="F236" t="str">
            <v>low population density, long-term</v>
          </cell>
          <cell r="H236" t="str">
            <v>kg</v>
          </cell>
          <cell r="I236">
            <v>1.2532752761546899E-3</v>
          </cell>
        </row>
        <row r="237">
          <cell r="B237" t="str">
            <v>Cyanide</v>
          </cell>
          <cell r="C237" t="str">
            <v>-</v>
          </cell>
          <cell r="D237" t="str">
            <v>US</v>
          </cell>
          <cell r="E237" t="str">
            <v>water</v>
          </cell>
          <cell r="F237" t="str">
            <v>low population density, long-term</v>
          </cell>
          <cell r="H237" t="str">
            <v>kg</v>
          </cell>
          <cell r="I237">
            <v>6.25387855915794E-11</v>
          </cell>
        </row>
        <row r="238">
          <cell r="B238" t="str">
            <v>Fluoride ion</v>
          </cell>
          <cell r="C238" t="str">
            <v>-</v>
          </cell>
          <cell r="D238" t="str">
            <v>US</v>
          </cell>
          <cell r="E238" t="str">
            <v>water</v>
          </cell>
          <cell r="F238" t="str">
            <v>low population density, long-term</v>
          </cell>
          <cell r="H238" t="str">
            <v>kg</v>
          </cell>
          <cell r="I238">
            <v>5.0455900210623291E-7</v>
          </cell>
        </row>
        <row r="239">
          <cell r="B239" t="str">
            <v>Dissolved substances</v>
          </cell>
          <cell r="C239" t="str">
            <v>-</v>
          </cell>
          <cell r="D239" t="str">
            <v>US</v>
          </cell>
          <cell r="E239" t="str">
            <v>water</v>
          </cell>
          <cell r="F239" t="str">
            <v>low population density, long-term</v>
          </cell>
          <cell r="H239" t="str">
            <v>kg</v>
          </cell>
          <cell r="I239">
            <v>2.3697022628249399E-7</v>
          </cell>
        </row>
        <row r="240">
          <cell r="B240" t="str">
            <v>Suspended solids, unspecified</v>
          </cell>
          <cell r="C240" t="str">
            <v>-</v>
          </cell>
          <cell r="D240" t="str">
            <v>US</v>
          </cell>
          <cell r="E240" t="str">
            <v>water</v>
          </cell>
          <cell r="F240" t="str">
            <v>low population density, long-term</v>
          </cell>
          <cell r="H240" t="str">
            <v>kg</v>
          </cell>
          <cell r="I240">
            <v>2.36902713504484E-3</v>
          </cell>
        </row>
        <row r="241">
          <cell r="B241" t="str">
            <v>Detergents, unspecified</v>
          </cell>
          <cell r="C241" t="str">
            <v>-</v>
          </cell>
          <cell r="D241" t="str">
            <v>US</v>
          </cell>
          <cell r="E241" t="str">
            <v>water</v>
          </cell>
          <cell r="F241" t="str">
            <v>low population density, long-term</v>
          </cell>
          <cell r="H241" t="str">
            <v>kg</v>
          </cell>
          <cell r="I241">
            <v>4.7007334202608196E-8</v>
          </cell>
        </row>
        <row r="242">
          <cell r="B242" t="str">
            <v>hydrocarbons, unspecified</v>
          </cell>
          <cell r="C242" t="str">
            <v>-</v>
          </cell>
          <cell r="D242" t="str">
            <v>US</v>
          </cell>
          <cell r="E242" t="str">
            <v>water</v>
          </cell>
          <cell r="F242" t="str">
            <v>low population density, long-term</v>
          </cell>
          <cell r="H242" t="str">
            <v>kg</v>
          </cell>
          <cell r="I242">
            <v>2.3652713809478098E-7</v>
          </cell>
        </row>
        <row r="243">
          <cell r="B243" t="str">
            <v>Chlorine</v>
          </cell>
          <cell r="C243" t="str">
            <v>7782-50-5</v>
          </cell>
          <cell r="D243" t="str">
            <v>US</v>
          </cell>
          <cell r="E243" t="str">
            <v>water</v>
          </cell>
          <cell r="F243" t="str">
            <v>low population density, long-term</v>
          </cell>
          <cell r="H243" t="str">
            <v>kg</v>
          </cell>
          <cell r="I243">
            <v>1.7957433215008402E-9</v>
          </cell>
        </row>
        <row r="244">
          <cell r="B244" t="str">
            <v>Phenol</v>
          </cell>
          <cell r="C244" t="str">
            <v>108-95-2</v>
          </cell>
          <cell r="D244" t="str">
            <v>US</v>
          </cell>
          <cell r="E244" t="str">
            <v>water</v>
          </cell>
          <cell r="F244" t="str">
            <v>low population density, long-term</v>
          </cell>
          <cell r="H244" t="str">
            <v>kg</v>
          </cell>
          <cell r="I244">
            <v>6.7605978245001295E-9</v>
          </cell>
        </row>
        <row r="245">
          <cell r="B245" t="str">
            <v>Dissolved solids</v>
          </cell>
          <cell r="C245" t="str">
            <v>-</v>
          </cell>
          <cell r="D245" t="str">
            <v>US</v>
          </cell>
          <cell r="E245" t="str">
            <v>water</v>
          </cell>
          <cell r="F245" t="str">
            <v>low population density, long-term</v>
          </cell>
          <cell r="H245" t="str">
            <v>kg</v>
          </cell>
          <cell r="I245">
            <v>3.4439350482080798E-6</v>
          </cell>
        </row>
        <row r="246">
          <cell r="B246" t="str">
            <v>Phosphorus compounds</v>
          </cell>
          <cell r="C246" t="str">
            <v xml:space="preserve"> </v>
          </cell>
          <cell r="D246" t="str">
            <v>US</v>
          </cell>
          <cell r="E246" t="str">
            <v>water</v>
          </cell>
          <cell r="F246" t="str">
            <v>low population density, long-term</v>
          </cell>
          <cell r="H246" t="str">
            <v>kg</v>
          </cell>
          <cell r="I246">
            <v>1.2175826663283199E-5</v>
          </cell>
        </row>
        <row r="247">
          <cell r="B247" t="str">
            <v>Nitrogen compounds, unspecified</v>
          </cell>
          <cell r="D247" t="str">
            <v>US</v>
          </cell>
          <cell r="E247" t="str">
            <v>water</v>
          </cell>
          <cell r="F247" t="str">
            <v>low population density, long-term</v>
          </cell>
          <cell r="H247" t="str">
            <v>kg</v>
          </cell>
          <cell r="I247">
            <v>1.3313429919118E-4</v>
          </cell>
        </row>
        <row r="248">
          <cell r="B248" t="str">
            <v>Sulfate</v>
          </cell>
          <cell r="C248" t="str">
            <v>-</v>
          </cell>
          <cell r="D248" t="str">
            <v>US</v>
          </cell>
          <cell r="E248" t="str">
            <v>water</v>
          </cell>
          <cell r="F248" t="str">
            <v>low population density, long-term</v>
          </cell>
          <cell r="H248" t="str">
            <v>kg</v>
          </cell>
          <cell r="I248">
            <v>1.3711132140232702E-4</v>
          </cell>
        </row>
        <row r="249">
          <cell r="B249" t="str">
            <v>Potassium compounds</v>
          </cell>
          <cell r="D249" t="str">
            <v>US</v>
          </cell>
          <cell r="E249" t="str">
            <v>water</v>
          </cell>
          <cell r="F249" t="str">
            <v>low population density, long-term</v>
          </cell>
          <cell r="H249" t="str">
            <v>kg</v>
          </cell>
          <cell r="I249">
            <v>1.7188504716434799E-7</v>
          </cell>
        </row>
        <row r="250">
          <cell r="B250" t="str">
            <v>Calcium compounds</v>
          </cell>
          <cell r="D250" t="str">
            <v>US</v>
          </cell>
          <cell r="E250" t="str">
            <v>water</v>
          </cell>
          <cell r="F250" t="str">
            <v>low population density, long-term</v>
          </cell>
          <cell r="H250" t="str">
            <v>kg</v>
          </cell>
          <cell r="I250">
            <v>1.2837451489803602E-4</v>
          </cell>
        </row>
        <row r="251">
          <cell r="B251" t="str">
            <v>Magnesium compounds</v>
          </cell>
          <cell r="D251" t="str">
            <v>US</v>
          </cell>
          <cell r="E251" t="str">
            <v>water</v>
          </cell>
          <cell r="F251" t="str">
            <v>low population density, long-term</v>
          </cell>
          <cell r="H251" t="str">
            <v>kg</v>
          </cell>
          <cell r="I251">
            <v>9.4845339023172599E-7</v>
          </cell>
        </row>
        <row r="252">
          <cell r="B252" t="str">
            <v>Chlorate</v>
          </cell>
          <cell r="C252" t="str">
            <v>-</v>
          </cell>
          <cell r="D252" t="str">
            <v>US</v>
          </cell>
          <cell r="E252" t="str">
            <v>water</v>
          </cell>
          <cell r="F252" t="str">
            <v>low population density, long-term</v>
          </cell>
          <cell r="H252" t="str">
            <v>kg</v>
          </cell>
          <cell r="I252">
            <v>5.96614721715722E-8</v>
          </cell>
        </row>
        <row r="253">
          <cell r="B253" t="str">
            <v>Bromate</v>
          </cell>
          <cell r="C253" t="str">
            <v>-</v>
          </cell>
          <cell r="D253" t="str">
            <v>US</v>
          </cell>
          <cell r="E253" t="str">
            <v>water</v>
          </cell>
          <cell r="F253" t="str">
            <v>low population density, long-term</v>
          </cell>
          <cell r="H253" t="str">
            <v>kg</v>
          </cell>
          <cell r="I253">
            <v>2.6395389476597001E-10</v>
          </cell>
        </row>
        <row r="254">
          <cell r="B254" t="str">
            <v>TOC, Total Organic Carbon</v>
          </cell>
          <cell r="C254" t="str">
            <v>-</v>
          </cell>
          <cell r="D254" t="str">
            <v>US</v>
          </cell>
          <cell r="E254" t="str">
            <v>water</v>
          </cell>
          <cell r="F254" t="str">
            <v>low population density, long-term</v>
          </cell>
          <cell r="H254" t="str">
            <v>kg</v>
          </cell>
          <cell r="I254">
            <v>1.11713793569529E-5</v>
          </cell>
        </row>
        <row r="255">
          <cell r="B255" t="str">
            <v>Aluminum compounds</v>
          </cell>
          <cell r="D255" t="str">
            <v>US</v>
          </cell>
          <cell r="E255" t="str">
            <v>water</v>
          </cell>
          <cell r="F255" t="str">
            <v>low population density, long-term</v>
          </cell>
          <cell r="H255" t="str">
            <v>kg</v>
          </cell>
          <cell r="I255">
            <v>1.2755629119271099E-8</v>
          </cell>
        </row>
        <row r="256">
          <cell r="B256" t="str">
            <v>Zinc compounds</v>
          </cell>
          <cell r="D256" t="str">
            <v>US</v>
          </cell>
          <cell r="E256" t="str">
            <v>water</v>
          </cell>
          <cell r="F256" t="str">
            <v>low population density, long-term</v>
          </cell>
          <cell r="H256" t="str">
            <v>kg</v>
          </cell>
          <cell r="I256">
            <v>4.79560195658924E-10</v>
          </cell>
        </row>
        <row r="257">
          <cell r="B257" t="str">
            <v>Copper compounds</v>
          </cell>
          <cell r="D257" t="str">
            <v>US</v>
          </cell>
          <cell r="E257" t="str">
            <v>water</v>
          </cell>
          <cell r="F257" t="str">
            <v>low population density, long-term</v>
          </cell>
          <cell r="H257" t="str">
            <v>kg</v>
          </cell>
          <cell r="I257">
            <v>3.9439715655112102E-10</v>
          </cell>
        </row>
        <row r="258">
          <cell r="B258" t="str">
            <v>Nickel compounds</v>
          </cell>
          <cell r="D258" t="str">
            <v>US</v>
          </cell>
          <cell r="E258" t="str">
            <v>water</v>
          </cell>
          <cell r="F258" t="str">
            <v>low population density, long-term</v>
          </cell>
          <cell r="H258" t="str">
            <v>kg</v>
          </cell>
          <cell r="I258">
            <v>3.4134077085031298E-10</v>
          </cell>
        </row>
        <row r="259">
          <cell r="B259" t="str">
            <v>Carbonate</v>
          </cell>
          <cell r="C259" t="str">
            <v>-</v>
          </cell>
          <cell r="D259" t="str">
            <v>US</v>
          </cell>
          <cell r="E259" t="str">
            <v>water</v>
          </cell>
          <cell r="F259" t="str">
            <v>low population density, long-term</v>
          </cell>
          <cell r="H259" t="str">
            <v>kg</v>
          </cell>
          <cell r="I259">
            <v>2.4781367513076498E-7</v>
          </cell>
        </row>
        <row r="260">
          <cell r="B260" t="str">
            <v>Arsenic compounds</v>
          </cell>
          <cell r="D260" t="str">
            <v>US</v>
          </cell>
          <cell r="E260" t="str">
            <v>water</v>
          </cell>
          <cell r="F260" t="str">
            <v>low population density, long-term</v>
          </cell>
          <cell r="H260" t="str">
            <v>kg</v>
          </cell>
          <cell r="I260">
            <v>7.6482537299798496E-11</v>
          </cell>
        </row>
        <row r="261">
          <cell r="B261" t="str">
            <v>Cadmium compounds</v>
          </cell>
          <cell r="D261" t="str">
            <v>US</v>
          </cell>
          <cell r="E261" t="str">
            <v>water</v>
          </cell>
          <cell r="F261" t="str">
            <v>low population density, long-term</v>
          </cell>
          <cell r="H261" t="str">
            <v>kg</v>
          </cell>
          <cell r="I261">
            <v>2.66438072780104E-11</v>
          </cell>
        </row>
        <row r="262">
          <cell r="B262" t="str">
            <v>Manganese compounds</v>
          </cell>
          <cell r="D262" t="str">
            <v>US</v>
          </cell>
          <cell r="E262" t="str">
            <v>water</v>
          </cell>
          <cell r="F262" t="str">
            <v>low population density, long-term</v>
          </cell>
          <cell r="H262" t="str">
            <v>kg</v>
          </cell>
          <cell r="I262">
            <v>3.6227705008938597E-9</v>
          </cell>
        </row>
        <row r="263">
          <cell r="B263" t="str">
            <v>Silver compounds</v>
          </cell>
          <cell r="D263" t="str">
            <v>US</v>
          </cell>
          <cell r="E263" t="str">
            <v>water</v>
          </cell>
          <cell r="F263" t="str">
            <v>low population density, long-term</v>
          </cell>
          <cell r="H263" t="str">
            <v>kg</v>
          </cell>
          <cell r="I263">
            <v>4.4251435081920003E-11</v>
          </cell>
        </row>
        <row r="264">
          <cell r="B264" t="str">
            <v>Barium compounds</v>
          </cell>
          <cell r="D264" t="str">
            <v>US</v>
          </cell>
          <cell r="E264" t="str">
            <v>water</v>
          </cell>
          <cell r="F264" t="str">
            <v>low population density, long-term</v>
          </cell>
          <cell r="H264" t="str">
            <v>kg</v>
          </cell>
          <cell r="I264">
            <v>1.00470871924632E-9</v>
          </cell>
        </row>
        <row r="265">
          <cell r="B265" t="str">
            <v>Strontium compounds</v>
          </cell>
          <cell r="D265" t="str">
            <v>US</v>
          </cell>
          <cell r="E265" t="str">
            <v>water</v>
          </cell>
          <cell r="F265" t="str">
            <v>low population density, long-term</v>
          </cell>
          <cell r="H265" t="str">
            <v>kg</v>
          </cell>
          <cell r="I265">
            <v>3.6559553402127403E-9</v>
          </cell>
        </row>
        <row r="266">
          <cell r="B266" t="str">
            <v>Vanadium compounds</v>
          </cell>
          <cell r="D266" t="str">
            <v>US</v>
          </cell>
          <cell r="E266" t="str">
            <v>water</v>
          </cell>
          <cell r="F266" t="str">
            <v>low population density, long-term</v>
          </cell>
          <cell r="H266" t="str">
            <v>kg</v>
          </cell>
          <cell r="I266">
            <v>5.0285721684000001E-12</v>
          </cell>
        </row>
        <row r="267">
          <cell r="B267" t="str">
            <v>Calcium ions</v>
          </cell>
          <cell r="C267" t="str">
            <v>-</v>
          </cell>
          <cell r="D267" t="str">
            <v>US</v>
          </cell>
          <cell r="E267" t="str">
            <v>water</v>
          </cell>
          <cell r="F267" t="str">
            <v>low population density, long-term</v>
          </cell>
          <cell r="H267" t="str">
            <v>kg</v>
          </cell>
          <cell r="I267">
            <v>2.5169335330341803E-4</v>
          </cell>
        </row>
        <row r="268">
          <cell r="B268" t="str">
            <v>Phosphate</v>
          </cell>
          <cell r="C268" t="str">
            <v>-</v>
          </cell>
          <cell r="D268" t="str">
            <v>US</v>
          </cell>
          <cell r="E268" t="str">
            <v>water</v>
          </cell>
          <cell r="F268" t="str">
            <v>low population density, long-term</v>
          </cell>
          <cell r="H268" t="str">
            <v>kg</v>
          </cell>
          <cell r="I268">
            <v>3.1478861774183997E-8</v>
          </cell>
        </row>
        <row r="269">
          <cell r="B269" t="str">
            <v>Chromium III</v>
          </cell>
          <cell r="C269" t="str">
            <v>-</v>
          </cell>
          <cell r="D269" t="str">
            <v>US</v>
          </cell>
          <cell r="E269" t="str">
            <v>water</v>
          </cell>
          <cell r="F269" t="str">
            <v>low population density, long-term</v>
          </cell>
          <cell r="H269" t="str">
            <v>kg</v>
          </cell>
          <cell r="I269">
            <v>9.9867443264424011E-10</v>
          </cell>
        </row>
        <row r="270">
          <cell r="B270" t="str">
            <v>Chromium VI</v>
          </cell>
          <cell r="C270" t="str">
            <v>-</v>
          </cell>
          <cell r="D270" t="str">
            <v>US</v>
          </cell>
          <cell r="E270" t="str">
            <v>water</v>
          </cell>
          <cell r="F270" t="str">
            <v>low population density, long-term</v>
          </cell>
          <cell r="H270" t="str">
            <v>kg</v>
          </cell>
          <cell r="I270">
            <v>6.4365723755520004E-11</v>
          </cell>
        </row>
        <row r="271">
          <cell r="B271" t="str">
            <v>Molybdenum</v>
          </cell>
          <cell r="C271" t="str">
            <v>7439-98-7</v>
          </cell>
          <cell r="D271" t="str">
            <v>US</v>
          </cell>
          <cell r="E271" t="str">
            <v>water</v>
          </cell>
          <cell r="F271" t="str">
            <v>low population density, long-term</v>
          </cell>
          <cell r="H271" t="str">
            <v>kg</v>
          </cell>
          <cell r="I271">
            <v>1.3074287637839999E-11</v>
          </cell>
        </row>
        <row r="272">
          <cell r="B272" t="str">
            <v>Selenium</v>
          </cell>
          <cell r="C272" t="str">
            <v>7782-49-2</v>
          </cell>
          <cell r="D272" t="str">
            <v>US</v>
          </cell>
          <cell r="E272" t="str">
            <v>water</v>
          </cell>
          <cell r="F272" t="str">
            <v>low population density, long-term</v>
          </cell>
          <cell r="H272" t="str">
            <v>kg</v>
          </cell>
          <cell r="I272">
            <v>2.0114288673600001E-12</v>
          </cell>
        </row>
        <row r="273">
          <cell r="B273" t="str">
            <v>Titanium</v>
          </cell>
          <cell r="C273" t="str">
            <v>7440-32-6</v>
          </cell>
          <cell r="D273" t="str">
            <v>US</v>
          </cell>
          <cell r="E273" t="str">
            <v>water</v>
          </cell>
          <cell r="F273" t="str">
            <v>low population density, long-term</v>
          </cell>
          <cell r="H273" t="str">
            <v>kg</v>
          </cell>
          <cell r="I273">
            <v>2.0114288673600001E-12</v>
          </cell>
        </row>
        <row r="274">
          <cell r="B274" t="str">
            <v>Fluorine</v>
          </cell>
          <cell r="C274" t="str">
            <v>7782-41-4</v>
          </cell>
          <cell r="D274" t="str">
            <v>US</v>
          </cell>
          <cell r="E274" t="str">
            <v>water</v>
          </cell>
          <cell r="F274" t="str">
            <v>low population density, long-term</v>
          </cell>
          <cell r="H274" t="str">
            <v>kg</v>
          </cell>
          <cell r="I274">
            <v>1.5488002278671999E-10</v>
          </cell>
        </row>
        <row r="276">
          <cell r="B276" t="str">
            <v>Dust unspecified</v>
          </cell>
          <cell r="C276" t="str">
            <v>-</v>
          </cell>
          <cell r="D276" t="str">
            <v>US</v>
          </cell>
          <cell r="E276" t="str">
            <v>air</v>
          </cell>
          <cell r="F276" t="str">
            <v>low population density, long-term</v>
          </cell>
          <cell r="H276" t="str">
            <v>kg</v>
          </cell>
          <cell r="I276">
            <v>2.3902062789138599E-4</v>
          </cell>
        </row>
        <row r="277">
          <cell r="B277" t="str">
            <v>Carbon monoxide, fossil</v>
          </cell>
          <cell r="C277" t="str">
            <v>630-08-0</v>
          </cell>
          <cell r="D277" t="str">
            <v>US</v>
          </cell>
          <cell r="E277" t="str">
            <v>air</v>
          </cell>
          <cell r="F277" t="str">
            <v>low population density, long-term</v>
          </cell>
          <cell r="H277" t="str">
            <v>kg</v>
          </cell>
          <cell r="I277">
            <v>1.3072957465054302E-3</v>
          </cell>
        </row>
        <row r="278">
          <cell r="B278" t="str">
            <v>Carbon dioxide, fossil</v>
          </cell>
          <cell r="C278" t="str">
            <v>124-38-9</v>
          </cell>
          <cell r="D278" t="str">
            <v>US</v>
          </cell>
          <cell r="E278" t="str">
            <v>air</v>
          </cell>
          <cell r="F278" t="str">
            <v>low population density, long-term</v>
          </cell>
          <cell r="H278" t="str">
            <v>kg</v>
          </cell>
          <cell r="I278">
            <v>0.36693556816589751</v>
          </cell>
        </row>
        <row r="279">
          <cell r="B279" t="str">
            <v>Sulfur dioxide</v>
          </cell>
          <cell r="C279" t="str">
            <v>7446-09-5</v>
          </cell>
          <cell r="D279" t="str">
            <v>US</v>
          </cell>
          <cell r="E279" t="str">
            <v>air</v>
          </cell>
          <cell r="F279" t="str">
            <v>low population density, long-term</v>
          </cell>
          <cell r="H279" t="str">
            <v>kg</v>
          </cell>
          <cell r="I279">
            <v>1.3643965716468799E-3</v>
          </cell>
        </row>
        <row r="280">
          <cell r="B280" t="str">
            <v>Hydrogen sulfide</v>
          </cell>
          <cell r="C280" t="str">
            <v>7783-06-4</v>
          </cell>
          <cell r="D280" t="str">
            <v>US</v>
          </cell>
          <cell r="E280" t="str">
            <v>air</v>
          </cell>
          <cell r="F280" t="str">
            <v>low population density, long-term</v>
          </cell>
          <cell r="H280" t="str">
            <v>kg</v>
          </cell>
          <cell r="I280">
            <v>1.3461657582818402E-7</v>
          </cell>
        </row>
        <row r="281">
          <cell r="B281" t="str">
            <v>Nitrogen oxides</v>
          </cell>
          <cell r="C281" t="str">
            <v>10102-44-0</v>
          </cell>
          <cell r="D281" t="str">
            <v>US</v>
          </cell>
          <cell r="E281" t="str">
            <v>air</v>
          </cell>
          <cell r="F281" t="str">
            <v>low population density, long-term</v>
          </cell>
          <cell r="H281" t="str">
            <v>kg</v>
          </cell>
          <cell r="I281">
            <v>5.3622451176003E-3</v>
          </cell>
        </row>
        <row r="282">
          <cell r="B282" t="str">
            <v>Ammonia</v>
          </cell>
          <cell r="C282" t="str">
            <v>7664-41-7</v>
          </cell>
          <cell r="D282" t="str">
            <v>US</v>
          </cell>
          <cell r="E282" t="str">
            <v>air</v>
          </cell>
          <cell r="F282" t="str">
            <v>low population density, long-term</v>
          </cell>
          <cell r="H282" t="str">
            <v>kg</v>
          </cell>
          <cell r="I282">
            <v>4.7871093813779498E-6</v>
          </cell>
        </row>
        <row r="283">
          <cell r="B283" t="str">
            <v>Chlorine</v>
          </cell>
          <cell r="C283" t="str">
            <v>7782-50-5</v>
          </cell>
          <cell r="D283" t="str">
            <v>US</v>
          </cell>
          <cell r="E283" t="str">
            <v>air</v>
          </cell>
          <cell r="F283" t="str">
            <v>low population density, long-term</v>
          </cell>
          <cell r="H283" t="str">
            <v>kg</v>
          </cell>
          <cell r="I283">
            <v>1.60324091650928E-7</v>
          </cell>
        </row>
        <row r="284">
          <cell r="B284" t="str">
            <v>Hydrogen chloride</v>
          </cell>
          <cell r="C284" t="str">
            <v>7647-01-0</v>
          </cell>
          <cell r="D284" t="str">
            <v>US</v>
          </cell>
          <cell r="E284" t="str">
            <v>air</v>
          </cell>
          <cell r="F284" t="str">
            <v>low population density, long-term</v>
          </cell>
          <cell r="H284" t="str">
            <v>kg</v>
          </cell>
          <cell r="I284">
            <v>9.8155362501349784E-6</v>
          </cell>
        </row>
        <row r="285">
          <cell r="B285" t="str">
            <v>Hydrogen fluoride</v>
          </cell>
          <cell r="C285" t="str">
            <v>7664-39-3</v>
          </cell>
          <cell r="D285" t="str">
            <v>US</v>
          </cell>
          <cell r="E285" t="str">
            <v>air</v>
          </cell>
          <cell r="F285" t="str">
            <v>low population density, long-term</v>
          </cell>
          <cell r="H285" t="str">
            <v>kg</v>
          </cell>
          <cell r="I285">
            <v>3.7386520268355602E-7</v>
          </cell>
        </row>
        <row r="286">
          <cell r="B286" t="str">
            <v>NMVOC, non-methane volatile organic compounds, unspecified</v>
          </cell>
          <cell r="C286" t="str">
            <v>-</v>
          </cell>
          <cell r="D286" t="str">
            <v>US</v>
          </cell>
          <cell r="E286" t="str">
            <v>air</v>
          </cell>
          <cell r="F286" t="str">
            <v>low population density, long-term</v>
          </cell>
          <cell r="H286" t="str">
            <v>kg</v>
          </cell>
          <cell r="I286">
            <v>7.2990704261811847E-4</v>
          </cell>
        </row>
        <row r="287">
          <cell r="B287" t="str">
            <v>Lead compounds, unspecified</v>
          </cell>
          <cell r="D287" t="str">
            <v>US</v>
          </cell>
          <cell r="E287" t="str">
            <v>air</v>
          </cell>
          <cell r="F287" t="str">
            <v>low population density, long-term</v>
          </cell>
          <cell r="H287" t="str">
            <v>kg</v>
          </cell>
          <cell r="I287">
            <v>1.33711043920168E-10</v>
          </cell>
        </row>
        <row r="288">
          <cell r="B288" t="str">
            <v>Mercury compounds, unspecified</v>
          </cell>
          <cell r="D288" t="str">
            <v>US</v>
          </cell>
          <cell r="E288" t="str">
            <v>air</v>
          </cell>
          <cell r="F288" t="str">
            <v>low population density, long-term</v>
          </cell>
          <cell r="H288" t="str">
            <v>kg</v>
          </cell>
          <cell r="I288">
            <v>1.3658520088789397E-10</v>
          </cell>
        </row>
        <row r="289">
          <cell r="B289" t="str">
            <v>Sulfuric acid</v>
          </cell>
          <cell r="C289" t="str">
            <v>7664-93-9</v>
          </cell>
          <cell r="D289" t="str">
            <v>US</v>
          </cell>
          <cell r="E289" t="str">
            <v>air</v>
          </cell>
          <cell r="F289" t="str">
            <v>low population density, long-term</v>
          </cell>
          <cell r="H289" t="str">
            <v>kg</v>
          </cell>
          <cell r="I289">
            <v>1.37649129838173E-8</v>
          </cell>
        </row>
        <row r="290">
          <cell r="B290" t="str">
            <v>Nitrous oxide</v>
          </cell>
          <cell r="C290" t="str">
            <v>10094-97-2</v>
          </cell>
          <cell r="D290" t="str">
            <v>US</v>
          </cell>
          <cell r="E290" t="str">
            <v>air</v>
          </cell>
          <cell r="F290" t="str">
            <v>low population density, long-term</v>
          </cell>
          <cell r="H290" t="str">
            <v>kg</v>
          </cell>
          <cell r="I290">
            <v>3.7070170061543202E-4</v>
          </cell>
        </row>
        <row r="291">
          <cell r="B291" t="str">
            <v>Hydrogen</v>
          </cell>
          <cell r="C291" t="str">
            <v>1333-74-0</v>
          </cell>
          <cell r="D291" t="str">
            <v>US</v>
          </cell>
          <cell r="E291" t="str">
            <v>air</v>
          </cell>
          <cell r="F291" t="str">
            <v>low population density, long-term</v>
          </cell>
          <cell r="H291" t="str">
            <v>kg</v>
          </cell>
          <cell r="I291">
            <v>9.0253295910500399E-5</v>
          </cell>
        </row>
        <row r="292">
          <cell r="B292" t="str">
            <v>organo-chlorine, unspecified</v>
          </cell>
          <cell r="C292" t="str">
            <v>-</v>
          </cell>
          <cell r="D292" t="str">
            <v>US</v>
          </cell>
          <cell r="E292" t="str">
            <v>air</v>
          </cell>
          <cell r="F292" t="str">
            <v>low population density, long-term</v>
          </cell>
          <cell r="H292" t="str">
            <v>kg</v>
          </cell>
          <cell r="I292">
            <v>1.02268073675585E-5</v>
          </cell>
        </row>
        <row r="293">
          <cell r="B293" t="str">
            <v>Hydrogen cyanide</v>
          </cell>
          <cell r="C293" t="str">
            <v>74-90-8</v>
          </cell>
          <cell r="D293" t="str">
            <v>US</v>
          </cell>
          <cell r="E293" t="str">
            <v>air</v>
          </cell>
          <cell r="F293" t="str">
            <v>low population density, long-term</v>
          </cell>
          <cell r="H293" t="str">
            <v>kg</v>
          </cell>
          <cell r="I293">
            <v>1.6464125676411399E-35</v>
          </cell>
        </row>
        <row r="294">
          <cell r="B294" t="str">
            <v>Methane, fossil</v>
          </cell>
          <cell r="C294" t="str">
            <v>74-82-8</v>
          </cell>
          <cell r="D294" t="str">
            <v>US</v>
          </cell>
          <cell r="E294" t="str">
            <v>air</v>
          </cell>
          <cell r="F294" t="str">
            <v>low population density, long-term</v>
          </cell>
          <cell r="H294" t="str">
            <v>kg</v>
          </cell>
          <cell r="I294">
            <v>1.3020532924704401E-3</v>
          </cell>
        </row>
        <row r="295">
          <cell r="B295" t="str">
            <v>Carbon disulfide</v>
          </cell>
          <cell r="C295" t="str">
            <v>75-15-0</v>
          </cell>
          <cell r="D295" t="str">
            <v>US</v>
          </cell>
          <cell r="E295" t="str">
            <v>air</v>
          </cell>
          <cell r="F295" t="str">
            <v>low population density, long-term</v>
          </cell>
          <cell r="H295" t="str">
            <v>kg</v>
          </cell>
          <cell r="I295">
            <v>6.0356364113007798E-12</v>
          </cell>
        </row>
        <row r="296">
          <cell r="B296" t="str">
            <v>Copper compounds, unspecified</v>
          </cell>
          <cell r="D296" t="str">
            <v>US</v>
          </cell>
          <cell r="E296" t="str">
            <v>air</v>
          </cell>
          <cell r="F296" t="str">
            <v>low population density, long-term</v>
          </cell>
          <cell r="H296" t="str">
            <v>kg</v>
          </cell>
          <cell r="I296">
            <v>4.7316564176612895E-11</v>
          </cell>
        </row>
        <row r="297">
          <cell r="B297" t="str">
            <v>Arsenicum compounds, unspecified</v>
          </cell>
          <cell r="D297" t="str">
            <v>US</v>
          </cell>
          <cell r="E297" t="str">
            <v>air</v>
          </cell>
          <cell r="F297" t="str">
            <v>low population density, long-term</v>
          </cell>
          <cell r="H297" t="str">
            <v>kg</v>
          </cell>
          <cell r="I297">
            <v>1.2269716090895999E-10</v>
          </cell>
        </row>
        <row r="298">
          <cell r="B298" t="str">
            <v>Cadmium compounds, unspecified</v>
          </cell>
          <cell r="D298" t="str">
            <v>US</v>
          </cell>
          <cell r="E298" t="str">
            <v>air</v>
          </cell>
          <cell r="F298" t="str">
            <v>low population density, long-term</v>
          </cell>
          <cell r="H298" t="str">
            <v>kg</v>
          </cell>
          <cell r="I298">
            <v>3.0967328880570203E-11</v>
          </cell>
        </row>
        <row r="299">
          <cell r="B299" t="str">
            <v>Zinc compounds, unspecified</v>
          </cell>
          <cell r="D299" t="str">
            <v>US</v>
          </cell>
          <cell r="E299" t="str">
            <v>air</v>
          </cell>
          <cell r="F299" t="str">
            <v>low population density, long-term</v>
          </cell>
          <cell r="H299" t="str">
            <v>kg</v>
          </cell>
          <cell r="I299">
            <v>2.6241642695190901E-10</v>
          </cell>
        </row>
        <row r="300">
          <cell r="B300" t="str">
            <v>Chromium compounds, unspecified</v>
          </cell>
          <cell r="D300" t="str">
            <v>US</v>
          </cell>
          <cell r="E300" t="str">
            <v>air</v>
          </cell>
          <cell r="F300" t="str">
            <v>low population density, long-term</v>
          </cell>
          <cell r="H300" t="str">
            <v>kg</v>
          </cell>
          <cell r="I300">
            <v>3.9291926294360403E-11</v>
          </cell>
        </row>
        <row r="301">
          <cell r="B301" t="str">
            <v>Selenium compounds, unspecified</v>
          </cell>
          <cell r="D301" t="str">
            <v>US</v>
          </cell>
          <cell r="E301" t="str">
            <v>air</v>
          </cell>
          <cell r="F301" t="str">
            <v>low population density, long-term</v>
          </cell>
          <cell r="H301" t="str">
            <v>kg</v>
          </cell>
          <cell r="I301">
            <v>6.0342866020799995E-11</v>
          </cell>
        </row>
        <row r="302">
          <cell r="B302" t="str">
            <v>Nickel compounds, unspecified</v>
          </cell>
          <cell r="D302" t="str">
            <v>US</v>
          </cell>
          <cell r="E302" t="str">
            <v>air</v>
          </cell>
          <cell r="F302" t="str">
            <v>low population density, long-term</v>
          </cell>
          <cell r="H302" t="str">
            <v>kg</v>
          </cell>
          <cell r="I302">
            <v>4.2349183227446E-10</v>
          </cell>
        </row>
        <row r="303">
          <cell r="B303" t="str">
            <v>Antimony compounds, unspecified</v>
          </cell>
          <cell r="D303" t="str">
            <v>US</v>
          </cell>
          <cell r="E303" t="str">
            <v>air</v>
          </cell>
          <cell r="F303" t="str">
            <v>low population density, long-term</v>
          </cell>
          <cell r="H303" t="str">
            <v>kg</v>
          </cell>
          <cell r="I303">
            <v>3.2415612680052902E-11</v>
          </cell>
        </row>
        <row r="304">
          <cell r="B304" t="str">
            <v>Iron compounds, unspecified</v>
          </cell>
          <cell r="D304" t="str">
            <v>US</v>
          </cell>
          <cell r="E304" t="str">
            <v>air</v>
          </cell>
          <cell r="F304" t="str">
            <v>low population density, long-term</v>
          </cell>
          <cell r="H304" t="str">
            <v>kg</v>
          </cell>
          <cell r="I304">
            <v>2.9266290020087998E-10</v>
          </cell>
        </row>
        <row r="305">
          <cell r="B305" t="str">
            <v>Ethylene</v>
          </cell>
          <cell r="C305" t="str">
            <v>74-85-1</v>
          </cell>
          <cell r="D305" t="str">
            <v>US</v>
          </cell>
          <cell r="E305" t="str">
            <v>air</v>
          </cell>
          <cell r="F305" t="str">
            <v>low population density, long-term</v>
          </cell>
          <cell r="H305" t="str">
            <v>kg</v>
          </cell>
          <cell r="I305">
            <v>3.8285773319687898E-12</v>
          </cell>
        </row>
        <row r="306">
          <cell r="B306" t="str">
            <v>Cobalt compounds, unspecified</v>
          </cell>
          <cell r="D306" t="str">
            <v>US</v>
          </cell>
          <cell r="E306" t="str">
            <v>air</v>
          </cell>
          <cell r="F306" t="str">
            <v>low population density, long-term</v>
          </cell>
          <cell r="H306" t="str">
            <v>kg</v>
          </cell>
          <cell r="I306">
            <v>2.6148575275679998E-11</v>
          </cell>
        </row>
        <row r="307">
          <cell r="B307" t="str">
            <v>Vanadium compounds, unspecified</v>
          </cell>
          <cell r="D307" t="str">
            <v>US</v>
          </cell>
          <cell r="E307" t="str">
            <v>air</v>
          </cell>
          <cell r="F307" t="str">
            <v>low population density, long-term</v>
          </cell>
          <cell r="H307" t="str">
            <v>kg</v>
          </cell>
          <cell r="I307">
            <v>1.558857372204E-9</v>
          </cell>
        </row>
        <row r="308">
          <cell r="B308" t="str">
            <v>Barium compounds, unspecified</v>
          </cell>
          <cell r="D308" t="str">
            <v>US</v>
          </cell>
          <cell r="E308" t="str">
            <v>air</v>
          </cell>
          <cell r="F308" t="str">
            <v>low population density, long-term</v>
          </cell>
          <cell r="H308" t="str">
            <v>kg</v>
          </cell>
          <cell r="I308">
            <v>6.5572581075936009E-10</v>
          </cell>
        </row>
        <row r="309">
          <cell r="B309" t="str">
            <v>Manganese</v>
          </cell>
          <cell r="C309" t="str">
            <v>7439-96-5</v>
          </cell>
          <cell r="D309" t="str">
            <v>US</v>
          </cell>
          <cell r="E309" t="str">
            <v>air</v>
          </cell>
          <cell r="F309" t="str">
            <v>low population density, long-term</v>
          </cell>
          <cell r="H309" t="str">
            <v>kg</v>
          </cell>
          <cell r="I309">
            <v>7.1405724791279994E-11</v>
          </cell>
        </row>
        <row r="310">
          <cell r="B310" t="str">
            <v>Molybdenum</v>
          </cell>
          <cell r="C310" t="str">
            <v>7439-98-7</v>
          </cell>
          <cell r="D310" t="str">
            <v>US</v>
          </cell>
          <cell r="E310" t="str">
            <v>air</v>
          </cell>
          <cell r="F310" t="str">
            <v>low population density, long-term</v>
          </cell>
          <cell r="H310" t="str">
            <v>kg</v>
          </cell>
          <cell r="I310">
            <v>1.00571443368E-11</v>
          </cell>
        </row>
        <row r="311">
          <cell r="B311" t="str">
            <v>Corn dust (biomass)</v>
          </cell>
          <cell r="C311" t="str">
            <v>-</v>
          </cell>
          <cell r="D311" t="str">
            <v>US</v>
          </cell>
          <cell r="E311" t="str">
            <v>air</v>
          </cell>
          <cell r="F311" t="str">
            <v>low population density, long-term</v>
          </cell>
          <cell r="H311" t="str">
            <v>kg</v>
          </cell>
          <cell r="I311">
            <v>7.6364080265578908E-5</v>
          </cell>
        </row>
        <row r="312">
          <cell r="B312" t="str">
            <v>Tin</v>
          </cell>
          <cell r="C312" t="str">
            <v>7440-31-5</v>
          </cell>
          <cell r="D312" t="str">
            <v>US</v>
          </cell>
          <cell r="E312" t="str">
            <v>air</v>
          </cell>
          <cell r="F312" t="str">
            <v>low population density, long-term</v>
          </cell>
          <cell r="H312" t="str">
            <v>kg</v>
          </cell>
          <cell r="I312">
            <v>6.3360009321840002E-11</v>
          </cell>
        </row>
        <row r="313">
          <cell r="B313" t="str">
            <v>Titanium</v>
          </cell>
          <cell r="C313" t="str">
            <v>7440-32-6</v>
          </cell>
          <cell r="D313" t="str">
            <v>US</v>
          </cell>
          <cell r="E313" t="str">
            <v>air</v>
          </cell>
          <cell r="F313" t="str">
            <v>low population density, long-term</v>
          </cell>
          <cell r="H313" t="str">
            <v>kg</v>
          </cell>
          <cell r="I313">
            <v>1.1062858770480001E-11</v>
          </cell>
        </row>
        <row r="314">
          <cell r="B314" t="str">
            <v>Barium</v>
          </cell>
          <cell r="C314" t="str">
            <v>7440-39-3</v>
          </cell>
          <cell r="D314" t="str">
            <v>US</v>
          </cell>
          <cell r="E314" t="str">
            <v>air</v>
          </cell>
          <cell r="F314" t="str">
            <v>low population density, long-term</v>
          </cell>
          <cell r="H314" t="str">
            <v>kg</v>
          </cell>
          <cell r="I314">
            <v>4.5458292402336001E-8</v>
          </cell>
        </row>
        <row r="315">
          <cell r="B315" t="str">
            <v>Berylium</v>
          </cell>
          <cell r="C315" t="str">
            <v>7440-41-7</v>
          </cell>
          <cell r="D315" t="str">
            <v>US</v>
          </cell>
          <cell r="E315" t="str">
            <v>air</v>
          </cell>
          <cell r="F315" t="str">
            <v>low population density, long-term</v>
          </cell>
          <cell r="H315" t="str">
            <v>kg</v>
          </cell>
          <cell r="I315">
            <v>1.0057144336800001E-12</v>
          </cell>
        </row>
        <row r="316">
          <cell r="B316" t="str">
            <v>Bromine</v>
          </cell>
          <cell r="C316" t="str">
            <v>7726-95-6</v>
          </cell>
          <cell r="D316" t="str">
            <v>US</v>
          </cell>
          <cell r="E316" t="str">
            <v>air</v>
          </cell>
          <cell r="F316" t="str">
            <v>low population density, long-term</v>
          </cell>
          <cell r="H316" t="str">
            <v>kg</v>
          </cell>
          <cell r="I316">
            <v>5.4710865192192E-10</v>
          </cell>
        </row>
        <row r="317">
          <cell r="B317" t="str">
            <v>Cyanide compounds, unspecified</v>
          </cell>
          <cell r="C317" t="str">
            <v>-</v>
          </cell>
          <cell r="D317" t="str">
            <v>US</v>
          </cell>
          <cell r="E317" t="str">
            <v>air</v>
          </cell>
          <cell r="F317" t="str">
            <v>low population density, long-term</v>
          </cell>
          <cell r="H317" t="str">
            <v>kg</v>
          </cell>
          <cell r="I317">
            <v>1.1867430317423998E-10</v>
          </cell>
        </row>
        <row r="318">
          <cell r="B318" t="str">
            <v>Fluoride compounds, unspecified</v>
          </cell>
          <cell r="C318" t="str">
            <v>-</v>
          </cell>
          <cell r="D318" t="str">
            <v>US</v>
          </cell>
          <cell r="E318" t="str">
            <v>air</v>
          </cell>
          <cell r="F318" t="str">
            <v>low population density, long-term</v>
          </cell>
          <cell r="H318" t="str">
            <v>kg</v>
          </cell>
          <cell r="I318">
            <v>2.1120003107279999E-11</v>
          </cell>
        </row>
        <row r="319">
          <cell r="B319" t="str">
            <v>Helium</v>
          </cell>
          <cell r="C319" t="str">
            <v>7440-59-7</v>
          </cell>
          <cell r="D319" t="str">
            <v>US</v>
          </cell>
          <cell r="E319" t="str">
            <v>air</v>
          </cell>
          <cell r="F319" t="str">
            <v>low population density, long-term</v>
          </cell>
          <cell r="H319" t="str">
            <v>kg</v>
          </cell>
          <cell r="I319">
            <v>4.9380578693687997E-8</v>
          </cell>
        </row>
        <row r="320">
          <cell r="B320" t="str">
            <v>Strontium</v>
          </cell>
          <cell r="C320" t="str">
            <v>7440-24-6</v>
          </cell>
          <cell r="D320" t="str">
            <v>US</v>
          </cell>
          <cell r="E320" t="str">
            <v>air</v>
          </cell>
          <cell r="F320" t="str">
            <v>low population density, long-term</v>
          </cell>
          <cell r="H320" t="str">
            <v>kg</v>
          </cell>
          <cell r="I320">
            <v>4.0228577347200002E-12</v>
          </cell>
        </row>
        <row r="321">
          <cell r="B321" t="str">
            <v>Dust (PM 2.5)</v>
          </cell>
          <cell r="C321" t="str">
            <v>-</v>
          </cell>
          <cell r="D321" t="str">
            <v>US</v>
          </cell>
          <cell r="E321" t="str">
            <v>air</v>
          </cell>
          <cell r="F321" t="str">
            <v>low population density, long-term</v>
          </cell>
          <cell r="H321" t="str">
            <v>kg</v>
          </cell>
          <cell r="I321">
            <v>1.9309717126656003E-6</v>
          </cell>
        </row>
        <row r="322">
          <cell r="B322" t="str">
            <v>Particulates (&lt;2.5um)</v>
          </cell>
          <cell r="C322" t="str">
            <v>-</v>
          </cell>
          <cell r="D322" t="str">
            <v>US</v>
          </cell>
          <cell r="E322" t="str">
            <v>air</v>
          </cell>
          <cell r="F322" t="str">
            <v>low population density, long-term</v>
          </cell>
          <cell r="H322" t="str">
            <v>kg</v>
          </cell>
          <cell r="I322">
            <v>-1.3239866269647899E-5</v>
          </cell>
          <cell r="O322" t="str">
            <v>come with credit for avoided mined gypsum</v>
          </cell>
        </row>
        <row r="323">
          <cell r="B323" t="str">
            <v>Particulates (&gt;10um)</v>
          </cell>
          <cell r="C323" t="str">
            <v>-</v>
          </cell>
          <cell r="D323" t="str">
            <v>US</v>
          </cell>
          <cell r="E323" t="str">
            <v>air</v>
          </cell>
          <cell r="F323" t="str">
            <v>low population density, long-term</v>
          </cell>
          <cell r="H323" t="str">
            <v>kg</v>
          </cell>
          <cell r="I323">
            <v>-1.38747924800171E-4</v>
          </cell>
        </row>
        <row r="324">
          <cell r="B324" t="str">
            <v>Particulates (&lt;10 &amp; &gt;2.5 um)</v>
          </cell>
          <cell r="C324" t="str">
            <v>-</v>
          </cell>
          <cell r="D324" t="str">
            <v>US</v>
          </cell>
          <cell r="E324" t="str">
            <v>air</v>
          </cell>
          <cell r="F324" t="str">
            <v>low population density, long-term</v>
          </cell>
          <cell r="H324" t="str">
            <v>kg</v>
          </cell>
          <cell r="I324">
            <v>-1.2471154856453901E-4</v>
          </cell>
        </row>
        <row r="326">
          <cell r="B326" t="str">
            <v>2,4-D</v>
          </cell>
          <cell r="D326" t="str">
            <v>US</v>
          </cell>
          <cell r="E326" t="str">
            <v>air</v>
          </cell>
          <cell r="F326" t="str">
            <v>low population density</v>
          </cell>
          <cell r="H326" t="str">
            <v>kg</v>
          </cell>
          <cell r="I326">
            <v>2.3088240000000001E-6</v>
          </cell>
        </row>
        <row r="327">
          <cell r="B327" t="str">
            <v>Acetochlor</v>
          </cell>
          <cell r="D327" t="str">
            <v>US</v>
          </cell>
          <cell r="E327" t="str">
            <v>air</v>
          </cell>
          <cell r="F327" t="str">
            <v>low population density</v>
          </cell>
          <cell r="H327" t="str">
            <v>kg</v>
          </cell>
          <cell r="I327">
            <v>3.1993703999999996E-5</v>
          </cell>
        </row>
        <row r="328">
          <cell r="B328" t="str">
            <v>Alachlor</v>
          </cell>
          <cell r="D328" t="str">
            <v>US</v>
          </cell>
          <cell r="E328" t="str">
            <v>air</v>
          </cell>
          <cell r="F328" t="str">
            <v>low population density</v>
          </cell>
          <cell r="H328" t="str">
            <v>kg</v>
          </cell>
          <cell r="I328">
            <v>3.1502009999999997E-6</v>
          </cell>
        </row>
        <row r="329">
          <cell r="B329" t="str">
            <v>Atrazine</v>
          </cell>
          <cell r="D329" t="str">
            <v>US</v>
          </cell>
          <cell r="E329" t="str">
            <v>air</v>
          </cell>
          <cell r="F329" t="str">
            <v>low population density</v>
          </cell>
          <cell r="H329" t="str">
            <v>kg</v>
          </cell>
          <cell r="I329">
            <v>6.2364206999999987E-5</v>
          </cell>
        </row>
        <row r="330">
          <cell r="B330" t="str">
            <v>Bentazone</v>
          </cell>
          <cell r="D330" t="str">
            <v>US</v>
          </cell>
          <cell r="E330" t="str">
            <v>air</v>
          </cell>
          <cell r="F330" t="str">
            <v>low population density</v>
          </cell>
          <cell r="H330" t="str">
            <v>kg</v>
          </cell>
          <cell r="I330">
            <v>2.5441347E-7</v>
          </cell>
        </row>
        <row r="331">
          <cell r="B331" t="str">
            <v>Bromoxynil</v>
          </cell>
          <cell r="D331" t="str">
            <v>US</v>
          </cell>
          <cell r="E331" t="str">
            <v>air</v>
          </cell>
          <cell r="F331" t="str">
            <v>low population density</v>
          </cell>
          <cell r="H331" t="str">
            <v>kg</v>
          </cell>
          <cell r="I331">
            <v>5.5770620999999995E-7</v>
          </cell>
        </row>
        <row r="332">
          <cell r="B332" t="str">
            <v>Carbofuran</v>
          </cell>
          <cell r="D332" t="str">
            <v>US</v>
          </cell>
          <cell r="E332" t="str">
            <v>air</v>
          </cell>
          <cell r="F332" t="str">
            <v>low population density</v>
          </cell>
          <cell r="H332" t="str">
            <v>kg</v>
          </cell>
          <cell r="I332">
            <v>4.7677520999999995E-7</v>
          </cell>
        </row>
        <row r="333">
          <cell r="B333" t="str">
            <v>Chlorpyrifos</v>
          </cell>
          <cell r="D333" t="str">
            <v>US</v>
          </cell>
          <cell r="E333" t="str">
            <v>air</v>
          </cell>
          <cell r="F333" t="str">
            <v>low population density</v>
          </cell>
          <cell r="H333" t="str">
            <v>kg</v>
          </cell>
          <cell r="I333">
            <v>3.6689228999999998E-6</v>
          </cell>
        </row>
        <row r="334">
          <cell r="B334" t="str">
            <v>Cyanazine</v>
          </cell>
          <cell r="D334" t="str">
            <v>US</v>
          </cell>
          <cell r="E334" t="str">
            <v>air</v>
          </cell>
          <cell r="F334" t="str">
            <v>low population density</v>
          </cell>
          <cell r="H334" t="str">
            <v>kg</v>
          </cell>
          <cell r="I334">
            <v>5.4990324000000002E-7</v>
          </cell>
        </row>
        <row r="335">
          <cell r="B335" t="str">
            <v>Dicamba</v>
          </cell>
          <cell r="D335" t="str">
            <v>US</v>
          </cell>
          <cell r="E335" t="str">
            <v>air</v>
          </cell>
          <cell r="F335" t="str">
            <v>low population density</v>
          </cell>
          <cell r="H335" t="str">
            <v>kg</v>
          </cell>
          <cell r="I335">
            <v>3.240294E-6</v>
          </cell>
        </row>
        <row r="336">
          <cell r="B336" t="str">
            <v>Dimethenamid</v>
          </cell>
          <cell r="D336" t="str">
            <v>US</v>
          </cell>
          <cell r="E336" t="str">
            <v>air</v>
          </cell>
          <cell r="F336" t="str">
            <v>low population density</v>
          </cell>
          <cell r="H336" t="str">
            <v>kg</v>
          </cell>
          <cell r="I336">
            <v>7.6525605000000005E-6</v>
          </cell>
        </row>
        <row r="337">
          <cell r="B337" t="str">
            <v>Dipropylthiocarbamic acid S-ethyl ester</v>
          </cell>
          <cell r="D337" t="str">
            <v>US</v>
          </cell>
          <cell r="E337" t="str">
            <v>air</v>
          </cell>
          <cell r="F337" t="str">
            <v>low population density</v>
          </cell>
          <cell r="H337" t="str">
            <v>kg</v>
          </cell>
          <cell r="I337">
            <v>5.2402059E-6</v>
          </cell>
        </row>
        <row r="338">
          <cell r="B338" t="str">
            <v>Glyphosate</v>
          </cell>
          <cell r="D338" t="str">
            <v>US</v>
          </cell>
          <cell r="E338" t="str">
            <v>air</v>
          </cell>
          <cell r="F338" t="str">
            <v>low population density</v>
          </cell>
          <cell r="H338" t="str">
            <v>kg</v>
          </cell>
          <cell r="I338">
            <v>6.8792877000000002E-6</v>
          </cell>
        </row>
        <row r="339">
          <cell r="B339" t="str">
            <v>MCPA</v>
          </cell>
          <cell r="D339" t="str">
            <v>US</v>
          </cell>
          <cell r="E339" t="str">
            <v>air</v>
          </cell>
          <cell r="F339" t="str">
            <v>low population density</v>
          </cell>
          <cell r="H339" t="str">
            <v>kg</v>
          </cell>
          <cell r="I339">
            <v>4.3070562000000002E-8</v>
          </cell>
        </row>
        <row r="340">
          <cell r="B340" t="str">
            <v>Parathion, methyl</v>
          </cell>
          <cell r="D340" t="str">
            <v>US</v>
          </cell>
          <cell r="E340" t="str">
            <v>air</v>
          </cell>
          <cell r="F340" t="str">
            <v>low population density</v>
          </cell>
          <cell r="H340" t="str">
            <v>kg</v>
          </cell>
          <cell r="I340">
            <v>3.8663639999999999E-7</v>
          </cell>
        </row>
        <row r="341">
          <cell r="B341" t="str">
            <v>Metolachlor</v>
          </cell>
          <cell r="D341" t="str">
            <v>US</v>
          </cell>
          <cell r="E341" t="str">
            <v>air</v>
          </cell>
          <cell r="F341" t="str">
            <v>low population density</v>
          </cell>
          <cell r="H341" t="str">
            <v>kg</v>
          </cell>
          <cell r="I341">
            <v>2.5285592999999995E-5</v>
          </cell>
        </row>
        <row r="342">
          <cell r="B342" t="str">
            <v>Metribuzin</v>
          </cell>
          <cell r="D342" t="str">
            <v>US</v>
          </cell>
          <cell r="E342" t="str">
            <v>air</v>
          </cell>
          <cell r="F342" t="str">
            <v>low population density</v>
          </cell>
          <cell r="H342" t="str">
            <v>kg</v>
          </cell>
          <cell r="I342">
            <v>1.1719114200000001E-7</v>
          </cell>
        </row>
        <row r="343">
          <cell r="B343" t="str">
            <v>Paraquat</v>
          </cell>
          <cell r="D343" t="str">
            <v>US</v>
          </cell>
          <cell r="E343" t="str">
            <v>air</v>
          </cell>
          <cell r="F343" t="str">
            <v>low population density</v>
          </cell>
          <cell r="H343" t="str">
            <v>kg</v>
          </cell>
          <cell r="I343">
            <v>5.1183512999999997E-7</v>
          </cell>
        </row>
        <row r="344">
          <cell r="B344" t="str">
            <v>Pendimethalin</v>
          </cell>
          <cell r="D344" t="str">
            <v>US</v>
          </cell>
          <cell r="E344" t="str">
            <v>air</v>
          </cell>
          <cell r="F344" t="str">
            <v>low population density</v>
          </cell>
          <cell r="H344" t="str">
            <v>kg</v>
          </cell>
          <cell r="I344">
            <v>2.6302575E-6</v>
          </cell>
        </row>
        <row r="345">
          <cell r="B345" t="str">
            <v>Permethrin</v>
          </cell>
          <cell r="D345" t="str">
            <v>US</v>
          </cell>
          <cell r="E345" t="str">
            <v>air</v>
          </cell>
          <cell r="F345" t="str">
            <v>low population density</v>
          </cell>
          <cell r="H345" t="str">
            <v>kg</v>
          </cell>
          <cell r="I345">
            <v>2.3637960000000001E-7</v>
          </cell>
        </row>
        <row r="346">
          <cell r="B346" t="str">
            <v>Phorate</v>
          </cell>
          <cell r="D346" t="str">
            <v>US</v>
          </cell>
          <cell r="E346" t="str">
            <v>air</v>
          </cell>
          <cell r="F346" t="str">
            <v>low population density</v>
          </cell>
          <cell r="H346" t="str">
            <v>kg</v>
          </cell>
          <cell r="I346">
            <v>1.2116897699999999E-7</v>
          </cell>
        </row>
        <row r="347">
          <cell r="B347" t="str">
            <v>Simazine</v>
          </cell>
          <cell r="D347" t="str">
            <v>US</v>
          </cell>
          <cell r="E347" t="str">
            <v>air</v>
          </cell>
          <cell r="F347" t="str">
            <v>low population density</v>
          </cell>
          <cell r="H347" t="str">
            <v>kg</v>
          </cell>
          <cell r="I347">
            <v>1.6607651999999998E-6</v>
          </cell>
        </row>
        <row r="348">
          <cell r="B348" t="str">
            <v>Terbufos</v>
          </cell>
          <cell r="D348" t="str">
            <v>US</v>
          </cell>
          <cell r="E348" t="str">
            <v>air</v>
          </cell>
          <cell r="F348" t="str">
            <v>low population density</v>
          </cell>
          <cell r="H348" t="str">
            <v>kg</v>
          </cell>
          <cell r="I348">
            <v>4.1346578999999997E-6</v>
          </cell>
        </row>
        <row r="349">
          <cell r="B349" t="str">
            <v>2,4-D</v>
          </cell>
          <cell r="D349" t="str">
            <v>US</v>
          </cell>
          <cell r="E349" t="str">
            <v>water</v>
          </cell>
          <cell r="F349" t="str">
            <v>unspecified</v>
          </cell>
          <cell r="H349" t="str">
            <v>kg</v>
          </cell>
          <cell r="I349">
            <v>9.8946545999999987E-8</v>
          </cell>
        </row>
        <row r="350">
          <cell r="B350" t="str">
            <v>Acetochlor</v>
          </cell>
          <cell r="D350" t="str">
            <v>US</v>
          </cell>
          <cell r="E350" t="str">
            <v>water</v>
          </cell>
          <cell r="F350" t="str">
            <v>unspecified</v>
          </cell>
          <cell r="H350" t="str">
            <v>kg</v>
          </cell>
          <cell r="I350">
            <v>1.3711391099999999E-6</v>
          </cell>
        </row>
        <row r="351">
          <cell r="B351" t="str">
            <v>Alachlor</v>
          </cell>
          <cell r="D351" t="str">
            <v>US</v>
          </cell>
          <cell r="E351" t="str">
            <v>water</v>
          </cell>
          <cell r="F351" t="str">
            <v>unspecified</v>
          </cell>
          <cell r="H351" t="str">
            <v>kg</v>
          </cell>
          <cell r="I351">
            <v>1.3500512399999998E-7</v>
          </cell>
        </row>
        <row r="352">
          <cell r="B352" t="str">
            <v>Atrazine</v>
          </cell>
          <cell r="D352" t="str">
            <v>US</v>
          </cell>
          <cell r="E352" t="str">
            <v>water</v>
          </cell>
          <cell r="F352" t="str">
            <v>unspecified</v>
          </cell>
          <cell r="H352" t="str">
            <v>kg</v>
          </cell>
          <cell r="I352">
            <v>2.6727081E-6</v>
          </cell>
        </row>
        <row r="353">
          <cell r="B353" t="str">
            <v>Bentazone</v>
          </cell>
          <cell r="D353" t="str">
            <v>US</v>
          </cell>
          <cell r="E353" t="str">
            <v>water</v>
          </cell>
          <cell r="F353" t="str">
            <v>unspecified</v>
          </cell>
          <cell r="H353" t="str">
            <v>kg</v>
          </cell>
          <cell r="I353">
            <v>1.09035435E-8</v>
          </cell>
        </row>
        <row r="354">
          <cell r="B354" t="str">
            <v>Bromoxynil</v>
          </cell>
          <cell r="D354" t="str">
            <v>US</v>
          </cell>
          <cell r="E354" t="str">
            <v>water</v>
          </cell>
          <cell r="F354" t="str">
            <v>unspecified</v>
          </cell>
          <cell r="H354" t="str">
            <v>kg</v>
          </cell>
          <cell r="I354">
            <v>1.4423583899999999E-8</v>
          </cell>
        </row>
        <row r="355">
          <cell r="B355" t="str">
            <v>Carbofuran</v>
          </cell>
          <cell r="D355" t="str">
            <v>US</v>
          </cell>
          <cell r="E355" t="str">
            <v>water</v>
          </cell>
          <cell r="F355" t="str">
            <v>unspecified</v>
          </cell>
          <cell r="H355" t="str">
            <v>kg</v>
          </cell>
          <cell r="I355">
            <v>2.0432786999999997E-8</v>
          </cell>
        </row>
        <row r="356">
          <cell r="B356" t="str">
            <v>Chlorpyrifos</v>
          </cell>
          <cell r="D356" t="str">
            <v>US</v>
          </cell>
          <cell r="E356" t="str">
            <v>water</v>
          </cell>
          <cell r="F356" t="str">
            <v>unspecified</v>
          </cell>
          <cell r="H356" t="str">
            <v>kg</v>
          </cell>
          <cell r="I356">
            <v>1.5723518999999999E-7</v>
          </cell>
        </row>
        <row r="357">
          <cell r="B357" t="str">
            <v>Cyanazine</v>
          </cell>
          <cell r="D357" t="str">
            <v>US</v>
          </cell>
          <cell r="E357" t="str">
            <v>water</v>
          </cell>
          <cell r="F357" t="str">
            <v>unspecified</v>
          </cell>
          <cell r="H357" t="str">
            <v>kg</v>
          </cell>
          <cell r="I357">
            <v>2.3567717999999999E-8</v>
          </cell>
        </row>
        <row r="358">
          <cell r="B358" t="str">
            <v>Dicamba</v>
          </cell>
          <cell r="D358" t="str">
            <v>US</v>
          </cell>
          <cell r="E358" t="str">
            <v>water</v>
          </cell>
          <cell r="F358" t="str">
            <v>unspecified</v>
          </cell>
          <cell r="H358" t="str">
            <v>kg</v>
          </cell>
          <cell r="I358">
            <v>1.3886996099999999E-7</v>
          </cell>
        </row>
        <row r="359">
          <cell r="B359" t="str">
            <v>Dimethenamid</v>
          </cell>
          <cell r="D359" t="str">
            <v>US</v>
          </cell>
          <cell r="E359" t="str">
            <v>water</v>
          </cell>
          <cell r="F359" t="str">
            <v>unspecified</v>
          </cell>
          <cell r="H359" t="str">
            <v>kg</v>
          </cell>
          <cell r="I359">
            <v>3.2796905999999997E-7</v>
          </cell>
        </row>
        <row r="360">
          <cell r="B360" t="str">
            <v>Disulfoton</v>
          </cell>
          <cell r="D360" t="str">
            <v>US</v>
          </cell>
          <cell r="E360" t="str">
            <v>water</v>
          </cell>
          <cell r="F360" t="str">
            <v>unspecified</v>
          </cell>
          <cell r="H360" t="str">
            <v>kg</v>
          </cell>
          <cell r="I360">
            <v>8.0917256999999992E-9</v>
          </cell>
        </row>
        <row r="361">
          <cell r="B361" t="str">
            <v>Diuron</v>
          </cell>
          <cell r="D361" t="str">
            <v>US</v>
          </cell>
          <cell r="E361" t="str">
            <v>water</v>
          </cell>
          <cell r="F361" t="str">
            <v>unspecified</v>
          </cell>
          <cell r="H361" t="str">
            <v>kg</v>
          </cell>
          <cell r="I361">
            <v>2.2729394999999996E-9</v>
          </cell>
        </row>
        <row r="362">
          <cell r="B362" t="str">
            <v>Dipropylthiocarbamic acid S-ethyl ester</v>
          </cell>
          <cell r="D362" t="str">
            <v>US</v>
          </cell>
          <cell r="E362" t="str">
            <v>water</v>
          </cell>
          <cell r="F362" t="str">
            <v>unspecified</v>
          </cell>
          <cell r="H362" t="str">
            <v>kg</v>
          </cell>
          <cell r="I362">
            <v>1.3552124999999999E-7</v>
          </cell>
        </row>
        <row r="363">
          <cell r="B363" t="str">
            <v>Glyphosate</v>
          </cell>
          <cell r="D363" t="str">
            <v>US</v>
          </cell>
          <cell r="E363" t="str">
            <v>water</v>
          </cell>
          <cell r="F363" t="str">
            <v>unspecified</v>
          </cell>
          <cell r="H363" t="str">
            <v>kg</v>
          </cell>
          <cell r="I363">
            <v>2.9481788999999996E-7</v>
          </cell>
        </row>
        <row r="364">
          <cell r="B364" t="str">
            <v>MCPA</v>
          </cell>
          <cell r="D364" t="str">
            <v>US</v>
          </cell>
          <cell r="E364" t="str">
            <v>water</v>
          </cell>
          <cell r="F364" t="str">
            <v>unspecified</v>
          </cell>
          <cell r="H364" t="str">
            <v>kg</v>
          </cell>
          <cell r="I364">
            <v>1.8458376E-9</v>
          </cell>
        </row>
        <row r="365">
          <cell r="B365" t="str">
            <v>Parathion, methyl</v>
          </cell>
          <cell r="D365" t="str">
            <v>US</v>
          </cell>
          <cell r="E365" t="str">
            <v>water</v>
          </cell>
          <cell r="F365" t="str">
            <v>unspecified</v>
          </cell>
          <cell r="H365" t="str">
            <v>kg</v>
          </cell>
          <cell r="I365">
            <v>1.6569477000000001E-8</v>
          </cell>
        </row>
        <row r="366">
          <cell r="B366" t="str">
            <v>Metolachlor</v>
          </cell>
          <cell r="D366" t="str">
            <v>US</v>
          </cell>
          <cell r="E366" t="str">
            <v>water</v>
          </cell>
          <cell r="F366" t="str">
            <v>unspecified</v>
          </cell>
          <cell r="H366" t="str">
            <v>kg</v>
          </cell>
          <cell r="I366">
            <v>1.08365082E-6</v>
          </cell>
          <cell r="K366" t="str">
            <v xml:space="preserve"> </v>
          </cell>
        </row>
        <row r="367">
          <cell r="B367" t="str">
            <v>Metribuzin</v>
          </cell>
          <cell r="D367" t="str">
            <v>US</v>
          </cell>
          <cell r="E367" t="str">
            <v>water</v>
          </cell>
          <cell r="F367" t="str">
            <v>unspecified</v>
          </cell>
          <cell r="H367" t="str">
            <v>kg</v>
          </cell>
          <cell r="I367">
            <v>5.0224556999999999E-9</v>
          </cell>
        </row>
        <row r="368">
          <cell r="B368" t="str">
            <v>Paraquat</v>
          </cell>
          <cell r="D368" t="str">
            <v>US</v>
          </cell>
          <cell r="E368" t="str">
            <v>water</v>
          </cell>
          <cell r="F368" t="str">
            <v>unspecified</v>
          </cell>
          <cell r="H368" t="str">
            <v>kg</v>
          </cell>
          <cell r="I368">
            <v>2.1935354999999998E-8</v>
          </cell>
        </row>
        <row r="369">
          <cell r="B369" t="str">
            <v>Pendimethalin</v>
          </cell>
          <cell r="D369" t="str">
            <v>US</v>
          </cell>
          <cell r="E369" t="str">
            <v>water</v>
          </cell>
          <cell r="F369" t="str">
            <v>unspecified</v>
          </cell>
          <cell r="H369" t="str">
            <v>kg</v>
          </cell>
          <cell r="I369">
            <v>1.1272619399999999E-7</v>
          </cell>
        </row>
        <row r="370">
          <cell r="B370" t="str">
            <v>Permethrin</v>
          </cell>
          <cell r="D370" t="str">
            <v>US</v>
          </cell>
          <cell r="E370" t="str">
            <v>water</v>
          </cell>
          <cell r="F370" t="str">
            <v>unspecified</v>
          </cell>
          <cell r="H370" t="str">
            <v>kg</v>
          </cell>
          <cell r="I370">
            <v>1.0130728799999999E-8</v>
          </cell>
        </row>
        <row r="371">
          <cell r="B371" t="str">
            <v>Phorate</v>
          </cell>
          <cell r="D371" t="str">
            <v>US</v>
          </cell>
          <cell r="E371" t="str">
            <v>water</v>
          </cell>
          <cell r="F371" t="str">
            <v>unspecified</v>
          </cell>
          <cell r="H371" t="str">
            <v>kg</v>
          </cell>
          <cell r="I371">
            <v>3.1337093999999997E-9</v>
          </cell>
        </row>
        <row r="372">
          <cell r="B372" t="str">
            <v>Simazine</v>
          </cell>
          <cell r="D372" t="str">
            <v>US</v>
          </cell>
          <cell r="E372" t="str">
            <v>water</v>
          </cell>
          <cell r="F372" t="str">
            <v>unspecified</v>
          </cell>
          <cell r="H372" t="str">
            <v>kg</v>
          </cell>
          <cell r="I372">
            <v>7.1173469999999996E-8</v>
          </cell>
        </row>
        <row r="373">
          <cell r="B373" t="str">
            <v>Terbufos</v>
          </cell>
          <cell r="D373" t="str">
            <v>US</v>
          </cell>
          <cell r="E373" t="str">
            <v>water</v>
          </cell>
          <cell r="F373" t="str">
            <v>unspecified</v>
          </cell>
          <cell r="H373" t="str">
            <v>kg</v>
          </cell>
          <cell r="I373">
            <v>1.0693122899999999E-7</v>
          </cell>
        </row>
        <row r="375">
          <cell r="A375" t="str">
            <v>Product / co-product outputs</v>
          </cell>
          <cell r="B375" t="str">
            <v>Polylactide Biopolymer Resin, Nebraska USA, at plant</v>
          </cell>
          <cell r="D375" t="str">
            <v>US</v>
          </cell>
          <cell r="H375" t="str">
            <v>kg</v>
          </cell>
          <cell r="I375">
            <v>1</v>
          </cell>
        </row>
      </sheetData>
      <sheetData sheetId="17" refreshError="1">
        <row r="6">
          <cell r="B6">
            <v>6.0055629788000012E-2</v>
          </cell>
          <cell r="C6">
            <v>5.5610424562000001E-3</v>
          </cell>
          <cell r="D6">
            <v>0</v>
          </cell>
          <cell r="E6">
            <v>0</v>
          </cell>
          <cell r="F6">
            <v>0</v>
          </cell>
          <cell r="G6">
            <v>0.19908169119300001</v>
          </cell>
          <cell r="I6" t="str">
            <v>glass</v>
          </cell>
          <cell r="J6">
            <v>356</v>
          </cell>
          <cell r="K6">
            <v>0.16147888372000044</v>
          </cell>
          <cell r="Y6" t="str">
            <v>Tons</v>
          </cell>
          <cell r="Z6">
            <v>2981721.5</v>
          </cell>
        </row>
        <row r="7">
          <cell r="B7">
            <v>7.0216098876000013E-2</v>
          </cell>
          <cell r="C7">
            <v>5.6608327776000002E-3</v>
          </cell>
          <cell r="D7">
            <v>0</v>
          </cell>
          <cell r="E7">
            <v>0</v>
          </cell>
          <cell r="F7">
            <v>9.0718473999999999E-7</v>
          </cell>
          <cell r="G7">
            <v>0.21200725936852</v>
          </cell>
          <cell r="I7" t="str">
            <v>cardboard</v>
          </cell>
          <cell r="J7">
            <v>11.8</v>
          </cell>
          <cell r="K7">
            <v>5.3523899660000143E-3</v>
          </cell>
        </row>
        <row r="8">
          <cell r="B8">
            <v>0.26671231355999997</v>
          </cell>
          <cell r="C8">
            <v>4.7627198849999998E-3</v>
          </cell>
          <cell r="D8">
            <v>0</v>
          </cell>
          <cell r="E8">
            <v>0</v>
          </cell>
          <cell r="F8">
            <v>0</v>
          </cell>
          <cell r="G8">
            <v>0.38578031068499996</v>
          </cell>
          <cell r="I8" t="str">
            <v>newspaper</v>
          </cell>
          <cell r="J8">
            <v>0</v>
          </cell>
          <cell r="K8">
            <v>0</v>
          </cell>
          <cell r="U8" t="str">
            <v>MT/ton</v>
          </cell>
          <cell r="V8">
            <v>1.6917203144075539E-4</v>
          </cell>
          <cell r="W8">
            <v>1.890963292378735E-5</v>
          </cell>
          <cell r="X8">
            <v>1.4149544147567101</v>
          </cell>
        </row>
        <row r="9">
          <cell r="B9">
            <v>5.3523899660000143E-3</v>
          </cell>
          <cell r="C9">
            <v>0</v>
          </cell>
          <cell r="D9">
            <v>0</v>
          </cell>
          <cell r="E9">
            <v>0</v>
          </cell>
          <cell r="F9">
            <v>0</v>
          </cell>
          <cell r="G9">
            <v>5.3523899660000143E-3</v>
          </cell>
        </row>
        <row r="10">
          <cell r="B10">
            <v>0</v>
          </cell>
          <cell r="C10">
            <v>0</v>
          </cell>
          <cell r="D10">
            <v>0</v>
          </cell>
          <cell r="E10">
            <v>0</v>
          </cell>
          <cell r="F10">
            <v>0</v>
          </cell>
          <cell r="G10">
            <v>0</v>
          </cell>
          <cell r="I10" t="str">
            <v>Recycled</v>
          </cell>
          <cell r="U10" t="str">
            <v>Source: Aluminum PFC 04.xls.</v>
          </cell>
        </row>
        <row r="11">
          <cell r="B11">
            <v>0</v>
          </cell>
          <cell r="C11">
            <v>0</v>
          </cell>
          <cell r="D11">
            <v>0</v>
          </cell>
          <cell r="E11">
            <v>0</v>
          </cell>
          <cell r="F11">
            <v>0</v>
          </cell>
          <cell r="G11">
            <v>0</v>
          </cell>
          <cell r="I11" t="str">
            <v>aluminum</v>
          </cell>
          <cell r="J11">
            <v>182</v>
          </cell>
          <cell r="K11">
            <v>8.2553811340000213E-2</v>
          </cell>
        </row>
        <row r="12">
          <cell r="B12">
            <v>2.6818181818181817E-2</v>
          </cell>
          <cell r="C12">
            <v>0</v>
          </cell>
          <cell r="D12">
            <v>0</v>
          </cell>
          <cell r="E12">
            <v>0</v>
          </cell>
          <cell r="F12">
            <v>0</v>
          </cell>
          <cell r="G12">
            <v>2.6818181818181817E-2</v>
          </cell>
        </row>
        <row r="13">
          <cell r="B13">
            <v>0</v>
          </cell>
          <cell r="C13">
            <v>0</v>
          </cell>
          <cell r="D13">
            <v>0</v>
          </cell>
          <cell r="E13">
            <v>0</v>
          </cell>
          <cell r="F13">
            <v>0</v>
          </cell>
          <cell r="G13">
            <v>0</v>
          </cell>
          <cell r="I13" t="str">
            <v>Carpet process non-energy CO2 data (Franklin)</v>
          </cell>
          <cell r="L13" t="str">
            <v>Carpet process non-energy CH4 data (Franklin)</v>
          </cell>
          <cell r="O13" t="str">
            <v>Carpet process non-energy N2O data (Franklin)</v>
          </cell>
          <cell r="U13" t="str">
            <v>Plastics Non-Combustion CO2 and CH4 from specific unit processes (kg/metric ton of unit process product)</v>
          </cell>
        </row>
        <row r="14">
          <cell r="B14">
            <v>0</v>
          </cell>
          <cell r="C14">
            <v>0</v>
          </cell>
          <cell r="D14">
            <v>0</v>
          </cell>
          <cell r="E14">
            <v>0</v>
          </cell>
          <cell r="F14">
            <v>0</v>
          </cell>
          <cell r="G14">
            <v>0</v>
          </cell>
          <cell r="J14" t="str">
            <v>lbs/ton</v>
          </cell>
          <cell r="K14" t="str">
            <v>MT/ton</v>
          </cell>
          <cell r="M14" t="str">
            <v>lbs/ton</v>
          </cell>
          <cell r="N14" t="str">
            <v>MT/ton</v>
          </cell>
          <cell r="P14" t="str">
            <v>lbs/ton</v>
          </cell>
          <cell r="Q14" t="str">
            <v>MT/ton</v>
          </cell>
          <cell r="U14" t="str">
            <v>Note: This table is no longer used. It has been replaced with the "Non-Process Greenhouse Gas Emissions for Plastic Resin Production" table below</v>
          </cell>
        </row>
        <row r="15">
          <cell r="B15">
            <v>0</v>
          </cell>
          <cell r="C15">
            <v>0</v>
          </cell>
          <cell r="D15">
            <v>0</v>
          </cell>
          <cell r="E15">
            <v>0</v>
          </cell>
          <cell r="F15">
            <v>0</v>
          </cell>
          <cell r="G15">
            <v>0</v>
          </cell>
          <cell r="I15" t="str">
            <v>Virgin</v>
          </cell>
          <cell r="L15" t="str">
            <v>Virgin</v>
          </cell>
          <cell r="O15" t="str">
            <v>Virgin</v>
          </cell>
          <cell r="U15" t="str">
            <v>Unit Process</v>
          </cell>
          <cell r="V15" t="str">
            <v>CO2</v>
          </cell>
          <cell r="W15" t="str">
            <v>CH4</v>
          </cell>
        </row>
        <row r="16">
          <cell r="B16">
            <v>5.7272727272727271E-4</v>
          </cell>
          <cell r="C16">
            <v>1.6363636363636363E-5</v>
          </cell>
          <cell r="D16">
            <v>0</v>
          </cell>
          <cell r="E16">
            <v>0</v>
          </cell>
          <cell r="F16">
            <v>0</v>
          </cell>
          <cell r="G16">
            <v>9.8181818181818179E-4</v>
          </cell>
          <cell r="I16" t="str">
            <v>Carpet</v>
          </cell>
          <cell r="J16">
            <v>19.420000000000002</v>
          </cell>
          <cell r="K16">
            <v>8.8087638254000233E-3</v>
          </cell>
          <cell r="L16" t="str">
            <v>Carpet</v>
          </cell>
          <cell r="M16">
            <v>5.44</v>
          </cell>
          <cell r="N16">
            <v>2.4675424928000066E-3</v>
          </cell>
          <cell r="O16" t="str">
            <v>Carpet</v>
          </cell>
          <cell r="P16">
            <v>3.2</v>
          </cell>
          <cell r="Q16">
            <v>1.4514955840000039E-3</v>
          </cell>
          <cell r="U16" t="str">
            <v>Methanol</v>
          </cell>
          <cell r="V16">
            <v>6.7000000000000002E-4</v>
          </cell>
          <cell r="W16">
            <v>2.2999999999999998</v>
          </cell>
        </row>
        <row r="17">
          <cell r="B17">
            <v>0.87090909090909085</v>
          </cell>
          <cell r="C17">
            <v>0</v>
          </cell>
          <cell r="D17">
            <v>0</v>
          </cell>
          <cell r="E17">
            <v>0</v>
          </cell>
          <cell r="F17">
            <v>0</v>
          </cell>
          <cell r="G17">
            <v>0.87090909090909085</v>
          </cell>
          <cell r="I17" t="str">
            <v>Carpet Padding</v>
          </cell>
          <cell r="J17">
            <v>34</v>
          </cell>
          <cell r="K17">
            <v>1.542214058000004E-2</v>
          </cell>
          <cell r="L17" t="str">
            <v>Carpet Padding</v>
          </cell>
          <cell r="M17">
            <v>7.52</v>
          </cell>
          <cell r="N17">
            <v>3.4110146224000087E-3</v>
          </cell>
          <cell r="O17" t="str">
            <v>Carpet Padding</v>
          </cell>
          <cell r="P17">
            <v>12.84</v>
          </cell>
          <cell r="Q17">
            <v>5.8241260308000151E-3</v>
          </cell>
          <cell r="U17" t="str">
            <v>Ethylene</v>
          </cell>
          <cell r="V17">
            <v>8.3600000000000015E-4</v>
          </cell>
          <cell r="W17">
            <v>6</v>
          </cell>
        </row>
        <row r="18">
          <cell r="B18">
            <v>7.4999999999999997E-3</v>
          </cell>
          <cell r="C18">
            <v>0</v>
          </cell>
          <cell r="D18">
            <v>0</v>
          </cell>
          <cell r="E18">
            <v>0</v>
          </cell>
          <cell r="F18">
            <v>0</v>
          </cell>
          <cell r="G18">
            <v>7.4999999999999997E-3</v>
          </cell>
          <cell r="I18" t="str">
            <v>Injection Molded Auto Parts</v>
          </cell>
          <cell r="J18">
            <v>34</v>
          </cell>
          <cell r="K18">
            <v>1.542214058000004E-2</v>
          </cell>
          <cell r="L18" t="str">
            <v>Injection Molded Auto Parts</v>
          </cell>
          <cell r="M18">
            <v>6.02</v>
          </cell>
          <cell r="N18">
            <v>2.7306260674000069E-3</v>
          </cell>
          <cell r="O18" t="str">
            <v>Injection Molded Auto Parts</v>
          </cell>
          <cell r="P18">
            <v>12.9</v>
          </cell>
          <cell r="Q18">
            <v>5.8513415730000158E-3</v>
          </cell>
          <cell r="U18" t="str">
            <v>Ethylene Dichloride/Vinyl Chloride Monomer</v>
          </cell>
          <cell r="V18">
            <v>8.3000000000000002E-6</v>
          </cell>
          <cell r="W18">
            <v>0</v>
          </cell>
        </row>
        <row r="19">
          <cell r="B19">
            <v>7.0454545454545457E-3</v>
          </cell>
          <cell r="C19">
            <v>7.2727272727272732E-6</v>
          </cell>
          <cell r="D19">
            <v>0</v>
          </cell>
          <cell r="E19">
            <v>0</v>
          </cell>
          <cell r="F19">
            <v>0</v>
          </cell>
          <cell r="G19">
            <v>7.2272727272727271E-3</v>
          </cell>
          <cell r="I19" t="str">
            <v>Carpet Backing</v>
          </cell>
          <cell r="J19">
            <v>0</v>
          </cell>
          <cell r="K19">
            <v>0</v>
          </cell>
          <cell r="L19" t="str">
            <v>Carpet Backing</v>
          </cell>
          <cell r="M19">
            <v>11.84</v>
          </cell>
          <cell r="N19">
            <v>5.3705336608000139E-3</v>
          </cell>
          <cell r="O19" t="str">
            <v>Carpet Backing</v>
          </cell>
          <cell r="P19">
            <v>0</v>
          </cell>
          <cell r="Q19">
            <v>0</v>
          </cell>
          <cell r="U19" t="str">
            <v>Ethylene Oxide</v>
          </cell>
          <cell r="V19">
            <v>8.6299999999999994E-4</v>
          </cell>
          <cell r="W19">
            <v>1.79</v>
          </cell>
        </row>
        <row r="20">
          <cell r="B20">
            <v>0</v>
          </cell>
          <cell r="C20">
            <v>0</v>
          </cell>
          <cell r="D20">
            <v>0</v>
          </cell>
          <cell r="E20">
            <v>0</v>
          </cell>
          <cell r="F20">
            <v>0</v>
          </cell>
          <cell r="G20">
            <v>0</v>
          </cell>
          <cell r="K20">
            <v>0</v>
          </cell>
          <cell r="N20">
            <v>0</v>
          </cell>
          <cell r="Q20">
            <v>0</v>
          </cell>
        </row>
        <row r="21">
          <cell r="B21">
            <v>0</v>
          </cell>
          <cell r="C21">
            <v>0</v>
          </cell>
          <cell r="D21">
            <v>0</v>
          </cell>
          <cell r="E21">
            <v>0</v>
          </cell>
          <cell r="F21">
            <v>0</v>
          </cell>
          <cell r="G21">
            <v>0</v>
          </cell>
          <cell r="I21" t="str">
            <v>Recycled</v>
          </cell>
          <cell r="K21">
            <v>0</v>
          </cell>
          <cell r="L21" t="str">
            <v>Recycled</v>
          </cell>
          <cell r="N21">
            <v>0</v>
          </cell>
          <cell r="O21" t="str">
            <v>Recycled</v>
          </cell>
          <cell r="Q21">
            <v>0</v>
          </cell>
          <cell r="U21" t="str">
            <v>Source: 2006 IPCC Guidelines for Natiional Greenhouse Gas Inventories, Chapter 3: Chemical Industry Emissions</v>
          </cell>
        </row>
        <row r="22">
          <cell r="B22">
            <v>0.87090909090909085</v>
          </cell>
          <cell r="C22">
            <v>0</v>
          </cell>
          <cell r="D22">
            <v>0</v>
          </cell>
          <cell r="E22">
            <v>0</v>
          </cell>
          <cell r="F22">
            <v>0</v>
          </cell>
          <cell r="G22">
            <v>0.87090909090909085</v>
          </cell>
          <cell r="I22" t="str">
            <v>Carpet Padding</v>
          </cell>
          <cell r="J22">
            <v>0</v>
          </cell>
          <cell r="K22">
            <v>0</v>
          </cell>
          <cell r="L22" t="str">
            <v>Carpet Padding</v>
          </cell>
          <cell r="M22">
            <v>0</v>
          </cell>
          <cell r="N22">
            <v>0</v>
          </cell>
          <cell r="O22" t="str">
            <v>Carpet Padding</v>
          </cell>
          <cell r="P22">
            <v>0</v>
          </cell>
          <cell r="Q22">
            <v>0</v>
          </cell>
        </row>
        <row r="23">
          <cell r="B23">
            <v>0</v>
          </cell>
          <cell r="C23">
            <v>0</v>
          </cell>
          <cell r="D23">
            <v>0</v>
          </cell>
          <cell r="E23">
            <v>0</v>
          </cell>
          <cell r="F23">
            <v>0</v>
          </cell>
          <cell r="G23">
            <v>0</v>
          </cell>
          <cell r="I23" t="str">
            <v>Injection Molded Auto Parts</v>
          </cell>
          <cell r="J23">
            <v>0</v>
          </cell>
          <cell r="K23">
            <v>0</v>
          </cell>
          <cell r="L23" t="str">
            <v>Injection Molded Auto Parts</v>
          </cell>
          <cell r="M23">
            <v>0</v>
          </cell>
          <cell r="N23">
            <v>0</v>
          </cell>
          <cell r="O23" t="str">
            <v>Injection Molded Auto Parts</v>
          </cell>
          <cell r="P23">
            <v>0</v>
          </cell>
          <cell r="Q23">
            <v>0</v>
          </cell>
        </row>
        <row r="24">
          <cell r="B24">
            <v>0</v>
          </cell>
          <cell r="C24">
            <v>0</v>
          </cell>
          <cell r="D24">
            <v>0</v>
          </cell>
          <cell r="E24">
            <v>0</v>
          </cell>
          <cell r="F24">
            <v>0</v>
          </cell>
          <cell r="G24">
            <v>0</v>
          </cell>
          <cell r="I24" t="str">
            <v>Carpet Backing</v>
          </cell>
          <cell r="J24">
            <v>0</v>
          </cell>
          <cell r="K24">
            <v>0</v>
          </cell>
          <cell r="L24" t="str">
            <v>Carpet Backing</v>
          </cell>
          <cell r="M24">
            <v>0</v>
          </cell>
          <cell r="N24">
            <v>0</v>
          </cell>
          <cell r="O24" t="str">
            <v>Carpet Backing</v>
          </cell>
          <cell r="P24">
            <v>0</v>
          </cell>
          <cell r="Q24">
            <v>0</v>
          </cell>
          <cell r="U24" t="str">
            <v>Non-Process Greenhouse Gas Emissions for Plastic Resin Production</v>
          </cell>
        </row>
        <row r="25">
          <cell r="B25">
            <v>2.6818181818181817E-2</v>
          </cell>
          <cell r="C25">
            <v>0</v>
          </cell>
          <cell r="D25">
            <v>0</v>
          </cell>
          <cell r="E25">
            <v>0</v>
          </cell>
          <cell r="F25">
            <v>0</v>
          </cell>
          <cell r="G25">
            <v>2.6818181818181817E-2</v>
          </cell>
          <cell r="U25" t="str">
            <v>Plastic Resin</v>
          </cell>
        </row>
        <row r="26">
          <cell r="B26">
            <v>7.7272727272727269E-4</v>
          </cell>
          <cell r="C26">
            <v>0</v>
          </cell>
          <cell r="D26">
            <v>0</v>
          </cell>
          <cell r="E26">
            <v>0</v>
          </cell>
          <cell r="F26">
            <v>0</v>
          </cell>
          <cell r="G26">
            <v>7.7272727272727269E-4</v>
          </cell>
          <cell r="I26" t="str">
            <v>PC process non-energy CO2 data (Franklin)</v>
          </cell>
          <cell r="L26" t="str">
            <v>PC process non-energy CH4 data (Franklin)</v>
          </cell>
          <cell r="O26" t="str">
            <v>PC process non-energy N2O data (Franklin)</v>
          </cell>
          <cell r="V26" t="str">
            <v>CO2 (metric tons CO2e/ short ton)</v>
          </cell>
          <cell r="W26" t="str">
            <v>CH4 (metric tons CH4/ short ton)</v>
          </cell>
          <cell r="X26" t="str">
            <v>CF4 (metric tons CF4/ short ton)</v>
          </cell>
          <cell r="Y26" t="str">
            <v>C2F6 (metric tons C2F6/ short ton)</v>
          </cell>
          <cell r="Z26" t="str">
            <v>N2O (metric tons N2O/ short ton)</v>
          </cell>
          <cell r="AA26" t="str">
            <v>Source</v>
          </cell>
        </row>
        <row r="27">
          <cell r="B27">
            <v>8.8087638254000233E-3</v>
          </cell>
          <cell r="C27">
            <v>2.4675424928000066E-3</v>
          </cell>
          <cell r="D27">
            <v>0</v>
          </cell>
          <cell r="E27">
            <v>0</v>
          </cell>
          <cell r="F27">
            <v>1.4514955840000039E-3</v>
          </cell>
          <cell r="G27">
            <v>0.50304301017740138</v>
          </cell>
          <cell r="J27" t="str">
            <v>lbs/ton</v>
          </cell>
          <cell r="K27" t="str">
            <v>MT/ton</v>
          </cell>
          <cell r="M27" t="str">
            <v>lbs/ton</v>
          </cell>
          <cell r="N27" t="str">
            <v>MT/ton</v>
          </cell>
          <cell r="P27" t="str">
            <v>lbs/ton</v>
          </cell>
          <cell r="Q27" t="str">
            <v>MT/ton</v>
          </cell>
          <cell r="U27" t="str">
            <v>HDPE</v>
          </cell>
          <cell r="V27">
            <v>6.0055629788000012E-2</v>
          </cell>
          <cell r="W27">
            <v>5.5610424562000001E-3</v>
          </cell>
          <cell r="X27">
            <v>0</v>
          </cell>
          <cell r="Y27">
            <v>0</v>
          </cell>
          <cell r="Z27">
            <v>0</v>
          </cell>
          <cell r="AA27" t="str">
            <v>Table 2-4, p. 2-5</v>
          </cell>
        </row>
        <row r="28">
          <cell r="B28">
            <v>1.542214058000004E-2</v>
          </cell>
          <cell r="C28">
            <v>3.4110146224000087E-3</v>
          </cell>
          <cell r="D28">
            <v>0</v>
          </cell>
          <cell r="E28">
            <v>0</v>
          </cell>
          <cell r="F28">
            <v>5.8241260308000151E-3</v>
          </cell>
          <cell r="G28">
            <v>1.8362870633184047</v>
          </cell>
          <cell r="I28" t="str">
            <v>Virgin</v>
          </cell>
          <cell r="L28" t="str">
            <v>Virgin</v>
          </cell>
          <cell r="O28" t="str">
            <v>Virgin</v>
          </cell>
          <cell r="U28" t="str">
            <v>LDPE</v>
          </cell>
          <cell r="V28">
            <v>7.0216098876000013E-2</v>
          </cell>
          <cell r="W28">
            <v>5.6608327776000002E-3</v>
          </cell>
          <cell r="X28">
            <v>0</v>
          </cell>
          <cell r="Y28">
            <v>0</v>
          </cell>
          <cell r="Z28">
            <v>9.0718473999999999E-7</v>
          </cell>
          <cell r="AA28" t="str">
            <v>Table 3-4, p. 3-5</v>
          </cell>
        </row>
        <row r="29">
          <cell r="B29">
            <v>1.542214058000004E-2</v>
          </cell>
          <cell r="C29">
            <v>2.7306260674000069E-3</v>
          </cell>
          <cell r="D29">
            <v>0</v>
          </cell>
          <cell r="E29">
            <v>0</v>
          </cell>
          <cell r="F29">
            <v>5.8513415730000158E-3</v>
          </cell>
          <cell r="G29">
            <v>1.8273875810190048</v>
          </cell>
          <cell r="I29" t="str">
            <v>PCs</v>
          </cell>
          <cell r="J29">
            <v>168.4</v>
          </cell>
          <cell r="K29">
            <v>7.638495510800021E-2</v>
          </cell>
          <cell r="L29" t="str">
            <v>PCs</v>
          </cell>
          <cell r="M29">
            <v>2.02</v>
          </cell>
          <cell r="N29">
            <v>9.1625658740000239E-4</v>
          </cell>
          <cell r="O29" t="str">
            <v>PCs</v>
          </cell>
          <cell r="P29">
            <v>0</v>
          </cell>
          <cell r="Q29">
            <v>0</v>
          </cell>
          <cell r="U29" t="str">
            <v>LLDPE</v>
          </cell>
          <cell r="V29">
            <v>0.10704779932</v>
          </cell>
          <cell r="W29">
            <v>5.6064016931999996E-3</v>
          </cell>
          <cell r="X29">
            <v>0</v>
          </cell>
          <cell r="Y29">
            <v>0</v>
          </cell>
          <cell r="Z29">
            <v>1.6329325319999999E-5</v>
          </cell>
          <cell r="AA29" t="str">
            <v>Table 4-4, p. 4-5</v>
          </cell>
        </row>
        <row r="30">
          <cell r="B30">
            <v>0</v>
          </cell>
          <cell r="C30">
            <v>5.3705336608000139E-3</v>
          </cell>
          <cell r="D30">
            <v>0</v>
          </cell>
          <cell r="E30">
            <v>0</v>
          </cell>
          <cell r="F30">
            <v>0</v>
          </cell>
          <cell r="G30">
            <v>0.13426334152000036</v>
          </cell>
          <cell r="I30" t="str">
            <v>Asphalt (Cold Patch)</v>
          </cell>
          <cell r="J30">
            <v>4</v>
          </cell>
          <cell r="K30">
            <v>1.8143694800000047E-3</v>
          </cell>
          <cell r="L30" t="str">
            <v>Asphalt (Cold Patch)</v>
          </cell>
          <cell r="M30">
            <v>0</v>
          </cell>
          <cell r="N30">
            <v>0</v>
          </cell>
          <cell r="O30" t="str">
            <v>Asphalt (Cold Patch)</v>
          </cell>
          <cell r="P30">
            <v>0</v>
          </cell>
          <cell r="Q30">
            <v>0</v>
          </cell>
          <cell r="U30" t="str">
            <v>PET</v>
          </cell>
          <cell r="V30">
            <v>0.26671231355999997</v>
          </cell>
          <cell r="W30">
            <v>4.7627198849999998E-3</v>
          </cell>
          <cell r="X30">
            <v>0</v>
          </cell>
          <cell r="Y30">
            <v>0</v>
          </cell>
          <cell r="Z30">
            <v>0</v>
          </cell>
          <cell r="AA30" t="str">
            <v>Table 6-4. p. 6-6</v>
          </cell>
        </row>
        <row r="31">
          <cell r="B31">
            <v>7.638495510800021E-2</v>
          </cell>
          <cell r="C31">
            <v>9.1625658740000239E-4</v>
          </cell>
          <cell r="D31">
            <v>0</v>
          </cell>
          <cell r="E31">
            <v>0</v>
          </cell>
          <cell r="F31">
            <v>0</v>
          </cell>
          <cell r="G31">
            <v>9.9291369793000267E-2</v>
          </cell>
          <cell r="I31" t="str">
            <v>Steel Sheet</v>
          </cell>
          <cell r="J31">
            <v>3150</v>
          </cell>
          <cell r="K31">
            <v>1.4288159655000037</v>
          </cell>
          <cell r="L31" t="str">
            <v>Steel Sheet</v>
          </cell>
          <cell r="M31">
            <v>4.58</v>
          </cell>
          <cell r="N31">
            <v>2.0774530546000054E-3</v>
          </cell>
          <cell r="O31" t="str">
            <v>Steel Sheet</v>
          </cell>
          <cell r="P31">
            <v>0</v>
          </cell>
          <cell r="Q31">
            <v>0</v>
          </cell>
          <cell r="U31" t="str">
            <v>PP</v>
          </cell>
          <cell r="V31">
            <v>6.6224486020000001E-2</v>
          </cell>
          <cell r="W31">
            <v>5.8059823360000007E-3</v>
          </cell>
          <cell r="X31">
            <v>0</v>
          </cell>
          <cell r="Y31">
            <v>0</v>
          </cell>
          <cell r="Z31">
            <v>4.0823313299999998E-6</v>
          </cell>
          <cell r="AA31" t="str">
            <v>Table 5-4, p. 5-5</v>
          </cell>
        </row>
        <row r="32">
          <cell r="B32">
            <v>1.8143694800000047E-3</v>
          </cell>
          <cell r="C32">
            <v>0</v>
          </cell>
          <cell r="D32">
            <v>0</v>
          </cell>
          <cell r="E32">
            <v>0</v>
          </cell>
          <cell r="F32">
            <v>0</v>
          </cell>
          <cell r="G32">
            <v>1.8143694800000047E-3</v>
          </cell>
          <cell r="I32" t="str">
            <v>Lead Bullion</v>
          </cell>
          <cell r="J32">
            <v>37.6</v>
          </cell>
          <cell r="K32">
            <v>1.7055073112000045E-2</v>
          </cell>
          <cell r="L32" t="str">
            <v>Lead Bullion</v>
          </cell>
          <cell r="M32">
            <v>1.24</v>
          </cell>
          <cell r="N32">
            <v>5.6245453880000146E-4</v>
          </cell>
          <cell r="O32" t="str">
            <v>Lead Bullion</v>
          </cell>
          <cell r="P32">
            <v>0</v>
          </cell>
          <cell r="Q32">
            <v>0</v>
          </cell>
          <cell r="U32" t="str">
            <v>GPPS</v>
          </cell>
          <cell r="V32">
            <v>0.29937096420000003</v>
          </cell>
          <cell r="W32">
            <v>5.878557115200001E-3</v>
          </cell>
          <cell r="X32">
            <v>0</v>
          </cell>
          <cell r="Y32">
            <v>0</v>
          </cell>
          <cell r="Z32">
            <v>0</v>
          </cell>
          <cell r="AA32" t="str">
            <v>Table 7-4, p. 7-6</v>
          </cell>
        </row>
        <row r="33">
          <cell r="B33">
            <v>1.4288159655000037</v>
          </cell>
          <cell r="C33">
            <v>2.0774530546000054E-3</v>
          </cell>
          <cell r="D33">
            <v>0</v>
          </cell>
          <cell r="E33">
            <v>0</v>
          </cell>
          <cell r="F33">
            <v>0</v>
          </cell>
          <cell r="G33">
            <v>1.4807522918650038</v>
          </cell>
          <cell r="I33" t="str">
            <v>CRT Glass</v>
          </cell>
          <cell r="J33">
            <v>362</v>
          </cell>
          <cell r="K33">
            <v>0.16420043794000044</v>
          </cell>
          <cell r="L33" t="str">
            <v>CRT Glass</v>
          </cell>
          <cell r="M33">
            <v>0</v>
          </cell>
          <cell r="N33">
            <v>0</v>
          </cell>
          <cell r="O33" t="str">
            <v>CRT Glass</v>
          </cell>
          <cell r="P33">
            <v>0</v>
          </cell>
          <cell r="Q33">
            <v>0</v>
          </cell>
          <cell r="U33" t="str">
            <v>PVC</v>
          </cell>
          <cell r="V33">
            <v>7.8562198484000006E-2</v>
          </cell>
          <cell r="W33">
            <v>2.5764046616000001E-3</v>
          </cell>
          <cell r="X33">
            <v>0</v>
          </cell>
          <cell r="Y33">
            <v>0</v>
          </cell>
          <cell r="Z33">
            <v>0</v>
          </cell>
          <cell r="AA33" t="str">
            <v>Table 9-4, p. 9-6</v>
          </cell>
        </row>
        <row r="34">
          <cell r="B34">
            <v>1.7055073112000045E-2</v>
          </cell>
          <cell r="C34">
            <v>5.6245453880000146E-4</v>
          </cell>
          <cell r="D34">
            <v>0</v>
          </cell>
          <cell r="E34">
            <v>0</v>
          </cell>
          <cell r="F34">
            <v>0</v>
          </cell>
          <cell r="G34">
            <v>3.1116436582000081E-2</v>
          </cell>
          <cell r="I34" t="str">
            <v>Copper Wire</v>
          </cell>
          <cell r="J34">
            <v>7.1999999999999998E-3</v>
          </cell>
          <cell r="K34">
            <v>3.2658650640000087E-6</v>
          </cell>
          <cell r="L34" t="str">
            <v>Copper Wire</v>
          </cell>
          <cell r="M34">
            <v>0</v>
          </cell>
          <cell r="N34">
            <v>0</v>
          </cell>
          <cell r="O34" t="str">
            <v>Copper Wire</v>
          </cell>
          <cell r="P34">
            <v>0</v>
          </cell>
          <cell r="Q34">
            <v>0</v>
          </cell>
          <cell r="U34" t="str">
            <v>Franklin Associates Limited</v>
          </cell>
        </row>
        <row r="35">
          <cell r="B35">
            <v>0.16420043794000044</v>
          </cell>
          <cell r="C35">
            <v>0</v>
          </cell>
          <cell r="D35">
            <v>0</v>
          </cell>
          <cell r="E35">
            <v>0</v>
          </cell>
          <cell r="F35">
            <v>0</v>
          </cell>
          <cell r="G35">
            <v>0.16420043794000044</v>
          </cell>
          <cell r="I35" t="str">
            <v>Aluminum Sheet</v>
          </cell>
          <cell r="J35">
            <v>3380</v>
          </cell>
          <cell r="K35">
            <v>1.5331422106000041</v>
          </cell>
          <cell r="L35" t="str">
            <v>Aluminum Sheet</v>
          </cell>
          <cell r="M35">
            <v>1.06</v>
          </cell>
          <cell r="N35">
            <v>4.8080791220000128E-4</v>
          </cell>
          <cell r="O35" t="str">
            <v>Aluminum Sheet</v>
          </cell>
          <cell r="P35">
            <v>0</v>
          </cell>
          <cell r="Q35">
            <v>0</v>
          </cell>
          <cell r="U35" t="str">
            <v>"Crate-to-Gate Life Cycle Inventory of Nine Plastic Resins and Four Polyuretheane Precursors"</v>
          </cell>
        </row>
        <row r="36">
          <cell r="B36">
            <v>3.2658650640000087E-6</v>
          </cell>
          <cell r="C36">
            <v>0</v>
          </cell>
          <cell r="D36">
            <v>0</v>
          </cell>
          <cell r="E36">
            <v>0</v>
          </cell>
          <cell r="F36">
            <v>0</v>
          </cell>
          <cell r="G36">
            <v>3.2658650640000087E-6</v>
          </cell>
          <cell r="U36" t="str">
            <v>Prepared for the American Chemistry Council, August 2011</v>
          </cell>
        </row>
        <row r="37">
          <cell r="B37">
            <v>2.1390772843289922</v>
          </cell>
          <cell r="C37">
            <v>0</v>
          </cell>
          <cell r="D37">
            <v>1.8350225538784108E-4</v>
          </cell>
          <cell r="E37">
            <v>1.847175021122639E-5</v>
          </cell>
          <cell r="F37">
            <v>0</v>
          </cell>
          <cell r="G37">
            <v>3.7205143042220996</v>
          </cell>
          <cell r="I37" t="str">
            <v>Recycled</v>
          </cell>
          <cell r="K37">
            <v>0</v>
          </cell>
          <cell r="L37" t="str">
            <v>Recycled</v>
          </cell>
          <cell r="N37">
            <v>0</v>
          </cell>
          <cell r="O37" t="str">
            <v>Recycled</v>
          </cell>
          <cell r="Q37">
            <v>0</v>
          </cell>
          <cell r="U37" t="str">
            <v>Notes:</v>
          </cell>
        </row>
        <row r="38">
          <cell r="B38">
            <v>0</v>
          </cell>
          <cell r="C38">
            <v>0</v>
          </cell>
          <cell r="D38">
            <v>0</v>
          </cell>
          <cell r="E38">
            <v>0</v>
          </cell>
          <cell r="F38">
            <v>0</v>
          </cell>
          <cell r="G38">
            <v>0</v>
          </cell>
          <cell r="I38" t="str">
            <v>Asphalt (Cold Patch)</v>
          </cell>
          <cell r="J38">
            <v>4.84</v>
          </cell>
          <cell r="K38">
            <v>2.1953870708000056E-3</v>
          </cell>
          <cell r="L38" t="str">
            <v>Asphalt (Cold Patch)</v>
          </cell>
          <cell r="M38">
            <v>0</v>
          </cell>
          <cell r="N38">
            <v>0</v>
          </cell>
          <cell r="O38" t="str">
            <v>Asphalt (Cold Patch)</v>
          </cell>
          <cell r="P38">
            <v>0</v>
          </cell>
          <cell r="Q38">
            <v>0</v>
          </cell>
          <cell r="U38" t="str">
            <v>Other non-CO2 GHG emissions have not been included in this table because they have a negligable contribution to total emissions (i.e., less than 0.1%)</v>
          </cell>
        </row>
        <row r="39">
          <cell r="B39">
            <v>0</v>
          </cell>
          <cell r="C39">
            <v>0</v>
          </cell>
          <cell r="D39">
            <v>0</v>
          </cell>
          <cell r="E39">
            <v>0</v>
          </cell>
          <cell r="F39">
            <v>0</v>
          </cell>
          <cell r="G39">
            <v>0</v>
          </cell>
          <cell r="I39" t="str">
            <v>Steel Sheet</v>
          </cell>
          <cell r="J39">
            <v>52.4</v>
          </cell>
          <cell r="K39">
            <v>2.3768240188000063E-2</v>
          </cell>
          <cell r="L39" t="str">
            <v>Steel Sheet</v>
          </cell>
          <cell r="M39">
            <v>0</v>
          </cell>
          <cell r="N39">
            <v>0</v>
          </cell>
          <cell r="O39" t="str">
            <v>Steel Sheet</v>
          </cell>
          <cell r="P39">
            <v>0</v>
          </cell>
          <cell r="Q39">
            <v>0</v>
          </cell>
        </row>
        <row r="40">
          <cell r="B40">
            <v>0.44841357493250716</v>
          </cell>
          <cell r="C40">
            <v>0</v>
          </cell>
          <cell r="D40">
            <v>0</v>
          </cell>
          <cell r="E40">
            <v>0</v>
          </cell>
          <cell r="F40">
            <v>0</v>
          </cell>
          <cell r="G40">
            <v>0.44841357493250716</v>
          </cell>
          <cell r="I40" t="str">
            <v>Lead Bullion</v>
          </cell>
          <cell r="J40">
            <v>34</v>
          </cell>
          <cell r="K40">
            <v>1.542214058000004E-2</v>
          </cell>
          <cell r="L40" t="str">
            <v>Lead Bullion</v>
          </cell>
          <cell r="M40">
            <v>1.22</v>
          </cell>
          <cell r="N40">
            <v>5.5338269140000143E-4</v>
          </cell>
          <cell r="O40" t="str">
            <v>Lead Bullion</v>
          </cell>
          <cell r="P40">
            <v>0</v>
          </cell>
          <cell r="Q40">
            <v>0</v>
          </cell>
        </row>
        <row r="41">
          <cell r="B41">
            <v>0</v>
          </cell>
          <cell r="C41">
            <v>0</v>
          </cell>
          <cell r="D41">
            <v>0</v>
          </cell>
          <cell r="E41">
            <v>0</v>
          </cell>
          <cell r="F41">
            <v>0</v>
          </cell>
          <cell r="G41">
            <v>0</v>
          </cell>
          <cell r="I41" t="str">
            <v>CRT Glass</v>
          </cell>
          <cell r="J41">
            <v>0</v>
          </cell>
          <cell r="K41">
            <v>0</v>
          </cell>
          <cell r="L41" t="str">
            <v>CRT Glass</v>
          </cell>
          <cell r="M41">
            <v>0</v>
          </cell>
          <cell r="N41">
            <v>0</v>
          </cell>
          <cell r="O41" t="str">
            <v>CRT Glass</v>
          </cell>
          <cell r="P41">
            <v>0</v>
          </cell>
          <cell r="Q41">
            <v>0</v>
          </cell>
        </row>
        <row r="42">
          <cell r="B42">
            <v>0</v>
          </cell>
          <cell r="C42">
            <v>0</v>
          </cell>
          <cell r="D42">
            <v>0</v>
          </cell>
          <cell r="E42">
            <v>0</v>
          </cell>
          <cell r="F42">
            <v>0</v>
          </cell>
          <cell r="G42">
            <v>0</v>
          </cell>
          <cell r="I42" t="str">
            <v>Copper Wire</v>
          </cell>
          <cell r="J42">
            <v>7.1999999999999998E-3</v>
          </cell>
          <cell r="K42">
            <v>3.2658650640000087E-6</v>
          </cell>
          <cell r="L42" t="str">
            <v>Copper Wire</v>
          </cell>
          <cell r="M42">
            <v>0</v>
          </cell>
          <cell r="N42">
            <v>0</v>
          </cell>
          <cell r="O42" t="str">
            <v>Copper Wire</v>
          </cell>
          <cell r="P42">
            <v>0</v>
          </cell>
          <cell r="Q42">
            <v>0</v>
          </cell>
        </row>
        <row r="43">
          <cell r="B43">
            <v>0</v>
          </cell>
          <cell r="C43">
            <v>0</v>
          </cell>
          <cell r="D43">
            <v>0</v>
          </cell>
          <cell r="E43">
            <v>0</v>
          </cell>
          <cell r="F43">
            <v>0</v>
          </cell>
          <cell r="G43">
            <v>0</v>
          </cell>
          <cell r="I43" t="str">
            <v>Aluminum Sheet</v>
          </cell>
          <cell r="J43">
            <v>0</v>
          </cell>
          <cell r="K43">
            <v>0</v>
          </cell>
          <cell r="L43" t="str">
            <v>Aluminum Sheet</v>
          </cell>
          <cell r="M43">
            <v>0</v>
          </cell>
          <cell r="N43">
            <v>0</v>
          </cell>
          <cell r="O43" t="str">
            <v>Aluminum Sheet</v>
          </cell>
          <cell r="P43">
            <v>0</v>
          </cell>
          <cell r="Q43">
            <v>0</v>
          </cell>
        </row>
        <row r="44">
          <cell r="B44">
            <v>0</v>
          </cell>
          <cell r="C44">
            <v>0</v>
          </cell>
          <cell r="D44">
            <v>0</v>
          </cell>
          <cell r="E44">
            <v>0</v>
          </cell>
          <cell r="F44">
            <v>0</v>
          </cell>
          <cell r="G44">
            <v>0</v>
          </cell>
        </row>
        <row r="45">
          <cell r="B45">
            <v>0</v>
          </cell>
          <cell r="C45">
            <v>0</v>
          </cell>
          <cell r="D45">
            <v>0</v>
          </cell>
          <cell r="E45">
            <v>0</v>
          </cell>
          <cell r="F45">
            <v>0</v>
          </cell>
          <cell r="G45">
            <v>0</v>
          </cell>
        </row>
        <row r="46">
          <cell r="B46">
            <v>0</v>
          </cell>
          <cell r="C46">
            <v>0</v>
          </cell>
          <cell r="D46">
            <v>0</v>
          </cell>
          <cell r="E46">
            <v>0</v>
          </cell>
          <cell r="F46">
            <v>0</v>
          </cell>
          <cell r="G46">
            <v>0</v>
          </cell>
        </row>
        <row r="47">
          <cell r="B47">
            <v>0</v>
          </cell>
          <cell r="C47">
            <v>0</v>
          </cell>
          <cell r="D47">
            <v>0</v>
          </cell>
          <cell r="E47">
            <v>0</v>
          </cell>
          <cell r="F47">
            <v>0</v>
          </cell>
          <cell r="G47">
            <v>0</v>
          </cell>
        </row>
        <row r="48">
          <cell r="B48">
            <v>0</v>
          </cell>
          <cell r="C48">
            <v>0</v>
          </cell>
          <cell r="D48">
            <v>0</v>
          </cell>
          <cell r="E48">
            <v>0</v>
          </cell>
          <cell r="F48">
            <v>0</v>
          </cell>
          <cell r="G48">
            <v>0</v>
          </cell>
        </row>
        <row r="49">
          <cell r="B49">
            <v>0.15340493953400042</v>
          </cell>
          <cell r="C49">
            <v>0</v>
          </cell>
          <cell r="D49">
            <v>0</v>
          </cell>
          <cell r="E49">
            <v>0</v>
          </cell>
          <cell r="F49">
            <v>0</v>
          </cell>
          <cell r="G49">
            <v>0.15340493953400042</v>
          </cell>
        </row>
        <row r="50">
          <cell r="B50">
            <v>0</v>
          </cell>
          <cell r="C50">
            <v>0</v>
          </cell>
          <cell r="D50">
            <v>0</v>
          </cell>
          <cell r="E50">
            <v>0</v>
          </cell>
          <cell r="F50">
            <v>0</v>
          </cell>
          <cell r="G50">
            <v>0</v>
          </cell>
        </row>
        <row r="51">
          <cell r="B51">
            <v>4.0280338693694119E-8</v>
          </cell>
          <cell r="C51">
            <v>2.8289327499550558E-4</v>
          </cell>
          <cell r="D51">
            <v>0</v>
          </cell>
          <cell r="E51">
            <v>0</v>
          </cell>
          <cell r="F51">
            <v>0</v>
          </cell>
          <cell r="G51">
            <v>7.072372155226333E-3</v>
          </cell>
        </row>
        <row r="52">
          <cell r="B52">
            <v>0</v>
          </cell>
          <cell r="C52">
            <v>0</v>
          </cell>
          <cell r="D52">
            <v>0</v>
          </cell>
          <cell r="E52">
            <v>0</v>
          </cell>
          <cell r="F52">
            <v>0</v>
          </cell>
          <cell r="G52">
            <v>0</v>
          </cell>
        </row>
        <row r="53">
          <cell r="A53" t="str">
            <v>Aluminum Ingot</v>
          </cell>
          <cell r="B53">
            <v>1.5968265793479999</v>
          </cell>
          <cell r="C53">
            <v>0</v>
          </cell>
          <cell r="D53">
            <v>1.8350225538784108E-4</v>
          </cell>
          <cell r="E53">
            <v>1.847175021122639E-5</v>
          </cell>
          <cell r="F53">
            <v>0</v>
          </cell>
          <cell r="G53">
            <v>3.1782635992411072</v>
          </cell>
        </row>
        <row r="54">
          <cell r="A54" t="str">
            <v>PLA</v>
          </cell>
          <cell r="B54">
            <v>0.11008067044976926</v>
          </cell>
          <cell r="C54">
            <v>0</v>
          </cell>
          <cell r="D54">
            <v>0</v>
          </cell>
          <cell r="E54">
            <v>0</v>
          </cell>
          <cell r="F54">
            <v>3.7070170061543202E-4</v>
          </cell>
          <cell r="G54">
            <v>0.22054977723316799</v>
          </cell>
        </row>
        <row r="55">
          <cell r="A55" t="str">
            <v>LLDPE</v>
          </cell>
          <cell r="B55">
            <v>0.10704779932</v>
          </cell>
          <cell r="C55">
            <v>5.6064016931999996E-3</v>
          </cell>
          <cell r="D55">
            <v>0</v>
          </cell>
          <cell r="E55">
            <v>0</v>
          </cell>
          <cell r="F55">
            <v>1.6329325319999999E-5</v>
          </cell>
          <cell r="G55">
            <v>0.25207398059535996</v>
          </cell>
        </row>
        <row r="56">
          <cell r="A56" t="str">
            <v>PP</v>
          </cell>
          <cell r="B56">
            <v>6.6224486020000001E-2</v>
          </cell>
          <cell r="C56">
            <v>5.8059823360000007E-3</v>
          </cell>
          <cell r="D56">
            <v>0</v>
          </cell>
          <cell r="E56">
            <v>0</v>
          </cell>
          <cell r="F56">
            <v>4.0823313299999998E-6</v>
          </cell>
          <cell r="G56">
            <v>0.21259057915634003</v>
          </cell>
        </row>
        <row r="57">
          <cell r="A57" t="str">
            <v>PS</v>
          </cell>
          <cell r="B57">
            <v>0.29937096420000003</v>
          </cell>
          <cell r="C57">
            <v>5.878557115200001E-3</v>
          </cell>
          <cell r="D57">
            <v>0</v>
          </cell>
          <cell r="E57">
            <v>0</v>
          </cell>
          <cell r="F57">
            <v>0</v>
          </cell>
          <cell r="G57">
            <v>0.44633489208000005</v>
          </cell>
        </row>
        <row r="58">
          <cell r="A58" t="str">
            <v>PVC</v>
          </cell>
          <cell r="B58">
            <v>7.8562198484000006E-2</v>
          </cell>
          <cell r="C58">
            <v>2.5764046616000001E-3</v>
          </cell>
          <cell r="D58">
            <v>0</v>
          </cell>
          <cell r="E58">
            <v>0</v>
          </cell>
          <cell r="F58">
            <v>0</v>
          </cell>
          <cell r="G58">
            <v>0.14297231502400001</v>
          </cell>
        </row>
        <row r="59">
          <cell r="A59" t="str">
            <v>Nylon 6</v>
          </cell>
          <cell r="B59">
            <v>1.0431717325260002</v>
          </cell>
          <cell r="C59">
            <v>2.2468244455579999E-3</v>
          </cell>
          <cell r="D59">
            <v>1.1152022008820002E-7</v>
          </cell>
          <cell r="E59">
            <v>0</v>
          </cell>
          <cell r="F59">
            <v>7.8097719897120008E-3</v>
          </cell>
          <cell r="G59">
            <v>3.427478531025578</v>
          </cell>
        </row>
        <row r="60">
          <cell r="A60" t="str">
            <v>Nylon 6-6</v>
          </cell>
          <cell r="B60">
            <v>0.83597073791000009</v>
          </cell>
          <cell r="C60">
            <v>2.0242920288360004E-3</v>
          </cell>
          <cell r="D60">
            <v>5.8898062059760006E-9</v>
          </cell>
          <cell r="E60">
            <v>0</v>
          </cell>
          <cell r="F60">
            <v>6.6207249509939994E-4</v>
          </cell>
          <cell r="G60">
            <v>1.0839191678383835</v>
          </cell>
        </row>
        <row r="61">
          <cell r="A61" t="str">
            <v>Dairy Products</v>
          </cell>
          <cell r="B61">
            <v>3.5711887947894656E-2</v>
          </cell>
          <cell r="C61">
            <v>2.678691809832482E-2</v>
          </cell>
          <cell r="D61">
            <v>0</v>
          </cell>
          <cell r="E61">
            <v>0</v>
          </cell>
          <cell r="F61">
            <v>5.8710116175788479E-4</v>
          </cell>
          <cell r="G61">
            <v>0.88034098660986493</v>
          </cell>
        </row>
        <row r="62">
          <cell r="A62" t="str">
            <v>Dairy Transport</v>
          </cell>
          <cell r="B62">
            <v>1.1141191849259503E-2</v>
          </cell>
          <cell r="C62">
            <v>0</v>
          </cell>
          <cell r="D62">
            <v>0</v>
          </cell>
          <cell r="E62">
            <v>0</v>
          </cell>
          <cell r="F62">
            <v>2.3178699228808832E-6</v>
          </cell>
          <cell r="G62">
            <v>1.1831917086278006E-2</v>
          </cell>
        </row>
        <row r="63">
          <cell r="A63" t="str">
            <v>Winter Wheat</v>
          </cell>
          <cell r="B63">
            <v>4.2832812149782483E-2</v>
          </cell>
          <cell r="C63">
            <v>4.103125702781007E-4</v>
          </cell>
          <cell r="D63">
            <v>0</v>
          </cell>
          <cell r="E63">
            <v>0</v>
          </cell>
          <cell r="F63">
            <v>8.4526387317279661E-4</v>
          </cell>
          <cell r="G63">
            <v>0.30497926061222841</v>
          </cell>
        </row>
        <row r="64">
          <cell r="A64" t="str">
            <v>Corn</v>
          </cell>
          <cell r="B64">
            <v>2.9370461047936922E-2</v>
          </cell>
          <cell r="C64">
            <v>2.3838541172019518E-4</v>
          </cell>
          <cell r="D64">
            <v>0</v>
          </cell>
          <cell r="E64">
            <v>0</v>
          </cell>
          <cell r="F64">
            <v>4.7868552539338116E-4</v>
          </cell>
          <cell r="G64">
            <v>0.17797838290816939</v>
          </cell>
        </row>
        <row r="65">
          <cell r="A65" t="str">
            <v>Rice</v>
          </cell>
          <cell r="B65">
            <v>4.2838310480911961E-2</v>
          </cell>
          <cell r="C65">
            <v>4.7603422082584076E-4</v>
          </cell>
          <cell r="D65">
            <v>0</v>
          </cell>
          <cell r="E65">
            <v>0</v>
          </cell>
          <cell r="F65">
            <v>8.6424912217874779E-4</v>
          </cell>
          <cell r="G65">
            <v>0.31228540441082481</v>
          </cell>
        </row>
        <row r="66">
          <cell r="A66" t="str">
            <v>Potatoes</v>
          </cell>
          <cell r="B66">
            <v>5.0453986499840002E-3</v>
          </cell>
          <cell r="C66">
            <v>0</v>
          </cell>
          <cell r="D66">
            <v>0</v>
          </cell>
          <cell r="E66">
            <v>0</v>
          </cell>
          <cell r="F66">
            <v>1.3084032098525388E-4</v>
          </cell>
          <cell r="G66">
            <v>4.403581430358966E-2</v>
          </cell>
        </row>
        <row r="67">
          <cell r="A67" t="str">
            <v>Tomatoes</v>
          </cell>
          <cell r="B67">
            <v>1.953894493012E-3</v>
          </cell>
          <cell r="C67">
            <v>1.1418464342705936E-4</v>
          </cell>
          <cell r="D67">
            <v>0</v>
          </cell>
          <cell r="E67">
            <v>0</v>
          </cell>
          <cell r="F67">
            <v>2.1461038743371752E-4</v>
          </cell>
          <cell r="G67">
            <v>6.876240603393631E-2</v>
          </cell>
        </row>
        <row r="68">
          <cell r="A68" t="str">
            <v>Citrus</v>
          </cell>
          <cell r="B68">
            <v>4.9260131382E-3</v>
          </cell>
          <cell r="C68">
            <v>7.3249403202307279E-5</v>
          </cell>
          <cell r="D68">
            <v>0</v>
          </cell>
          <cell r="E68">
            <v>0</v>
          </cell>
          <cell r="F68">
            <v>1.396831287188096E-4</v>
          </cell>
          <cell r="G68">
            <v>4.8382820576462947E-2</v>
          </cell>
        </row>
        <row r="69">
          <cell r="A69" t="str">
            <v>Melons</v>
          </cell>
          <cell r="B69">
            <v>4.0939432946720004E-3</v>
          </cell>
          <cell r="C69">
            <v>8.0501428666176212E-5</v>
          </cell>
          <cell r="D69">
            <v>0</v>
          </cell>
          <cell r="E69">
            <v>0</v>
          </cell>
          <cell r="F69">
            <v>1.1053741632490603E-4</v>
          </cell>
          <cell r="G69">
            <v>3.9046629076148399E-2</v>
          </cell>
        </row>
        <row r="70">
          <cell r="A70" t="str">
            <v>Apples</v>
          </cell>
          <cell r="B70">
            <v>0</v>
          </cell>
          <cell r="C70">
            <v>1.51459516340884E-4</v>
          </cell>
          <cell r="D70">
            <v>0</v>
          </cell>
          <cell r="E70">
            <v>0</v>
          </cell>
          <cell r="F70">
            <v>2.2958400586662368E-5</v>
          </cell>
          <cell r="G70">
            <v>1.0628091283347487E-2</v>
          </cell>
        </row>
        <row r="71">
          <cell r="A71" t="str">
            <v>Bananas</v>
          </cell>
          <cell r="B71">
            <v>2.414836240011696E-2</v>
          </cell>
          <cell r="C71">
            <v>1.3452319090922837E-6</v>
          </cell>
          <cell r="D71">
            <v>0</v>
          </cell>
          <cell r="E71">
            <v>0</v>
          </cell>
          <cell r="F71">
            <v>2.2918030483226942E-4</v>
          </cell>
          <cell r="G71">
            <v>9.2477724037860559E-2</v>
          </cell>
        </row>
        <row r="72">
          <cell r="A72" t="str">
            <v>Fruits and vegetables weighted average</v>
          </cell>
          <cell r="B72">
            <v>5.0084743984157689E-3</v>
          </cell>
          <cell r="C72">
            <v>6.6255296400975888E-5</v>
          </cell>
          <cell r="D72">
            <v>0</v>
          </cell>
          <cell r="E72">
            <v>0</v>
          </cell>
          <cell r="F72">
            <v>1.5137894794560748E-4</v>
          </cell>
          <cell r="G72">
            <v>5.1775783296231198E-2</v>
          </cell>
        </row>
        <row r="73">
          <cell r="A73" t="str">
            <v>Fruits and vegetables transport</v>
          </cell>
          <cell r="B73">
            <v>9.6002498523993611E-3</v>
          </cell>
          <cell r="C73">
            <v>0</v>
          </cell>
          <cell r="D73">
            <v>0</v>
          </cell>
          <cell r="E73">
            <v>0</v>
          </cell>
          <cell r="F73">
            <v>0</v>
          </cell>
          <cell r="G73">
            <v>9.6002498523993611E-3</v>
          </cell>
        </row>
        <row r="74">
          <cell r="A74" t="str">
            <v>Beef</v>
          </cell>
          <cell r="B74">
            <v>3.862E-7</v>
          </cell>
          <cell r="C74">
            <v>0.66200000000000003</v>
          </cell>
          <cell r="D74">
            <v>0</v>
          </cell>
          <cell r="E74">
            <v>0</v>
          </cell>
          <cell r="F74">
            <v>3.2000000000000001E-2</v>
          </cell>
          <cell r="G74">
            <v>26.086000386199999</v>
          </cell>
        </row>
        <row r="75">
          <cell r="A75" t="str">
            <v>Poultry</v>
          </cell>
          <cell r="B75">
            <v>5.4249589543682149E-2</v>
          </cell>
          <cell r="C75">
            <v>1.7002225703258154E-3</v>
          </cell>
          <cell r="D75">
            <v>0</v>
          </cell>
          <cell r="E75">
            <v>0</v>
          </cell>
          <cell r="F75">
            <v>2.5501085437131762E-3</v>
          </cell>
          <cell r="G75">
            <v>0.85668749982835402</v>
          </cell>
        </row>
        <row r="76">
          <cell r="A76" t="str">
            <v>Poultry Transport</v>
          </cell>
          <cell r="B76">
            <v>1.3743377373134412E-2</v>
          </cell>
          <cell r="C76">
            <v>0</v>
          </cell>
          <cell r="D76">
            <v>0</v>
          </cell>
          <cell r="E76">
            <v>0</v>
          </cell>
          <cell r="F76">
            <v>3.9847655607571712E-6</v>
          </cell>
          <cell r="G76">
            <v>1.4930837510240049E-2</v>
          </cell>
        </row>
        <row r="78">
          <cell r="A78" t="str">
            <v>Recycled Production</v>
          </cell>
          <cell r="K78" t="str">
            <v xml:space="preserve">Cement/Fly Ash </v>
          </cell>
        </row>
        <row r="79">
          <cell r="A79" t="str">
            <v>Type of Product</v>
          </cell>
          <cell r="B79" t="str">
            <v>CO2 Emissions (MT/Ton)</v>
          </cell>
          <cell r="C79" t="str">
            <v>CH4 Emissions (MT/Ton)</v>
          </cell>
          <cell r="D79" t="str">
            <v>CF4 Emissions (MT/Ton)</v>
          </cell>
          <cell r="E79" t="str">
            <v>C2F6 Emissions (MT/Ton)</v>
          </cell>
          <cell r="F79" t="str">
            <v>N2O Emissions (MT/Ton)</v>
          </cell>
          <cell r="G79" t="str">
            <v>Non-Energy Carbon Emissions (MTCO2E/ton)</v>
          </cell>
          <cell r="L79" t="str">
            <v>CaCO3 --&gt; CO2 + CaO</v>
          </cell>
        </row>
        <row r="80">
          <cell r="A80" t="str">
            <v>Aluminum Cans</v>
          </cell>
          <cell r="B80">
            <v>0</v>
          </cell>
          <cell r="C80">
            <v>0</v>
          </cell>
          <cell r="D80">
            <v>0</v>
          </cell>
          <cell r="E80">
            <v>0</v>
          </cell>
          <cell r="F80">
            <v>0</v>
          </cell>
          <cell r="G80">
            <v>0</v>
          </cell>
          <cell r="K80">
            <v>44.01</v>
          </cell>
          <cell r="L80" t="str">
            <v>Molecular Weight of CO2 (g/mole)</v>
          </cell>
        </row>
        <row r="81">
          <cell r="A81" t="str">
            <v>Steel Cans</v>
          </cell>
          <cell r="B81">
            <v>0.87090909090909085</v>
          </cell>
          <cell r="C81">
            <v>0</v>
          </cell>
          <cell r="D81">
            <v>0</v>
          </cell>
          <cell r="E81">
            <v>0</v>
          </cell>
          <cell r="F81">
            <v>0</v>
          </cell>
          <cell r="G81">
            <v>0.87090909090909085</v>
          </cell>
          <cell r="K81">
            <v>56.08</v>
          </cell>
          <cell r="L81" t="str">
            <v>Molecular Weight of CaO</v>
          </cell>
        </row>
        <row r="82">
          <cell r="B82">
            <v>0</v>
          </cell>
          <cell r="C82">
            <v>0</v>
          </cell>
          <cell r="D82">
            <v>0</v>
          </cell>
          <cell r="E82">
            <v>0</v>
          </cell>
          <cell r="F82">
            <v>0</v>
          </cell>
          <cell r="G82">
            <v>0</v>
          </cell>
          <cell r="K82">
            <v>0.78477175463623394</v>
          </cell>
          <cell r="L82" t="str">
            <v>Ratio of CO2 emitted to CaO in clinker</v>
          </cell>
        </row>
        <row r="83">
          <cell r="B83">
            <v>0</v>
          </cell>
          <cell r="C83">
            <v>0</v>
          </cell>
          <cell r="D83">
            <v>0</v>
          </cell>
          <cell r="E83">
            <v>0</v>
          </cell>
          <cell r="F83">
            <v>0</v>
          </cell>
          <cell r="G83">
            <v>0</v>
          </cell>
        </row>
        <row r="84">
          <cell r="B84">
            <v>0</v>
          </cell>
          <cell r="C84">
            <v>0</v>
          </cell>
          <cell r="D84">
            <v>0</v>
          </cell>
          <cell r="E84">
            <v>0</v>
          </cell>
          <cell r="F84">
            <v>0</v>
          </cell>
          <cell r="G84">
            <v>0</v>
          </cell>
          <cell r="K84">
            <v>0.65</v>
          </cell>
          <cell r="L84" t="str">
            <v>Average Lime Content of Clinker</v>
          </cell>
          <cell r="N84" t="str">
            <v>IPCC 2000</v>
          </cell>
        </row>
        <row r="85">
          <cell r="B85">
            <v>0</v>
          </cell>
          <cell r="C85">
            <v>0</v>
          </cell>
          <cell r="D85">
            <v>0</v>
          </cell>
          <cell r="E85">
            <v>0</v>
          </cell>
          <cell r="F85">
            <v>0</v>
          </cell>
          <cell r="G85">
            <v>0</v>
          </cell>
          <cell r="K85">
            <v>0.51010164051355211</v>
          </cell>
          <cell r="L85" t="str">
            <v>ton CO2 emitted/ton clinker</v>
          </cell>
        </row>
        <row r="86">
          <cell r="B86">
            <v>0</v>
          </cell>
          <cell r="C86">
            <v>0</v>
          </cell>
          <cell r="D86">
            <v>0</v>
          </cell>
          <cell r="E86">
            <v>0</v>
          </cell>
          <cell r="F86">
            <v>0</v>
          </cell>
          <cell r="G86">
            <v>0</v>
          </cell>
        </row>
        <row r="87">
          <cell r="B87">
            <v>0</v>
          </cell>
          <cell r="C87">
            <v>0</v>
          </cell>
          <cell r="D87">
            <v>0</v>
          </cell>
          <cell r="E87">
            <v>0</v>
          </cell>
          <cell r="F87">
            <v>0</v>
          </cell>
          <cell r="G87">
            <v>0</v>
          </cell>
          <cell r="K87">
            <v>0.95</v>
          </cell>
          <cell r="L87" t="str">
            <v>Clinker fraction in portland cement</v>
          </cell>
          <cell r="N87" t="str">
            <v>IPCC 2000</v>
          </cell>
        </row>
        <row r="88">
          <cell r="B88">
            <v>0</v>
          </cell>
          <cell r="C88">
            <v>0</v>
          </cell>
          <cell r="D88">
            <v>0</v>
          </cell>
          <cell r="E88">
            <v>0</v>
          </cell>
          <cell r="F88">
            <v>0</v>
          </cell>
          <cell r="G88">
            <v>0</v>
          </cell>
          <cell r="K88">
            <v>0.48459655848787447</v>
          </cell>
          <cell r="L88" t="str">
            <v>ton CO2 emitted/ton portland cement</v>
          </cell>
        </row>
        <row r="89">
          <cell r="B89">
            <v>0</v>
          </cell>
          <cell r="C89">
            <v>0</v>
          </cell>
          <cell r="D89">
            <v>0</v>
          </cell>
          <cell r="E89">
            <v>0</v>
          </cell>
          <cell r="F89">
            <v>0</v>
          </cell>
          <cell r="G89">
            <v>0</v>
          </cell>
        </row>
        <row r="90">
          <cell r="B90">
            <v>0</v>
          </cell>
          <cell r="C90">
            <v>0</v>
          </cell>
          <cell r="D90">
            <v>0</v>
          </cell>
          <cell r="E90">
            <v>0</v>
          </cell>
          <cell r="F90">
            <v>0</v>
          </cell>
          <cell r="G90">
            <v>0</v>
          </cell>
          <cell r="K90">
            <v>0.02</v>
          </cell>
          <cell r="L90" t="str">
            <v>CKD Correction Factor</v>
          </cell>
          <cell r="N90" t="str">
            <v>IPCC 2000</v>
          </cell>
        </row>
        <row r="91">
          <cell r="A91" t="str">
            <v>Textbooks</v>
          </cell>
          <cell r="B91">
            <v>0</v>
          </cell>
          <cell r="C91">
            <v>0</v>
          </cell>
          <cell r="D91">
            <v>0</v>
          </cell>
          <cell r="E91">
            <v>0</v>
          </cell>
          <cell r="F91">
            <v>0</v>
          </cell>
          <cell r="G91">
            <v>0</v>
          </cell>
          <cell r="K91">
            <v>0.49428848965763195</v>
          </cell>
          <cell r="L91" t="str">
            <v>ton CO2 emitted/ton portland cement</v>
          </cell>
        </row>
        <row r="92">
          <cell r="A92" t="str">
            <v>Dimensional Lumber</v>
          </cell>
          <cell r="B92">
            <v>0</v>
          </cell>
          <cell r="C92">
            <v>0</v>
          </cell>
          <cell r="D92">
            <v>0</v>
          </cell>
          <cell r="E92">
            <v>0</v>
          </cell>
          <cell r="F92">
            <v>0</v>
          </cell>
          <cell r="G92">
            <v>0</v>
          </cell>
          <cell r="K92">
            <v>0.44841357493250716</v>
          </cell>
          <cell r="L92" t="str">
            <v>metric ton CO2/short ton portland cement</v>
          </cell>
        </row>
        <row r="93">
          <cell r="A93" t="str">
            <v>Medium-density Fiberboard Made from Reused Dimensional Lumber</v>
          </cell>
          <cell r="B93">
            <v>5.7272727272727271E-4</v>
          </cell>
          <cell r="C93">
            <v>1.6363636363636363E-5</v>
          </cell>
          <cell r="D93">
            <v>0</v>
          </cell>
          <cell r="E93">
            <v>0</v>
          </cell>
          <cell r="F93">
            <v>0</v>
          </cell>
          <cell r="G93">
            <v>9.8181818181818179E-4</v>
          </cell>
          <cell r="K93">
            <v>0.44841357493250716</v>
          </cell>
          <cell r="L93" t="str">
            <v>metric ton CO2 saved/short ton of fly ash used</v>
          </cell>
        </row>
        <row r="94">
          <cell r="A94" t="str">
            <v>Miscellaneous Durables</v>
          </cell>
          <cell r="B94">
            <v>0.87090909090909085</v>
          </cell>
          <cell r="C94">
            <v>0</v>
          </cell>
          <cell r="D94">
            <v>0</v>
          </cell>
          <cell r="E94">
            <v>0</v>
          </cell>
          <cell r="F94">
            <v>0</v>
          </cell>
          <cell r="G94">
            <v>0.87090909090909085</v>
          </cell>
        </row>
        <row r="95">
          <cell r="A95" t="str">
            <v>Boxboard Made from Broad Definition of mixed paper</v>
          </cell>
          <cell r="B95">
            <v>0</v>
          </cell>
          <cell r="C95">
            <v>0</v>
          </cell>
          <cell r="D95">
            <v>0</v>
          </cell>
          <cell r="E95">
            <v>0</v>
          </cell>
          <cell r="F95">
            <v>0</v>
          </cell>
          <cell r="G95">
            <v>0</v>
          </cell>
        </row>
        <row r="96">
          <cell r="A96" t="str">
            <v>Boxboard Made from Residential Definition of mixed paper</v>
          </cell>
          <cell r="B96">
            <v>0</v>
          </cell>
          <cell r="C96">
            <v>0</v>
          </cell>
          <cell r="D96">
            <v>0</v>
          </cell>
          <cell r="E96">
            <v>0</v>
          </cell>
          <cell r="F96">
            <v>0</v>
          </cell>
          <cell r="G96">
            <v>0</v>
          </cell>
        </row>
        <row r="97">
          <cell r="A97" t="str">
            <v>Paper Towels Made from Recoverd File Stock</v>
          </cell>
          <cell r="B97">
            <v>5.531818181818182E-3</v>
          </cell>
          <cell r="C97">
            <v>7.2727272727272732E-6</v>
          </cell>
          <cell r="D97">
            <v>0</v>
          </cell>
          <cell r="E97">
            <v>0</v>
          </cell>
          <cell r="F97">
            <v>0</v>
          </cell>
          <cell r="G97">
            <v>5.7136363636363634E-3</v>
          </cell>
        </row>
        <row r="98">
          <cell r="A98" t="str">
            <v>PP</v>
          </cell>
          <cell r="B98">
            <v>0</v>
          </cell>
          <cell r="C98">
            <v>0</v>
          </cell>
          <cell r="D98">
            <v>0</v>
          </cell>
          <cell r="E98">
            <v>0</v>
          </cell>
          <cell r="F98">
            <v>0</v>
          </cell>
          <cell r="G98">
            <v>0</v>
          </cell>
        </row>
        <row r="99">
          <cell r="A99" t="str">
            <v>PS</v>
          </cell>
          <cell r="B99">
            <v>0</v>
          </cell>
          <cell r="C99">
            <v>0</v>
          </cell>
          <cell r="D99">
            <v>0</v>
          </cell>
          <cell r="E99">
            <v>0</v>
          </cell>
          <cell r="F99">
            <v>0</v>
          </cell>
          <cell r="G99">
            <v>0</v>
          </cell>
        </row>
        <row r="100">
          <cell r="A100" t="str">
            <v>Flat Steel Products Made from Misc. Durables</v>
          </cell>
          <cell r="B100">
            <v>0</v>
          </cell>
          <cell r="C100">
            <v>0</v>
          </cell>
          <cell r="D100">
            <v>0</v>
          </cell>
          <cell r="E100">
            <v>0</v>
          </cell>
          <cell r="F100">
            <v>0</v>
          </cell>
          <cell r="G100">
            <v>0</v>
          </cell>
        </row>
        <row r="101">
          <cell r="A101" t="str">
            <v>Injection Molded Plastic from Consumer Elect.</v>
          </cell>
          <cell r="B101">
            <v>0</v>
          </cell>
          <cell r="C101">
            <v>0</v>
          </cell>
          <cell r="D101">
            <v>0</v>
          </cell>
          <cell r="E101">
            <v>0</v>
          </cell>
          <cell r="F101">
            <v>0</v>
          </cell>
          <cell r="G101">
            <v>0</v>
          </cell>
        </row>
        <row r="102">
          <cell r="A102" t="str">
            <v>Inject. Mld and Extru. Plast. from Housewares</v>
          </cell>
          <cell r="B102">
            <v>0</v>
          </cell>
          <cell r="C102">
            <v>0</v>
          </cell>
          <cell r="D102">
            <v>0</v>
          </cell>
          <cell r="E102">
            <v>0</v>
          </cell>
          <cell r="F102">
            <v>0</v>
          </cell>
          <cell r="G102">
            <v>0</v>
          </cell>
        </row>
        <row r="103">
          <cell r="A103" t="str">
            <v>Tissue Paper Made from Office Paper</v>
          </cell>
          <cell r="B103">
            <v>0</v>
          </cell>
          <cell r="C103">
            <v>0</v>
          </cell>
          <cell r="D103">
            <v>0</v>
          </cell>
          <cell r="E103">
            <v>0</v>
          </cell>
          <cell r="F103">
            <v>0</v>
          </cell>
          <cell r="G103">
            <v>0</v>
          </cell>
        </row>
        <row r="104">
          <cell r="A104" t="str">
            <v>Folding Boxes</v>
          </cell>
          <cell r="B104">
            <v>0</v>
          </cell>
          <cell r="C104">
            <v>0</v>
          </cell>
          <cell r="D104">
            <v>0</v>
          </cell>
          <cell r="E104">
            <v>0</v>
          </cell>
          <cell r="F104">
            <v>0</v>
          </cell>
          <cell r="G104">
            <v>0</v>
          </cell>
        </row>
        <row r="105">
          <cell r="A105" t="str">
            <v>Carpet Padding</v>
          </cell>
          <cell r="B105">
            <v>0</v>
          </cell>
          <cell r="C105">
            <v>0</v>
          </cell>
          <cell r="D105">
            <v>0</v>
          </cell>
          <cell r="E105">
            <v>0</v>
          </cell>
          <cell r="F105">
            <v>0</v>
          </cell>
          <cell r="G105">
            <v>0</v>
          </cell>
        </row>
        <row r="106">
          <cell r="A106" t="str">
            <v>Injection Molded Auto Parts</v>
          </cell>
          <cell r="B106">
            <v>0</v>
          </cell>
          <cell r="C106">
            <v>0</v>
          </cell>
          <cell r="D106">
            <v>0</v>
          </cell>
          <cell r="E106">
            <v>0</v>
          </cell>
          <cell r="F106">
            <v>0</v>
          </cell>
          <cell r="G106">
            <v>0</v>
          </cell>
        </row>
        <row r="107">
          <cell r="A107" t="str">
            <v>Carpet Backing</v>
          </cell>
          <cell r="B107">
            <v>0</v>
          </cell>
          <cell r="C107">
            <v>0</v>
          </cell>
          <cell r="D107">
            <v>0</v>
          </cell>
          <cell r="E107">
            <v>0</v>
          </cell>
          <cell r="F107">
            <v>0</v>
          </cell>
          <cell r="G107">
            <v>0</v>
          </cell>
        </row>
        <row r="108">
          <cell r="A108" t="str">
            <v>Asphalt (Cold Patch)</v>
          </cell>
          <cell r="B108">
            <v>2.1953870708000056E-3</v>
          </cell>
          <cell r="C108">
            <v>0</v>
          </cell>
          <cell r="D108">
            <v>0</v>
          </cell>
          <cell r="E108">
            <v>0</v>
          </cell>
          <cell r="F108">
            <v>0</v>
          </cell>
          <cell r="G108">
            <v>2.1953870708000056E-3</v>
          </cell>
        </row>
        <row r="109">
          <cell r="A109" t="str">
            <v>Steel Sheet</v>
          </cell>
          <cell r="B109">
            <v>2.3768240188000063E-2</v>
          </cell>
          <cell r="C109">
            <v>0</v>
          </cell>
          <cell r="D109">
            <v>0</v>
          </cell>
          <cell r="E109">
            <v>0</v>
          </cell>
          <cell r="F109">
            <v>0</v>
          </cell>
          <cell r="G109">
            <v>2.3768240188000063E-2</v>
          </cell>
        </row>
        <row r="110">
          <cell r="A110" t="str">
            <v>Lead Bullion</v>
          </cell>
          <cell r="B110">
            <v>1.542214058000004E-2</v>
          </cell>
          <cell r="C110">
            <v>0</v>
          </cell>
          <cell r="D110">
            <v>0</v>
          </cell>
          <cell r="E110">
            <v>0</v>
          </cell>
          <cell r="F110">
            <v>0</v>
          </cell>
          <cell r="G110">
            <v>1.542214058000004E-2</v>
          </cell>
        </row>
        <row r="111">
          <cell r="A111" t="str">
            <v>CRT Glass</v>
          </cell>
          <cell r="B111">
            <v>0</v>
          </cell>
          <cell r="C111">
            <v>0</v>
          </cell>
          <cell r="D111">
            <v>0</v>
          </cell>
          <cell r="E111">
            <v>0</v>
          </cell>
          <cell r="F111">
            <v>0</v>
          </cell>
          <cell r="G111">
            <v>0</v>
          </cell>
        </row>
        <row r="112">
          <cell r="A112" t="str">
            <v>Copper Wire</v>
          </cell>
          <cell r="B112">
            <v>3.2658650640000087E-6</v>
          </cell>
          <cell r="C112">
            <v>0</v>
          </cell>
          <cell r="D112">
            <v>0</v>
          </cell>
          <cell r="E112">
            <v>0</v>
          </cell>
          <cell r="F112">
            <v>0</v>
          </cell>
          <cell r="G112">
            <v>3.2658650640000087E-6</v>
          </cell>
        </row>
        <row r="113">
          <cell r="A113" t="str">
            <v>Aluminum Sheet</v>
          </cell>
          <cell r="B113">
            <v>0</v>
          </cell>
          <cell r="C113">
            <v>0</v>
          </cell>
          <cell r="D113">
            <v>0</v>
          </cell>
          <cell r="E113">
            <v>0</v>
          </cell>
          <cell r="F113">
            <v>0</v>
          </cell>
          <cell r="G113">
            <v>0</v>
          </cell>
        </row>
        <row r="114">
          <cell r="A114" t="str">
            <v>Clay Bricks</v>
          </cell>
          <cell r="B114">
            <v>0</v>
          </cell>
          <cell r="C114">
            <v>0</v>
          </cell>
          <cell r="D114">
            <v>0</v>
          </cell>
          <cell r="E114">
            <v>0</v>
          </cell>
          <cell r="F114">
            <v>0</v>
          </cell>
          <cell r="G114">
            <v>0</v>
          </cell>
        </row>
        <row r="115">
          <cell r="A115" t="str">
            <v>Aggregate</v>
          </cell>
          <cell r="B115">
            <v>0</v>
          </cell>
          <cell r="C115">
            <v>0</v>
          </cell>
          <cell r="D115">
            <v>0</v>
          </cell>
          <cell r="E115">
            <v>0</v>
          </cell>
          <cell r="F115">
            <v>0</v>
          </cell>
          <cell r="G115">
            <v>0</v>
          </cell>
        </row>
        <row r="116">
          <cell r="A116" t="str">
            <v>Fly ash</v>
          </cell>
          <cell r="B116">
            <v>0</v>
          </cell>
          <cell r="C116">
            <v>0</v>
          </cell>
          <cell r="D116">
            <v>0</v>
          </cell>
          <cell r="E116">
            <v>0</v>
          </cell>
          <cell r="F116">
            <v>0</v>
          </cell>
          <cell r="G116">
            <v>0</v>
          </cell>
        </row>
        <row r="117">
          <cell r="A117" t="str">
            <v>Asphalt Concrete</v>
          </cell>
          <cell r="B117">
            <v>0</v>
          </cell>
          <cell r="C117">
            <v>0</v>
          </cell>
          <cell r="D117">
            <v>0</v>
          </cell>
          <cell r="E117">
            <v>0</v>
          </cell>
          <cell r="F117">
            <v>0</v>
          </cell>
          <cell r="G117">
            <v>0</v>
          </cell>
        </row>
        <row r="118">
          <cell r="A118" t="str">
            <v>Paper Felt Shingle</v>
          </cell>
          <cell r="B118">
            <v>0</v>
          </cell>
          <cell r="C118">
            <v>0</v>
          </cell>
          <cell r="D118">
            <v>0</v>
          </cell>
          <cell r="E118">
            <v>0</v>
          </cell>
          <cell r="F118">
            <v>0</v>
          </cell>
          <cell r="G118">
            <v>0</v>
          </cell>
        </row>
        <row r="119">
          <cell r="A119" t="str">
            <v>Glass shingle</v>
          </cell>
          <cell r="B119">
            <v>0</v>
          </cell>
          <cell r="C119">
            <v>0</v>
          </cell>
          <cell r="D119">
            <v>0</v>
          </cell>
          <cell r="E119">
            <v>0</v>
          </cell>
          <cell r="F119">
            <v>0</v>
          </cell>
          <cell r="G119">
            <v>0</v>
          </cell>
        </row>
        <row r="129">
          <cell r="A129" t="str">
            <v>Aluminum Ingot</v>
          </cell>
          <cell r="B129">
            <v>0</v>
          </cell>
          <cell r="C129">
            <v>0</v>
          </cell>
          <cell r="D129">
            <v>0</v>
          </cell>
          <cell r="E129">
            <v>0</v>
          </cell>
          <cell r="F129">
            <v>0</v>
          </cell>
          <cell r="G129">
            <v>0</v>
          </cell>
        </row>
        <row r="130">
          <cell r="A130" t="str">
            <v>PLA</v>
          </cell>
          <cell r="B130">
            <v>0</v>
          </cell>
          <cell r="C130">
            <v>0</v>
          </cell>
          <cell r="D130">
            <v>0</v>
          </cell>
          <cell r="E130">
            <v>0</v>
          </cell>
          <cell r="F130">
            <v>0</v>
          </cell>
          <cell r="G130">
            <v>0</v>
          </cell>
        </row>
        <row r="131">
          <cell r="A131" t="str">
            <v>LLDPE</v>
          </cell>
          <cell r="B131">
            <v>0</v>
          </cell>
          <cell r="C131">
            <v>0</v>
          </cell>
          <cell r="D131">
            <v>0</v>
          </cell>
          <cell r="E131">
            <v>0</v>
          </cell>
          <cell r="F131">
            <v>0</v>
          </cell>
          <cell r="G131">
            <v>0</v>
          </cell>
        </row>
        <row r="132">
          <cell r="A132" t="str">
            <v>PP</v>
          </cell>
          <cell r="B132">
            <v>0</v>
          </cell>
          <cell r="C132">
            <v>0</v>
          </cell>
          <cell r="D132">
            <v>0</v>
          </cell>
          <cell r="E132">
            <v>0</v>
          </cell>
          <cell r="F132">
            <v>0</v>
          </cell>
          <cell r="G132">
            <v>0</v>
          </cell>
        </row>
        <row r="133">
          <cell r="A133" t="str">
            <v>PS</v>
          </cell>
          <cell r="B133">
            <v>0</v>
          </cell>
          <cell r="C133">
            <v>0</v>
          </cell>
          <cell r="D133">
            <v>0</v>
          </cell>
          <cell r="E133">
            <v>0</v>
          </cell>
          <cell r="F133">
            <v>0</v>
          </cell>
          <cell r="G133">
            <v>0</v>
          </cell>
        </row>
        <row r="134">
          <cell r="A134" t="str">
            <v>PVC</v>
          </cell>
          <cell r="B134">
            <v>0</v>
          </cell>
          <cell r="C134">
            <v>0</v>
          </cell>
          <cell r="D134">
            <v>0</v>
          </cell>
          <cell r="E134">
            <v>0</v>
          </cell>
          <cell r="F134">
            <v>0</v>
          </cell>
          <cell r="G134">
            <v>0</v>
          </cell>
        </row>
      </sheetData>
      <sheetData sheetId="18" refreshError="1">
        <row r="5">
          <cell r="F5">
            <v>71.353333333333339</v>
          </cell>
        </row>
        <row r="6">
          <cell r="B6">
            <v>6.1282068024066889E-2</v>
          </cell>
          <cell r="C6">
            <v>61.282068024066888</v>
          </cell>
          <cell r="D6">
            <v>1.7117279037324228E-5</v>
          </cell>
          <cell r="E6">
            <v>0.42793197593310572</v>
          </cell>
          <cell r="F6">
            <v>61.709999999999994</v>
          </cell>
          <cell r="J6" t="str">
            <v>LPG</v>
          </cell>
          <cell r="K6">
            <v>16.829999999999998</v>
          </cell>
          <cell r="L6">
            <v>1</v>
          </cell>
        </row>
        <row r="7">
          <cell r="B7">
            <v>7.3528734690733552E-2</v>
          </cell>
          <cell r="C7">
            <v>73.528734690733557</v>
          </cell>
          <cell r="D7">
            <v>1.7117279037324228E-5</v>
          </cell>
          <cell r="E7">
            <v>0.42793197593310572</v>
          </cell>
          <cell r="F7">
            <v>73.956666666666663</v>
          </cell>
          <cell r="J7" t="str">
            <v>Distillate Fuel</v>
          </cell>
          <cell r="K7">
            <v>20.170000000000002</v>
          </cell>
          <cell r="L7">
            <v>1</v>
          </cell>
        </row>
        <row r="8">
          <cell r="B8">
            <v>7.4665401357400227E-2</v>
          </cell>
          <cell r="C8">
            <v>74.665401357400228</v>
          </cell>
          <cell r="D8">
            <v>1.7117279037324228E-5</v>
          </cell>
          <cell r="E8">
            <v>0.42793197593310572</v>
          </cell>
          <cell r="F8">
            <v>75.093333333333334</v>
          </cell>
          <cell r="J8" t="str">
            <v>Residual Fuel</v>
          </cell>
          <cell r="K8">
            <v>20.48</v>
          </cell>
          <cell r="L8">
            <v>1</v>
          </cell>
        </row>
        <row r="9">
          <cell r="B9">
            <v>7.3528734690733552E-2</v>
          </cell>
          <cell r="C9">
            <v>73.528734690733557</v>
          </cell>
          <cell r="D9">
            <v>1.7117279037324228E-5</v>
          </cell>
          <cell r="E9">
            <v>0.42793197593310572</v>
          </cell>
          <cell r="F9">
            <v>73.956666666666663</v>
          </cell>
          <cell r="J9" t="str">
            <v>Diesel</v>
          </cell>
          <cell r="K9">
            <v>20.170000000000002</v>
          </cell>
          <cell r="L9">
            <v>1</v>
          </cell>
        </row>
        <row r="10">
          <cell r="B10">
            <v>7.3638734690733551E-2</v>
          </cell>
          <cell r="C10">
            <v>73.638734690733557</v>
          </cell>
          <cell r="D10">
            <v>1.7117279037324228E-5</v>
          </cell>
          <cell r="E10">
            <v>0.42793197593310572</v>
          </cell>
          <cell r="F10">
            <v>74.066666666666663</v>
          </cell>
          <cell r="J10" t="str">
            <v>Oil/Lubricants</v>
          </cell>
          <cell r="K10">
            <v>20.2</v>
          </cell>
          <cell r="L10">
            <v>1</v>
          </cell>
        </row>
        <row r="11">
          <cell r="B11">
            <v>6.62387604059861E-2</v>
          </cell>
          <cell r="C11">
            <v>66.238760405986099</v>
          </cell>
          <cell r="D11">
            <v>1.0569652509388932E-4</v>
          </cell>
          <cell r="E11">
            <v>2.6424131273472331</v>
          </cell>
          <cell r="F11">
            <v>68.976224085999988</v>
          </cell>
          <cell r="J11" t="str">
            <v>Steam (non-paper products)</v>
          </cell>
        </row>
        <row r="12">
          <cell r="B12">
            <v>4.7088425772689756E-2</v>
          </cell>
          <cell r="C12">
            <v>47.088425772689753</v>
          </cell>
          <cell r="D12">
            <v>4.3737745625743173E-5</v>
          </cell>
          <cell r="E12">
            <v>1.0934436406435792</v>
          </cell>
          <cell r="F12">
            <v>48.281154905720001</v>
          </cell>
          <cell r="J12" t="str">
            <v>Steam (paper products)</v>
          </cell>
        </row>
        <row r="13">
          <cell r="B13">
            <v>4.995042321090086E-2</v>
          </cell>
          <cell r="C13">
            <v>49.950423210900858</v>
          </cell>
          <cell r="D13">
            <v>9.450734472150451E-5</v>
          </cell>
          <cell r="E13">
            <v>2.3626836180376127</v>
          </cell>
          <cell r="F13">
            <v>52.313106828938473</v>
          </cell>
          <cell r="J13" t="str">
            <v>National Average Fuel Mix for Electricity</v>
          </cell>
        </row>
        <row r="14">
          <cell r="B14">
            <v>7.7075300916976897E-2</v>
          </cell>
          <cell r="C14">
            <v>77.0753009169769</v>
          </cell>
          <cell r="D14">
            <v>1.4582823457809615E-4</v>
          </cell>
          <cell r="E14">
            <v>3.6457058644524039</v>
          </cell>
          <cell r="F14">
            <v>80.72100678142931</v>
          </cell>
          <cell r="J14" t="str">
            <v>National Average Fossil Fuel Mix for Electricity</v>
          </cell>
        </row>
        <row r="15">
          <cell r="B15">
            <v>9.1501693004893886E-2</v>
          </cell>
          <cell r="C15">
            <v>91.50169300489388</v>
          </cell>
          <cell r="D15">
            <v>1.6059894647091114E-4</v>
          </cell>
          <cell r="E15">
            <v>4.0149736617727791</v>
          </cell>
          <cell r="F15">
            <v>95.516666666666666</v>
          </cell>
          <cell r="J15" t="str">
            <v>Coal Used for Electricity</v>
          </cell>
          <cell r="K15">
            <v>26.05</v>
          </cell>
          <cell r="L15">
            <v>1</v>
          </cell>
        </row>
        <row r="16">
          <cell r="B16">
            <v>9.1403053804893872E-2</v>
          </cell>
          <cell r="C16">
            <v>91.403053804893872</v>
          </cell>
          <cell r="D16">
            <v>1.6059894647091114E-4</v>
          </cell>
          <cell r="E16">
            <v>4.0149736617727791</v>
          </cell>
          <cell r="F16">
            <v>95.418027466666658</v>
          </cell>
          <cell r="J16" t="str">
            <v>Coal Used by Industry (Non-Coking Coal)</v>
          </cell>
          <cell r="K16">
            <v>25.82</v>
          </cell>
        </row>
        <row r="17">
          <cell r="B17">
            <v>0.10211666666666668</v>
          </cell>
          <cell r="C17">
            <v>102.11666666666667</v>
          </cell>
          <cell r="D17">
            <v>0</v>
          </cell>
          <cell r="E17">
            <v>0</v>
          </cell>
          <cell r="F17">
            <v>102.11666666666667</v>
          </cell>
          <cell r="J17" t="str">
            <v>Petroleum Coke</v>
          </cell>
          <cell r="K17">
            <v>27.85</v>
          </cell>
          <cell r="L17">
            <v>1</v>
          </cell>
        </row>
        <row r="18">
          <cell r="B18">
            <v>0.11366666666666665</v>
          </cell>
          <cell r="C18">
            <v>113.66666666666666</v>
          </cell>
          <cell r="D18">
            <v>0</v>
          </cell>
          <cell r="E18">
            <v>0</v>
          </cell>
          <cell r="F18">
            <v>113.66666666666666</v>
          </cell>
          <cell r="J18" t="str">
            <v>Metallurgical Coke</v>
          </cell>
          <cell r="K18">
            <v>31</v>
          </cell>
          <cell r="L18">
            <v>1</v>
          </cell>
        </row>
        <row r="19">
          <cell r="B19">
            <v>4.9956626564158474E-2</v>
          </cell>
          <cell r="C19">
            <v>49.956626564158476</v>
          </cell>
          <cell r="D19">
            <v>1.2253493743366096E-4</v>
          </cell>
          <cell r="E19">
            <v>3.0633734358415237</v>
          </cell>
          <cell r="F19">
            <v>53.02</v>
          </cell>
          <cell r="J19" t="str">
            <v>Natural Gas</v>
          </cell>
          <cell r="K19">
            <v>14.46</v>
          </cell>
          <cell r="L19">
            <v>1</v>
          </cell>
        </row>
        <row r="20">
          <cell r="B20">
            <v>3.0909999999999996E-3</v>
          </cell>
          <cell r="C20">
            <v>3.0909999999999997</v>
          </cell>
          <cell r="F20">
            <v>3.0909999999999997</v>
          </cell>
          <cell r="J20" t="str">
            <v>Nuclear</v>
          </cell>
          <cell r="K20">
            <v>0.84</v>
          </cell>
          <cell r="L20">
            <v>1</v>
          </cell>
        </row>
        <row r="21">
          <cell r="B21">
            <v>0.10211666666666668</v>
          </cell>
          <cell r="C21">
            <v>102.11666666666667</v>
          </cell>
          <cell r="D21">
            <v>0</v>
          </cell>
          <cell r="E21">
            <v>0</v>
          </cell>
          <cell r="F21">
            <v>102.11666666666667</v>
          </cell>
          <cell r="G21" t="str">
            <v>this row is superfluous</v>
          </cell>
          <cell r="J21" t="str">
            <v>Other (Petroleum Coke)</v>
          </cell>
          <cell r="K21">
            <v>27.85</v>
          </cell>
          <cell r="L21">
            <v>1</v>
          </cell>
        </row>
        <row r="22">
          <cell r="B22">
            <v>7.1217556446507721E-2</v>
          </cell>
          <cell r="C22">
            <v>71.21755644650753</v>
          </cell>
          <cell r="D22">
            <v>1.160582401350496E-6</v>
          </cell>
          <cell r="E22">
            <v>2.9014560033762401E-2</v>
          </cell>
          <cell r="F22">
            <v>72.636666666666656</v>
          </cell>
          <cell r="J22" t="str">
            <v>Wastes</v>
          </cell>
          <cell r="K22">
            <v>19.809999999999999</v>
          </cell>
          <cell r="L22">
            <v>1</v>
          </cell>
        </row>
        <row r="23">
          <cell r="B23">
            <v>7.9113924050632903E-2</v>
          </cell>
          <cell r="C23">
            <v>79.113924050632903</v>
          </cell>
          <cell r="J23" t="str">
            <v>Source: EPA. 2014. US Inventory of Greenhouse Gas Emissions and Sinks for 2012: Annex 2.
 Available at: http://www.epa.gov/climatechange/Downloads/ghgemissions/US-GHG-Inventory-2014-Annex-2-Emissions-Fossil-Fuel-Combustion.pdf</v>
          </cell>
        </row>
        <row r="24">
          <cell r="B24">
            <v>0.11934053714021617</v>
          </cell>
          <cell r="C24">
            <v>32.547419220058956</v>
          </cell>
          <cell r="D24">
            <v>1.7117279037324228E-5</v>
          </cell>
          <cell r="E24">
            <v>9.8035325395584225E-2</v>
          </cell>
          <cell r="F24">
            <v>32.645454545454541</v>
          </cell>
        </row>
        <row r="25">
          <cell r="B25">
            <v>7.6501097033411736E-2</v>
          </cell>
          <cell r="C25">
            <v>20.863935554566837</v>
          </cell>
          <cell r="D25">
            <v>1.3128840717411479E-4</v>
          </cell>
          <cell r="E25">
            <v>0</v>
          </cell>
          <cell r="F25">
            <v>20.863935554566837</v>
          </cell>
          <cell r="V25">
            <v>20.170000000000002</v>
          </cell>
        </row>
        <row r="26">
          <cell r="B26">
            <v>0</v>
          </cell>
          <cell r="C26">
            <v>0</v>
          </cell>
          <cell r="D26">
            <v>0</v>
          </cell>
          <cell r="E26">
            <v>0</v>
          </cell>
          <cell r="F26">
            <v>0</v>
          </cell>
        </row>
        <row r="27">
          <cell r="B27">
            <v>7.2758734690733559E-2</v>
          </cell>
          <cell r="C27">
            <v>72.758734690733561</v>
          </cell>
          <cell r="D27">
            <v>1.7117279037324228E-5</v>
          </cell>
          <cell r="E27">
            <v>0.42793197593310572</v>
          </cell>
          <cell r="F27">
            <v>73.186666666666667</v>
          </cell>
          <cell r="J27" t="str">
            <v>Kerosene</v>
          </cell>
          <cell r="K27">
            <v>19.96</v>
          </cell>
          <cell r="L27">
            <v>1</v>
          </cell>
        </row>
        <row r="28">
          <cell r="C28" t="str">
            <v>/1000</v>
          </cell>
          <cell r="E28" t="str">
            <v>/1000</v>
          </cell>
          <cell r="J28" t="str">
            <v>Refinery Fuel Gas</v>
          </cell>
          <cell r="K28">
            <v>32.645454545454541</v>
          </cell>
          <cell r="L28">
            <v>1</v>
          </cell>
        </row>
        <row r="29">
          <cell r="J29" t="str">
            <v>Industry Average for Electricity Cogeneration</v>
          </cell>
          <cell r="K29">
            <v>20.863935554566837</v>
          </cell>
          <cell r="L29">
            <v>1</v>
          </cell>
        </row>
        <row r="30">
          <cell r="J30" t="str">
            <v>Source: EPA. 2008. US Inventory of Greenhouse Gas Emissions and Sinks for 2006.
 Available at: http://www.epa.gov/climatechange/emissions/downloads/2008_GHG_Fast_Facts.pdf.</v>
          </cell>
        </row>
        <row r="33">
          <cell r="B33" t="str">
            <v>Coal Weighting for Electricity Generation</v>
          </cell>
        </row>
        <row r="34">
          <cell r="D34" t="str">
            <v>weighting</v>
          </cell>
          <cell r="E34" t="str">
            <v>Carbon Coef (kgCE/MMBtu)</v>
          </cell>
        </row>
        <row r="35">
          <cell r="B35" t="str">
            <v>Bituminous</v>
          </cell>
          <cell r="C35">
            <v>466.2</v>
          </cell>
          <cell r="D35">
            <v>0.46774355372730003</v>
          </cell>
          <cell r="E35">
            <v>25.44</v>
          </cell>
          <cell r="F35">
            <v>11.899396006822514</v>
          </cell>
        </row>
        <row r="36">
          <cell r="B36" t="str">
            <v>Subbituminous</v>
          </cell>
          <cell r="C36">
            <v>449</v>
          </cell>
          <cell r="D36">
            <v>0.45048660579913713</v>
          </cell>
          <cell r="E36">
            <v>26.5</v>
          </cell>
          <cell r="F36">
            <v>11.937895053677133</v>
          </cell>
        </row>
        <row r="37">
          <cell r="B37" t="str">
            <v>Lignite</v>
          </cell>
          <cell r="C37">
            <v>79.5</v>
          </cell>
          <cell r="D37">
            <v>7.976321862145079E-2</v>
          </cell>
          <cell r="E37">
            <v>26.65</v>
          </cell>
          <cell r="F37">
            <v>2.1256897762616633</v>
          </cell>
        </row>
        <row r="38">
          <cell r="B38" t="str">
            <v>Anthracite</v>
          </cell>
          <cell r="C38">
            <v>2</v>
          </cell>
          <cell r="D38">
            <v>2.0066218521119692E-3</v>
          </cell>
          <cell r="E38">
            <v>28.28</v>
          </cell>
          <cell r="F38">
            <v>5.6747265977726488E-2</v>
          </cell>
        </row>
        <row r="39">
          <cell r="C39">
            <v>996.7</v>
          </cell>
          <cell r="F39">
            <v>26.019728102739034</v>
          </cell>
        </row>
        <row r="40">
          <cell r="B40" t="str">
            <v>Sources: 
EPA. 2015. INVENTORY OF U.S. GREENHOUSE GAS EMISSIONS AND SINKS: 1990-2013
Available at: http://www.epa.gov/climatechange/Downloads/ghgemissions/US-GHG-Inventory-2015-Annex-2-Emissions-Fossil-Fuel-Combustion.pdf
EIA. 2014. EIA's Annual Energy R</v>
          </cell>
        </row>
        <row r="47">
          <cell r="C47" t="str">
            <v>North America</v>
          </cell>
          <cell r="D47" t="str">
            <v>kg CO2e Emitted Per Million Btu Consumed</v>
          </cell>
          <cell r="E47" t="str">
            <v>World</v>
          </cell>
          <cell r="F47" t="str">
            <v>kg CO2E Emitted Per Million Btu Consumed</v>
          </cell>
        </row>
        <row r="48">
          <cell r="B48" t="str">
            <v>Hydro</v>
          </cell>
          <cell r="C48">
            <v>0.69424230658433639</v>
          </cell>
          <cell r="D48">
            <v>0</v>
          </cell>
          <cell r="E48">
            <v>0.57288046588743413</v>
          </cell>
          <cell r="F48">
            <v>0</v>
          </cell>
        </row>
        <row r="49">
          <cell r="B49" t="str">
            <v>Nuclear</v>
          </cell>
          <cell r="C49">
            <v>5.9242744955599301E-3</v>
          </cell>
          <cell r="D49">
            <v>3.0909999999999997</v>
          </cell>
          <cell r="E49">
            <v>5.0509490627378556E-2</v>
          </cell>
          <cell r="F49">
            <v>3.0909999999999997</v>
          </cell>
        </row>
        <row r="50">
          <cell r="B50" t="str">
            <v>Coal</v>
          </cell>
          <cell r="C50">
            <v>0.29686501922571112</v>
          </cell>
          <cell r="D50">
            <v>95.516666666666666</v>
          </cell>
          <cell r="E50">
            <v>0.2812494468471764</v>
          </cell>
          <cell r="F50">
            <v>95.516666666666666</v>
          </cell>
        </row>
        <row r="51">
          <cell r="B51" t="str">
            <v>Natural Gas</v>
          </cell>
          <cell r="C51">
            <v>2.9183001214914644E-3</v>
          </cell>
          <cell r="D51">
            <v>53.02</v>
          </cell>
          <cell r="E51">
            <v>8.8495601328746842E-2</v>
          </cell>
          <cell r="F51">
            <v>53.02</v>
          </cell>
        </row>
        <row r="52">
          <cell r="B52" t="str">
            <v>Oil</v>
          </cell>
          <cell r="C52">
            <v>5.009957290114102E-5</v>
          </cell>
          <cell r="D52">
            <v>74.066666666666663</v>
          </cell>
          <cell r="E52">
            <v>6.8649953092640558E-3</v>
          </cell>
          <cell r="F52">
            <v>74.066666666666663</v>
          </cell>
        </row>
        <row r="53">
          <cell r="B53" t="str">
            <v>Weighted average</v>
          </cell>
          <cell r="D53">
            <v>28.532307999649301</v>
          </cell>
          <cell r="F53">
            <v>32.220638601905009</v>
          </cell>
        </row>
        <row r="55">
          <cell r="B55" t="str">
            <v>Percent from each region</v>
          </cell>
          <cell r="D55">
            <v>0.75712000000000002</v>
          </cell>
          <cell r="F55">
            <v>0.26129999999999998</v>
          </cell>
        </row>
        <row r="57">
          <cell r="B57" t="str">
            <v>Metric Tons of CO2 from Combustion Per Million Btu</v>
          </cell>
          <cell r="C57" t="str">
            <v>kg CO2E Emitted Per Million Btu Consumed</v>
          </cell>
          <cell r="D57" t="str">
            <v>kg CO2e per Mbtu consumed</v>
          </cell>
          <cell r="E57" t="str">
            <v>kg CO2e per kWh consumed</v>
          </cell>
          <cell r="F57" t="str">
            <v>grams CO2e per kWh consumed</v>
          </cell>
          <cell r="G57" t="str">
            <v>grams CO2e per kWh consumed</v>
          </cell>
        </row>
        <row r="58">
          <cell r="A58" t="str">
            <v>Weighted final electricity factor</v>
          </cell>
          <cell r="B58">
            <v>3.0021633899372263E-2</v>
          </cell>
          <cell r="C58">
            <v>30.021633899372262</v>
          </cell>
          <cell r="D58">
            <v>29.966204466633172</v>
          </cell>
          <cell r="E58">
            <v>8.7962595661799769E-3</v>
          </cell>
          <cell r="F58">
            <v>8.7962595661799767</v>
          </cell>
          <cell r="G58">
            <v>24.201707942030822</v>
          </cell>
        </row>
        <row r="59">
          <cell r="E59">
            <v>8.780018888553523E-3</v>
          </cell>
          <cell r="F59">
            <v>8.7800188885535224</v>
          </cell>
          <cell r="G59">
            <v>24.157023933590764</v>
          </cell>
        </row>
        <row r="60">
          <cell r="C60" t="str">
            <v>Difference between GHG_MSTR calculation and Data for ICF_EPA calcualtion</v>
          </cell>
          <cell r="G60">
            <v>4.468400844005771E-2</v>
          </cell>
        </row>
        <row r="64">
          <cell r="A64" t="str">
            <v>Electricity pre-combustion energy and emissions</v>
          </cell>
        </row>
        <row r="65">
          <cell r="A65" t="str">
            <v>Source: FAL (2010) Cradle-to-Gate Life Cycle Inventory of Nine Plastic Resins and Four Polyurethane Precursors. Franklin Associates Ltd. (FAL), July 2010</v>
          </cell>
        </row>
        <row r="67">
          <cell r="A67" t="str">
            <v>Table A-8: Mix of fuel required to generate one kilowatt-hour (2000 U.S. average)</v>
          </cell>
        </row>
        <row r="70">
          <cell r="A70" t="str">
            <v>Fuel</v>
          </cell>
          <cell r="B70" t="str">
            <v>Units</v>
          </cell>
          <cell r="C70" t="str">
            <v>Quantity</v>
          </cell>
          <cell r="D70" t="str">
            <v>GHG emissions</v>
          </cell>
          <cell r="F70" t="str">
            <v>Energy</v>
          </cell>
        </row>
        <row r="71">
          <cell r="C71" t="str">
            <v>unit / kWh</v>
          </cell>
          <cell r="D71" t="str">
            <v>lbs CO2e/kWh electricity</v>
          </cell>
          <cell r="E71" t="str">
            <v>kgCO2/kWh</v>
          </cell>
          <cell r="F71" t="str">
            <v>MMBtu/kWh</v>
          </cell>
          <cell r="G71" t="str">
            <v>MMBtu/MMBtu electricity</v>
          </cell>
        </row>
        <row r="72">
          <cell r="A72" t="str">
            <v>Bituminous/Subbituminus coal</v>
          </cell>
          <cell r="B72" t="str">
            <v>lbs</v>
          </cell>
          <cell r="C72">
            <v>0.48</v>
          </cell>
          <cell r="D72">
            <v>0.20434079999999999</v>
          </cell>
          <cell r="E72">
            <v>9.2688986879999991E-2</v>
          </cell>
          <cell r="F72">
            <v>2.544E-4</v>
          </cell>
          <cell r="G72">
            <v>7.4538529153237623E-2</v>
          </cell>
        </row>
        <row r="73">
          <cell r="A73" t="str">
            <v>Lignite coal</v>
          </cell>
          <cell r="B73" t="str">
            <v>lbs</v>
          </cell>
          <cell r="C73">
            <v>4.4999999999999998E-2</v>
          </cell>
          <cell r="D73">
            <v>1.06578E-2</v>
          </cell>
          <cell r="E73">
            <v>4.83437808E-3</v>
          </cell>
          <cell r="F73">
            <v>2.6549999999999995E-5</v>
          </cell>
          <cell r="G73">
            <v>7.7790799882801031E-3</v>
          </cell>
        </row>
        <row r="74">
          <cell r="A74" t="str">
            <v>Natural gas</v>
          </cell>
          <cell r="B74" t="str">
            <v>cu ft</v>
          </cell>
          <cell r="C74">
            <v>1.65</v>
          </cell>
          <cell r="D74">
            <v>5.5717200000000001E-2</v>
          </cell>
          <cell r="E74">
            <v>2.5273321920000001E-2</v>
          </cell>
          <cell r="F74">
            <v>1.4684999999999999E-4</v>
          </cell>
          <cell r="G74">
            <v>4.3026662760035153E-2</v>
          </cell>
        </row>
        <row r="75">
          <cell r="A75" t="str">
            <v>Residual oil</v>
          </cell>
          <cell r="B75" t="str">
            <v>gal</v>
          </cell>
          <cell r="C75">
            <v>2E-3</v>
          </cell>
          <cell r="D75">
            <v>2.5271800000000004E-2</v>
          </cell>
          <cell r="E75">
            <v>1.1463288480000002E-2</v>
          </cell>
          <cell r="F75">
            <v>4.3800000000000001E-5</v>
          </cell>
          <cell r="G75">
            <v>1.2833284500439497E-2</v>
          </cell>
        </row>
        <row r="76">
          <cell r="A76" t="str">
            <v>Other fossil</v>
          </cell>
          <cell r="B76" t="str">
            <v>Btu</v>
          </cell>
          <cell r="C76">
            <v>63</v>
          </cell>
          <cell r="D76">
            <v>0</v>
          </cell>
          <cell r="E76">
            <v>0</v>
          </cell>
          <cell r="F76">
            <v>0</v>
          </cell>
          <cell r="G76">
            <v>0</v>
          </cell>
        </row>
        <row r="77">
          <cell r="A77" t="str">
            <v>Fuel grade uranium (1)</v>
          </cell>
          <cell r="B77" t="str">
            <v>lbs</v>
          </cell>
          <cell r="C77">
            <v>1.3E-6</v>
          </cell>
          <cell r="D77">
            <v>1.34287556E-2</v>
          </cell>
          <cell r="E77">
            <v>6.0912835401600003E-3</v>
          </cell>
          <cell r="F77">
            <v>2.652E-5</v>
          </cell>
          <cell r="G77">
            <v>7.7702900673893927E-3</v>
          </cell>
        </row>
        <row r="78">
          <cell r="A78" t="str">
            <v>Hydroelectric</v>
          </cell>
          <cell r="B78" t="str">
            <v>Btu</v>
          </cell>
          <cell r="C78">
            <v>242</v>
          </cell>
          <cell r="D78">
            <v>0</v>
          </cell>
          <cell r="E78">
            <v>0</v>
          </cell>
          <cell r="F78">
            <v>0</v>
          </cell>
          <cell r="G78">
            <v>0</v>
          </cell>
        </row>
        <row r="79">
          <cell r="A79" t="str">
            <v>Other non-fossil (2)</v>
          </cell>
          <cell r="B79" t="str">
            <v>Btu</v>
          </cell>
          <cell r="C79">
            <v>188</v>
          </cell>
          <cell r="D79">
            <v>0</v>
          </cell>
          <cell r="E79">
            <v>0</v>
          </cell>
          <cell r="F79">
            <v>0</v>
          </cell>
          <cell r="G79">
            <v>0</v>
          </cell>
        </row>
        <row r="80">
          <cell r="A80" t="str">
            <v>Total</v>
          </cell>
          <cell r="D80">
            <v>0.30941635560000003</v>
          </cell>
          <cell r="E80">
            <v>0.14035125890016001</v>
          </cell>
          <cell r="F80">
            <v>4.9812000000000001E-4</v>
          </cell>
          <cell r="G80">
            <v>0.14594784646938178</v>
          </cell>
        </row>
        <row r="82">
          <cell r="B82" t="str">
            <v>(1) Calculated.</v>
          </cell>
        </row>
        <row r="83">
          <cell r="B83" t="str">
            <v>(2) Other non-fossil includes biomass/wood, geothermal, wind, solar, and other small sources of electricity.</v>
          </cell>
        </row>
        <row r="88">
          <cell r="B88" t="str">
            <v>Units</v>
          </cell>
          <cell r="C88" t="str">
            <v>Source</v>
          </cell>
          <cell r="D88" t="str">
            <v>Precombustion GHG Emissions</v>
          </cell>
          <cell r="G88" t="str">
            <v>Total Precombustion Emissions</v>
          </cell>
        </row>
        <row r="89">
          <cell r="D89" t="str">
            <v>CO2</v>
          </cell>
          <cell r="E89" t="str">
            <v>CH4</v>
          </cell>
          <cell r="F89" t="str">
            <v>N2O</v>
          </cell>
        </row>
        <row r="90">
          <cell r="D90" t="str">
            <v>lbCO2/1,000 units</v>
          </cell>
          <cell r="E90" t="str">
            <v>lbCH4/1,000 units</v>
          </cell>
          <cell r="F90" t="str">
            <v>lbN2O/1,000 units</v>
          </cell>
          <cell r="G90" t="str">
            <v>lbCO2e/1,000 units</v>
          </cell>
          <cell r="H90" t="str">
            <v>kgCO2/1,000 units</v>
          </cell>
          <cell r="I90" t="str">
            <v>kgCO2/MMBtu</v>
          </cell>
        </row>
        <row r="91">
          <cell r="A91" t="str">
            <v>Bituminous/Subbituminus coal</v>
          </cell>
          <cell r="B91" t="str">
            <v>lbs</v>
          </cell>
          <cell r="C91" t="str">
            <v>Table A-10b, p. A-42, FAL 2010</v>
          </cell>
          <cell r="D91">
            <v>92.5</v>
          </cell>
          <cell r="E91">
            <v>4.1500000000000004</v>
          </cell>
          <cell r="F91">
            <v>0.77</v>
          </cell>
          <cell r="G91">
            <v>425.71000000000004</v>
          </cell>
          <cell r="H91">
            <v>193.06575963718822</v>
          </cell>
          <cell r="I91">
            <v>364.27501818337396</v>
          </cell>
        </row>
        <row r="92">
          <cell r="A92" t="str">
            <v>Lignite coal</v>
          </cell>
          <cell r="B92" t="str">
            <v>lbs</v>
          </cell>
          <cell r="C92" t="str">
            <v>Table A-10c, p. 46, FAL 2010</v>
          </cell>
          <cell r="D92">
            <v>106</v>
          </cell>
          <cell r="E92">
            <v>1.3</v>
          </cell>
          <cell r="F92">
            <v>0.33</v>
          </cell>
          <cell r="G92">
            <v>236.84</v>
          </cell>
          <cell r="H92">
            <v>107.41043083900226</v>
          </cell>
          <cell r="I92">
            <v>182.05157769322417</v>
          </cell>
        </row>
        <row r="93">
          <cell r="A93" t="str">
            <v>Natural gas</v>
          </cell>
          <cell r="B93" t="str">
            <v>cu ft</v>
          </cell>
          <cell r="C93" t="str">
            <v>Table A-11, p. A-50, FAL 2010</v>
          </cell>
          <cell r="D93">
            <v>11.5</v>
          </cell>
          <cell r="E93">
            <v>0.7</v>
          </cell>
          <cell r="F93">
            <v>1.6E-2</v>
          </cell>
          <cell r="G93">
            <v>33.768000000000001</v>
          </cell>
          <cell r="H93">
            <v>15.314285714285715</v>
          </cell>
          <cell r="I93">
            <v>172.07062600321029</v>
          </cell>
        </row>
        <row r="94">
          <cell r="A94" t="str">
            <v>Residual oil</v>
          </cell>
          <cell r="B94" t="str">
            <v>gal</v>
          </cell>
          <cell r="C94" t="str">
            <v>Table A-12a, p. A-54, FAL 2010</v>
          </cell>
          <cell r="D94">
            <v>3548</v>
          </cell>
          <cell r="E94">
            <v>38.1</v>
          </cell>
          <cell r="F94">
            <v>27.3</v>
          </cell>
          <cell r="G94">
            <v>12635.900000000001</v>
          </cell>
          <cell r="H94">
            <v>5730.5668934240366</v>
          </cell>
          <cell r="I94">
            <v>261.66972116091495</v>
          </cell>
        </row>
        <row r="95">
          <cell r="A95" t="str">
            <v>Distillate oil</v>
          </cell>
          <cell r="B95" t="str">
            <v>gal</v>
          </cell>
          <cell r="C95" t="str">
            <v>Table A-12b, p. A-58, FAL 2010</v>
          </cell>
          <cell r="D95">
            <v>3258</v>
          </cell>
          <cell r="E95">
            <v>34.9</v>
          </cell>
          <cell r="F95">
            <v>25</v>
          </cell>
          <cell r="G95">
            <v>11580.5</v>
          </cell>
          <cell r="H95">
            <v>5251.9274376417234</v>
          </cell>
          <cell r="I95">
            <v>261.28992227073246</v>
          </cell>
        </row>
        <row r="96">
          <cell r="A96" t="str">
            <v>Fuel grade uranium</v>
          </cell>
          <cell r="B96" t="str">
            <v>lbs</v>
          </cell>
          <cell r="C96" t="str">
            <v>Table A-13, p. A-78, FAL 2010</v>
          </cell>
          <cell r="D96">
            <v>3568987</v>
          </cell>
          <cell r="E96">
            <v>9087</v>
          </cell>
          <cell r="F96">
            <v>21925</v>
          </cell>
          <cell r="G96">
            <v>10329812</v>
          </cell>
          <cell r="H96">
            <v>4684721.9954648521</v>
          </cell>
          <cell r="I96">
            <v>229.64323507180649</v>
          </cell>
        </row>
        <row r="98">
          <cell r="E98">
            <v>103.75000000000001</v>
          </cell>
          <cell r="F98">
            <v>229.46</v>
          </cell>
        </row>
        <row r="99">
          <cell r="A99" t="str">
            <v>Precombustion energy by fuel type</v>
          </cell>
        </row>
        <row r="102">
          <cell r="A102" t="str">
            <v>Fuel</v>
          </cell>
          <cell r="B102" t="str">
            <v>Units</v>
          </cell>
          <cell r="C102" t="str">
            <v>Precombustion energy</v>
          </cell>
        </row>
        <row r="103">
          <cell r="C103" t="str">
            <v>million BTU/1,000 units</v>
          </cell>
        </row>
        <row r="104">
          <cell r="A104" t="str">
            <v>Bituminous/Subbituminus coal</v>
          </cell>
          <cell r="B104" t="str">
            <v>lbs</v>
          </cell>
          <cell r="C104">
            <v>0.53</v>
          </cell>
        </row>
        <row r="105">
          <cell r="A105" t="str">
            <v>Lignite coal</v>
          </cell>
          <cell r="B105" t="str">
            <v>lbs</v>
          </cell>
          <cell r="C105">
            <v>0.59</v>
          </cell>
        </row>
        <row r="106">
          <cell r="A106" t="str">
            <v>Natural gas</v>
          </cell>
          <cell r="B106" t="str">
            <v>cu ft</v>
          </cell>
          <cell r="C106">
            <v>8.8999999999999996E-2</v>
          </cell>
        </row>
        <row r="107">
          <cell r="A107" t="str">
            <v>Residual oil</v>
          </cell>
          <cell r="B107" t="str">
            <v>gal</v>
          </cell>
          <cell r="C107">
            <v>21.9</v>
          </cell>
        </row>
        <row r="108">
          <cell r="A108" t="str">
            <v>Distillate oil</v>
          </cell>
          <cell r="B108" t="str">
            <v>gal</v>
          </cell>
          <cell r="C108">
            <v>20.100000000000001</v>
          </cell>
        </row>
        <row r="109">
          <cell r="A109" t="str">
            <v>Fuel grade uranium</v>
          </cell>
          <cell r="B109" t="str">
            <v>lbs</v>
          </cell>
          <cell r="C109">
            <v>20400</v>
          </cell>
        </row>
      </sheetData>
      <sheetData sheetId="19" refreshError="1">
        <row r="6">
          <cell r="B6">
            <v>1870000</v>
          </cell>
          <cell r="C6">
            <v>1320000</v>
          </cell>
          <cell r="D6">
            <v>1293600</v>
          </cell>
          <cell r="E6">
            <v>0.22</v>
          </cell>
          <cell r="F6">
            <v>1131025.641025641</v>
          </cell>
          <cell r="G6">
            <v>738974.358974359</v>
          </cell>
          <cell r="H6">
            <v>0.32700000000000001</v>
          </cell>
          <cell r="I6">
            <v>0.67300000000000004</v>
          </cell>
          <cell r="J6">
            <v>0.28000000000000003</v>
          </cell>
        </row>
        <row r="7">
          <cell r="H7">
            <v>0.05</v>
          </cell>
          <cell r="I7">
            <v>0.95</v>
          </cell>
        </row>
        <row r="8">
          <cell r="B8">
            <v>9260000</v>
          </cell>
          <cell r="C8">
            <v>3150000</v>
          </cell>
          <cell r="D8">
            <v>2765853.6585365855</v>
          </cell>
          <cell r="E8">
            <v>0</v>
          </cell>
          <cell r="F8">
            <v>2765853.6585365855</v>
          </cell>
          <cell r="G8">
            <v>6494146.341463415</v>
          </cell>
          <cell r="H8">
            <v>0.23069999999999999</v>
          </cell>
          <cell r="I8">
            <v>0.76929999999999998</v>
          </cell>
          <cell r="J8">
            <v>0.23069999999999999</v>
          </cell>
        </row>
        <row r="9">
          <cell r="B9">
            <v>3570000</v>
          </cell>
          <cell r="C9">
            <v>570000</v>
          </cell>
          <cell r="D9">
            <v>487664.45864662336</v>
          </cell>
          <cell r="E9">
            <v>0</v>
          </cell>
          <cell r="F9">
            <v>487664.45864662336</v>
          </cell>
          <cell r="G9">
            <v>3082335.5413533766</v>
          </cell>
          <cell r="H9">
            <v>0.1</v>
          </cell>
          <cell r="I9">
            <v>0.9</v>
          </cell>
          <cell r="J9">
            <v>0.1</v>
          </cell>
        </row>
        <row r="10">
          <cell r="B10">
            <v>3410000</v>
          </cell>
          <cell r="C10">
            <v>0</v>
          </cell>
          <cell r="D10">
            <v>0</v>
          </cell>
          <cell r="E10">
            <v>0</v>
          </cell>
          <cell r="F10">
            <v>0</v>
          </cell>
          <cell r="G10">
            <v>3410000</v>
          </cell>
          <cell r="H10">
            <v>0</v>
          </cell>
          <cell r="I10">
            <v>1</v>
          </cell>
          <cell r="J10">
            <v>0.04</v>
          </cell>
        </row>
        <row r="11">
          <cell r="B11">
            <v>3750000</v>
          </cell>
          <cell r="C11">
            <v>930000</v>
          </cell>
          <cell r="D11">
            <v>829509.01092454337</v>
          </cell>
          <cell r="E11">
            <v>0</v>
          </cell>
          <cell r="F11">
            <v>829509.01092454337</v>
          </cell>
          <cell r="G11">
            <v>2920490.9890754567</v>
          </cell>
          <cell r="H11">
            <v>0.03</v>
          </cell>
          <cell r="I11">
            <v>0.97</v>
          </cell>
          <cell r="J11">
            <v>0.03</v>
          </cell>
        </row>
        <row r="12">
          <cell r="B12">
            <v>30050000</v>
          </cell>
          <cell r="C12">
            <v>26590000</v>
          </cell>
          <cell r="D12">
            <v>24850467.28971963</v>
          </cell>
          <cell r="E12">
            <v>9.8000000000000004E-2</v>
          </cell>
          <cell r="F12">
            <v>24285551.318979632</v>
          </cell>
          <cell r="G12">
            <v>5764448.6810203679</v>
          </cell>
          <cell r="H12">
            <v>0.34899999999999998</v>
          </cell>
          <cell r="I12">
            <v>0.65100000000000002</v>
          </cell>
          <cell r="J12">
            <v>0.34899999999999998</v>
          </cell>
        </row>
        <row r="13">
          <cell r="B13">
            <v>5560000</v>
          </cell>
          <cell r="C13">
            <v>3730000</v>
          </cell>
          <cell r="D13">
            <v>2513120.5673758863</v>
          </cell>
          <cell r="E13">
            <v>0</v>
          </cell>
          <cell r="F13">
            <v>2513120.5673758863</v>
          </cell>
          <cell r="G13">
            <v>3046879.4326241137</v>
          </cell>
          <cell r="H13">
            <v>4.1000000000000002E-2</v>
          </cell>
          <cell r="I13">
            <v>0.95899999999999996</v>
          </cell>
          <cell r="J13">
            <v>4.1000000000000002E-2</v>
          </cell>
        </row>
        <row r="14">
          <cell r="B14">
            <v>7427824.0190249709</v>
          </cell>
          <cell r="C14">
            <v>5207288.1355932206</v>
          </cell>
          <cell r="D14">
            <v>4662510.5832361542</v>
          </cell>
          <cell r="E14">
            <v>0</v>
          </cell>
          <cell r="F14">
            <v>4662510.5832361542</v>
          </cell>
          <cell r="G14">
            <v>2765313.4357888168</v>
          </cell>
          <cell r="H14">
            <v>0.23</v>
          </cell>
          <cell r="I14">
            <v>0.77</v>
          </cell>
          <cell r="J14">
            <v>0.23</v>
          </cell>
        </row>
        <row r="15">
          <cell r="B15">
            <v>4770000</v>
          </cell>
          <cell r="C15">
            <v>3990000</v>
          </cell>
          <cell r="D15">
            <v>2380918.0327868857</v>
          </cell>
          <cell r="E15">
            <v>0</v>
          </cell>
          <cell r="F15">
            <v>2380918.0327868857</v>
          </cell>
          <cell r="G15">
            <v>2389081.9672131143</v>
          </cell>
          <cell r="H15">
            <v>4.1000000000000002E-2</v>
          </cell>
          <cell r="I15">
            <v>0.95899999999999996</v>
          </cell>
          <cell r="J15">
            <v>4.1000000000000002E-2</v>
          </cell>
        </row>
        <row r="16">
          <cell r="B16">
            <v>622175.98097502976</v>
          </cell>
          <cell r="C16">
            <v>182711.86440677964</v>
          </cell>
          <cell r="D16">
            <v>123983.05084745762</v>
          </cell>
          <cell r="E16">
            <v>0</v>
          </cell>
          <cell r="F16">
            <v>123983.05084745762</v>
          </cell>
          <cell r="G16">
            <v>498192.93012757215</v>
          </cell>
          <cell r="H16">
            <v>0</v>
          </cell>
          <cell r="I16">
            <v>1</v>
          </cell>
          <cell r="J16">
            <v>0</v>
          </cell>
        </row>
        <row r="17">
          <cell r="B17">
            <v>850000</v>
          </cell>
          <cell r="C17">
            <v>320000</v>
          </cell>
          <cell r="D17">
            <v>211111.11111111107</v>
          </cell>
          <cell r="E17">
            <v>0</v>
          </cell>
          <cell r="F17">
            <v>211111.11111111107</v>
          </cell>
          <cell r="G17">
            <v>638888.88888888899</v>
          </cell>
          <cell r="H17">
            <v>4.1000000000000002E-2</v>
          </cell>
          <cell r="I17">
            <v>0.95899999999999996</v>
          </cell>
          <cell r="J17">
            <v>4.1000000000000002E-2</v>
          </cell>
        </row>
        <row r="18">
          <cell r="B18">
            <v>9410000</v>
          </cell>
          <cell r="C18">
            <v>2470000</v>
          </cell>
          <cell r="D18">
            <v>1975802.4000000001</v>
          </cell>
          <cell r="E18">
            <v>0</v>
          </cell>
          <cell r="F18">
            <v>1975802.4000000001</v>
          </cell>
          <cell r="G18">
            <v>7434197.5999999996</v>
          </cell>
          <cell r="H18">
            <v>0</v>
          </cell>
          <cell r="I18">
            <v>1</v>
          </cell>
          <cell r="J18">
            <v>0</v>
          </cell>
        </row>
        <row r="19">
          <cell r="B19" t="str">
            <v>na</v>
          </cell>
          <cell r="C19">
            <v>0</v>
          </cell>
          <cell r="D19">
            <v>0</v>
          </cell>
          <cell r="E19">
            <v>0</v>
          </cell>
          <cell r="F19" t="str">
            <v>na</v>
          </cell>
          <cell r="G19" t="str">
            <v>na</v>
          </cell>
          <cell r="H19">
            <v>0</v>
          </cell>
          <cell r="I19">
            <v>1</v>
          </cell>
          <cell r="J19">
            <v>0</v>
          </cell>
        </row>
        <row r="20">
          <cell r="B20">
            <v>3820000</v>
          </cell>
          <cell r="C20">
            <v>240000</v>
          </cell>
          <cell r="D20">
            <v>0</v>
          </cell>
          <cell r="E20">
            <v>0</v>
          </cell>
          <cell r="F20">
            <v>0</v>
          </cell>
          <cell r="G20">
            <v>3820000</v>
          </cell>
          <cell r="H20">
            <v>0</v>
          </cell>
          <cell r="I20">
            <v>1</v>
          </cell>
          <cell r="J20">
            <v>0</v>
          </cell>
        </row>
        <row r="21">
          <cell r="B21">
            <v>671610</v>
          </cell>
          <cell r="C21">
            <v>187014.44</v>
          </cell>
          <cell r="D21">
            <v>0</v>
          </cell>
          <cell r="E21">
            <v>0</v>
          </cell>
          <cell r="F21">
            <v>0</v>
          </cell>
          <cell r="G21">
            <v>671610</v>
          </cell>
          <cell r="H21">
            <v>0</v>
          </cell>
          <cell r="I21">
            <v>1</v>
          </cell>
          <cell r="J21">
            <v>0</v>
          </cell>
        </row>
        <row r="22">
          <cell r="B22">
            <v>8160000</v>
          </cell>
          <cell r="C22">
            <v>0</v>
          </cell>
          <cell r="D22">
            <v>0</v>
          </cell>
          <cell r="E22">
            <v>0</v>
          </cell>
          <cell r="F22">
            <v>0</v>
          </cell>
          <cell r="G22">
            <v>8160000</v>
          </cell>
          <cell r="H22">
            <v>0</v>
          </cell>
          <cell r="I22">
            <v>1</v>
          </cell>
          <cell r="J22">
            <v>0</v>
          </cell>
        </row>
        <row r="23">
          <cell r="J23">
            <v>0</v>
          </cell>
        </row>
        <row r="24">
          <cell r="J24">
            <v>0</v>
          </cell>
        </row>
        <row r="25">
          <cell r="H25">
            <v>0</v>
          </cell>
          <cell r="I25">
            <v>1</v>
          </cell>
        </row>
        <row r="29">
          <cell r="B29" t="str">
            <v>Never 100% Recycled</v>
          </cell>
          <cell r="C29" t="str">
            <v>Never 100% Virgin</v>
          </cell>
          <cell r="D29" t="str">
            <v>Recycled Content Minimum</v>
          </cell>
          <cell r="E29" t="str">
            <v>Recycled Content Maximum</v>
          </cell>
        </row>
        <row r="30">
          <cell r="B30" t="str">
            <v>X</v>
          </cell>
          <cell r="C30" t="str">
            <v>X</v>
          </cell>
          <cell r="D30">
            <v>0.05</v>
          </cell>
          <cell r="E30">
            <v>0.6</v>
          </cell>
        </row>
        <row r="31">
          <cell r="B31" t="str">
            <v>X</v>
          </cell>
          <cell r="C31" t="str">
            <v>X</v>
          </cell>
          <cell r="D31">
            <v>0.2</v>
          </cell>
          <cell r="E31">
            <v>0.5</v>
          </cell>
        </row>
        <row r="32">
          <cell r="B32" t="str">
            <v>X</v>
          </cell>
          <cell r="C32" t="str">
            <v>X</v>
          </cell>
          <cell r="D32">
            <v>0.05</v>
          </cell>
          <cell r="E32">
            <v>0.3</v>
          </cell>
        </row>
        <row r="33">
          <cell r="B33" t="str">
            <v>X</v>
          </cell>
          <cell r="D33">
            <v>0</v>
          </cell>
          <cell r="E33">
            <v>0.15</v>
          </cell>
        </row>
        <row r="34">
          <cell r="B34" t="str">
            <v>X</v>
          </cell>
          <cell r="D34">
            <v>0</v>
          </cell>
          <cell r="E34">
            <v>0.15</v>
          </cell>
        </row>
        <row r="35">
          <cell r="B35" t="str">
            <v>X</v>
          </cell>
          <cell r="D35">
            <v>0</v>
          </cell>
          <cell r="E35">
            <v>0.1</v>
          </cell>
        </row>
        <row r="36">
          <cell r="B36" t="str">
            <v>X</v>
          </cell>
          <cell r="C36" t="str">
            <v>X</v>
          </cell>
          <cell r="D36">
            <v>0.1</v>
          </cell>
          <cell r="E36">
            <v>0.75</v>
          </cell>
        </row>
        <row r="37">
          <cell r="B37" t="str">
            <v>X</v>
          </cell>
          <cell r="D37">
            <v>0</v>
          </cell>
          <cell r="E37">
            <v>0.3</v>
          </cell>
        </row>
        <row r="38">
          <cell r="B38" t="str">
            <v>X</v>
          </cell>
          <cell r="D38">
            <v>0</v>
          </cell>
          <cell r="E38">
            <v>0.6</v>
          </cell>
        </row>
        <row r="39">
          <cell r="B39" t="str">
            <v>X</v>
          </cell>
          <cell r="D39">
            <v>0</v>
          </cell>
          <cell r="E39">
            <v>0.35</v>
          </cell>
        </row>
        <row r="40">
          <cell r="B40" t="str">
            <v>X</v>
          </cell>
          <cell r="D40">
            <v>0</v>
          </cell>
          <cell r="E40">
            <v>0.1</v>
          </cell>
        </row>
        <row r="41">
          <cell r="B41" t="str">
            <v>X</v>
          </cell>
          <cell r="D41">
            <v>0</v>
          </cell>
          <cell r="E41">
            <v>0.15</v>
          </cell>
        </row>
        <row r="47">
          <cell r="B47" t="str">
            <v>% of Current Production from Recycled Inputs</v>
          </cell>
          <cell r="C47" t="str">
            <v>% of Current Production from "Virgin" Inputs</v>
          </cell>
        </row>
        <row r="48">
          <cell r="B48">
            <v>0.67800000000000005</v>
          </cell>
          <cell r="C48">
            <v>0.32199999999999995</v>
          </cell>
        </row>
        <row r="52">
          <cell r="B52" t="str">
            <v>% of Current Production from Recycled Inputs</v>
          </cell>
          <cell r="C52" t="str">
            <v>% of Current Production from "Virgin" Inputs</v>
          </cell>
        </row>
        <row r="53">
          <cell r="A53" t="str">
            <v>LLDPE</v>
          </cell>
          <cell r="C53">
            <v>1</v>
          </cell>
        </row>
        <row r="54">
          <cell r="A54" t="str">
            <v>PP</v>
          </cell>
          <cell r="C54">
            <v>1</v>
          </cell>
        </row>
        <row r="55">
          <cell r="A55" t="str">
            <v>PS</v>
          </cell>
          <cell r="C55">
            <v>1</v>
          </cell>
        </row>
        <row r="56">
          <cell r="A56" t="str">
            <v>PVC</v>
          </cell>
          <cell r="C56">
            <v>1</v>
          </cell>
        </row>
        <row r="57">
          <cell r="A57" t="str">
            <v xml:space="preserve">Source: </v>
          </cell>
        </row>
      </sheetData>
      <sheetData sheetId="20" refreshError="1">
        <row r="6">
          <cell r="B6">
            <v>3.7199912763458205E-3</v>
          </cell>
          <cell r="C6">
            <v>8.2969769503382824E-4</v>
          </cell>
          <cell r="D6" t="e">
            <v>#REF!</v>
          </cell>
          <cell r="E6">
            <v>6.8664998699857802E-2</v>
          </cell>
          <cell r="F6">
            <v>0</v>
          </cell>
          <cell r="G6">
            <v>7.5979078539552885E-3</v>
          </cell>
          <cell r="H6">
            <v>0</v>
          </cell>
          <cell r="I6">
            <v>0</v>
          </cell>
          <cell r="J6">
            <v>0.31184993920383058</v>
          </cell>
          <cell r="K6">
            <v>0</v>
          </cell>
          <cell r="L6">
            <v>0</v>
          </cell>
          <cell r="N6" t="str">
            <v>HDPE</v>
          </cell>
          <cell r="O6">
            <v>0</v>
          </cell>
          <cell r="P6">
            <v>0</v>
          </cell>
          <cell r="Q6">
            <v>0</v>
          </cell>
          <cell r="R6">
            <v>1.2185343686466614E-2</v>
          </cell>
          <cell r="S6">
            <v>0</v>
          </cell>
          <cell r="T6">
            <v>4.7486337175519982E-3</v>
          </cell>
          <cell r="U6">
            <v>0</v>
          </cell>
          <cell r="V6">
            <v>0</v>
          </cell>
          <cell r="W6">
            <v>0</v>
          </cell>
          <cell r="X6">
            <v>0</v>
          </cell>
          <cell r="Y6">
            <v>0</v>
          </cell>
        </row>
        <row r="7">
          <cell r="B7">
            <v>3.786825503500128E-3</v>
          </cell>
          <cell r="C7">
            <v>8.2338494886153462E-4</v>
          </cell>
          <cell r="D7" t="e">
            <v>#REF!</v>
          </cell>
          <cell r="E7">
            <v>4.2212738590739159E-2</v>
          </cell>
          <cell r="F7">
            <v>0</v>
          </cell>
          <cell r="G7">
            <v>7.7344136309009702E-3</v>
          </cell>
          <cell r="H7">
            <v>0</v>
          </cell>
          <cell r="I7">
            <v>0</v>
          </cell>
          <cell r="J7">
            <v>0.3558355201140676</v>
          </cell>
          <cell r="K7">
            <v>0</v>
          </cell>
          <cell r="L7">
            <v>0</v>
          </cell>
          <cell r="N7" t="str">
            <v>LDPE</v>
          </cell>
          <cell r="O7">
            <v>0</v>
          </cell>
          <cell r="P7">
            <v>0</v>
          </cell>
          <cell r="Q7">
            <v>0</v>
          </cell>
          <cell r="R7">
            <v>1.2404268400906969E-2</v>
          </cell>
          <cell r="S7">
            <v>0</v>
          </cell>
          <cell r="T7">
            <v>4.8339487736838577E-3</v>
          </cell>
          <cell r="U7">
            <v>0</v>
          </cell>
          <cell r="V7">
            <v>0</v>
          </cell>
          <cell r="W7">
            <v>0</v>
          </cell>
          <cell r="X7">
            <v>0</v>
          </cell>
          <cell r="Y7">
            <v>0</v>
          </cell>
        </row>
        <row r="8">
          <cell r="B8">
            <v>1.7967242579695138E-3</v>
          </cell>
          <cell r="C8">
            <v>1.8778202961486024E-2</v>
          </cell>
          <cell r="D8" t="e">
            <v>#REF!</v>
          </cell>
          <cell r="E8">
            <v>0.23962481440245426</v>
          </cell>
          <cell r="F8">
            <v>0</v>
          </cell>
          <cell r="G8">
            <v>7.1767948181512803E-2</v>
          </cell>
          <cell r="H8">
            <v>0</v>
          </cell>
          <cell r="I8">
            <v>0</v>
          </cell>
          <cell r="J8">
            <v>0.76352558002787829</v>
          </cell>
          <cell r="K8">
            <v>0</v>
          </cell>
          <cell r="L8">
            <v>0</v>
          </cell>
          <cell r="N8" t="str">
            <v>PET</v>
          </cell>
          <cell r="O8">
            <v>0</v>
          </cell>
          <cell r="P8">
            <v>0</v>
          </cell>
          <cell r="Q8">
            <v>0</v>
          </cell>
          <cell r="R8">
            <v>3.5346379401542054E-2</v>
          </cell>
          <cell r="S8">
            <v>0</v>
          </cell>
          <cell r="T8">
            <v>7.5020801964822734E-2</v>
          </cell>
          <cell r="U8">
            <v>0</v>
          </cell>
          <cell r="V8">
            <v>0</v>
          </cell>
          <cell r="W8">
            <v>0</v>
          </cell>
          <cell r="X8">
            <v>0</v>
          </cell>
          <cell r="Y8">
            <v>0</v>
          </cell>
        </row>
        <row r="9">
          <cell r="B9">
            <v>2E-3</v>
          </cell>
          <cell r="C9">
            <v>1.2415000000000001E-4</v>
          </cell>
          <cell r="D9">
            <v>1.8031E-3</v>
          </cell>
          <cell r="E9">
            <v>6.7365000000000003E-3</v>
          </cell>
          <cell r="F9">
            <v>2.3000000000000001E-4</v>
          </cell>
          <cell r="G9">
            <v>0</v>
          </cell>
          <cell r="H9">
            <v>0</v>
          </cell>
          <cell r="I9">
            <v>0</v>
          </cell>
          <cell r="J9">
            <v>3.9857999999999998E-2</v>
          </cell>
          <cell r="K9">
            <v>1.3794494E-3</v>
          </cell>
          <cell r="L9">
            <v>2.0000000000000001E-4</v>
          </cell>
          <cell r="N9" t="str">
            <v>Corrugated Boxes</v>
          </cell>
          <cell r="O9">
            <v>6.625E-4</v>
          </cell>
          <cell r="P9">
            <v>5.7299999999999997E-5</v>
          </cell>
          <cell r="Q9">
            <v>6.935E-4</v>
          </cell>
          <cell r="R9">
            <v>2.9940000000000001E-3</v>
          </cell>
          <cell r="S9">
            <v>8.0000000000000007E-5</v>
          </cell>
          <cell r="T9">
            <v>0</v>
          </cell>
          <cell r="U9">
            <v>0</v>
          </cell>
          <cell r="V9">
            <v>6.7612999999999985E-7</v>
          </cell>
          <cell r="W9">
            <v>1.4001399999999999E-2</v>
          </cell>
          <cell r="X9">
            <v>4.7295407999999999E-4</v>
          </cell>
          <cell r="Y9">
            <v>6.9999999999999994E-5</v>
          </cell>
        </row>
        <row r="10">
          <cell r="B10">
            <v>5.0661781247190299E-2</v>
          </cell>
          <cell r="C10">
            <v>2.4465454588779821E-3</v>
          </cell>
          <cell r="D10">
            <v>0.10471178185569843</v>
          </cell>
          <cell r="E10">
            <v>0.14165541888427513</v>
          </cell>
          <cell r="F10">
            <v>5.336293171545943E-3</v>
          </cell>
          <cell r="G10">
            <v>0</v>
          </cell>
          <cell r="H10">
            <v>0</v>
          </cell>
          <cell r="I10">
            <v>9.7241212994555348E-2</v>
          </cell>
          <cell r="J10">
            <v>0.94687447291877158</v>
          </cell>
          <cell r="K10">
            <v>3.4905924431895052E-2</v>
          </cell>
          <cell r="L10">
            <v>4.7274378810961927E-3</v>
          </cell>
          <cell r="N10" t="str">
            <v>Magazines/Third-class Mail</v>
          </cell>
        </row>
        <row r="11">
          <cell r="B11">
            <v>0.10125000000000001</v>
          </cell>
          <cell r="C11">
            <v>1.3370000000000001E-3</v>
          </cell>
          <cell r="D11">
            <v>0.20805000000000001</v>
          </cell>
          <cell r="E11">
            <v>0.115269</v>
          </cell>
          <cell r="F11">
            <v>1.78E-2</v>
          </cell>
          <cell r="G11">
            <v>0</v>
          </cell>
          <cell r="H11">
            <v>0</v>
          </cell>
          <cell r="I11">
            <v>0.29229620000000001</v>
          </cell>
          <cell r="J11">
            <v>1.70163</v>
          </cell>
          <cell r="K11">
            <v>0.10838531</v>
          </cell>
          <cell r="L11">
            <v>1.5800000000000002E-2</v>
          </cell>
          <cell r="N11" t="str">
            <v>Newspaper</v>
          </cell>
          <cell r="O11">
            <v>5.0000000000000001E-4</v>
          </cell>
          <cell r="P11">
            <v>3.9155E-4</v>
          </cell>
          <cell r="Q11">
            <v>1.9418E-3</v>
          </cell>
          <cell r="R11">
            <v>1.7964000000000001E-2</v>
          </cell>
          <cell r="S11">
            <v>2.5999999999999998E-4</v>
          </cell>
          <cell r="T11">
            <v>0</v>
          </cell>
          <cell r="U11">
            <v>0</v>
          </cell>
          <cell r="V11">
            <v>4.2648199999999999E-3</v>
          </cell>
          <cell r="W11">
            <v>3.23974E-2</v>
          </cell>
          <cell r="X11">
            <v>1.6750457E-3</v>
          </cell>
          <cell r="Y11">
            <v>2.3000000000000001E-4</v>
          </cell>
        </row>
        <row r="12">
          <cell r="B12">
            <v>2.9624261915729925E-2</v>
          </cell>
          <cell r="C12">
            <v>1.430607090360854E-3</v>
          </cell>
          <cell r="D12">
            <v>6.1229770746128745E-2</v>
          </cell>
          <cell r="E12">
            <v>8.283240595775411E-2</v>
          </cell>
          <cell r="F12">
            <v>3.1203748206497465E-3</v>
          </cell>
          <cell r="G12">
            <v>0</v>
          </cell>
          <cell r="H12">
            <v>0</v>
          </cell>
          <cell r="I12">
            <v>5.6861387259528128E-2</v>
          </cell>
          <cell r="J12">
            <v>0.55368083585928174</v>
          </cell>
          <cell r="K12">
            <v>2.0411091405091175E-2</v>
          </cell>
          <cell r="L12">
            <v>2.7643492694545539E-3</v>
          </cell>
          <cell r="N12" t="str">
            <v>Office Paper</v>
          </cell>
        </row>
        <row r="13">
          <cell r="B13">
            <v>7.3201980530897867E-2</v>
          </cell>
          <cell r="C13">
            <v>3.5350508537177637E-3</v>
          </cell>
          <cell r="D13">
            <v>0.15129965090166594</v>
          </cell>
          <cell r="E13">
            <v>0.20468007559126203</v>
          </cell>
          <cell r="F13">
            <v>7.710491404649013E-3</v>
          </cell>
          <cell r="G13">
            <v>0</v>
          </cell>
          <cell r="H13">
            <v>0</v>
          </cell>
          <cell r="I13">
            <v>0.14050531199637026</v>
          </cell>
          <cell r="J13">
            <v>1.3681533697682253</v>
          </cell>
          <cell r="K13">
            <v>5.0436102674899203E-2</v>
          </cell>
          <cell r="L13">
            <v>6.8307471078550919E-3</v>
          </cell>
          <cell r="N13" t="str">
            <v>Phonebooks</v>
          </cell>
        </row>
        <row r="14">
          <cell r="B14">
            <v>6.4615237946628309E-2</v>
          </cell>
          <cell r="C14">
            <v>3.1203821318740374E-3</v>
          </cell>
          <cell r="D14">
            <v>0.13355189126510689</v>
          </cell>
          <cell r="E14">
            <v>0.18067068256002894</v>
          </cell>
          <cell r="F14">
            <v>6.8060349348954621E-3</v>
          </cell>
          <cell r="G14">
            <v>0</v>
          </cell>
          <cell r="H14">
            <v>0</v>
          </cell>
          <cell r="I14">
            <v>0.12402375047186931</v>
          </cell>
          <cell r="J14">
            <v>1.2076661709684335</v>
          </cell>
          <cell r="K14">
            <v>4.4519844296611912E-2</v>
          </cell>
          <cell r="L14">
            <v>6.0294864500421786E-3</v>
          </cell>
          <cell r="N14" t="str">
            <v>Textbooks</v>
          </cell>
        </row>
        <row r="16">
          <cell r="N16" t="str">
            <v>Energy Consumption from Virgin Production: Combustion Transportation (million BTUs)</v>
          </cell>
        </row>
        <row r="17">
          <cell r="B17" t="str">
            <v>Gasoline</v>
          </cell>
          <cell r="C17" t="str">
            <v>LPG</v>
          </cell>
          <cell r="D17" t="str">
            <v>Distillate Oil</v>
          </cell>
          <cell r="E17" t="str">
            <v>Residual Oil</v>
          </cell>
          <cell r="F17" t="str">
            <v>Biomass/Wood/Hydro</v>
          </cell>
          <cell r="G17" t="str">
            <v>Diesel</v>
          </cell>
          <cell r="H17" t="str">
            <v>Electricity</v>
          </cell>
          <cell r="I17" t="str">
            <v>Coal</v>
          </cell>
          <cell r="J17" t="str">
            <v>Natural Gas</v>
          </cell>
          <cell r="K17" t="str">
            <v>Nuclear</v>
          </cell>
          <cell r="L17" t="str">
            <v>Other</v>
          </cell>
          <cell r="N17" t="str">
            <v>Type of Product</v>
          </cell>
          <cell r="O17" t="str">
            <v>Diesel</v>
          </cell>
          <cell r="P17" t="str">
            <v>Residual Oil</v>
          </cell>
          <cell r="Q17" t="str">
            <v>Natural Gas</v>
          </cell>
          <cell r="R17" t="str">
            <v>Electricity</v>
          </cell>
          <cell r="S17" t="str">
            <v>Other</v>
          </cell>
        </row>
        <row r="18">
          <cell r="B18">
            <v>6.8750000000000006E-2</v>
          </cell>
          <cell r="C18">
            <v>1.8145000000000001E-2</v>
          </cell>
          <cell r="D18">
            <v>0.90987200000000001</v>
          </cell>
          <cell r="E18">
            <v>7.6945800000000002</v>
          </cell>
          <cell r="F18">
            <v>0</v>
          </cell>
          <cell r="G18">
            <v>1.02721</v>
          </cell>
          <cell r="H18">
            <v>165.39103529524647</v>
          </cell>
          <cell r="I18">
            <v>0.7874314</v>
          </cell>
          <cell r="J18">
            <v>22.050671999999999</v>
          </cell>
          <cell r="K18">
            <v>0</v>
          </cell>
          <cell r="L18">
            <v>0</v>
          </cell>
          <cell r="N18" t="str">
            <v>Aluminum Cans</v>
          </cell>
          <cell r="O18">
            <v>0.84762199999999999</v>
          </cell>
          <cell r="P18">
            <v>5.68970778</v>
          </cell>
          <cell r="Q18">
            <v>0</v>
          </cell>
          <cell r="R18">
            <v>2.5154530082927219E-2</v>
          </cell>
        </row>
        <row r="19">
          <cell r="B19">
            <v>4.4999999999999997E-3</v>
          </cell>
          <cell r="C19">
            <v>0</v>
          </cell>
          <cell r="D19">
            <v>6.2414999999999998E-2</v>
          </cell>
          <cell r="E19">
            <v>1.24251E-2</v>
          </cell>
          <cell r="F19">
            <v>0</v>
          </cell>
          <cell r="G19">
            <v>0</v>
          </cell>
          <cell r="H19">
            <v>0.65716209841647355</v>
          </cell>
          <cell r="I19">
            <v>0.42856240000000001</v>
          </cell>
          <cell r="J19">
            <v>4.6838259999999998</v>
          </cell>
          <cell r="K19">
            <v>0</v>
          </cell>
          <cell r="L19">
            <v>0</v>
          </cell>
          <cell r="N19" t="str">
            <v>Glass</v>
          </cell>
          <cell r="O19">
            <v>0.51837270000000002</v>
          </cell>
          <cell r="P19">
            <v>4.1916000000000002E-4</v>
          </cell>
          <cell r="Q19">
            <v>0</v>
          </cell>
          <cell r="R19">
            <v>0</v>
          </cell>
        </row>
        <row r="20">
          <cell r="B20">
            <v>2.7192918686738454E-2</v>
          </cell>
          <cell r="C20">
            <v>6.2885817361690941E-3</v>
          </cell>
          <cell r="D20" t="e">
            <v>#REF!</v>
          </cell>
          <cell r="E20">
            <v>0.47030821027299857</v>
          </cell>
          <cell r="F20">
            <v>0</v>
          </cell>
          <cell r="G20">
            <v>5.2542745855710692E-2</v>
          </cell>
          <cell r="H20">
            <v>3.59750018729045</v>
          </cell>
          <cell r="I20">
            <v>0</v>
          </cell>
          <cell r="J20">
            <v>3.6090498582016348</v>
          </cell>
          <cell r="K20">
            <v>0</v>
          </cell>
          <cell r="L20">
            <v>2.1278207373778484</v>
          </cell>
          <cell r="N20" t="str">
            <v>HDPE</v>
          </cell>
          <cell r="O20">
            <v>3.2838810285558587E-2</v>
          </cell>
          <cell r="P20">
            <v>8.3461258126483667E-2</v>
          </cell>
          <cell r="Q20">
            <v>2.8214221558194801</v>
          </cell>
          <cell r="R20">
            <v>0</v>
          </cell>
          <cell r="S20">
            <v>6.6494559240943066E-2</v>
          </cell>
        </row>
        <row r="21">
          <cell r="B21">
            <v>2.7681472978802104E-2</v>
          </cell>
          <cell r="C21">
            <v>6.2407351282759167E-3</v>
          </cell>
          <cell r="D21" t="e">
            <v>#REF!</v>
          </cell>
          <cell r="E21">
            <v>0.28912834651191205</v>
          </cell>
          <cell r="F21">
            <v>0</v>
          </cell>
          <cell r="G21">
            <v>5.3486741029613663E-2</v>
          </cell>
          <cell r="H21">
            <v>3.7404940176442185</v>
          </cell>
          <cell r="I21">
            <v>0</v>
          </cell>
          <cell r="J21">
            <v>4.118096468735839</v>
          </cell>
          <cell r="K21">
            <v>0</v>
          </cell>
          <cell r="L21">
            <v>5.8680803474487488</v>
          </cell>
          <cell r="N21" t="str">
            <v>LDPE</v>
          </cell>
          <cell r="O21">
            <v>3.3428799977216719E-2</v>
          </cell>
          <cell r="P21">
            <v>8.4960742471965528E-2</v>
          </cell>
          <cell r="Q21">
            <v>2.872112481482143</v>
          </cell>
          <cell r="R21">
            <v>0</v>
          </cell>
          <cell r="S21">
            <v>6.7689215934116878E-2</v>
          </cell>
        </row>
        <row r="22">
          <cell r="B22">
            <v>1.3133949254163113E-2</v>
          </cell>
          <cell r="C22">
            <v>0.14232685577951706</v>
          </cell>
          <cell r="D22" t="e">
            <v>#REF!</v>
          </cell>
          <cell r="E22">
            <v>1.6412658520716044</v>
          </cell>
          <cell r="F22">
            <v>0</v>
          </cell>
          <cell r="G22">
            <v>0.49630571130498896</v>
          </cell>
          <cell r="H22">
            <v>7.8959182993089421</v>
          </cell>
          <cell r="I22">
            <v>0</v>
          </cell>
          <cell r="J22">
            <v>8.8363072744799407</v>
          </cell>
          <cell r="K22">
            <v>0</v>
          </cell>
          <cell r="L22">
            <v>0.37953213193315893</v>
          </cell>
          <cell r="N22" t="str">
            <v>PET</v>
          </cell>
          <cell r="O22">
            <v>0.51880057080151032</v>
          </cell>
          <cell r="P22">
            <v>0.24209848905165796</v>
          </cell>
          <cell r="Q22">
            <v>0.14253812491006637</v>
          </cell>
          <cell r="R22">
            <v>0</v>
          </cell>
          <cell r="S22">
            <v>9.0006549156761678E-2</v>
          </cell>
        </row>
        <row r="23">
          <cell r="B23">
            <v>2.9999999999999997E-4</v>
          </cell>
          <cell r="C23">
            <v>1.719E-4</v>
          </cell>
          <cell r="D23">
            <v>4.4383999999999995E-3</v>
          </cell>
          <cell r="E23">
            <v>0.128742</v>
          </cell>
          <cell r="F23">
            <v>15.410115000000001</v>
          </cell>
          <cell r="G23">
            <v>0.30163000000000001</v>
          </cell>
          <cell r="H23">
            <v>3.5321152658110302</v>
          </cell>
          <cell r="I23">
            <v>3.9007499999999999</v>
          </cell>
          <cell r="J23">
            <v>1.797698</v>
          </cell>
          <cell r="K23">
            <v>0</v>
          </cell>
          <cell r="L23">
            <v>0</v>
          </cell>
          <cell r="N23" t="str">
            <v>Corrugated Boxes</v>
          </cell>
          <cell r="O23">
            <v>1.295231746</v>
          </cell>
          <cell r="P23">
            <v>5.3891999999999992E-4</v>
          </cell>
          <cell r="Q23">
            <v>4.0880000000000002E-5</v>
          </cell>
          <cell r="R23">
            <v>1.9914002982317382E-6</v>
          </cell>
        </row>
        <row r="24">
          <cell r="B24">
            <v>0</v>
          </cell>
          <cell r="C24">
            <v>0</v>
          </cell>
          <cell r="D24">
            <v>0</v>
          </cell>
          <cell r="E24">
            <v>2.5960000000000001</v>
          </cell>
          <cell r="F24">
            <v>8</v>
          </cell>
          <cell r="G24">
            <v>0</v>
          </cell>
          <cell r="H24">
            <v>8.3780000000000001</v>
          </cell>
          <cell r="I24">
            <v>5.5460000000000003</v>
          </cell>
          <cell r="J24">
            <v>7.08</v>
          </cell>
          <cell r="K24">
            <v>0</v>
          </cell>
          <cell r="L24">
            <v>0</v>
          </cell>
          <cell r="N24" t="str">
            <v>Magazines/Third-class Mail</v>
          </cell>
        </row>
        <row r="25">
          <cell r="B25">
            <v>1.4999999999999999E-4</v>
          </cell>
          <cell r="C25">
            <v>3.7245000000000001E-6</v>
          </cell>
          <cell r="D25">
            <v>0</v>
          </cell>
          <cell r="E25">
            <v>0.18413099999999999</v>
          </cell>
          <cell r="F25">
            <v>3.6121500000000002</v>
          </cell>
          <cell r="G25">
            <v>0.26966000000000001</v>
          </cell>
          <cell r="H25">
            <v>21.643376925518627</v>
          </cell>
          <cell r="I25">
            <v>0.40775840000000002</v>
          </cell>
          <cell r="J25">
            <v>11.245066</v>
          </cell>
          <cell r="K25">
            <v>0</v>
          </cell>
          <cell r="L25">
            <v>0</v>
          </cell>
          <cell r="N25" t="str">
            <v>Newspaper</v>
          </cell>
          <cell r="O25">
            <v>0.43662679999999998</v>
          </cell>
          <cell r="P25">
            <v>7.484999999999999E-5</v>
          </cell>
          <cell r="Q25">
            <v>0</v>
          </cell>
          <cell r="R25">
            <v>0</v>
          </cell>
        </row>
        <row r="26">
          <cell r="B26">
            <v>0</v>
          </cell>
          <cell r="C26">
            <v>0</v>
          </cell>
          <cell r="D26">
            <v>0</v>
          </cell>
          <cell r="E26">
            <v>1.518</v>
          </cell>
          <cell r="F26">
            <v>22.4</v>
          </cell>
          <cell r="G26">
            <v>0</v>
          </cell>
          <cell r="H26">
            <v>4.899</v>
          </cell>
          <cell r="I26">
            <v>3.2429999999999999</v>
          </cell>
          <cell r="J26">
            <v>4.1399999999999997</v>
          </cell>
          <cell r="K26">
            <v>0</v>
          </cell>
          <cell r="L26">
            <v>0</v>
          </cell>
          <cell r="N26" t="str">
            <v>Office Paper</v>
          </cell>
        </row>
        <row r="27">
          <cell r="B27">
            <v>0</v>
          </cell>
          <cell r="C27">
            <v>0</v>
          </cell>
          <cell r="D27">
            <v>0</v>
          </cell>
          <cell r="E27">
            <v>3.7510000000000003</v>
          </cell>
          <cell r="F27">
            <v>3.5</v>
          </cell>
          <cell r="G27">
            <v>0</v>
          </cell>
          <cell r="H27">
            <v>12.105499999999999</v>
          </cell>
          <cell r="I27">
            <v>8.0135000000000005</v>
          </cell>
          <cell r="J27">
            <v>10.23</v>
          </cell>
          <cell r="K27">
            <v>0</v>
          </cell>
          <cell r="L27">
            <v>0</v>
          </cell>
          <cell r="N27" t="str">
            <v>Phonebooks</v>
          </cell>
        </row>
        <row r="28">
          <cell r="B28">
            <v>0</v>
          </cell>
          <cell r="C28">
            <v>0</v>
          </cell>
          <cell r="D28">
            <v>0</v>
          </cell>
          <cell r="E28">
            <v>3.3110000000000004</v>
          </cell>
          <cell r="F28">
            <v>3.2</v>
          </cell>
          <cell r="G28">
            <v>0</v>
          </cell>
          <cell r="H28">
            <v>10.685499999999999</v>
          </cell>
          <cell r="I28">
            <v>7.0735000000000001</v>
          </cell>
          <cell r="J28">
            <v>9.0299999999999994</v>
          </cell>
          <cell r="K28">
            <v>0</v>
          </cell>
          <cell r="L28">
            <v>0</v>
          </cell>
          <cell r="N28" t="str">
            <v>Textbooks</v>
          </cell>
        </row>
        <row r="30">
          <cell r="N30" t="str">
            <v>Energy Consumption from Virgin Production: Total Transportation (million BTUs)</v>
          </cell>
        </row>
        <row r="31">
          <cell r="B31" t="str">
            <v>Gasoline</v>
          </cell>
          <cell r="C31" t="str">
            <v>LPG</v>
          </cell>
          <cell r="D31" t="str">
            <v>Distillate Oil</v>
          </cell>
          <cell r="E31" t="str">
            <v>Residual Oil</v>
          </cell>
          <cell r="F31" t="str">
            <v>Biomass/Wood/Hydro</v>
          </cell>
          <cell r="G31" t="str">
            <v>Diesel</v>
          </cell>
          <cell r="H31" t="str">
            <v>Electricity</v>
          </cell>
          <cell r="I31" t="str">
            <v>Coal</v>
          </cell>
          <cell r="J31" t="str">
            <v>Natural Gas</v>
          </cell>
          <cell r="K31" t="str">
            <v>Nuclear</v>
          </cell>
          <cell r="L31" t="str">
            <v>Other</v>
          </cell>
          <cell r="N31" t="str">
            <v>Type of Product</v>
          </cell>
          <cell r="O31" t="str">
            <v>Gasoline</v>
          </cell>
          <cell r="P31" t="str">
            <v>LPG</v>
          </cell>
          <cell r="Q31" t="str">
            <v>Distillate Oil</v>
          </cell>
          <cell r="R31" t="str">
            <v>Residual Oil</v>
          </cell>
          <cell r="S31" t="str">
            <v>Biomass/Wood/Hydro</v>
          </cell>
          <cell r="T31" t="str">
            <v>Diesel</v>
          </cell>
          <cell r="U31" t="str">
            <v>Electricity</v>
          </cell>
          <cell r="V31" t="str">
            <v>Coal</v>
          </cell>
          <cell r="W31" t="str">
            <v>Natural Gas</v>
          </cell>
          <cell r="X31" t="str">
            <v>Nuclear</v>
          </cell>
          <cell r="Y31" t="str">
            <v>Other</v>
          </cell>
        </row>
        <row r="32">
          <cell r="B32">
            <v>0.32874999999999999</v>
          </cell>
          <cell r="C32">
            <v>2.8650000000000002E-2</v>
          </cell>
          <cell r="D32">
            <v>1.6963010000000001</v>
          </cell>
          <cell r="E32">
            <v>8.3457749999999997</v>
          </cell>
          <cell r="F32">
            <v>5.5599999999999997E-2</v>
          </cell>
          <cell r="G32">
            <v>1.02721</v>
          </cell>
          <cell r="H32">
            <v>165.39103529524647</v>
          </cell>
          <cell r="I32">
            <v>1.7069681999999999</v>
          </cell>
          <cell r="J32">
            <v>26.826477999999998</v>
          </cell>
          <cell r="K32">
            <v>0.34486234999999998</v>
          </cell>
          <cell r="L32">
            <v>4.9299999999999997E-2</v>
          </cell>
          <cell r="N32" t="str">
            <v>Aluminum Cans</v>
          </cell>
          <cell r="O32">
            <v>7.6249999999999998E-3</v>
          </cell>
          <cell r="P32">
            <v>5.921E-3</v>
          </cell>
          <cell r="Q32">
            <v>2.9127E-2</v>
          </cell>
          <cell r="R32">
            <v>5.9711437800000002</v>
          </cell>
          <cell r="S32">
            <v>4.0000000000000001E-3</v>
          </cell>
          <cell r="T32">
            <v>0.84762199999999999</v>
          </cell>
          <cell r="U32">
            <v>2.5154530082927219E-2</v>
          </cell>
          <cell r="V32">
            <v>6.4388379999999995E-2</v>
          </cell>
          <cell r="W32">
            <v>0.49158200000000002</v>
          </cell>
          <cell r="X32">
            <v>2.4633025000000003E-2</v>
          </cell>
          <cell r="Y32">
            <v>3.5500000000000002E-3</v>
          </cell>
        </row>
        <row r="33">
          <cell r="B33">
            <v>3.5749999999999997E-2</v>
          </cell>
          <cell r="C33">
            <v>1.6234999999999999E-4</v>
          </cell>
          <cell r="D33">
            <v>9.4315999999999997E-2</v>
          </cell>
          <cell r="E33">
            <v>3.0389100000000002E-2</v>
          </cell>
          <cell r="F33">
            <v>1.81E-3</v>
          </cell>
          <cell r="G33">
            <v>0</v>
          </cell>
          <cell r="H33">
            <v>0.65716209841647355</v>
          </cell>
          <cell r="I33">
            <v>0.46642568000000001</v>
          </cell>
          <cell r="J33">
            <v>5.1917599999999995</v>
          </cell>
          <cell r="K33">
            <v>1.4779815E-2</v>
          </cell>
          <cell r="L33">
            <v>1.31E-3</v>
          </cell>
          <cell r="N33" t="str">
            <v>Glass</v>
          </cell>
          <cell r="O33">
            <v>5.8750000000000002E-4</v>
          </cell>
          <cell r="P33">
            <v>4.5839999999999998E-4</v>
          </cell>
          <cell r="Q33">
            <v>2.3579E-3</v>
          </cell>
          <cell r="R33">
            <v>1.5389160000000001E-2</v>
          </cell>
          <cell r="S33">
            <v>2.5000000000000001E-4</v>
          </cell>
          <cell r="T33">
            <v>0.51837270000000002</v>
          </cell>
          <cell r="U33">
            <v>0</v>
          </cell>
          <cell r="V33">
            <v>5.2009999999999999E-3</v>
          </cell>
          <cell r="W33">
            <v>3.7916199999999997E-2</v>
          </cell>
          <cell r="X33">
            <v>2.0691740999999996E-3</v>
          </cell>
          <cell r="Y33">
            <v>1.8000000000000001E-4</v>
          </cell>
        </row>
        <row r="34">
          <cell r="B34">
            <v>3.0912909963084274E-2</v>
          </cell>
          <cell r="C34">
            <v>7.1182794312029223E-3</v>
          </cell>
          <cell r="D34" t="e">
            <v>#REF!</v>
          </cell>
          <cell r="E34">
            <v>0.53897320897285639</v>
          </cell>
          <cell r="F34">
            <v>0</v>
          </cell>
          <cell r="G34">
            <v>6.0140653709665981E-2</v>
          </cell>
          <cell r="H34">
            <v>3.59750018729045</v>
          </cell>
          <cell r="I34">
            <v>0</v>
          </cell>
          <cell r="J34">
            <v>3.9208997974054656</v>
          </cell>
          <cell r="K34">
            <v>0</v>
          </cell>
          <cell r="L34">
            <v>2.1278207373778484</v>
          </cell>
          <cell r="N34" t="str">
            <v>HDPE</v>
          </cell>
          <cell r="O34">
            <v>0</v>
          </cell>
          <cell r="P34">
            <v>0</v>
          </cell>
          <cell r="Q34">
            <v>0</v>
          </cell>
          <cell r="R34">
            <v>9.5646601812950274E-2</v>
          </cell>
          <cell r="S34">
            <v>0</v>
          </cell>
          <cell r="T34">
            <v>3.7587444003110579E-2</v>
          </cell>
          <cell r="U34">
            <v>0</v>
          </cell>
          <cell r="V34">
            <v>0</v>
          </cell>
          <cell r="W34">
            <v>2.8214221558194801</v>
          </cell>
          <cell r="X34">
            <v>0</v>
          </cell>
          <cell r="Y34">
            <v>6.6494559240943066E-2</v>
          </cell>
        </row>
        <row r="35">
          <cell r="B35">
            <v>3.1468298482302232E-2</v>
          </cell>
          <cell r="C35">
            <v>7.0641200771374511E-3</v>
          </cell>
          <cell r="D35" t="e">
            <v>#REF!</v>
          </cell>
          <cell r="E35">
            <v>0.3313410851026512</v>
          </cell>
          <cell r="F35">
            <v>0</v>
          </cell>
          <cell r="G35">
            <v>6.1221154660514636E-2</v>
          </cell>
          <cell r="H35">
            <v>3.7404940176442185</v>
          </cell>
          <cell r="I35">
            <v>0</v>
          </cell>
          <cell r="J35">
            <v>4.4739319888499063</v>
          </cell>
          <cell r="K35">
            <v>0</v>
          </cell>
          <cell r="L35">
            <v>5.8680803474487488</v>
          </cell>
          <cell r="N35" t="str">
            <v>LDPE</v>
          </cell>
          <cell r="O35">
            <v>0</v>
          </cell>
          <cell r="P35">
            <v>0</v>
          </cell>
          <cell r="Q35">
            <v>0</v>
          </cell>
          <cell r="R35">
            <v>9.7365010872872512E-2</v>
          </cell>
          <cell r="S35">
            <v>0</v>
          </cell>
          <cell r="T35">
            <v>3.8262748750900577E-2</v>
          </cell>
          <cell r="U35">
            <v>0</v>
          </cell>
          <cell r="V35">
            <v>0</v>
          </cell>
          <cell r="W35">
            <v>2.872112481482143</v>
          </cell>
          <cell r="X35">
            <v>0</v>
          </cell>
          <cell r="Y35">
            <v>6.7689215934116878E-2</v>
          </cell>
        </row>
        <row r="36">
          <cell r="B36">
            <v>1.4930673512132626E-2</v>
          </cell>
          <cell r="C36">
            <v>0.16110505874100309</v>
          </cell>
          <cell r="D36" t="e">
            <v>#REF!</v>
          </cell>
          <cell r="E36">
            <v>1.8808906664740586</v>
          </cell>
          <cell r="F36">
            <v>0</v>
          </cell>
          <cell r="G36">
            <v>0.56807365948650179</v>
          </cell>
          <cell r="H36">
            <v>7.8959182993089421</v>
          </cell>
          <cell r="I36">
            <v>0</v>
          </cell>
          <cell r="J36">
            <v>9.5998328545078184</v>
          </cell>
          <cell r="K36">
            <v>0</v>
          </cell>
          <cell r="L36">
            <v>0.37953213193315893</v>
          </cell>
          <cell r="N36" t="str">
            <v>PET</v>
          </cell>
          <cell r="O36">
            <v>0</v>
          </cell>
          <cell r="P36">
            <v>0</v>
          </cell>
          <cell r="Q36">
            <v>0</v>
          </cell>
          <cell r="R36">
            <v>0.27744486845319999</v>
          </cell>
          <cell r="S36">
            <v>0</v>
          </cell>
          <cell r="T36">
            <v>0.59382137276633307</v>
          </cell>
          <cell r="U36">
            <v>0</v>
          </cell>
          <cell r="V36">
            <v>0</v>
          </cell>
          <cell r="W36">
            <v>0.14253812491006637</v>
          </cell>
          <cell r="X36">
            <v>0</v>
          </cell>
          <cell r="Y36">
            <v>9.0006549156761678E-2</v>
          </cell>
        </row>
        <row r="37">
          <cell r="B37">
            <v>2.3E-3</v>
          </cell>
          <cell r="C37">
            <v>2.9605000000000001E-4</v>
          </cell>
          <cell r="D37">
            <v>6.2414999999999997E-3</v>
          </cell>
          <cell r="E37">
            <v>0.1354785</v>
          </cell>
          <cell r="F37">
            <v>15.410345000000001</v>
          </cell>
          <cell r="G37">
            <v>0.30163000000000001</v>
          </cell>
          <cell r="H37">
            <v>3.5321152658110302</v>
          </cell>
          <cell r="I37">
            <v>3.9007499999999999</v>
          </cell>
          <cell r="J37">
            <v>1.837556</v>
          </cell>
          <cell r="K37">
            <v>1.3794494E-3</v>
          </cell>
          <cell r="L37">
            <v>2.0000000000000001E-4</v>
          </cell>
          <cell r="N37" t="str">
            <v>Corrugated Boxes</v>
          </cell>
          <cell r="O37">
            <v>6.625E-4</v>
          </cell>
          <cell r="P37">
            <v>5.7299999999999997E-5</v>
          </cell>
          <cell r="Q37">
            <v>6.935E-4</v>
          </cell>
          <cell r="R37">
            <v>3.5329200000000002E-3</v>
          </cell>
          <cell r="S37">
            <v>8.0000000000000007E-5</v>
          </cell>
          <cell r="T37">
            <v>1.295231746</v>
          </cell>
          <cell r="U37">
            <v>1.9914002982317382E-6</v>
          </cell>
          <cell r="V37">
            <v>6.7612999999999985E-7</v>
          </cell>
          <cell r="W37">
            <v>1.4042279999999999E-2</v>
          </cell>
          <cell r="X37">
            <v>4.7295407999999999E-4</v>
          </cell>
          <cell r="Y37">
            <v>6.9999999999999994E-5</v>
          </cell>
        </row>
        <row r="38">
          <cell r="B38">
            <v>5.0661781247190299E-2</v>
          </cell>
          <cell r="C38">
            <v>2.4465454588779821E-3</v>
          </cell>
          <cell r="D38">
            <v>0.10471178185569843</v>
          </cell>
          <cell r="E38">
            <v>2.737655418884275</v>
          </cell>
          <cell r="F38">
            <v>8.0053362931715455</v>
          </cell>
          <cell r="G38">
            <v>0</v>
          </cell>
          <cell r="H38">
            <v>8.3780000000000001</v>
          </cell>
          <cell r="I38">
            <v>5.6432412129945559</v>
          </cell>
          <cell r="J38">
            <v>8.026874472918772</v>
          </cell>
          <cell r="K38">
            <v>3.4905924431895052E-2</v>
          </cell>
          <cell r="L38">
            <v>4.7274378810961927E-3</v>
          </cell>
          <cell r="N38" t="str">
            <v>Magazines/Third-class Mail</v>
          </cell>
          <cell r="O38">
            <v>0</v>
          </cell>
          <cell r="P38">
            <v>0</v>
          </cell>
          <cell r="Q38">
            <v>0</v>
          </cell>
          <cell r="R38">
            <v>0</v>
          </cell>
          <cell r="S38">
            <v>0</v>
          </cell>
          <cell r="T38">
            <v>0</v>
          </cell>
          <cell r="U38">
            <v>0</v>
          </cell>
          <cell r="V38">
            <v>0</v>
          </cell>
          <cell r="W38">
            <v>0</v>
          </cell>
          <cell r="X38">
            <v>0</v>
          </cell>
          <cell r="Y38">
            <v>0</v>
          </cell>
        </row>
        <row r="39">
          <cell r="B39">
            <v>0.1014</v>
          </cell>
          <cell r="C39">
            <v>1.3407245000000001E-3</v>
          </cell>
          <cell r="D39">
            <v>0.20805000000000001</v>
          </cell>
          <cell r="E39">
            <v>0.2994</v>
          </cell>
          <cell r="F39">
            <v>3.62995</v>
          </cell>
          <cell r="G39">
            <v>0.26966000000000001</v>
          </cell>
          <cell r="H39">
            <v>21.643376925518627</v>
          </cell>
          <cell r="I39">
            <v>0.70005460000000008</v>
          </cell>
          <cell r="J39">
            <v>12.946695999999999</v>
          </cell>
          <cell r="K39">
            <v>0.10838531</v>
          </cell>
          <cell r="L39">
            <v>1.5800000000000002E-2</v>
          </cell>
          <cell r="N39" t="str">
            <v>Newspaper</v>
          </cell>
          <cell r="O39">
            <v>5.0000000000000001E-4</v>
          </cell>
          <cell r="P39">
            <v>3.9155E-4</v>
          </cell>
          <cell r="Q39">
            <v>1.9418E-3</v>
          </cell>
          <cell r="R39">
            <v>1.8038850000000002E-2</v>
          </cell>
          <cell r="S39">
            <v>2.5999999999999998E-4</v>
          </cell>
          <cell r="T39">
            <v>0.43662679999999998</v>
          </cell>
          <cell r="U39">
            <v>0</v>
          </cell>
          <cell r="V39">
            <v>4.2648199999999999E-3</v>
          </cell>
          <cell r="W39">
            <v>3.23974E-2</v>
          </cell>
          <cell r="X39">
            <v>1.6750457E-3</v>
          </cell>
          <cell r="Y39">
            <v>2.3000000000000001E-4</v>
          </cell>
        </row>
        <row r="40">
          <cell r="B40">
            <v>2.9624261915729925E-2</v>
          </cell>
          <cell r="C40">
            <v>1.430607090360854E-3</v>
          </cell>
          <cell r="D40">
            <v>6.1229770746128745E-2</v>
          </cell>
          <cell r="E40">
            <v>1.6008324059577541</v>
          </cell>
          <cell r="F40">
            <v>22.403120374820652</v>
          </cell>
          <cell r="G40">
            <v>0</v>
          </cell>
          <cell r="H40">
            <v>4.899</v>
          </cell>
          <cell r="I40">
            <v>3.2998613872595279</v>
          </cell>
          <cell r="J40">
            <v>4.693680835859281</v>
          </cell>
          <cell r="K40">
            <v>2.0411091405091175E-2</v>
          </cell>
          <cell r="L40">
            <v>2.7643492694545539E-3</v>
          </cell>
          <cell r="N40" t="str">
            <v>Office Paper</v>
          </cell>
          <cell r="O40">
            <v>0</v>
          </cell>
          <cell r="P40">
            <v>0</v>
          </cell>
          <cell r="Q40">
            <v>0</v>
          </cell>
          <cell r="R40">
            <v>0</v>
          </cell>
          <cell r="S40">
            <v>0</v>
          </cell>
          <cell r="T40">
            <v>0</v>
          </cell>
          <cell r="U40">
            <v>0</v>
          </cell>
          <cell r="V40">
            <v>0</v>
          </cell>
          <cell r="W40">
            <v>0</v>
          </cell>
          <cell r="X40">
            <v>0</v>
          </cell>
          <cell r="Y40">
            <v>0</v>
          </cell>
        </row>
        <row r="41">
          <cell r="B41">
            <v>7.3201980530897867E-2</v>
          </cell>
          <cell r="C41">
            <v>3.5350508537177637E-3</v>
          </cell>
          <cell r="D41">
            <v>0.15129965090166594</v>
          </cell>
          <cell r="E41">
            <v>3.9556800755912622</v>
          </cell>
          <cell r="F41">
            <v>3.5077104914046489</v>
          </cell>
          <cell r="G41">
            <v>0</v>
          </cell>
          <cell r="H41">
            <v>12.105499999999999</v>
          </cell>
          <cell r="I41">
            <v>8.1540053119963716</v>
          </cell>
          <cell r="J41">
            <v>11.598153369768227</v>
          </cell>
          <cell r="K41">
            <v>5.0436102674899203E-2</v>
          </cell>
          <cell r="L41">
            <v>6.8307471078550919E-3</v>
          </cell>
          <cell r="N41" t="str">
            <v>Phonebooks</v>
          </cell>
          <cell r="O41">
            <v>0</v>
          </cell>
          <cell r="P41">
            <v>0</v>
          </cell>
          <cell r="Q41">
            <v>0</v>
          </cell>
          <cell r="R41">
            <v>0</v>
          </cell>
          <cell r="S41">
            <v>0</v>
          </cell>
          <cell r="T41">
            <v>0</v>
          </cell>
          <cell r="U41">
            <v>0</v>
          </cell>
          <cell r="V41">
            <v>0</v>
          </cell>
          <cell r="W41">
            <v>0</v>
          </cell>
          <cell r="X41">
            <v>0</v>
          </cell>
          <cell r="Y41">
            <v>0</v>
          </cell>
        </row>
        <row r="42">
          <cell r="B42">
            <v>6.4615237946628309E-2</v>
          </cell>
          <cell r="C42">
            <v>3.1203821318740374E-3</v>
          </cell>
          <cell r="D42">
            <v>0.13355189126510689</v>
          </cell>
          <cell r="E42">
            <v>3.4916706825600294</v>
          </cell>
          <cell r="F42">
            <v>3.2068060349348957</v>
          </cell>
          <cell r="G42">
            <v>0</v>
          </cell>
          <cell r="H42">
            <v>10.685499999999999</v>
          </cell>
          <cell r="I42">
            <v>7.1975237504718699</v>
          </cell>
          <cell r="J42">
            <v>10.237666170968433</v>
          </cell>
          <cell r="K42">
            <v>4.4519844296611912E-2</v>
          </cell>
          <cell r="L42">
            <v>6.0294864500421786E-3</v>
          </cell>
          <cell r="N42" t="str">
            <v>Textbooks</v>
          </cell>
          <cell r="O42">
            <v>0</v>
          </cell>
          <cell r="P42">
            <v>0</v>
          </cell>
          <cell r="Q42">
            <v>0</v>
          </cell>
          <cell r="R42">
            <v>0</v>
          </cell>
          <cell r="S42">
            <v>0</v>
          </cell>
          <cell r="T42">
            <v>0</v>
          </cell>
          <cell r="U42">
            <v>0</v>
          </cell>
          <cell r="V42">
            <v>0</v>
          </cell>
          <cell r="W42">
            <v>0</v>
          </cell>
          <cell r="X42">
            <v>0</v>
          </cell>
          <cell r="Y42">
            <v>0</v>
          </cell>
        </row>
        <row r="48">
          <cell r="N48" t="str">
            <v>Energy Consumption from Recycled Production: Pre-Combustion Transportation (million BTUs)</v>
          </cell>
        </row>
        <row r="49">
          <cell r="B49" t="str">
            <v>Gasoline</v>
          </cell>
          <cell r="C49" t="str">
            <v>LPG</v>
          </cell>
          <cell r="D49" t="str">
            <v>Distillate Fuel</v>
          </cell>
          <cell r="E49" t="str">
            <v>Residual Fuel</v>
          </cell>
          <cell r="F49" t="str">
            <v>Biomass/Wood/Hydro</v>
          </cell>
          <cell r="G49" t="str">
            <v>Diesel</v>
          </cell>
          <cell r="H49" t="str">
            <v>Electricity</v>
          </cell>
          <cell r="I49" t="str">
            <v>Coal</v>
          </cell>
          <cell r="J49" t="str">
            <v>Natural Gas</v>
          </cell>
          <cell r="K49" t="str">
            <v>Nuclear</v>
          </cell>
          <cell r="L49" t="str">
            <v>Other</v>
          </cell>
          <cell r="N49" t="str">
            <v>Type of Product</v>
          </cell>
          <cell r="O49" t="str">
            <v>Gasoline</v>
          </cell>
          <cell r="P49" t="str">
            <v>LPG</v>
          </cell>
          <cell r="Q49" t="str">
            <v>Distillate Oil</v>
          </cell>
          <cell r="R49" t="str">
            <v>Residual Oil</v>
          </cell>
          <cell r="S49" t="str">
            <v>Biomass/Wood/Hydro</v>
          </cell>
          <cell r="T49" t="str">
            <v>Diesel</v>
          </cell>
          <cell r="U49" t="str">
            <v>Electricity</v>
          </cell>
          <cell r="V49" t="str">
            <v>Coal</v>
          </cell>
          <cell r="W49" t="str">
            <v>Natural Gas</v>
          </cell>
          <cell r="X49" t="str">
            <v>Nuclear</v>
          </cell>
          <cell r="Y49" t="str">
            <v>Other</v>
          </cell>
        </row>
        <row r="50">
          <cell r="B50">
            <v>3.5000000000000003E-2</v>
          </cell>
          <cell r="C50">
            <v>1.0123E-3</v>
          </cell>
          <cell r="D50">
            <v>7.9059000000000004E-2</v>
          </cell>
          <cell r="E50">
            <v>6.5867999999999996E-2</v>
          </cell>
          <cell r="F50">
            <v>6.8199999999999997E-3</v>
          </cell>
          <cell r="G50">
            <v>0</v>
          </cell>
          <cell r="H50">
            <v>0</v>
          </cell>
          <cell r="I50">
            <v>0.11192552</v>
          </cell>
          <cell r="J50">
            <v>0.62648599999999999</v>
          </cell>
          <cell r="K50">
            <v>4.2368802999999997E-2</v>
          </cell>
          <cell r="L50">
            <v>6.0499999999999998E-3</v>
          </cell>
          <cell r="N50" t="str">
            <v>Aluminum Cans</v>
          </cell>
          <cell r="O50">
            <v>3.2499999999999999E-4</v>
          </cell>
          <cell r="P50">
            <v>2.4830000000000002E-4</v>
          </cell>
          <cell r="Q50">
            <v>1.2621700000000002E-3</v>
          </cell>
          <cell r="R50">
            <v>1.2125700000000001E-2</v>
          </cell>
          <cell r="S50">
            <v>1.7000000000000001E-4</v>
          </cell>
          <cell r="T50">
            <v>0</v>
          </cell>
          <cell r="U50">
            <v>0</v>
          </cell>
          <cell r="V50">
            <v>2.7045200000000002E-3</v>
          </cell>
          <cell r="W50">
            <v>2.1053200000000001E-2</v>
          </cell>
          <cell r="X50">
            <v>1.0838531000000001E-3</v>
          </cell>
          <cell r="Y50">
            <v>1.4999999999999999E-4</v>
          </cell>
        </row>
        <row r="51">
          <cell r="B51">
            <v>2.375E-2</v>
          </cell>
          <cell r="C51">
            <v>5.6344999999999997E-5</v>
          </cell>
          <cell r="D51">
            <v>1.6643999999999999E-2</v>
          </cell>
          <cell r="E51">
            <v>1.12275E-2</v>
          </cell>
          <cell r="F51">
            <v>1.1199999999999999E-3</v>
          </cell>
          <cell r="G51">
            <v>0</v>
          </cell>
          <cell r="H51">
            <v>0</v>
          </cell>
          <cell r="I51">
            <v>2.3300479999999998E-2</v>
          </cell>
          <cell r="J51">
            <v>0.38120599999999999</v>
          </cell>
          <cell r="K51">
            <v>8.9664211000000001E-3</v>
          </cell>
          <cell r="L51">
            <v>8.0999999999999996E-4</v>
          </cell>
          <cell r="N51" t="str">
            <v>Glass</v>
          </cell>
          <cell r="O51">
            <v>3.3750000000000002E-4</v>
          </cell>
          <cell r="P51">
            <v>2.6739999999999999E-4</v>
          </cell>
          <cell r="Q51">
            <v>1.387E-3</v>
          </cell>
          <cell r="R51">
            <v>8.8322999999999995E-3</v>
          </cell>
          <cell r="S51">
            <v>1.4999999999999999E-4</v>
          </cell>
          <cell r="T51">
            <v>0</v>
          </cell>
          <cell r="U51">
            <v>0</v>
          </cell>
          <cell r="V51">
            <v>3.01658E-3</v>
          </cell>
          <cell r="W51">
            <v>2.21774E-2</v>
          </cell>
          <cell r="X51">
            <v>1.1823851999999998E-3</v>
          </cell>
          <cell r="Y51">
            <v>1.1E-4</v>
          </cell>
        </row>
        <row r="52">
          <cell r="B52">
            <v>0</v>
          </cell>
          <cell r="C52">
            <v>1.2254147552739958E-2</v>
          </cell>
          <cell r="D52">
            <v>0</v>
          </cell>
          <cell r="E52">
            <v>0</v>
          </cell>
          <cell r="F52">
            <v>0</v>
          </cell>
          <cell r="G52">
            <v>1.0825130506673702E-2</v>
          </cell>
          <cell r="H52">
            <v>0</v>
          </cell>
          <cell r="I52">
            <v>0</v>
          </cell>
          <cell r="J52">
            <v>2.4208281146227632E-2</v>
          </cell>
          <cell r="K52">
            <v>0</v>
          </cell>
          <cell r="L52">
            <v>0</v>
          </cell>
          <cell r="N52" t="str">
            <v>HDPE</v>
          </cell>
          <cell r="O52">
            <v>5.4070527651187875E-2</v>
          </cell>
          <cell r="P52">
            <v>0</v>
          </cell>
          <cell r="Q52">
            <v>0</v>
          </cell>
          <cell r="R52">
            <v>0</v>
          </cell>
          <cell r="S52">
            <v>0</v>
          </cell>
          <cell r="T52">
            <v>0.26445963859025123</v>
          </cell>
          <cell r="U52">
            <v>0</v>
          </cell>
          <cell r="V52">
            <v>0</v>
          </cell>
          <cell r="W52">
            <v>0</v>
          </cell>
          <cell r="X52">
            <v>0</v>
          </cell>
          <cell r="Y52">
            <v>0</v>
          </cell>
        </row>
        <row r="53">
          <cell r="A53" t="str">
            <v>LDPE</v>
          </cell>
          <cell r="B53">
            <v>5.4552361681937738E-4</v>
          </cell>
          <cell r="C53">
            <v>1.0631810939853032E-6</v>
          </cell>
          <cell r="D53">
            <v>4.3895198175175676E-2</v>
          </cell>
          <cell r="E53">
            <v>3.5362338262609365E-2</v>
          </cell>
          <cell r="F53">
            <v>0.52038833514918803</v>
          </cell>
          <cell r="G53">
            <v>0</v>
          </cell>
          <cell r="H53">
            <v>0</v>
          </cell>
          <cell r="I53">
            <v>8.802623808458641E-4</v>
          </cell>
          <cell r="J53">
            <v>2.5922176254818543E-2</v>
          </cell>
          <cell r="K53">
            <v>3.8986923468724128E-3</v>
          </cell>
          <cell r="L53">
            <v>1.3107899032231241</v>
          </cell>
          <cell r="N53" t="str">
            <v>LDPE</v>
          </cell>
        </row>
        <row r="54">
          <cell r="A54" t="str">
            <v>PET</v>
          </cell>
          <cell r="B54">
            <v>5.4552361681937738E-4</v>
          </cell>
          <cell r="C54">
            <v>1.0631810939853032E-6</v>
          </cell>
          <cell r="D54">
            <v>4.3895198175175676E-2</v>
          </cell>
          <cell r="E54">
            <v>3.5362338262609365E-2</v>
          </cell>
          <cell r="F54">
            <v>0.52038833514918803</v>
          </cell>
          <cell r="G54">
            <v>0</v>
          </cell>
          <cell r="H54">
            <v>0</v>
          </cell>
          <cell r="I54">
            <v>8.802623808458641E-4</v>
          </cell>
          <cell r="J54">
            <v>2.5922176254818543E-2</v>
          </cell>
          <cell r="K54">
            <v>3.8986923468724128E-3</v>
          </cell>
          <cell r="L54">
            <v>1.3107899032231241</v>
          </cell>
          <cell r="N54" t="str">
            <v>PET</v>
          </cell>
        </row>
        <row r="55">
          <cell r="A55" t="str">
            <v>Corrugated Boxes</v>
          </cell>
          <cell r="B55">
            <v>1.75E-3</v>
          </cell>
          <cell r="C55">
            <v>1.337E-4</v>
          </cell>
          <cell r="D55">
            <v>1.6644000000000001E-3</v>
          </cell>
          <cell r="E55">
            <v>7.0358999999999994E-3</v>
          </cell>
          <cell r="F55">
            <v>2.3000000000000001E-4</v>
          </cell>
          <cell r="G55">
            <v>0</v>
          </cell>
          <cell r="H55">
            <v>0</v>
          </cell>
          <cell r="I55">
            <v>0</v>
          </cell>
          <cell r="J55">
            <v>3.5770000000000003E-2</v>
          </cell>
          <cell r="K55">
            <v>1.4779815000000001E-3</v>
          </cell>
          <cell r="L55">
            <v>2.1000000000000001E-4</v>
          </cell>
          <cell r="N55" t="str">
            <v>Corrugated Boxes</v>
          </cell>
          <cell r="O55">
            <v>4.125E-4</v>
          </cell>
          <cell r="P55">
            <v>3.82E-5</v>
          </cell>
          <cell r="Q55">
            <v>4.1610000000000003E-4</v>
          </cell>
          <cell r="R55">
            <v>1.7964000000000001E-3</v>
          </cell>
          <cell r="S55">
            <v>5.0000000000000002E-5</v>
          </cell>
          <cell r="T55">
            <v>0</v>
          </cell>
          <cell r="U55">
            <v>0</v>
          </cell>
          <cell r="V55">
            <v>4.1608000000000006E-7</v>
          </cell>
          <cell r="W55">
            <v>8.5848000000000001E-3</v>
          </cell>
          <cell r="X55">
            <v>2.9559629999999996E-4</v>
          </cell>
          <cell r="Y55">
            <v>4.0000000000000003E-5</v>
          </cell>
        </row>
        <row r="56">
          <cell r="A56" t="str">
            <v>Magazines/Third-class Mail</v>
          </cell>
          <cell r="B56">
            <v>5.0017775553370079E-2</v>
          </cell>
          <cell r="C56">
            <v>2.4154453047397031E-3</v>
          </cell>
          <cell r="D56">
            <v>0.10338069988295649</v>
          </cell>
          <cell r="E56">
            <v>0.13985471440693267</v>
          </cell>
          <cell r="F56">
            <v>5.2684589363144263E-3</v>
          </cell>
          <cell r="G56">
            <v>0</v>
          </cell>
          <cell r="H56">
            <v>0</v>
          </cell>
          <cell r="I56">
            <v>9.6005095880217772E-2</v>
          </cell>
          <cell r="J56">
            <v>0.93483793300878726</v>
          </cell>
          <cell r="K56">
            <v>3.4462205053523501E-2</v>
          </cell>
          <cell r="L56">
            <v>4.6673433317602235E-3</v>
          </cell>
          <cell r="N56" t="str">
            <v>Magazines/Third-class Mail</v>
          </cell>
        </row>
        <row r="57">
          <cell r="A57" t="str">
            <v>Newspaper</v>
          </cell>
          <cell r="B57">
            <v>6.5000000000000002E-2</v>
          </cell>
          <cell r="C57">
            <v>5.7300000000000005E-4</v>
          </cell>
          <cell r="D57">
            <v>0.123443</v>
          </cell>
          <cell r="E57">
            <v>5.9880000000000003E-2</v>
          </cell>
          <cell r="F57">
            <v>1.06E-2</v>
          </cell>
          <cell r="G57">
            <v>0</v>
          </cell>
          <cell r="H57">
            <v>0</v>
          </cell>
          <cell r="I57">
            <v>0.17371339999999999</v>
          </cell>
          <cell r="J57">
            <v>1.0843419999999999</v>
          </cell>
          <cell r="K57">
            <v>6.5031186000000005E-2</v>
          </cell>
          <cell r="L57">
            <v>9.3699999999999999E-3</v>
          </cell>
          <cell r="N57" t="str">
            <v>Newspaper</v>
          </cell>
          <cell r="O57">
            <v>3.1250000000000001E-5</v>
          </cell>
          <cell r="P57">
            <v>2.3875000000000001E-5</v>
          </cell>
          <cell r="Q57">
            <v>1.19282E-4</v>
          </cell>
          <cell r="R57">
            <v>1.1377200000000001E-3</v>
          </cell>
          <cell r="S57">
            <v>1.5999999999999999E-5</v>
          </cell>
          <cell r="T57">
            <v>0</v>
          </cell>
          <cell r="U57">
            <v>0</v>
          </cell>
          <cell r="V57">
            <v>2.6005000000000001E-4</v>
          </cell>
          <cell r="W57">
            <v>1.9826800000000001E-3</v>
          </cell>
          <cell r="X57">
            <v>9.8532100000000005E-5</v>
          </cell>
          <cell r="Y57">
            <v>1.4E-5</v>
          </cell>
        </row>
        <row r="58">
          <cell r="A58" t="str">
            <v>Office Paper</v>
          </cell>
          <cell r="B58">
            <v>4.078702727528033E-2</v>
          </cell>
          <cell r="C58">
            <v>1.9696764287576974E-3</v>
          </cell>
          <cell r="D58">
            <v>8.4301858273655522E-2</v>
          </cell>
          <cell r="E58">
            <v>0.11404461689835713</v>
          </cell>
          <cell r="F58">
            <v>4.2961682313293623E-3</v>
          </cell>
          <cell r="G58">
            <v>0</v>
          </cell>
          <cell r="H58">
            <v>0</v>
          </cell>
          <cell r="I58">
            <v>7.8287417241379303E-2</v>
          </cell>
          <cell r="J58">
            <v>0.76231419429901115</v>
          </cell>
          <cell r="K58">
            <v>2.8102227296864662E-2</v>
          </cell>
          <cell r="L58">
            <v>3.8059881246113414E-3</v>
          </cell>
          <cell r="N58" t="str">
            <v>Office Paper</v>
          </cell>
        </row>
        <row r="59">
          <cell r="A59" t="str">
            <v>Phonebooks</v>
          </cell>
          <cell r="B59">
            <v>4.4651061438201613E-2</v>
          </cell>
          <cell r="C59">
            <v>2.1562773535873745E-3</v>
          </cell>
          <cell r="D59">
            <v>9.2288350110107081E-2</v>
          </cell>
          <cell r="E59">
            <v>0.12484884376241202</v>
          </cell>
          <cell r="F59">
            <v>4.7031736427184589E-3</v>
          </cell>
          <cell r="G59">
            <v>0</v>
          </cell>
          <cell r="H59">
            <v>0</v>
          </cell>
          <cell r="I59">
            <v>8.5704119927404718E-2</v>
          </cell>
          <cell r="J59">
            <v>0.83453343375891753</v>
          </cell>
          <cell r="K59">
            <v>3.076454356709394E-2</v>
          </cell>
          <cell r="L59">
            <v>4.1665554206271526E-3</v>
          </cell>
          <cell r="N59" t="str">
            <v>Phonebooks</v>
          </cell>
        </row>
        <row r="60">
          <cell r="A60" t="str">
            <v>Textbooks</v>
          </cell>
          <cell r="B60">
            <v>7.0249697680022996E-2</v>
          </cell>
          <cell r="C60">
            <v>3.433796812846441E-3</v>
          </cell>
          <cell r="D60">
            <v>0.20023525322629354</v>
          </cell>
          <cell r="E60">
            <v>0.2019162933748285</v>
          </cell>
          <cell r="F60">
            <v>8.8734346021283692E-3</v>
          </cell>
          <cell r="G60">
            <v>0</v>
          </cell>
          <cell r="H60">
            <v>0</v>
          </cell>
          <cell r="I60">
            <v>0.16309633790985481</v>
          </cell>
          <cell r="J60">
            <v>1.3002315725708342</v>
          </cell>
          <cell r="K60">
            <v>5.8097991030600163E-2</v>
          </cell>
          <cell r="L60">
            <v>7.8572832022897714E-3</v>
          </cell>
          <cell r="N60" t="str">
            <v>Textbooks</v>
          </cell>
        </row>
        <row r="62">
          <cell r="A62" t="str">
            <v>Energy Consumption from Recycled Production: Combustion Process (million BTUs)</v>
          </cell>
          <cell r="N62" t="str">
            <v>Energy Consumption from Recycled Production: Combustion Transportation (million BTUs)</v>
          </cell>
        </row>
        <row r="63">
          <cell r="A63" t="str">
            <v>Type of Product</v>
          </cell>
          <cell r="B63" t="str">
            <v>Gasoline</v>
          </cell>
          <cell r="C63" t="str">
            <v>LPG</v>
          </cell>
          <cell r="D63" t="str">
            <v>Distillate Oil</v>
          </cell>
          <cell r="E63" t="str">
            <v>Residual Oil</v>
          </cell>
          <cell r="F63" t="str">
            <v>Biomass/Wood/Hydro</v>
          </cell>
          <cell r="G63" t="str">
            <v>Diesel</v>
          </cell>
          <cell r="H63" t="str">
            <v>Electricity</v>
          </cell>
          <cell r="I63" t="str">
            <v>Coal</v>
          </cell>
          <cell r="J63" t="str">
            <v>Natural Gas</v>
          </cell>
          <cell r="K63" t="str">
            <v>Nuclear</v>
          </cell>
          <cell r="L63" t="str">
            <v>Other</v>
          </cell>
          <cell r="N63" t="str">
            <v>Type of Product</v>
          </cell>
          <cell r="O63" t="str">
            <v>Diesel</v>
          </cell>
          <cell r="P63" t="str">
            <v>Residual Oil</v>
          </cell>
          <cell r="Q63" t="str">
            <v>Natural Gas</v>
          </cell>
          <cell r="R63" t="str">
            <v>Electricity</v>
          </cell>
          <cell r="S63" t="str">
            <v>Other</v>
          </cell>
        </row>
        <row r="64">
          <cell r="A64" t="str">
            <v>Aluminum Cans</v>
          </cell>
          <cell r="B64">
            <v>4.6249999999999998E-3</v>
          </cell>
          <cell r="C64">
            <v>0</v>
          </cell>
          <cell r="D64">
            <v>0.68101699999999998</v>
          </cell>
          <cell r="E64">
            <v>0</v>
          </cell>
          <cell r="F64">
            <v>0</v>
          </cell>
          <cell r="G64">
            <v>7.7840000000000006E-2</v>
          </cell>
          <cell r="H64">
            <v>9.4643919437013668</v>
          </cell>
          <cell r="I64">
            <v>0</v>
          </cell>
          <cell r="J64">
            <v>3.646496</v>
          </cell>
          <cell r="K64">
            <v>0</v>
          </cell>
          <cell r="L64">
            <v>0</v>
          </cell>
          <cell r="N64" t="str">
            <v>Aluminum Cans</v>
          </cell>
          <cell r="O64">
            <v>0.35625699999999999</v>
          </cell>
          <cell r="P64">
            <v>0</v>
          </cell>
          <cell r="Q64">
            <v>0</v>
          </cell>
          <cell r="R64">
            <v>0</v>
          </cell>
        </row>
        <row r="65">
          <cell r="A65" t="str">
            <v>Glass</v>
          </cell>
          <cell r="B65">
            <v>0</v>
          </cell>
          <cell r="C65">
            <v>0</v>
          </cell>
          <cell r="D65">
            <v>0</v>
          </cell>
          <cell r="E65">
            <v>0</v>
          </cell>
          <cell r="F65">
            <v>0</v>
          </cell>
          <cell r="G65">
            <v>0</v>
          </cell>
          <cell r="H65">
            <v>0.22010213822561317</v>
          </cell>
          <cell r="I65">
            <v>0</v>
          </cell>
          <cell r="J65">
            <v>3.6280999999999999</v>
          </cell>
          <cell r="K65">
            <v>0</v>
          </cell>
          <cell r="L65">
            <v>0</v>
          </cell>
          <cell r="N65" t="str">
            <v>Glass</v>
          </cell>
          <cell r="O65">
            <v>0.30329800000000001</v>
          </cell>
          <cell r="P65">
            <v>0</v>
          </cell>
          <cell r="Q65">
            <v>0</v>
          </cell>
          <cell r="R65">
            <v>0</v>
          </cell>
        </row>
        <row r="66">
          <cell r="A66" t="str">
            <v>HDPE</v>
          </cell>
          <cell r="B66">
            <v>0</v>
          </cell>
          <cell r="C66">
            <v>9.2878658038624273E-2</v>
          </cell>
          <cell r="D66">
            <v>0</v>
          </cell>
          <cell r="E66">
            <v>0</v>
          </cell>
          <cell r="F66">
            <v>0</v>
          </cell>
          <cell r="G66">
            <v>7.4860355245156426E-2</v>
          </cell>
          <cell r="H66">
            <v>5.3765426312788387</v>
          </cell>
          <cell r="I66">
            <v>0</v>
          </cell>
          <cell r="J66">
            <v>0.28016325371476924</v>
          </cell>
          <cell r="K66">
            <v>0</v>
          </cell>
          <cell r="L66">
            <v>0</v>
          </cell>
          <cell r="N66" t="str">
            <v>HDPE</v>
          </cell>
          <cell r="O66">
            <v>1.82885023701716</v>
          </cell>
          <cell r="P66">
            <v>0</v>
          </cell>
          <cell r="Q66">
            <v>0</v>
          </cell>
          <cell r="R66">
            <v>0</v>
          </cell>
          <cell r="S66">
            <v>0.39525239511102245</v>
          </cell>
        </row>
        <row r="67">
          <cell r="A67" t="str">
            <v>LDPE</v>
          </cell>
          <cell r="B67">
            <v>8.7500000000000013E-4</v>
          </cell>
          <cell r="C67">
            <v>1.2091985294117647E-3</v>
          </cell>
          <cell r="D67">
            <v>0</v>
          </cell>
          <cell r="E67">
            <v>1.6367647058823532E-2</v>
          </cell>
          <cell r="F67">
            <v>0</v>
          </cell>
          <cell r="G67">
            <v>2.1892500000000002E-3</v>
          </cell>
          <cell r="H67">
            <v>1.3843829939574634</v>
          </cell>
          <cell r="I67">
            <v>0</v>
          </cell>
          <cell r="J67">
            <v>0.82214370217886679</v>
          </cell>
          <cell r="K67">
            <v>0</v>
          </cell>
          <cell r="L67">
            <v>0</v>
          </cell>
          <cell r="N67" t="str">
            <v>LDPE</v>
          </cell>
          <cell r="O67">
            <v>4.9423426307182577E-3</v>
          </cell>
          <cell r="P67">
            <v>4.6879631122609629E-2</v>
          </cell>
          <cell r="Q67">
            <v>2.9048567741449694E-2</v>
          </cell>
          <cell r="R67">
            <v>2.0966533816239681E-3</v>
          </cell>
        </row>
        <row r="68">
          <cell r="A68" t="str">
            <v>PET</v>
          </cell>
          <cell r="B68">
            <v>8.7500000000000013E-4</v>
          </cell>
          <cell r="C68">
            <v>1.2091985294117647E-3</v>
          </cell>
          <cell r="D68">
            <v>0</v>
          </cell>
          <cell r="E68">
            <v>1.6367647058823532E-2</v>
          </cell>
          <cell r="F68">
            <v>0</v>
          </cell>
          <cell r="G68">
            <v>2.1892500000000002E-3</v>
          </cell>
          <cell r="H68">
            <v>1.3843829939574634</v>
          </cell>
          <cell r="I68">
            <v>0</v>
          </cell>
          <cell r="J68">
            <v>0.82214370217886679</v>
          </cell>
          <cell r="K68">
            <v>0</v>
          </cell>
          <cell r="L68">
            <v>0</v>
          </cell>
          <cell r="N68" t="str">
            <v>PET</v>
          </cell>
          <cell r="O68">
            <v>4.9423426307182577E-3</v>
          </cell>
          <cell r="P68">
            <v>4.6879631122609629E-2</v>
          </cell>
          <cell r="Q68">
            <v>2.9048567741449694E-2</v>
          </cell>
          <cell r="R68">
            <v>2.0966533816239681E-3</v>
          </cell>
        </row>
        <row r="69">
          <cell r="A69" t="str">
            <v>Corrugated Boxes</v>
          </cell>
          <cell r="B69">
            <v>0</v>
          </cell>
          <cell r="C69">
            <v>5.4435000000000004E-3</v>
          </cell>
          <cell r="D69">
            <v>3.8836000000000001E-3</v>
          </cell>
          <cell r="E69">
            <v>7.0359000000000005E-2</v>
          </cell>
          <cell r="F69">
            <v>0</v>
          </cell>
          <cell r="G69">
            <v>3.6139999999999999E-2</v>
          </cell>
          <cell r="H69">
            <v>5.9951630030976544</v>
          </cell>
          <cell r="I69">
            <v>4.5040659999999999</v>
          </cell>
          <cell r="J69">
            <v>1.0669679999999999</v>
          </cell>
          <cell r="K69">
            <v>0</v>
          </cell>
          <cell r="L69">
            <v>0</v>
          </cell>
          <cell r="N69" t="str">
            <v>Corrugated Boxes</v>
          </cell>
          <cell r="O69">
            <v>0.78952</v>
          </cell>
          <cell r="P69">
            <v>0</v>
          </cell>
          <cell r="Q69">
            <v>0</v>
          </cell>
          <cell r="R69">
            <v>0</v>
          </cell>
        </row>
        <row r="70">
          <cell r="A70" t="str">
            <v>Magazines/Third-class Mail</v>
          </cell>
          <cell r="B70">
            <v>0</v>
          </cell>
          <cell r="C70">
            <v>0</v>
          </cell>
          <cell r="D70">
            <v>0</v>
          </cell>
          <cell r="E70">
            <v>2.5630000000000002</v>
          </cell>
          <cell r="F70">
            <v>7.3</v>
          </cell>
          <cell r="G70">
            <v>0</v>
          </cell>
          <cell r="H70">
            <v>8.2714999999999996</v>
          </cell>
          <cell r="I70">
            <v>5.4755000000000003</v>
          </cell>
          <cell r="J70">
            <v>6.99</v>
          </cell>
          <cell r="K70">
            <v>0</v>
          </cell>
          <cell r="L70">
            <v>0</v>
          </cell>
          <cell r="N70" t="str">
            <v>Magazines/Third-class Mail</v>
          </cell>
        </row>
        <row r="71">
          <cell r="A71" t="str">
            <v>Newspaper</v>
          </cell>
          <cell r="B71">
            <v>2.875E-4</v>
          </cell>
          <cell r="C71">
            <v>0</v>
          </cell>
          <cell r="D71">
            <v>4.0223000000000004E-3</v>
          </cell>
          <cell r="E71">
            <v>6.7365000000000003E-3</v>
          </cell>
          <cell r="F71">
            <v>0</v>
          </cell>
          <cell r="G71">
            <v>0</v>
          </cell>
          <cell r="H71">
            <v>12.692556637677027</v>
          </cell>
          <cell r="I71">
            <v>6.6364759999999995E-2</v>
          </cell>
          <cell r="J71">
            <v>7.6159439999999998</v>
          </cell>
          <cell r="K71">
            <v>0</v>
          </cell>
          <cell r="L71">
            <v>0</v>
          </cell>
          <cell r="N71" t="str">
            <v>Newspaper</v>
          </cell>
          <cell r="O71">
            <v>2.6688E-2</v>
          </cell>
          <cell r="P71">
            <v>0</v>
          </cell>
          <cell r="Q71">
            <v>0</v>
          </cell>
          <cell r="R71">
            <v>0</v>
          </cell>
        </row>
        <row r="72">
          <cell r="A72" t="str">
            <v>Office Paper</v>
          </cell>
          <cell r="B72">
            <v>0</v>
          </cell>
          <cell r="C72">
            <v>0</v>
          </cell>
          <cell r="D72">
            <v>0</v>
          </cell>
          <cell r="E72">
            <v>2.09</v>
          </cell>
          <cell r="F72">
            <v>0</v>
          </cell>
          <cell r="G72">
            <v>0</v>
          </cell>
          <cell r="H72">
            <v>6.7450000000000001</v>
          </cell>
          <cell r="I72">
            <v>4.4649999999999999</v>
          </cell>
          <cell r="J72">
            <v>5.7</v>
          </cell>
          <cell r="K72">
            <v>0</v>
          </cell>
          <cell r="L72">
            <v>0</v>
          </cell>
          <cell r="N72" t="str">
            <v>Office Paper</v>
          </cell>
        </row>
        <row r="73">
          <cell r="A73" t="str">
            <v>Phonebooks</v>
          </cell>
          <cell r="B73">
            <v>0</v>
          </cell>
          <cell r="C73">
            <v>0</v>
          </cell>
          <cell r="D73">
            <v>0</v>
          </cell>
          <cell r="E73">
            <v>2.2880000000000003</v>
          </cell>
          <cell r="F73">
            <v>0</v>
          </cell>
          <cell r="G73">
            <v>0</v>
          </cell>
          <cell r="H73">
            <v>7.3839999999999995</v>
          </cell>
          <cell r="I73">
            <v>4.8879999999999999</v>
          </cell>
          <cell r="J73">
            <v>6.24</v>
          </cell>
          <cell r="K73">
            <v>0</v>
          </cell>
          <cell r="L73">
            <v>0</v>
          </cell>
          <cell r="N73" t="str">
            <v>Phonebooks</v>
          </cell>
        </row>
        <row r="74">
          <cell r="A74" t="str">
            <v>Textbooks</v>
          </cell>
          <cell r="B74">
            <v>0</v>
          </cell>
          <cell r="C74">
            <v>0</v>
          </cell>
          <cell r="D74">
            <v>0</v>
          </cell>
          <cell r="E74">
            <v>3.157</v>
          </cell>
          <cell r="F74">
            <v>2.8</v>
          </cell>
          <cell r="G74">
            <v>0</v>
          </cell>
          <cell r="H74">
            <v>10.188499999999999</v>
          </cell>
          <cell r="I74">
            <v>6.7444999999999995</v>
          </cell>
          <cell r="J74">
            <v>8.61</v>
          </cell>
          <cell r="K74">
            <v>0</v>
          </cell>
          <cell r="L74">
            <v>0</v>
          </cell>
          <cell r="N74" t="str">
            <v>Textbooks</v>
          </cell>
        </row>
        <row r="77">
          <cell r="A77" t="str">
            <v>Energy Consumption from Recycled Production: Total Process (million BTUs)</v>
          </cell>
          <cell r="N77" t="str">
            <v>Energy Consumption from Recycled Production: Total Transportation (million BTUs)</v>
          </cell>
        </row>
        <row r="78">
          <cell r="A78" t="str">
            <v>Type of Product</v>
          </cell>
          <cell r="B78" t="str">
            <v>Gasoline</v>
          </cell>
          <cell r="C78" t="str">
            <v>LPG</v>
          </cell>
          <cell r="D78" t="str">
            <v>Distillate Oil</v>
          </cell>
          <cell r="E78" t="str">
            <v>Residual Oil</v>
          </cell>
          <cell r="F78" t="str">
            <v>Biomass/Wood/Hydro</v>
          </cell>
          <cell r="G78" t="str">
            <v>Diesel</v>
          </cell>
          <cell r="H78" t="str">
            <v>Electricity</v>
          </cell>
          <cell r="I78" t="str">
            <v>Coal</v>
          </cell>
          <cell r="J78" t="str">
            <v>Natural Gas</v>
          </cell>
          <cell r="K78" t="str">
            <v>Nuclear</v>
          </cell>
          <cell r="L78" t="str">
            <v>Other</v>
          </cell>
          <cell r="N78" t="str">
            <v>Type of Product</v>
          </cell>
          <cell r="O78" t="str">
            <v>Gasoline</v>
          </cell>
          <cell r="P78" t="str">
            <v>LPG</v>
          </cell>
          <cell r="Q78" t="str">
            <v>Distillate Oil</v>
          </cell>
          <cell r="R78" t="str">
            <v>Residual Oil</v>
          </cell>
          <cell r="S78" t="str">
            <v>Biomass/Wood/Hydro</v>
          </cell>
          <cell r="T78" t="str">
            <v>Diesel</v>
          </cell>
          <cell r="U78" t="str">
            <v>Electricity</v>
          </cell>
          <cell r="V78" t="str">
            <v>Coal</v>
          </cell>
          <cell r="W78" t="str">
            <v>Natural Gas</v>
          </cell>
          <cell r="X78" t="str">
            <v>Nuclear</v>
          </cell>
          <cell r="Y78" t="str">
            <v>Other</v>
          </cell>
        </row>
        <row r="79">
          <cell r="A79" t="str">
            <v>Aluminum Cans</v>
          </cell>
          <cell r="B79">
            <v>3.9625E-2</v>
          </cell>
          <cell r="C79">
            <v>1.0123E-3</v>
          </cell>
          <cell r="D79">
            <v>0.76007599999999997</v>
          </cell>
          <cell r="E79">
            <v>6.5867999999999996E-2</v>
          </cell>
          <cell r="F79">
            <v>6.8199999999999997E-3</v>
          </cell>
          <cell r="G79">
            <v>7.7840000000000006E-2</v>
          </cell>
          <cell r="H79">
            <v>9.4643919437013668</v>
          </cell>
          <cell r="I79">
            <v>0.11192552</v>
          </cell>
          <cell r="J79">
            <v>4.2729819999999998</v>
          </cell>
          <cell r="K79">
            <v>4.2368802999999997E-2</v>
          </cell>
          <cell r="L79">
            <v>6.0499999999999998E-3</v>
          </cell>
          <cell r="N79" t="str">
            <v>Aluminum Cans</v>
          </cell>
          <cell r="O79">
            <v>3.2499999999999999E-4</v>
          </cell>
          <cell r="P79">
            <v>2.4830000000000002E-4</v>
          </cell>
          <cell r="Q79">
            <v>1.2621700000000002E-3</v>
          </cell>
          <cell r="R79">
            <v>1.2125700000000001E-2</v>
          </cell>
          <cell r="S79">
            <v>1.7000000000000001E-4</v>
          </cell>
          <cell r="T79">
            <v>0.35625699999999999</v>
          </cell>
          <cell r="U79">
            <v>0</v>
          </cell>
          <cell r="V79">
            <v>2.7045200000000002E-3</v>
          </cell>
          <cell r="W79">
            <v>2.1053200000000001E-2</v>
          </cell>
          <cell r="X79">
            <v>1.0838531000000001E-3</v>
          </cell>
          <cell r="Y79">
            <v>1.4999999999999999E-4</v>
          </cell>
        </row>
        <row r="80">
          <cell r="A80" t="str">
            <v>Glass</v>
          </cell>
          <cell r="B80">
            <v>2.375E-2</v>
          </cell>
          <cell r="C80">
            <v>5.6344999999999997E-5</v>
          </cell>
          <cell r="D80">
            <v>1.6643999999999999E-2</v>
          </cell>
          <cell r="E80">
            <v>1.12275E-2</v>
          </cell>
          <cell r="F80">
            <v>1.1199999999999999E-3</v>
          </cell>
          <cell r="G80">
            <v>0</v>
          </cell>
          <cell r="H80">
            <v>0.22010213822561317</v>
          </cell>
          <cell r="I80">
            <v>2.3300479999999998E-2</v>
          </cell>
          <cell r="J80">
            <v>4.0093059999999996</v>
          </cell>
          <cell r="K80">
            <v>8.9664211000000001E-3</v>
          </cell>
          <cell r="L80">
            <v>8.0999999999999996E-4</v>
          </cell>
          <cell r="N80" t="str">
            <v>Glass</v>
          </cell>
          <cell r="O80">
            <v>3.3750000000000002E-4</v>
          </cell>
          <cell r="P80">
            <v>2.6739999999999999E-4</v>
          </cell>
          <cell r="Q80">
            <v>1.387E-3</v>
          </cell>
          <cell r="R80">
            <v>8.8322999999999995E-3</v>
          </cell>
          <cell r="S80">
            <v>1.4999999999999999E-4</v>
          </cell>
          <cell r="T80">
            <v>0.30329800000000001</v>
          </cell>
          <cell r="U80">
            <v>0</v>
          </cell>
          <cell r="V80">
            <v>3.01658E-3</v>
          </cell>
          <cell r="W80">
            <v>2.21774E-2</v>
          </cell>
          <cell r="X80">
            <v>1.1823851999999998E-3</v>
          </cell>
          <cell r="Y80">
            <v>1.1E-4</v>
          </cell>
        </row>
        <row r="81">
          <cell r="A81" t="str">
            <v>HDPE</v>
          </cell>
          <cell r="B81">
            <v>0</v>
          </cell>
          <cell r="C81">
            <v>0.10513280559136423</v>
          </cell>
          <cell r="D81">
            <v>0</v>
          </cell>
          <cell r="E81">
            <v>0</v>
          </cell>
          <cell r="F81">
            <v>0</v>
          </cell>
          <cell r="G81">
            <v>8.5685485751830132E-2</v>
          </cell>
          <cell r="H81">
            <v>5.3765426312788387</v>
          </cell>
          <cell r="I81">
            <v>0</v>
          </cell>
          <cell r="J81">
            <v>0.30437153486099688</v>
          </cell>
          <cell r="K81">
            <v>0</v>
          </cell>
          <cell r="L81">
            <v>0</v>
          </cell>
          <cell r="N81" t="str">
            <v>HDPE</v>
          </cell>
          <cell r="O81">
            <v>0.44932292276221031</v>
          </cell>
          <cell r="P81">
            <v>0</v>
          </cell>
          <cell r="Q81">
            <v>0</v>
          </cell>
          <cell r="R81">
            <v>0</v>
          </cell>
          <cell r="S81">
            <v>0</v>
          </cell>
          <cell r="T81">
            <v>2.0933098756074111</v>
          </cell>
          <cell r="U81">
            <v>0</v>
          </cell>
          <cell r="V81">
            <v>0</v>
          </cell>
          <cell r="W81">
            <v>0</v>
          </cell>
          <cell r="X81">
            <v>0</v>
          </cell>
          <cell r="Y81">
            <v>0</v>
          </cell>
        </row>
        <row r="82">
          <cell r="B82">
            <v>1.4205236168193776E-3</v>
          </cell>
          <cell r="C82">
            <v>1.21026171050575E-3</v>
          </cell>
          <cell r="D82">
            <v>4.3895198175175676E-2</v>
          </cell>
          <cell r="E82">
            <v>5.17299853214329E-2</v>
          </cell>
          <cell r="F82">
            <v>0.52038833514918803</v>
          </cell>
          <cell r="G82">
            <v>2.1892500000000002E-3</v>
          </cell>
          <cell r="H82">
            <v>1.3843829939574634</v>
          </cell>
          <cell r="I82">
            <v>8.802623808458641E-4</v>
          </cell>
          <cell r="J82">
            <v>0.84806587843368531</v>
          </cell>
          <cell r="K82">
            <v>3.8986923468724128E-3</v>
          </cell>
          <cell r="L82">
            <v>1.3107899032231241</v>
          </cell>
          <cell r="N82" t="str">
            <v>LDPE</v>
          </cell>
          <cell r="O82">
            <v>0</v>
          </cell>
          <cell r="P82">
            <v>0</v>
          </cell>
          <cell r="Q82">
            <v>0</v>
          </cell>
          <cell r="R82">
            <v>4.6879631122609629E-2</v>
          </cell>
          <cell r="S82">
            <v>0</v>
          </cell>
          <cell r="T82">
            <v>4.9423426307182577E-3</v>
          </cell>
          <cell r="U82">
            <v>2.0966533816239681E-3</v>
          </cell>
          <cell r="V82">
            <v>0</v>
          </cell>
          <cell r="W82">
            <v>2.9048567741449694E-2</v>
          </cell>
          <cell r="X82">
            <v>0</v>
          </cell>
          <cell r="Y82">
            <v>0</v>
          </cell>
        </row>
        <row r="83">
          <cell r="B83">
            <v>1.4205236168193776E-3</v>
          </cell>
          <cell r="C83">
            <v>1.21026171050575E-3</v>
          </cell>
          <cell r="D83">
            <v>4.3895198175175676E-2</v>
          </cell>
          <cell r="E83">
            <v>5.17299853214329E-2</v>
          </cell>
          <cell r="F83">
            <v>0.52038833514918803</v>
          </cell>
          <cell r="G83">
            <v>2.1892500000000002E-3</v>
          </cell>
          <cell r="H83">
            <v>1.3843829939574634</v>
          </cell>
          <cell r="I83">
            <v>8.802623808458641E-4</v>
          </cell>
          <cell r="J83">
            <v>0.84806587843368531</v>
          </cell>
          <cell r="K83">
            <v>3.8986923468724128E-3</v>
          </cell>
          <cell r="L83">
            <v>1.3107899032231241</v>
          </cell>
          <cell r="N83" t="str">
            <v>PET</v>
          </cell>
          <cell r="O83">
            <v>0</v>
          </cell>
          <cell r="P83">
            <v>0</v>
          </cell>
          <cell r="Q83">
            <v>0</v>
          </cell>
          <cell r="R83">
            <v>4.6879631122609629E-2</v>
          </cell>
          <cell r="S83">
            <v>0</v>
          </cell>
          <cell r="T83">
            <v>4.9423426307182577E-3</v>
          </cell>
          <cell r="U83">
            <v>2.0966533816239681E-3</v>
          </cell>
          <cell r="V83">
            <v>0</v>
          </cell>
          <cell r="W83">
            <v>2.9048567741449694E-2</v>
          </cell>
          <cell r="X83">
            <v>0</v>
          </cell>
          <cell r="Y83">
            <v>0</v>
          </cell>
        </row>
        <row r="84">
          <cell r="B84">
            <v>1.75E-3</v>
          </cell>
          <cell r="C84">
            <v>5.5772E-3</v>
          </cell>
          <cell r="D84">
            <v>5.548E-3</v>
          </cell>
          <cell r="E84">
            <v>7.7394900000000003E-2</v>
          </cell>
          <cell r="F84">
            <v>2.3000000000000001E-4</v>
          </cell>
          <cell r="G84">
            <v>3.6139999999999999E-2</v>
          </cell>
          <cell r="H84">
            <v>5.9951630030976544</v>
          </cell>
          <cell r="I84">
            <v>4.5040659999999999</v>
          </cell>
          <cell r="J84">
            <v>1.102738</v>
          </cell>
          <cell r="K84">
            <v>1.4779815000000001E-3</v>
          </cell>
          <cell r="L84">
            <v>2.1000000000000001E-4</v>
          </cell>
          <cell r="N84" t="str">
            <v>Corrugated Boxes</v>
          </cell>
          <cell r="O84">
            <v>4.125E-4</v>
          </cell>
          <cell r="P84">
            <v>3.82E-5</v>
          </cell>
          <cell r="Q84">
            <v>4.1610000000000003E-4</v>
          </cell>
          <cell r="R84">
            <v>1.7964000000000001E-3</v>
          </cell>
          <cell r="S84">
            <v>5.0000000000000002E-5</v>
          </cell>
          <cell r="T84">
            <v>0.78952</v>
          </cell>
          <cell r="U84">
            <v>0</v>
          </cell>
          <cell r="V84">
            <v>4.1608000000000006E-7</v>
          </cell>
          <cell r="W84">
            <v>8.5848000000000001E-3</v>
          </cell>
          <cell r="X84">
            <v>2.9559629999999996E-4</v>
          </cell>
          <cell r="Y84">
            <v>4.0000000000000003E-5</v>
          </cell>
        </row>
        <row r="85">
          <cell r="B85">
            <v>5.0017775553370079E-2</v>
          </cell>
          <cell r="C85">
            <v>2.4154453047397031E-3</v>
          </cell>
          <cell r="D85">
            <v>0.10338069988295649</v>
          </cell>
          <cell r="E85">
            <v>2.702854714406933</v>
          </cell>
          <cell r="F85">
            <v>7.3052684589363146</v>
          </cell>
          <cell r="G85">
            <v>0</v>
          </cell>
          <cell r="H85">
            <v>8.2714999999999996</v>
          </cell>
          <cell r="I85">
            <v>5.5715050958802177</v>
          </cell>
          <cell r="J85">
            <v>7.9248379330087877</v>
          </cell>
          <cell r="K85">
            <v>3.4462205053523501E-2</v>
          </cell>
          <cell r="L85">
            <v>4.6673433317602235E-3</v>
          </cell>
          <cell r="N85" t="str">
            <v>Magazines/Third-class Mail</v>
          </cell>
          <cell r="O85">
            <v>0</v>
          </cell>
          <cell r="P85">
            <v>0</v>
          </cell>
          <cell r="Q85">
            <v>0</v>
          </cell>
          <cell r="R85">
            <v>0</v>
          </cell>
          <cell r="S85">
            <v>0</v>
          </cell>
          <cell r="T85">
            <v>0</v>
          </cell>
          <cell r="U85">
            <v>0</v>
          </cell>
          <cell r="V85">
            <v>0</v>
          </cell>
          <cell r="W85">
            <v>0</v>
          </cell>
          <cell r="X85">
            <v>0</v>
          </cell>
          <cell r="Y85">
            <v>0</v>
          </cell>
        </row>
        <row r="86">
          <cell r="B86">
            <v>6.5287499999999998E-2</v>
          </cell>
          <cell r="C86">
            <v>5.7300000000000005E-4</v>
          </cell>
          <cell r="D86">
            <v>0.1274653</v>
          </cell>
          <cell r="E86">
            <v>6.6616500000000009E-2</v>
          </cell>
          <cell r="F86">
            <v>1.06E-2</v>
          </cell>
          <cell r="G86">
            <v>0</v>
          </cell>
          <cell r="H86">
            <v>12.692556637677027</v>
          </cell>
          <cell r="I86">
            <v>0.24007815999999998</v>
          </cell>
          <cell r="J86">
            <v>8.7002860000000002</v>
          </cell>
          <cell r="K86">
            <v>6.5031186000000005E-2</v>
          </cell>
          <cell r="L86">
            <v>9.3699999999999999E-3</v>
          </cell>
          <cell r="N86" t="str">
            <v>Newspaper</v>
          </cell>
          <cell r="O86">
            <v>3.1250000000000001E-5</v>
          </cell>
          <cell r="P86">
            <v>2.3875000000000001E-5</v>
          </cell>
          <cell r="Q86">
            <v>1.19282E-4</v>
          </cell>
          <cell r="R86">
            <v>1.1377200000000001E-3</v>
          </cell>
          <cell r="S86">
            <v>1.5999999999999999E-5</v>
          </cell>
          <cell r="T86">
            <v>2.6688E-2</v>
          </cell>
          <cell r="U86">
            <v>0</v>
          </cell>
          <cell r="V86">
            <v>2.6005000000000001E-4</v>
          </cell>
          <cell r="W86">
            <v>1.9826800000000001E-3</v>
          </cell>
          <cell r="X86">
            <v>9.8532100000000005E-5</v>
          </cell>
          <cell r="Y86">
            <v>1.4E-5</v>
          </cell>
        </row>
        <row r="87">
          <cell r="B87">
            <v>4.078702727528033E-2</v>
          </cell>
          <cell r="C87">
            <v>1.9696764287576974E-3</v>
          </cell>
          <cell r="D87">
            <v>8.4301858273655522E-2</v>
          </cell>
          <cell r="E87">
            <v>2.204044616898357</v>
          </cell>
          <cell r="F87">
            <v>4.2961682313293623E-3</v>
          </cell>
          <cell r="G87">
            <v>0</v>
          </cell>
          <cell r="H87">
            <v>6.7450000000000001</v>
          </cell>
          <cell r="I87">
            <v>4.5432874172413795</v>
          </cell>
          <cell r="J87">
            <v>6.4623141942990117</v>
          </cell>
          <cell r="K87">
            <v>2.8102227296864662E-2</v>
          </cell>
          <cell r="L87">
            <v>3.8059881246113414E-3</v>
          </cell>
          <cell r="N87" t="str">
            <v>Office Paper</v>
          </cell>
          <cell r="O87">
            <v>0</v>
          </cell>
          <cell r="P87">
            <v>0</v>
          </cell>
          <cell r="Q87">
            <v>0</v>
          </cell>
          <cell r="R87">
            <v>0</v>
          </cell>
          <cell r="S87">
            <v>0</v>
          </cell>
          <cell r="T87">
            <v>0</v>
          </cell>
          <cell r="U87">
            <v>0</v>
          </cell>
          <cell r="V87">
            <v>0</v>
          </cell>
          <cell r="W87">
            <v>0</v>
          </cell>
          <cell r="X87">
            <v>0</v>
          </cell>
          <cell r="Y87">
            <v>0</v>
          </cell>
        </row>
        <row r="88">
          <cell r="B88">
            <v>4.4651061438201613E-2</v>
          </cell>
          <cell r="C88">
            <v>2.1562773535873745E-3</v>
          </cell>
          <cell r="D88">
            <v>9.2288350110107081E-2</v>
          </cell>
          <cell r="E88">
            <v>2.4128488437624123</v>
          </cell>
          <cell r="F88">
            <v>4.7031736427184589E-3</v>
          </cell>
          <cell r="G88">
            <v>0</v>
          </cell>
          <cell r="H88">
            <v>7.3839999999999995</v>
          </cell>
          <cell r="I88">
            <v>4.9737041199274046</v>
          </cell>
          <cell r="J88">
            <v>7.0745334337589174</v>
          </cell>
          <cell r="K88">
            <v>3.076454356709394E-2</v>
          </cell>
          <cell r="L88">
            <v>4.1665554206271526E-3</v>
          </cell>
          <cell r="N88" t="str">
            <v>Phonebooks</v>
          </cell>
          <cell r="O88">
            <v>0</v>
          </cell>
          <cell r="P88">
            <v>0</v>
          </cell>
          <cell r="Q88">
            <v>0</v>
          </cell>
          <cell r="R88">
            <v>0</v>
          </cell>
          <cell r="S88">
            <v>0</v>
          </cell>
          <cell r="T88">
            <v>0</v>
          </cell>
          <cell r="U88">
            <v>0</v>
          </cell>
          <cell r="V88">
            <v>0</v>
          </cell>
          <cell r="W88">
            <v>0</v>
          </cell>
          <cell r="X88">
            <v>0</v>
          </cell>
          <cell r="Y88">
            <v>0</v>
          </cell>
        </row>
        <row r="89">
          <cell r="B89">
            <v>7.0249697680022996E-2</v>
          </cell>
          <cell r="C89">
            <v>3.433796812846441E-3</v>
          </cell>
          <cell r="D89">
            <v>0.20023525322629354</v>
          </cell>
          <cell r="E89">
            <v>3.3589162933748287</v>
          </cell>
          <cell r="F89">
            <v>2.8088734346021282</v>
          </cell>
          <cell r="G89">
            <v>0</v>
          </cell>
          <cell r="H89">
            <v>10.188499999999999</v>
          </cell>
          <cell r="I89">
            <v>6.9075963379098546</v>
          </cell>
          <cell r="J89">
            <v>9.910231572570833</v>
          </cell>
          <cell r="K89">
            <v>5.8097991030600163E-2</v>
          </cell>
          <cell r="L89">
            <v>7.8572832022897714E-3</v>
          </cell>
          <cell r="N89" t="str">
            <v>Textbooks</v>
          </cell>
          <cell r="O89">
            <v>0</v>
          </cell>
          <cell r="P89">
            <v>0</v>
          </cell>
          <cell r="Q89">
            <v>0</v>
          </cell>
          <cell r="R89">
            <v>0</v>
          </cell>
          <cell r="S89">
            <v>0</v>
          </cell>
          <cell r="T89">
            <v>0</v>
          </cell>
          <cell r="U89">
            <v>0</v>
          </cell>
          <cell r="V89">
            <v>0</v>
          </cell>
          <cell r="W89">
            <v>0</v>
          </cell>
          <cell r="X89">
            <v>0</v>
          </cell>
          <cell r="Y89">
            <v>0</v>
          </cell>
        </row>
      </sheetData>
      <sheetData sheetId="21" refreshError="1">
        <row r="6">
          <cell r="N6" t="str">
            <v>Nylon 6 Face Fiber</v>
          </cell>
        </row>
        <row r="7">
          <cell r="N7" t="str">
            <v>Nylon 6,6 Face Fiber</v>
          </cell>
        </row>
        <row r="8">
          <cell r="N8" t="str">
            <v>Polypropolene Resin</v>
          </cell>
        </row>
        <row r="9">
          <cell r="N9" t="str">
            <v>Woven Polypropylene Backing</v>
          </cell>
        </row>
        <row r="10">
          <cell r="N10" t="str">
            <v>Styrene-Butadiene Latex</v>
          </cell>
        </row>
        <row r="11">
          <cell r="N11" t="str">
            <v>Limestone</v>
          </cell>
        </row>
        <row r="12">
          <cell r="N12" t="str">
            <v>SB Latex and Limestone</v>
          </cell>
        </row>
        <row r="13">
          <cell r="N13" t="str">
            <v>Fabrication</v>
          </cell>
        </row>
        <row r="15">
          <cell r="N15" t="str">
            <v>Energy Consumption from Virgin Production: Combustion Transportation (million BTUs)</v>
          </cell>
        </row>
        <row r="16">
          <cell r="B16" t="str">
            <v>Gasoline</v>
          </cell>
          <cell r="C16" t="str">
            <v>LPG</v>
          </cell>
          <cell r="D16" t="str">
            <v>Distillate Oil</v>
          </cell>
          <cell r="E16" t="str">
            <v>Residual Oil</v>
          </cell>
          <cell r="F16" t="str">
            <v>Biomass/Wood/Hydro</v>
          </cell>
          <cell r="G16" t="str">
            <v>Diesel</v>
          </cell>
          <cell r="H16" t="str">
            <v>Electricity</v>
          </cell>
          <cell r="I16" t="str">
            <v>Coal</v>
          </cell>
          <cell r="J16" t="str">
            <v>Natural Gas</v>
          </cell>
          <cell r="K16" t="str">
            <v>Nuclear</v>
          </cell>
          <cell r="L16" t="str">
            <v>Other</v>
          </cell>
          <cell r="N16" t="str">
            <v>Type of Product</v>
          </cell>
          <cell r="O16" t="str">
            <v>Diesel</v>
          </cell>
          <cell r="P16" t="str">
            <v>Residual Oil</v>
          </cell>
          <cell r="Q16" t="str">
            <v>Natural Gas</v>
          </cell>
          <cell r="R16" t="str">
            <v>Electricity</v>
          </cell>
          <cell r="S16" t="str">
            <v>Other</v>
          </cell>
        </row>
        <row r="17">
          <cell r="N17" t="str">
            <v>Nylon 6 Resin</v>
          </cell>
        </row>
        <row r="18">
          <cell r="N18" t="str">
            <v>Nylon 6,6 Resin</v>
          </cell>
        </row>
        <row r="19">
          <cell r="N19" t="str">
            <v>Nylon 6 Face Fiber</v>
          </cell>
        </row>
        <row r="20">
          <cell r="N20" t="str">
            <v>Nylon 6,6 Face Fiber</v>
          </cell>
        </row>
        <row r="21">
          <cell r="N21" t="str">
            <v>Polypropolene Resin</v>
          </cell>
        </row>
        <row r="22">
          <cell r="N22" t="str">
            <v>Woven Polypropylene Backing</v>
          </cell>
        </row>
        <row r="23">
          <cell r="N23" t="str">
            <v>Styrene-Butadiene Latex</v>
          </cell>
        </row>
        <row r="24">
          <cell r="N24" t="str">
            <v>Limestone</v>
          </cell>
        </row>
        <row r="25">
          <cell r="N25" t="str">
            <v>SB Latex and Limestone</v>
          </cell>
        </row>
        <row r="26">
          <cell r="N26" t="str">
            <v>Fabrication</v>
          </cell>
        </row>
        <row r="28">
          <cell r="N28" t="str">
            <v>Energy Consumption from Virgin Production: Total Transportation (million BTUs)</v>
          </cell>
        </row>
        <row r="29">
          <cell r="B29" t="str">
            <v>Gasoline</v>
          </cell>
          <cell r="C29" t="str">
            <v>LPG</v>
          </cell>
          <cell r="D29" t="str">
            <v>Distillate Oil</v>
          </cell>
          <cell r="E29" t="str">
            <v>Residual Oil</v>
          </cell>
          <cell r="F29" t="str">
            <v>Biomass/Wood/Hydro</v>
          </cell>
          <cell r="G29" t="str">
            <v>Diesel</v>
          </cell>
          <cell r="H29" t="str">
            <v>Electricity</v>
          </cell>
          <cell r="I29" t="str">
            <v>Coal</v>
          </cell>
          <cell r="J29" t="str">
            <v>Natural Gas</v>
          </cell>
          <cell r="K29" t="str">
            <v>Nuclear</v>
          </cell>
          <cell r="L29" t="str">
            <v>Other</v>
          </cell>
          <cell r="N29" t="str">
            <v>Type of Product</v>
          </cell>
          <cell r="O29" t="str">
            <v>Gasoline</v>
          </cell>
          <cell r="P29" t="str">
            <v>LPG</v>
          </cell>
          <cell r="Q29" t="str">
            <v>Distillate Oil</v>
          </cell>
          <cell r="R29" t="str">
            <v>Residual Oil</v>
          </cell>
          <cell r="S29" t="str">
            <v>Biomass/Wood/Hydro</v>
          </cell>
          <cell r="T29" t="str">
            <v>Diesel</v>
          </cell>
          <cell r="U29" t="str">
            <v>Electricity</v>
          </cell>
          <cell r="V29" t="str">
            <v>Coal</v>
          </cell>
          <cell r="W29" t="str">
            <v>Natural Gas</v>
          </cell>
          <cell r="X29" t="str">
            <v>Nuclear</v>
          </cell>
          <cell r="Y29" t="str">
            <v>Other</v>
          </cell>
        </row>
        <row r="30">
          <cell r="N30" t="str">
            <v>Nylon 6 Resin</v>
          </cell>
        </row>
        <row r="31">
          <cell r="N31" t="str">
            <v>Nylon 6,6 Resin</v>
          </cell>
        </row>
        <row r="32">
          <cell r="N32" t="str">
            <v>Nylon 6 Face Fiber</v>
          </cell>
        </row>
        <row r="33">
          <cell r="N33" t="str">
            <v>Nylon 6,6 Face Fiber</v>
          </cell>
        </row>
        <row r="34">
          <cell r="N34" t="str">
            <v>Polypropolene Resin</v>
          </cell>
        </row>
        <row r="35">
          <cell r="N35" t="str">
            <v>Woven Polypropylene Backing</v>
          </cell>
        </row>
        <row r="36">
          <cell r="N36" t="str">
            <v>Styrene-Butadiene Latex</v>
          </cell>
        </row>
        <row r="37">
          <cell r="N37" t="str">
            <v>Limestone</v>
          </cell>
        </row>
        <row r="38">
          <cell r="N38" t="str">
            <v>SB Latex and Limestone</v>
          </cell>
        </row>
        <row r="39">
          <cell r="N39" t="str">
            <v>Fabrication</v>
          </cell>
        </row>
        <row r="45">
          <cell r="N45" t="str">
            <v>Energy Consumption from Recycled Production: Pre-Combustion Transportation (million BTUs)</v>
          </cell>
        </row>
        <row r="46">
          <cell r="B46" t="str">
            <v>Gasoline</v>
          </cell>
          <cell r="C46" t="str">
            <v>LPG</v>
          </cell>
          <cell r="D46" t="str">
            <v>Distillate Fuel</v>
          </cell>
          <cell r="E46" t="str">
            <v>Residual Fuel</v>
          </cell>
          <cell r="F46" t="str">
            <v>Biomass/Wood/Hydro</v>
          </cell>
          <cell r="G46" t="str">
            <v>Diesel</v>
          </cell>
          <cell r="H46" t="str">
            <v>Electricity</v>
          </cell>
          <cell r="I46" t="str">
            <v>Coal</v>
          </cell>
          <cell r="J46" t="str">
            <v>Natural Gas</v>
          </cell>
          <cell r="K46" t="str">
            <v>Nuclear</v>
          </cell>
          <cell r="L46" t="str">
            <v>Other</v>
          </cell>
          <cell r="N46" t="str">
            <v>Type of Product</v>
          </cell>
          <cell r="O46" t="str">
            <v>Gasoline</v>
          </cell>
          <cell r="P46" t="str">
            <v>LPG</v>
          </cell>
          <cell r="Q46" t="str">
            <v>Distillate Oil</v>
          </cell>
          <cell r="R46" t="str">
            <v>Residual Oil</v>
          </cell>
          <cell r="S46" t="str">
            <v>Biomass/Wood/Hydro</v>
          </cell>
          <cell r="T46" t="str">
            <v>Diesel</v>
          </cell>
          <cell r="U46" t="str">
            <v>Electricity</v>
          </cell>
          <cell r="V46" t="str">
            <v>Coal</v>
          </cell>
          <cell r="W46" t="str">
            <v>Natural Gas</v>
          </cell>
          <cell r="X46" t="str">
            <v>Nuclear</v>
          </cell>
          <cell r="Y46" t="str">
            <v>Other</v>
          </cell>
        </row>
        <row r="47">
          <cell r="N47" t="str">
            <v>Nylon 6 Resin</v>
          </cell>
        </row>
        <row r="48">
          <cell r="N48" t="str">
            <v>Nylon 6,6 Resin</v>
          </cell>
        </row>
        <row r="49">
          <cell r="N49" t="str">
            <v>Nylon 6 Face Fiber</v>
          </cell>
        </row>
        <row r="50">
          <cell r="N50" t="str">
            <v>Nylon 6,6 Face Fiber</v>
          </cell>
        </row>
        <row r="51">
          <cell r="N51" t="str">
            <v>Polypropolene Resin</v>
          </cell>
        </row>
        <row r="52">
          <cell r="N52" t="str">
            <v>Woven Polypropylene Backing</v>
          </cell>
        </row>
        <row r="53">
          <cell r="A53" t="str">
            <v>Styrene-Butadiene Latex</v>
          </cell>
          <cell r="N53" t="str">
            <v>Styrene-Butadiene Latex</v>
          </cell>
        </row>
        <row r="54">
          <cell r="A54" t="str">
            <v>Limestone</v>
          </cell>
          <cell r="N54" t="str">
            <v>Limestone</v>
          </cell>
        </row>
        <row r="55">
          <cell r="A55" t="str">
            <v>SB Latex and Limestone</v>
          </cell>
          <cell r="N55" t="str">
            <v>SB Latex and Limestone</v>
          </cell>
        </row>
        <row r="56">
          <cell r="A56" t="str">
            <v>Fabrication</v>
          </cell>
          <cell r="N56" t="str">
            <v>Fabrication</v>
          </cell>
        </row>
        <row r="58">
          <cell r="A58" t="str">
            <v>Energy Consumption from Recycled Production: Combustion Process (million BTUs)</v>
          </cell>
          <cell r="N58" t="str">
            <v>Energy Consumption from Recycled Production: Combustion Transportation (million BTUs)</v>
          </cell>
        </row>
        <row r="59">
          <cell r="A59" t="str">
            <v>Type of Product</v>
          </cell>
          <cell r="B59" t="str">
            <v>Gasoline</v>
          </cell>
          <cell r="C59" t="str">
            <v>LPG</v>
          </cell>
          <cell r="D59" t="str">
            <v>Distillate Oil</v>
          </cell>
          <cell r="E59" t="str">
            <v>Residual Oil</v>
          </cell>
          <cell r="F59" t="str">
            <v>Biomass/Wood/Hydro</v>
          </cell>
          <cell r="G59" t="str">
            <v>Diesel</v>
          </cell>
          <cell r="H59" t="str">
            <v>Electricity</v>
          </cell>
          <cell r="I59" t="str">
            <v>Coal</v>
          </cell>
          <cell r="J59" t="str">
            <v>Natural Gas</v>
          </cell>
          <cell r="K59" t="str">
            <v>Nuclear</v>
          </cell>
          <cell r="L59" t="str">
            <v>Other</v>
          </cell>
          <cell r="N59" t="str">
            <v>Type of Product</v>
          </cell>
          <cell r="O59" t="str">
            <v>Diesel</v>
          </cell>
          <cell r="P59" t="str">
            <v>Residual Oil</v>
          </cell>
          <cell r="Q59" t="str">
            <v>Natural Gas</v>
          </cell>
          <cell r="R59" t="str">
            <v>Electricity</v>
          </cell>
          <cell r="S59" t="str">
            <v>Other</v>
          </cell>
        </row>
        <row r="60">
          <cell r="A60" t="str">
            <v>Nylon 6 Resin</v>
          </cell>
          <cell r="N60" t="str">
            <v>Nylon 6 Resin</v>
          </cell>
        </row>
        <row r="61">
          <cell r="A61" t="str">
            <v>Nylon 6,6 Resin</v>
          </cell>
          <cell r="N61" t="str">
            <v>Nylon 6,6 Resin</v>
          </cell>
        </row>
        <row r="62">
          <cell r="A62" t="str">
            <v>Nylon 6 Face Fiber</v>
          </cell>
          <cell r="N62" t="str">
            <v>Nylon 6 Face Fiber</v>
          </cell>
        </row>
        <row r="63">
          <cell r="A63" t="str">
            <v>Nylon 6,6 Face Fiber</v>
          </cell>
          <cell r="N63" t="str">
            <v>Nylon 6,6 Face Fiber</v>
          </cell>
        </row>
        <row r="64">
          <cell r="A64" t="str">
            <v>Polypropolene Resin</v>
          </cell>
          <cell r="N64" t="str">
            <v>Polypropolene Resin</v>
          </cell>
        </row>
        <row r="65">
          <cell r="A65" t="str">
            <v>Woven Polypropylene Backing</v>
          </cell>
          <cell r="N65" t="str">
            <v>Woven Polypropylene Backing</v>
          </cell>
        </row>
        <row r="66">
          <cell r="A66" t="str">
            <v>Styrene-Butadiene Latex</v>
          </cell>
          <cell r="N66" t="str">
            <v>Styrene-Butadiene Latex</v>
          </cell>
        </row>
        <row r="67">
          <cell r="A67" t="str">
            <v>Limestone</v>
          </cell>
          <cell r="N67" t="str">
            <v>Limestone</v>
          </cell>
        </row>
        <row r="68">
          <cell r="A68" t="str">
            <v>SB Latex and Limestone</v>
          </cell>
          <cell r="N68" t="str">
            <v>SB Latex and Limestone</v>
          </cell>
        </row>
        <row r="69">
          <cell r="A69" t="str">
            <v>Fabrication</v>
          </cell>
          <cell r="N69" t="str">
            <v>Fabrication</v>
          </cell>
        </row>
        <row r="72">
          <cell r="A72" t="str">
            <v>Energy Consumption from Recycled Production: Total Process (million BTUs)</v>
          </cell>
          <cell r="N72" t="str">
            <v>Energy Consumption from Recycled Production: Total Transportation (million BTUs)</v>
          </cell>
        </row>
        <row r="73">
          <cell r="A73" t="str">
            <v>Type of Product</v>
          </cell>
          <cell r="B73" t="str">
            <v>Gasoline</v>
          </cell>
          <cell r="C73" t="str">
            <v>LPG</v>
          </cell>
          <cell r="D73" t="str">
            <v>Distillate Oil</v>
          </cell>
          <cell r="E73" t="str">
            <v>Residual Oil</v>
          </cell>
          <cell r="F73" t="str">
            <v>Biomass/Wood/Hydro</v>
          </cell>
          <cell r="G73" t="str">
            <v>Diesel</v>
          </cell>
          <cell r="H73" t="str">
            <v>Electricity</v>
          </cell>
          <cell r="I73" t="str">
            <v>Coal</v>
          </cell>
          <cell r="J73" t="str">
            <v>Natural Gas</v>
          </cell>
          <cell r="K73" t="str">
            <v>Nuclear</v>
          </cell>
          <cell r="L73" t="str">
            <v>Other</v>
          </cell>
          <cell r="N73" t="str">
            <v>Type of Product</v>
          </cell>
          <cell r="O73" t="str">
            <v>Gasoline</v>
          </cell>
          <cell r="P73" t="str">
            <v>LPG</v>
          </cell>
          <cell r="Q73" t="str">
            <v>Distillate Oil</v>
          </cell>
          <cell r="R73" t="str">
            <v>Residual Oil</v>
          </cell>
          <cell r="S73" t="str">
            <v>Biomass/Wood/Hydro</v>
          </cell>
          <cell r="T73" t="str">
            <v>Diesel</v>
          </cell>
          <cell r="U73" t="str">
            <v>Electricity</v>
          </cell>
          <cell r="V73" t="str">
            <v>Coal</v>
          </cell>
          <cell r="W73" t="str">
            <v>Natural Gas</v>
          </cell>
          <cell r="X73" t="str">
            <v>Nuclear</v>
          </cell>
          <cell r="Y73" t="str">
            <v>Other</v>
          </cell>
        </row>
        <row r="74">
          <cell r="A74" t="str">
            <v>Nylon 6 Resin</v>
          </cell>
          <cell r="N74" t="str">
            <v>Nylon 6 Resin</v>
          </cell>
        </row>
        <row r="75">
          <cell r="A75" t="str">
            <v>Nylon 6,6 Resin</v>
          </cell>
          <cell r="N75" t="str">
            <v>Nylon 6,6 Resin</v>
          </cell>
        </row>
        <row r="76">
          <cell r="A76" t="str">
            <v>Nylon 6 Face Fiber</v>
          </cell>
          <cell r="N76" t="str">
            <v>Nylon 6 Face Fiber</v>
          </cell>
        </row>
        <row r="77">
          <cell r="A77" t="str">
            <v>Nylon 6,6 Face Fiber</v>
          </cell>
          <cell r="N77" t="str">
            <v>Nylon 6,6 Face Fiber</v>
          </cell>
        </row>
        <row r="78">
          <cell r="A78" t="str">
            <v>Polypropolene Resin</v>
          </cell>
          <cell r="N78" t="str">
            <v>Polypropolene Resin</v>
          </cell>
        </row>
        <row r="79">
          <cell r="A79" t="str">
            <v>Woven Polypropylene Backing</v>
          </cell>
          <cell r="N79" t="str">
            <v>Woven Polypropylene Backing</v>
          </cell>
        </row>
        <row r="80">
          <cell r="A80" t="str">
            <v>Styrene-Butadiene Latex</v>
          </cell>
          <cell r="N80" t="str">
            <v>Styrene-Butadiene Latex</v>
          </cell>
        </row>
        <row r="81">
          <cell r="A81" t="str">
            <v>Limestone</v>
          </cell>
          <cell r="N81" t="str">
            <v>Limestone</v>
          </cell>
        </row>
        <row r="82">
          <cell r="N82" t="str">
            <v>SB Latex and Limestone</v>
          </cell>
        </row>
        <row r="83">
          <cell r="N83" t="str">
            <v>Fabrication</v>
          </cell>
        </row>
      </sheetData>
      <sheetData sheetId="22" refreshError="1">
        <row r="6">
          <cell r="N6" t="str">
            <v>Nylon 6 Face Fiber</v>
          </cell>
        </row>
        <row r="7">
          <cell r="N7" t="str">
            <v>Nylon 6,6 Face Fiber</v>
          </cell>
        </row>
        <row r="8">
          <cell r="N8" t="str">
            <v>Polypropolene Resin</v>
          </cell>
        </row>
        <row r="9">
          <cell r="N9" t="str">
            <v>Woven Polypropylene Backing</v>
          </cell>
        </row>
        <row r="10">
          <cell r="N10" t="str">
            <v>Styrene-Butadiene Latex</v>
          </cell>
        </row>
        <row r="11">
          <cell r="N11" t="str">
            <v>Limestone</v>
          </cell>
        </row>
        <row r="12">
          <cell r="N12" t="str">
            <v>SB Latex and Limestone</v>
          </cell>
        </row>
        <row r="13">
          <cell r="N13" t="str">
            <v>Fabrication</v>
          </cell>
        </row>
        <row r="15">
          <cell r="N15" t="str">
            <v>Energy Consumption from Virgin Production: Combustion Transportation (million BTUs)</v>
          </cell>
        </row>
        <row r="16">
          <cell r="B16" t="str">
            <v>Gasoline</v>
          </cell>
          <cell r="C16" t="str">
            <v>LPG</v>
          </cell>
          <cell r="D16" t="str">
            <v>Distillate Oil</v>
          </cell>
          <cell r="E16" t="str">
            <v>Residual Oil</v>
          </cell>
          <cell r="F16" t="str">
            <v>Biomass/Wood/Hydro</v>
          </cell>
          <cell r="G16" t="str">
            <v>Diesel</v>
          </cell>
          <cell r="H16" t="str">
            <v>Electricity</v>
          </cell>
          <cell r="I16" t="str">
            <v>Coal</v>
          </cell>
          <cell r="J16" t="str">
            <v>Natural Gas</v>
          </cell>
          <cell r="K16" t="str">
            <v>Nuclear</v>
          </cell>
          <cell r="L16" t="str">
            <v>Other</v>
          </cell>
          <cell r="N16" t="str">
            <v>Type of Product</v>
          </cell>
          <cell r="O16" t="str">
            <v>Diesel</v>
          </cell>
          <cell r="P16" t="str">
            <v>Residual Oil</v>
          </cell>
          <cell r="Q16" t="str">
            <v>Natural Gas</v>
          </cell>
          <cell r="R16" t="str">
            <v>Electricity</v>
          </cell>
          <cell r="S16" t="str">
            <v>Other</v>
          </cell>
        </row>
        <row r="17">
          <cell r="N17" t="str">
            <v>Nylon 6 Resin</v>
          </cell>
        </row>
        <row r="18">
          <cell r="N18" t="str">
            <v>Nylon 6,6 Resin</v>
          </cell>
        </row>
        <row r="19">
          <cell r="N19" t="str">
            <v>Nylon 6 Face Fiber</v>
          </cell>
        </row>
        <row r="20">
          <cell r="N20" t="str">
            <v>Nylon 6,6 Face Fiber</v>
          </cell>
        </row>
        <row r="21">
          <cell r="N21" t="str">
            <v>Polypropolene Resin</v>
          </cell>
        </row>
        <row r="22">
          <cell r="N22" t="str">
            <v>Woven Polypropylene Backing</v>
          </cell>
        </row>
        <row r="23">
          <cell r="N23" t="str">
            <v>Styrene-Butadiene Latex</v>
          </cell>
        </row>
        <row r="24">
          <cell r="N24" t="str">
            <v>Limestone</v>
          </cell>
        </row>
        <row r="25">
          <cell r="N25" t="str">
            <v>SB Latex and Limestone</v>
          </cell>
        </row>
        <row r="26">
          <cell r="N26" t="str">
            <v>Fabrication</v>
          </cell>
        </row>
        <row r="28">
          <cell r="N28" t="str">
            <v>Energy Consumption from Virgin Production: Total Transportation (million BTUs)</v>
          </cell>
        </row>
        <row r="29">
          <cell r="B29" t="str">
            <v>Gasoline</v>
          </cell>
          <cell r="C29" t="str">
            <v>LPG</v>
          </cell>
          <cell r="D29" t="str">
            <v>Distillate Oil</v>
          </cell>
          <cell r="E29" t="str">
            <v>Residual Oil</v>
          </cell>
          <cell r="F29" t="str">
            <v>Biomass/Wood/Hydro</v>
          </cell>
          <cell r="G29" t="str">
            <v>Diesel</v>
          </cell>
          <cell r="H29" t="str">
            <v>Electricity</v>
          </cell>
          <cell r="I29" t="str">
            <v>Coal</v>
          </cell>
          <cell r="J29" t="str">
            <v>Natural Gas</v>
          </cell>
          <cell r="K29" t="str">
            <v>Nuclear</v>
          </cell>
          <cell r="L29" t="str">
            <v>Other</v>
          </cell>
          <cell r="N29" t="str">
            <v>Type of Product</v>
          </cell>
          <cell r="O29" t="str">
            <v>Gasoline</v>
          </cell>
          <cell r="P29" t="str">
            <v>LPG</v>
          </cell>
          <cell r="Q29" t="str">
            <v>Distillate Oil</v>
          </cell>
          <cell r="R29" t="str">
            <v>Residual Oil</v>
          </cell>
          <cell r="S29" t="str">
            <v>Biomass/Wood/Hydro</v>
          </cell>
          <cell r="T29" t="str">
            <v>Diesel</v>
          </cell>
          <cell r="U29" t="str">
            <v>Electricity</v>
          </cell>
          <cell r="V29" t="str">
            <v>Coal</v>
          </cell>
          <cell r="W29" t="str">
            <v>Natural Gas</v>
          </cell>
          <cell r="X29" t="str">
            <v>Nuclear</v>
          </cell>
          <cell r="Y29" t="str">
            <v>Other</v>
          </cell>
        </row>
        <row r="30">
          <cell r="N30" t="str">
            <v>Nylon 6 Resin</v>
          </cell>
        </row>
        <row r="31">
          <cell r="N31" t="str">
            <v>Nylon 6,6 Resin</v>
          </cell>
        </row>
        <row r="32">
          <cell r="N32" t="str">
            <v>Nylon 6 Face Fiber</v>
          </cell>
        </row>
        <row r="33">
          <cell r="N33" t="str">
            <v>Nylon 6,6 Face Fiber</v>
          </cell>
        </row>
        <row r="34">
          <cell r="N34" t="str">
            <v>Polypropolene Resin</v>
          </cell>
        </row>
        <row r="35">
          <cell r="N35" t="str">
            <v>Woven Polypropylene Backing</v>
          </cell>
        </row>
        <row r="36">
          <cell r="N36" t="str">
            <v>Styrene-Butadiene Latex</v>
          </cell>
        </row>
        <row r="37">
          <cell r="N37" t="str">
            <v>Limestone</v>
          </cell>
        </row>
        <row r="38">
          <cell r="N38" t="str">
            <v>SB Latex and Limestone</v>
          </cell>
        </row>
        <row r="39">
          <cell r="N39" t="str">
            <v>Fabrication</v>
          </cell>
        </row>
        <row r="45">
          <cell r="N45" t="str">
            <v>Energy Consumption from Recycled Production: Pre-Combustion Transportation (million BTUs)</v>
          </cell>
        </row>
        <row r="46">
          <cell r="B46" t="str">
            <v>Gasoline</v>
          </cell>
          <cell r="C46" t="str">
            <v>LPG</v>
          </cell>
          <cell r="D46" t="str">
            <v>Distillate Fuel</v>
          </cell>
          <cell r="E46" t="str">
            <v>Residual Fuel</v>
          </cell>
          <cell r="F46" t="str">
            <v>Biomass/Wood/Hydro</v>
          </cell>
          <cell r="G46" t="str">
            <v>Diesel</v>
          </cell>
          <cell r="H46" t="str">
            <v>Electricity</v>
          </cell>
          <cell r="I46" t="str">
            <v>Coal</v>
          </cell>
          <cell r="J46" t="str">
            <v>Natural Gas</v>
          </cell>
          <cell r="K46" t="str">
            <v>Nuclear</v>
          </cell>
          <cell r="L46" t="str">
            <v>Other</v>
          </cell>
          <cell r="N46" t="str">
            <v>Type of Product</v>
          </cell>
          <cell r="O46" t="str">
            <v>Gasoline</v>
          </cell>
          <cell r="P46" t="str">
            <v>LPG</v>
          </cell>
          <cell r="Q46" t="str">
            <v>Distillate Oil</v>
          </cell>
          <cell r="R46" t="str">
            <v>Residual Oil</v>
          </cell>
          <cell r="S46" t="str">
            <v>Biomass/Wood/Hydro</v>
          </cell>
          <cell r="T46" t="str">
            <v>Diesel</v>
          </cell>
          <cell r="U46" t="str">
            <v>Electricity</v>
          </cell>
          <cell r="V46" t="str">
            <v>Coal</v>
          </cell>
          <cell r="W46" t="str">
            <v>Natural Gas</v>
          </cell>
          <cell r="X46" t="str">
            <v>Nuclear</v>
          </cell>
          <cell r="Y46" t="str">
            <v>Other</v>
          </cell>
        </row>
        <row r="47">
          <cell r="N47" t="str">
            <v>Nylon 6 Resin</v>
          </cell>
        </row>
        <row r="48">
          <cell r="N48" t="str">
            <v>Nylon 6,6 Resin</v>
          </cell>
        </row>
        <row r="49">
          <cell r="N49" t="str">
            <v>Nylon 6 Face Fiber</v>
          </cell>
        </row>
        <row r="50">
          <cell r="N50" t="str">
            <v>Nylon 6,6 Face Fiber</v>
          </cell>
        </row>
        <row r="51">
          <cell r="N51" t="str">
            <v>Polypropolene Resin</v>
          </cell>
        </row>
        <row r="52">
          <cell r="N52" t="str">
            <v>Woven Polypropylene Backing</v>
          </cell>
        </row>
        <row r="53">
          <cell r="A53" t="str">
            <v>Styrene-Butadiene Latex</v>
          </cell>
          <cell r="N53" t="str">
            <v>Styrene-Butadiene Latex</v>
          </cell>
        </row>
        <row r="54">
          <cell r="A54" t="str">
            <v>Limestone</v>
          </cell>
          <cell r="N54" t="str">
            <v>Limestone</v>
          </cell>
        </row>
        <row r="55">
          <cell r="A55" t="str">
            <v>SB Latex and Limestone</v>
          </cell>
          <cell r="N55" t="str">
            <v>SB Latex and Limestone</v>
          </cell>
        </row>
        <row r="56">
          <cell r="A56" t="str">
            <v>Fabrication</v>
          </cell>
          <cell r="N56" t="str">
            <v>Fabrication</v>
          </cell>
        </row>
        <row r="58">
          <cell r="A58" t="str">
            <v>Energy Consumption from Recycled Production: Combustion Process (million BTUs)</v>
          </cell>
          <cell r="N58" t="str">
            <v>Energy Consumption from Recycled Production: Combustion Transportation (million BTUs)</v>
          </cell>
        </row>
        <row r="59">
          <cell r="A59" t="str">
            <v>Type of Product</v>
          </cell>
          <cell r="B59" t="str">
            <v>Gasoline</v>
          </cell>
          <cell r="C59" t="str">
            <v>LPG</v>
          </cell>
          <cell r="D59" t="str">
            <v>Distillate Oil</v>
          </cell>
          <cell r="E59" t="str">
            <v>Residual Oil</v>
          </cell>
          <cell r="F59" t="str">
            <v>Biomass/Wood/Hydro</v>
          </cell>
          <cell r="G59" t="str">
            <v>Diesel</v>
          </cell>
          <cell r="H59" t="str">
            <v>Electricity</v>
          </cell>
          <cell r="I59" t="str">
            <v>Coal</v>
          </cell>
          <cell r="J59" t="str">
            <v>Natural Gas</v>
          </cell>
          <cell r="K59" t="str">
            <v>Nuclear</v>
          </cell>
          <cell r="L59" t="str">
            <v>Other</v>
          </cell>
          <cell r="N59" t="str">
            <v>Type of Product</v>
          </cell>
          <cell r="O59" t="str">
            <v>Diesel</v>
          </cell>
          <cell r="P59" t="str">
            <v>Residual Oil</v>
          </cell>
          <cell r="Q59" t="str">
            <v>Natural Gas</v>
          </cell>
          <cell r="R59" t="str">
            <v>Electricity</v>
          </cell>
          <cell r="S59" t="str">
            <v>Other</v>
          </cell>
        </row>
        <row r="60">
          <cell r="A60" t="str">
            <v>Nylon 6 Resin</v>
          </cell>
          <cell r="N60" t="str">
            <v>Nylon 6 Resin</v>
          </cell>
        </row>
        <row r="61">
          <cell r="A61" t="str">
            <v>Nylon 6,6 Resin</v>
          </cell>
          <cell r="N61" t="str">
            <v>Nylon 6,6 Resin</v>
          </cell>
        </row>
        <row r="62">
          <cell r="A62" t="str">
            <v>Nylon 6 Face Fiber</v>
          </cell>
          <cell r="N62" t="str">
            <v>Nylon 6 Face Fiber</v>
          </cell>
        </row>
        <row r="63">
          <cell r="A63" t="str">
            <v>Nylon 6,6 Face Fiber</v>
          </cell>
          <cell r="N63" t="str">
            <v>Nylon 6,6 Face Fiber</v>
          </cell>
        </row>
        <row r="64">
          <cell r="A64" t="str">
            <v>Polypropolene Resin</v>
          </cell>
          <cell r="N64" t="str">
            <v>Polypropolene Resin</v>
          </cell>
        </row>
        <row r="65">
          <cell r="A65" t="str">
            <v>Woven Polypropylene Backing</v>
          </cell>
          <cell r="N65" t="str">
            <v>Woven Polypropylene Backing</v>
          </cell>
        </row>
        <row r="66">
          <cell r="A66" t="str">
            <v>Styrene-Butadiene Latex</v>
          </cell>
          <cell r="N66" t="str">
            <v>Styrene-Butadiene Latex</v>
          </cell>
        </row>
        <row r="67">
          <cell r="A67" t="str">
            <v>Limestone</v>
          </cell>
          <cell r="N67" t="str">
            <v>Limestone</v>
          </cell>
        </row>
        <row r="68">
          <cell r="A68" t="str">
            <v>SB Latex and Limestone</v>
          </cell>
          <cell r="N68" t="str">
            <v>SB Latex and Limestone</v>
          </cell>
        </row>
        <row r="69">
          <cell r="A69" t="str">
            <v>Fabrication</v>
          </cell>
          <cell r="N69" t="str">
            <v>Fabrication</v>
          </cell>
        </row>
        <row r="72">
          <cell r="A72" t="str">
            <v>Energy Consumption from Recycled Production: Total Process (million BTUs)</v>
          </cell>
          <cell r="N72" t="str">
            <v>Energy Consumption from Recycled Production: Total Transportation (million BTUs)</v>
          </cell>
        </row>
        <row r="73">
          <cell r="A73" t="str">
            <v>Type of Product</v>
          </cell>
          <cell r="B73" t="str">
            <v>Gasoline</v>
          </cell>
          <cell r="C73" t="str">
            <v>LPG</v>
          </cell>
          <cell r="D73" t="str">
            <v>Distillate Oil</v>
          </cell>
          <cell r="E73" t="str">
            <v>Residual Oil</v>
          </cell>
          <cell r="F73" t="str">
            <v>Biomass/Wood/Hydro</v>
          </cell>
          <cell r="G73" t="str">
            <v>Diesel</v>
          </cell>
          <cell r="H73" t="str">
            <v>Electricity</v>
          </cell>
          <cell r="I73" t="str">
            <v>Coal</v>
          </cell>
          <cell r="J73" t="str">
            <v>Natural Gas</v>
          </cell>
          <cell r="K73" t="str">
            <v>Nuclear</v>
          </cell>
          <cell r="L73" t="str">
            <v>Other</v>
          </cell>
          <cell r="N73" t="str">
            <v>Type of Product</v>
          </cell>
          <cell r="O73" t="str">
            <v>Gasoline</v>
          </cell>
          <cell r="P73" t="str">
            <v>LPG</v>
          </cell>
          <cell r="Q73" t="str">
            <v>Distillate Oil</v>
          </cell>
          <cell r="R73" t="str">
            <v>Residual Oil</v>
          </cell>
          <cell r="S73" t="str">
            <v>Biomass/Wood/Hydro</v>
          </cell>
          <cell r="T73" t="str">
            <v>Diesel</v>
          </cell>
          <cell r="U73" t="str">
            <v>Electricity</v>
          </cell>
          <cell r="V73" t="str">
            <v>Coal</v>
          </cell>
          <cell r="W73" t="str">
            <v>Natural Gas</v>
          </cell>
          <cell r="X73" t="str">
            <v>Nuclear</v>
          </cell>
          <cell r="Y73" t="str">
            <v>Other</v>
          </cell>
        </row>
        <row r="74">
          <cell r="A74" t="str">
            <v>Nylon 6 Resin</v>
          </cell>
          <cell r="N74" t="str">
            <v>Nylon 6 Resin</v>
          </cell>
        </row>
        <row r="75">
          <cell r="A75" t="str">
            <v>Nylon 6,6 Resin</v>
          </cell>
          <cell r="N75" t="str">
            <v>Nylon 6,6 Resin</v>
          </cell>
        </row>
        <row r="76">
          <cell r="A76" t="str">
            <v>Nylon 6 Face Fiber</v>
          </cell>
          <cell r="N76" t="str">
            <v>Nylon 6 Face Fiber</v>
          </cell>
        </row>
        <row r="77">
          <cell r="A77" t="str">
            <v>Nylon 6,6 Face Fiber</v>
          </cell>
          <cell r="N77" t="str">
            <v>Nylon 6,6 Face Fiber</v>
          </cell>
        </row>
        <row r="78">
          <cell r="A78" t="str">
            <v>Polypropolene Resin</v>
          </cell>
          <cell r="N78" t="str">
            <v>Polypropolene Resin</v>
          </cell>
        </row>
        <row r="79">
          <cell r="A79" t="str">
            <v>Woven Polypropylene Backing</v>
          </cell>
          <cell r="N79" t="str">
            <v>Woven Polypropylene Backing</v>
          </cell>
        </row>
        <row r="80">
          <cell r="A80" t="str">
            <v>Styrene-Butadiene Latex</v>
          </cell>
          <cell r="N80" t="str">
            <v>Styrene-Butadiene Latex</v>
          </cell>
        </row>
        <row r="81">
          <cell r="A81" t="str">
            <v>Limestone</v>
          </cell>
          <cell r="N81" t="str">
            <v>Limestone</v>
          </cell>
        </row>
        <row r="82">
          <cell r="N82" t="str">
            <v>SB Latex and Limestone</v>
          </cell>
        </row>
        <row r="83">
          <cell r="N83" t="str">
            <v>Fabrication</v>
          </cell>
        </row>
      </sheetData>
      <sheetData sheetId="23" refreshError="1">
        <row r="6">
          <cell r="B6" t="str">
            <v>Abbrev</v>
          </cell>
          <cell r="O6" t="str">
            <v>Fossil mix</v>
          </cell>
          <cell r="P6" t="str">
            <v>Annual fossil-only generation</v>
          </cell>
          <cell r="S6" t="str">
            <v>CO2</v>
          </cell>
          <cell r="T6" t="str">
            <v>CH4</v>
          </cell>
          <cell r="U6" t="str">
            <v>N2O</v>
          </cell>
          <cell r="V6" t="str">
            <v>GWP</v>
          </cell>
          <cell r="W6" t="str">
            <v>CO2</v>
          </cell>
          <cell r="X6" t="str">
            <v>CH4</v>
          </cell>
          <cell r="Y6" t="str">
            <v>N2O</v>
          </cell>
          <cell r="Z6" t="str">
            <v>GWP</v>
          </cell>
          <cell r="AA6" t="str">
            <v>CO2</v>
          </cell>
          <cell r="AB6" t="str">
            <v>CH4</v>
          </cell>
          <cell r="AC6" t="str">
            <v>N2O</v>
          </cell>
          <cell r="AD6" t="str">
            <v>GWP</v>
          </cell>
          <cell r="AE6" t="str">
            <v>CO2</v>
          </cell>
          <cell r="AF6" t="str">
            <v>CH4</v>
          </cell>
          <cell r="AG6" t="str">
            <v>N2O</v>
          </cell>
          <cell r="AH6" t="str">
            <v>GWP</v>
          </cell>
          <cell r="AI6" t="str">
            <v>CO2</v>
          </cell>
          <cell r="AJ6" t="str">
            <v>CH4</v>
          </cell>
          <cell r="AK6" t="str">
            <v>N2O</v>
          </cell>
          <cell r="AL6" t="str">
            <v>GWP</v>
          </cell>
        </row>
        <row r="7">
          <cell r="D7" t="str">
            <v>kgCE / mmBTU</v>
          </cell>
          <cell r="E7" t="str">
            <v>kgCE / mmBTU</v>
          </cell>
          <cell r="F7" t="str">
            <v>kgCE / mmBTU</v>
          </cell>
          <cell r="G7" t="str">
            <v>kgCE / kWh</v>
          </cell>
          <cell r="H7" t="str">
            <v>kgCE / kWh</v>
          </cell>
          <cell r="I7" t="str">
            <v>kgCE / kWh</v>
          </cell>
          <cell r="J7" t="str">
            <v>kgCE / mmBTU</v>
          </cell>
          <cell r="K7" t="str">
            <v>kgCE / mmBTU</v>
          </cell>
          <cell r="L7" t="str">
            <v>kgCE / mmBTU</v>
          </cell>
          <cell r="M7" t="str">
            <v>no. of people</v>
          </cell>
          <cell r="N7" t="str">
            <v>MWh</v>
          </cell>
          <cell r="O7" t="str">
            <v>%</v>
          </cell>
          <cell r="P7" t="str">
            <v>MWh</v>
          </cell>
          <cell r="Q7" t="str">
            <v>mmBTU / yr</v>
          </cell>
          <cell r="R7" t="str">
            <v>BTU / kWh</v>
          </cell>
          <cell r="S7" t="str">
            <v>lb/mmBTU</v>
          </cell>
          <cell r="T7" t="str">
            <v>lb/mmBTU</v>
          </cell>
          <cell r="U7" t="str">
            <v>lb/mmBTU</v>
          </cell>
          <cell r="V7" t="str">
            <v>lb/mmBTU</v>
          </cell>
          <cell r="W7" t="str">
            <v>lb/mmBTU</v>
          </cell>
          <cell r="X7" t="str">
            <v>lb/mmBTU</v>
          </cell>
          <cell r="Y7" t="str">
            <v>lb/mmBTU</v>
          </cell>
          <cell r="Z7" t="str">
            <v>lb/mmBTU</v>
          </cell>
          <cell r="AA7" t="str">
            <v>lb/MWh</v>
          </cell>
          <cell r="AB7" t="str">
            <v>lb/GWh</v>
          </cell>
          <cell r="AC7" t="str">
            <v>lb/GWh</v>
          </cell>
          <cell r="AD7" t="str">
            <v>lb/MWh</v>
          </cell>
          <cell r="AE7" t="str">
            <v>lb/MWh</v>
          </cell>
          <cell r="AF7" t="str">
            <v>lb/GWh</v>
          </cell>
          <cell r="AG7" t="str">
            <v>lb/GWh</v>
          </cell>
          <cell r="AH7" t="str">
            <v>lb/MWh</v>
          </cell>
          <cell r="AI7" t="str">
            <v>lb/MWh</v>
          </cell>
          <cell r="AJ7" t="str">
            <v>lb/GWh</v>
          </cell>
          <cell r="AK7" t="str">
            <v>lb/GWh</v>
          </cell>
          <cell r="AL7" t="str">
            <v>lb/MWh</v>
          </cell>
        </row>
        <row r="10">
          <cell r="C10" t="str">
            <v>Pacific</v>
          </cell>
          <cell r="D10">
            <v>6.6543622409149545</v>
          </cell>
          <cell r="E10">
            <v>15.822571736526728</v>
          </cell>
          <cell r="F10">
            <v>16.645713218489131</v>
          </cell>
          <cell r="G10">
            <v>5.2870168815069826E-2</v>
          </cell>
          <cell r="H10">
            <v>0.12572833134015127</v>
          </cell>
          <cell r="I10">
            <v>0.13168401455689033</v>
          </cell>
          <cell r="J10">
            <v>15.495360145096667</v>
          </cell>
          <cell r="K10">
            <v>36.848866160653948</v>
          </cell>
          <cell r="L10">
            <v>38.59437706825625</v>
          </cell>
          <cell r="M10">
            <v>49445167</v>
          </cell>
          <cell r="N10">
            <v>394034202.02810001</v>
          </cell>
          <cell r="P10">
            <v>162273680.421056</v>
          </cell>
          <cell r="R10">
            <v>7910.986620304323</v>
          </cell>
        </row>
        <row r="11">
          <cell r="C11" t="str">
            <v>East North Central</v>
          </cell>
          <cell r="D11">
            <v>17.096875093858745</v>
          </cell>
          <cell r="E11">
            <v>24.036425986268274</v>
          </cell>
          <cell r="F11">
            <v>22.826560892414069</v>
          </cell>
          <cell r="G11">
            <v>0.17292607025155307</v>
          </cell>
          <cell r="H11">
            <v>0.24311423257649453</v>
          </cell>
          <cell r="I11">
            <v>0.23094342620214922</v>
          </cell>
          <cell r="J11">
            <v>50.681732195648614</v>
          </cell>
          <cell r="K11">
            <v>71.252705913392305</v>
          </cell>
          <cell r="L11">
            <v>67.685646600864359</v>
          </cell>
          <cell r="M11">
            <v>46500668</v>
          </cell>
          <cell r="N11">
            <v>614051373.99240005</v>
          </cell>
          <cell r="P11">
            <v>434692606.41228408</v>
          </cell>
          <cell r="R11">
            <v>10117.311464071596</v>
          </cell>
        </row>
        <row r="12">
          <cell r="C12" t="str">
            <v>East South Central</v>
          </cell>
          <cell r="D12">
            <v>16.425574834780775</v>
          </cell>
          <cell r="E12">
            <v>22.068958042176323</v>
          </cell>
          <cell r="F12">
            <v>21.574826442658249</v>
          </cell>
          <cell r="G12">
            <v>0.15831035275521257</v>
          </cell>
          <cell r="H12">
            <v>0.21266372349693602</v>
          </cell>
          <cell r="I12">
            <v>0.20650159979573363</v>
          </cell>
          <cell r="J12">
            <v>46.398110420636748</v>
          </cell>
          <cell r="K12">
            <v>62.328172185502936</v>
          </cell>
          <cell r="L12">
            <v>60.522157032747252</v>
          </cell>
          <cell r="M12">
            <v>18271071</v>
          </cell>
          <cell r="N12">
            <v>375032900.88199997</v>
          </cell>
          <cell r="P12">
            <v>278293915.76900005</v>
          </cell>
          <cell r="R12">
            <v>9571.4141823840528</v>
          </cell>
        </row>
        <row r="13">
          <cell r="C13" t="str">
            <v>Middle Atlantic</v>
          </cell>
          <cell r="D13">
            <v>11.273092089167632</v>
          </cell>
          <cell r="E13">
            <v>19.382626202701566</v>
          </cell>
          <cell r="F13">
            <v>19.587827480686652</v>
          </cell>
          <cell r="G13">
            <v>0.10161848799655875</v>
          </cell>
          <cell r="H13">
            <v>0.17484154900260715</v>
          </cell>
          <cell r="I13">
            <v>0.17656652023277394</v>
          </cell>
          <cell r="J13">
            <v>29.782675262766336</v>
          </cell>
          <cell r="K13">
            <v>51.243126905805141</v>
          </cell>
          <cell r="L13">
            <v>51.748687055326478</v>
          </cell>
          <cell r="M13">
            <v>40853959</v>
          </cell>
          <cell r="N13">
            <v>424311521.9339999</v>
          </cell>
          <cell r="P13">
            <v>238498365.67728904</v>
          </cell>
          <cell r="R13">
            <v>9014.0941054778159</v>
          </cell>
        </row>
        <row r="14">
          <cell r="C14" t="str">
            <v>Mountain</v>
          </cell>
          <cell r="D14">
            <v>17.323163476605721</v>
          </cell>
          <cell r="E14">
            <v>22.788644105600358</v>
          </cell>
          <cell r="F14">
            <v>19.854844596364345</v>
          </cell>
          <cell r="G14">
            <v>0.17403614307673426</v>
          </cell>
          <cell r="H14">
            <v>0.22898051369168565</v>
          </cell>
          <cell r="I14">
            <v>0.20019879208560484</v>
          </cell>
          <cell r="J14">
            <v>51.007075931047559</v>
          </cell>
          <cell r="K14">
            <v>67.110349851021581</v>
          </cell>
          <cell r="L14">
            <v>58.674909755452767</v>
          </cell>
          <cell r="M14">
            <v>22122914</v>
          </cell>
          <cell r="N14">
            <v>367223840.542</v>
          </cell>
          <cell r="P14">
            <v>278350451.40400994</v>
          </cell>
          <cell r="R14">
            <v>10083.120576137051</v>
          </cell>
        </row>
        <row r="15">
          <cell r="C15" t="str">
            <v>New England</v>
          </cell>
          <cell r="D15">
            <v>10.139407675572604</v>
          </cell>
          <cell r="E15">
            <v>15.457682727435634</v>
          </cell>
          <cell r="F15">
            <v>17.448647806946187</v>
          </cell>
          <cell r="G15">
            <v>7.9509505935340494E-2</v>
          </cell>
          <cell r="H15">
            <v>0.12124344471786416</v>
          </cell>
          <cell r="I15">
            <v>0.13600357936852286</v>
          </cell>
          <cell r="J15">
            <v>23.302903263581623</v>
          </cell>
          <cell r="K15">
            <v>35.534421077920328</v>
          </cell>
          <cell r="L15">
            <v>39.860369099801545</v>
          </cell>
          <cell r="M15">
            <v>14429720</v>
          </cell>
          <cell r="N15">
            <v>120317186.111</v>
          </cell>
          <cell r="P15">
            <v>68538451.872728989</v>
          </cell>
          <cell r="R15">
            <v>7794.5053893735403</v>
          </cell>
        </row>
        <row r="16">
          <cell r="C16" t="str">
            <v>West South Central</v>
          </cell>
          <cell r="D16">
            <v>16.612676246900413</v>
          </cell>
          <cell r="E16">
            <v>20.158451310563851</v>
          </cell>
          <cell r="F16">
            <v>18.428009749627883</v>
          </cell>
          <cell r="G16">
            <v>0.15115162831879217</v>
          </cell>
          <cell r="H16">
            <v>0.18341070275945104</v>
          </cell>
          <cell r="I16">
            <v>0.16770809250017052</v>
          </cell>
          <cell r="J16">
            <v>44.300008299763242</v>
          </cell>
          <cell r="K16">
            <v>53.754602215548374</v>
          </cell>
          <cell r="L16">
            <v>49.152430392781511</v>
          </cell>
          <cell r="M16">
            <v>35850878</v>
          </cell>
          <cell r="N16">
            <v>675808298.64250016</v>
          </cell>
          <cell r="P16">
            <v>555409179.25550008</v>
          </cell>
          <cell r="R16">
            <v>9100.7165059459039</v>
          </cell>
        </row>
        <row r="17">
          <cell r="C17" t="str">
            <v>West North Central</v>
          </cell>
          <cell r="D17">
            <v>18.195206028131413</v>
          </cell>
          <cell r="E17">
            <v>25.252794240359652</v>
          </cell>
          <cell r="F17">
            <v>24.571750226730732</v>
          </cell>
          <cell r="G17">
            <v>0.18947000275589115</v>
          </cell>
          <cell r="H17">
            <v>0.262947909674348</v>
          </cell>
          <cell r="I17">
            <v>0.25601826522896587</v>
          </cell>
          <cell r="J17">
            <v>55.530481464211945</v>
          </cell>
          <cell r="K17">
            <v>77.065624171848768</v>
          </cell>
          <cell r="L17">
            <v>75.034661555968896</v>
          </cell>
          <cell r="M17">
            <v>20336243</v>
          </cell>
          <cell r="N17">
            <v>327230411.64999998</v>
          </cell>
          <cell r="P17">
            <v>234851871.38358992</v>
          </cell>
          <cell r="R17">
            <v>10419.211609535763</v>
          </cell>
        </row>
        <row r="18">
          <cell r="C18" t="str">
            <v>South Atlantic</v>
          </cell>
          <cell r="D18">
            <v>15.182174013565199</v>
          </cell>
          <cell r="E18">
            <v>20.757222569124384</v>
          </cell>
          <cell r="F18">
            <v>21.983313166219975</v>
          </cell>
          <cell r="G18">
            <v>0.13948636292284433</v>
          </cell>
          <cell r="H18">
            <v>0.1908206608224961</v>
          </cell>
          <cell r="I18">
            <v>0.20118027477373651</v>
          </cell>
          <cell r="J18">
            <v>40.881114572932098</v>
          </cell>
          <cell r="K18">
            <v>55.926336700614328</v>
          </cell>
          <cell r="L18">
            <v>58.962565877413979</v>
          </cell>
          <cell r="M18">
            <v>59195930</v>
          </cell>
          <cell r="N18">
            <v>747508178.96239996</v>
          </cell>
          <cell r="P18">
            <v>536629493.80667806</v>
          </cell>
          <cell r="R18">
            <v>9151.49928732646</v>
          </cell>
        </row>
        <row r="20">
          <cell r="B20" t="str">
            <v>US</v>
          </cell>
          <cell r="C20" t="str">
            <v>National Average</v>
          </cell>
          <cell r="D20">
            <v>15.041211354750585</v>
          </cell>
          <cell r="E20">
            <v>21.603055040197898</v>
          </cell>
          <cell r="F20">
            <v>20.497047343198538</v>
          </cell>
          <cell r="G20">
            <v>0.14124304817694061</v>
          </cell>
          <cell r="H20">
            <v>0.20286141001855285</v>
          </cell>
          <cell r="I20">
            <v>0.19247555114409401</v>
          </cell>
          <cell r="J20">
            <v>41.395969571201825</v>
          </cell>
          <cell r="K20">
            <v>59.455278434511385</v>
          </cell>
          <cell r="L20">
            <v>56.411357310695777</v>
          </cell>
          <cell r="M20">
            <v>307006550</v>
          </cell>
          <cell r="N20">
            <v>4045517914.7444024</v>
          </cell>
          <cell r="O20">
            <v>68.904354763641052</v>
          </cell>
          <cell r="P20">
            <v>2787538016.0021367</v>
          </cell>
          <cell r="Q20">
            <v>26820073797.080128</v>
          </cell>
          <cell r="R20">
            <v>9390.4037943280873</v>
          </cell>
          <cell r="S20">
            <v>171.43312138127078</v>
          </cell>
          <cell r="T20">
            <v>3.5868495144734665E-3</v>
          </cell>
          <cell r="U20">
            <v>2.3947163136329597E-3</v>
          </cell>
          <cell r="V20">
            <v>172.25080727830093</v>
          </cell>
          <cell r="W20">
            <v>174.66069999999999</v>
          </cell>
          <cell r="Z20">
            <v>174.66069999999999</v>
          </cell>
          <cell r="AA20">
            <v>1136.5291326364011</v>
          </cell>
          <cell r="AB20">
            <v>23.77929617530252</v>
          </cell>
          <cell r="AC20">
            <v>15.87595694994358</v>
          </cell>
          <cell r="AD20">
            <v>1141.9500445105648</v>
          </cell>
          <cell r="AE20">
            <v>1640.1344999999999</v>
          </cell>
          <cell r="AH20">
            <v>1640.1344999999999</v>
          </cell>
          <cell r="AI20">
            <v>1549.3559</v>
          </cell>
          <cell r="AJ20">
            <v>30.994</v>
          </cell>
          <cell r="AK20">
            <v>19.864699999999999</v>
          </cell>
          <cell r="AL20">
            <v>1556.164831</v>
          </cell>
        </row>
        <row r="22">
          <cell r="B22" t="str">
            <v>AK</v>
          </cell>
          <cell r="C22" t="str">
            <v>Pacific</v>
          </cell>
          <cell r="D22">
            <v>13.021918973402002</v>
          </cell>
          <cell r="E22">
            <v>16.874075448361161</v>
          </cell>
          <cell r="F22">
            <v>16.613040214548825</v>
          </cell>
          <cell r="G22">
            <v>0.13479091015207137</v>
          </cell>
          <cell r="H22">
            <v>0.17466488559059989</v>
          </cell>
          <cell r="I22">
            <v>0.17196288930117504</v>
          </cell>
          <cell r="J22">
            <v>39.50495608208422</v>
          </cell>
          <cell r="K22">
            <v>51.19134982139505</v>
          </cell>
          <cell r="L22">
            <v>50.399440006206049</v>
          </cell>
          <cell r="M22">
            <v>698473</v>
          </cell>
          <cell r="N22">
            <v>6928294.4960000003</v>
          </cell>
          <cell r="O22">
            <v>76.951349673112972</v>
          </cell>
          <cell r="P22">
            <v>5331416.1239999998</v>
          </cell>
          <cell r="Q22">
            <v>55212470.126647122</v>
          </cell>
          <cell r="R22">
            <v>10351.078856149341</v>
          </cell>
          <cell r="S22">
            <v>136.42688730071484</v>
          </cell>
          <cell r="T22">
            <v>3.0824502057803416E-3</v>
          </cell>
          <cell r="U22">
            <v>8.3598398031522363E-4</v>
          </cell>
          <cell r="V22">
            <v>136.75077378893394</v>
          </cell>
          <cell r="W22">
            <v>136.42689999999999</v>
          </cell>
          <cell r="Z22">
            <v>135.19649999999999</v>
          </cell>
          <cell r="AA22">
            <v>1087.3332</v>
          </cell>
          <cell r="AB22">
            <v>24.538</v>
          </cell>
          <cell r="AC22">
            <v>6.4454000000000002</v>
          </cell>
          <cell r="AD22">
            <v>1089.8465720000002</v>
          </cell>
          <cell r="AE22">
            <v>1380.7717</v>
          </cell>
          <cell r="AH22">
            <v>1380.7717</v>
          </cell>
          <cell r="AI22">
            <v>1396.8389</v>
          </cell>
          <cell r="AJ22">
            <v>40.127200000000002</v>
          </cell>
          <cell r="AK22">
            <v>8.0684000000000005</v>
          </cell>
          <cell r="AL22">
            <v>1400.1827751999999</v>
          </cell>
        </row>
        <row r="23">
          <cell r="B23" t="str">
            <v>AL</v>
          </cell>
          <cell r="C23" t="str">
            <v>East-South Central</v>
          </cell>
          <cell r="D23">
            <v>13.788047931859294</v>
          </cell>
          <cell r="E23">
            <v>20.77578231292517</v>
          </cell>
          <cell r="F23">
            <v>21.919076762308407</v>
          </cell>
          <cell r="G23">
            <v>0.12395628471305921</v>
          </cell>
          <cell r="H23">
            <v>0.18677689548546694</v>
          </cell>
          <cell r="I23">
            <v>0.19705525635126778</v>
          </cell>
          <cell r="J23">
            <v>36.329509001482769</v>
          </cell>
          <cell r="K23">
            <v>54.741176871473314</v>
          </cell>
          <cell r="L23">
            <v>57.753592131086691</v>
          </cell>
          <cell r="M23">
            <v>4708708</v>
          </cell>
          <cell r="N23">
            <v>153105216.95300001</v>
          </cell>
          <cell r="O23">
            <v>66.359051550927063</v>
          </cell>
          <cell r="P23">
            <v>101599169.845</v>
          </cell>
          <cell r="Q23">
            <v>940198951.46463358</v>
          </cell>
          <cell r="R23">
            <v>8990.1257469986122</v>
          </cell>
          <cell r="S23">
            <v>162.46051065591021</v>
          </cell>
          <cell r="T23">
            <v>3.1319999523193353E-3</v>
          </cell>
          <cell r="U23">
            <v>2.1716421219660762E-3</v>
          </cell>
          <cell r="V23">
            <v>163.19949171271841</v>
          </cell>
          <cell r="W23">
            <v>167.97219999999999</v>
          </cell>
          <cell r="Z23">
            <v>179.88460000000001</v>
          </cell>
          <cell r="AA23">
            <v>1126.7139</v>
          </cell>
          <cell r="AB23">
            <v>19.677199999999999</v>
          </cell>
          <cell r="AC23">
            <v>16.6982</v>
          </cell>
          <cell r="AD23">
            <v>1132.3035631999999</v>
          </cell>
          <cell r="AE23">
            <v>1673.7091</v>
          </cell>
          <cell r="AH23">
            <v>1673.7091</v>
          </cell>
          <cell r="AI23">
            <v>1452.3085000000001</v>
          </cell>
          <cell r="AJ23">
            <v>25.6038</v>
          </cell>
          <cell r="AK23">
            <v>19.024100000000001</v>
          </cell>
          <cell r="AL23">
            <v>1458.7436508000001</v>
          </cell>
        </row>
        <row r="24">
          <cell r="B24" t="str">
            <v>AR</v>
          </cell>
          <cell r="C24" t="str">
            <v>West-South Central</v>
          </cell>
          <cell r="D24">
            <v>15.949857270567238</v>
          </cell>
          <cell r="E24">
            <v>22.666023500309212</v>
          </cell>
          <cell r="F24">
            <v>18.312362417479125</v>
          </cell>
          <cell r="G24">
            <v>0.15308939597623025</v>
          </cell>
          <cell r="H24">
            <v>0.21755228200371057</v>
          </cell>
          <cell r="I24">
            <v>0.17576511525046384</v>
          </cell>
          <cell r="J24">
            <v>44.867935514721651</v>
          </cell>
          <cell r="K24">
            <v>63.760926730278605</v>
          </cell>
          <cell r="L24">
            <v>51.513808690053878</v>
          </cell>
          <cell r="M24">
            <v>2889450</v>
          </cell>
          <cell r="N24">
            <v>65005677.873000011</v>
          </cell>
          <cell r="O24">
            <v>70.165093729365708</v>
          </cell>
          <cell r="P24">
            <v>45611294.809000008</v>
          </cell>
          <cell r="Q24">
            <v>461695316.62623501</v>
          </cell>
          <cell r="R24">
            <v>9598.1671421430729</v>
          </cell>
          <cell r="S24">
            <v>173.36265809422278</v>
          </cell>
          <cell r="T24">
            <v>3.3833297448961682E-3</v>
          </cell>
          <cell r="U24">
            <v>2.6955477133082488E-3</v>
          </cell>
          <cell r="V24">
            <v>174.26932780999115</v>
          </cell>
          <cell r="W24">
            <v>183.25479999999999</v>
          </cell>
          <cell r="Z24">
            <v>187.14840000000001</v>
          </cell>
          <cell r="AA24">
            <v>1185.8163999999999</v>
          </cell>
          <cell r="AB24">
            <v>20.404900000000001</v>
          </cell>
          <cell r="AC24">
            <v>18.360399999999998</v>
          </cell>
          <cell r="AD24">
            <v>1191.9366269</v>
          </cell>
          <cell r="AE24">
            <v>1784.4555</v>
          </cell>
          <cell r="AH24">
            <v>1784.4555</v>
          </cell>
          <cell r="AI24">
            <v>1240.2391</v>
          </cell>
          <cell r="AJ24">
            <v>30.544799999999999</v>
          </cell>
          <cell r="AK24">
            <v>13.1935</v>
          </cell>
          <cell r="AL24">
            <v>1244.9705258000001</v>
          </cell>
        </row>
        <row r="25">
          <cell r="B25" t="str">
            <v>AZ</v>
          </cell>
          <cell r="C25" t="str">
            <v>Mountain</v>
          </cell>
          <cell r="D25">
            <v>13.90103700867725</v>
          </cell>
          <cell r="E25">
            <v>21.726320346320346</v>
          </cell>
          <cell r="F25">
            <v>14.569567142541732</v>
          </cell>
          <cell r="G25">
            <v>0.13164751085829737</v>
          </cell>
          <cell r="H25">
            <v>0.20575558441558442</v>
          </cell>
          <cell r="I25">
            <v>0.13797871679653681</v>
          </cell>
          <cell r="J25">
            <v>38.583678446159844</v>
          </cell>
          <cell r="K25">
            <v>60.303512431296724</v>
          </cell>
          <cell r="L25">
            <v>40.439248768035405</v>
          </cell>
          <cell r="M25">
            <v>6595778</v>
          </cell>
          <cell r="N25">
            <v>110614113.36099999</v>
          </cell>
          <cell r="O25">
            <v>63.692223303432428</v>
          </cell>
          <cell r="P25">
            <v>70452588.086999997</v>
          </cell>
          <cell r="Q25">
            <v>670369580.97656345</v>
          </cell>
          <cell r="R25">
            <v>9470.3374126779836</v>
          </cell>
          <cell r="S25">
            <v>174.83745232093327</v>
          </cell>
          <cell r="T25">
            <v>2.5720340851959566E-3</v>
          </cell>
          <cell r="U25">
            <v>2.3696103864509995E-3</v>
          </cell>
          <cell r="V25">
            <v>175.62604425652219</v>
          </cell>
          <cell r="W25">
            <v>175.65729999999999</v>
          </cell>
          <cell r="Z25">
            <v>178.0692</v>
          </cell>
          <cell r="AA25">
            <v>1092.6202000000001</v>
          </cell>
          <cell r="AB25">
            <v>15.430999999999999</v>
          </cell>
          <cell r="AC25">
            <v>15.089600000000001</v>
          </cell>
          <cell r="AD25">
            <v>1097.6220270000001</v>
          </cell>
          <cell r="AE25">
            <v>1663.7363</v>
          </cell>
          <cell r="AH25">
            <v>1663.7363</v>
          </cell>
          <cell r="AI25">
            <v>1111.3855000000001</v>
          </cell>
          <cell r="AJ25">
            <v>19.850100000000001</v>
          </cell>
          <cell r="AK25">
            <v>7.9558999999999997</v>
          </cell>
          <cell r="AL25">
            <v>1114.2686811000001</v>
          </cell>
        </row>
        <row r="26">
          <cell r="B26" t="str">
            <v>CA</v>
          </cell>
          <cell r="C26" t="str">
            <v>Pacific</v>
          </cell>
          <cell r="D26">
            <v>9.3669418552742414</v>
          </cell>
          <cell r="E26">
            <v>14.820507111935685</v>
          </cell>
          <cell r="F26">
            <v>16.185213217353926</v>
          </cell>
          <cell r="G26">
            <v>7.1251563556307157E-2</v>
          </cell>
          <cell r="H26">
            <v>0.1127352257266543</v>
          </cell>
          <cell r="I26">
            <v>0.12311614249845393</v>
          </cell>
          <cell r="J26">
            <v>20.882638791414756</v>
          </cell>
          <cell r="K26">
            <v>33.040804726452023</v>
          </cell>
          <cell r="L26">
            <v>36.083277402829403</v>
          </cell>
          <cell r="M26">
            <v>36961664</v>
          </cell>
          <cell r="N26">
            <v>199189655.76309997</v>
          </cell>
          <cell r="O26">
            <v>61.968442266567436</v>
          </cell>
          <cell r="P26">
            <v>123434726.83253102</v>
          </cell>
          <cell r="Q26">
            <v>1022257541.8385103</v>
          </cell>
          <cell r="R26">
            <v>7606.7050118590796</v>
          </cell>
          <cell r="S26">
            <v>111.84189383413032</v>
          </cell>
          <cell r="T26">
            <v>6.4529675627336032E-3</v>
          </cell>
          <cell r="U26">
            <v>8.7477548361844081E-4</v>
          </cell>
          <cell r="V26">
            <v>112.24858655286944</v>
          </cell>
          <cell r="W26">
            <v>119.82380000000001</v>
          </cell>
          <cell r="Z26">
            <v>121.81740000000001</v>
          </cell>
          <cell r="AA26">
            <v>511.29489999999998</v>
          </cell>
          <cell r="AB26">
            <v>30.706</v>
          </cell>
          <cell r="AC26">
            <v>4.4230999999999998</v>
          </cell>
          <cell r="AD26">
            <v>513.31088699999998</v>
          </cell>
          <cell r="AE26">
            <v>901.5027</v>
          </cell>
          <cell r="AH26">
            <v>901.5027</v>
          </cell>
          <cell r="AI26">
            <v>934.25220000000002</v>
          </cell>
          <cell r="AJ26">
            <v>37.905999999999999</v>
          </cell>
          <cell r="AK26">
            <v>4.8093000000000004</v>
          </cell>
          <cell r="AL26">
            <v>936.53910900000005</v>
          </cell>
        </row>
        <row r="27">
          <cell r="B27" t="str">
            <v>CO</v>
          </cell>
          <cell r="C27" t="str">
            <v>Mountain</v>
          </cell>
          <cell r="D27">
            <v>20.437629414014001</v>
          </cell>
          <cell r="E27">
            <v>23.725504019789732</v>
          </cell>
          <cell r="F27">
            <v>20.267516077561076</v>
          </cell>
          <cell r="G27">
            <v>0.20741373542977393</v>
          </cell>
          <cell r="H27">
            <v>0.24078112554112555</v>
          </cell>
          <cell r="I27">
            <v>0.20568731981447128</v>
          </cell>
          <cell r="J27">
            <v>60.789488695713345</v>
          </cell>
          <cell r="K27">
            <v>70.568911354374436</v>
          </cell>
          <cell r="L27">
            <v>60.283505221122887</v>
          </cell>
          <cell r="M27">
            <v>5024748</v>
          </cell>
          <cell r="N27">
            <v>52547910.612999991</v>
          </cell>
          <cell r="O27">
            <v>85.849042499968832</v>
          </cell>
          <cell r="P27">
            <v>45111878.114999995</v>
          </cell>
          <cell r="Q27">
            <v>457759946.88524479</v>
          </cell>
          <cell r="R27">
            <v>10148.620039443085</v>
          </cell>
          <cell r="S27">
            <v>191.55880453185296</v>
          </cell>
          <cell r="T27">
            <v>2.3241784025979039E-3</v>
          </cell>
          <cell r="U27">
            <v>2.8850554794393971E-3</v>
          </cell>
          <cell r="V27">
            <v>192.50197947693371</v>
          </cell>
          <cell r="W27">
            <v>191.82069999999999</v>
          </cell>
          <cell r="Z27">
            <v>190.52289999999999</v>
          </cell>
          <cell r="AA27">
            <v>1818.1726000000001</v>
          </cell>
          <cell r="AB27">
            <v>22.2438</v>
          </cell>
          <cell r="AC27">
            <v>27.263300000000001</v>
          </cell>
          <cell r="AD27">
            <v>1827.0913428000001</v>
          </cell>
          <cell r="AE27">
            <v>2020.2982</v>
          </cell>
          <cell r="AH27">
            <v>2020.2982</v>
          </cell>
          <cell r="AI27">
            <v>1772.7956999999999</v>
          </cell>
          <cell r="AJ27">
            <v>24.420100000000001</v>
          </cell>
          <cell r="AK27">
            <v>21.9254</v>
          </cell>
          <cell r="AL27">
            <v>1780.1053960999998</v>
          </cell>
        </row>
        <row r="28">
          <cell r="B28" t="str">
            <v>CT</v>
          </cell>
          <cell r="C28" t="str">
            <v>New England</v>
          </cell>
          <cell r="D28">
            <v>8.9238084634768455</v>
          </cell>
          <cell r="E28">
            <v>14.913024118738404</v>
          </cell>
          <cell r="F28">
            <v>18.057127082663566</v>
          </cell>
          <cell r="G28">
            <v>6.5358531003171558E-2</v>
          </cell>
          <cell r="H28">
            <v>0.10922392084106369</v>
          </cell>
          <cell r="I28">
            <v>0.13225152748299324</v>
          </cell>
          <cell r="J28">
            <v>19.155489743016286</v>
          </cell>
          <cell r="K28">
            <v>32.01170012926837</v>
          </cell>
          <cell r="L28">
            <v>38.760705592905403</v>
          </cell>
          <cell r="M28">
            <v>3518288</v>
          </cell>
          <cell r="N28">
            <v>35557337.401000001</v>
          </cell>
          <cell r="O28">
            <v>49.150789321141616</v>
          </cell>
          <cell r="P28">
            <v>17476711.994173001</v>
          </cell>
          <cell r="Q28">
            <v>146138524.07041621</v>
          </cell>
          <cell r="R28">
            <v>7324.0625088121778</v>
          </cell>
          <cell r="S28">
            <v>127.72294690880432</v>
          </cell>
          <cell r="T28">
            <v>1.3753169864435191E-2</v>
          </cell>
          <cell r="U28">
            <v>1.8076185041828617E-3</v>
          </cell>
          <cell r="V28">
            <v>128.57212521225415</v>
          </cell>
          <cell r="W28">
            <v>120.5718</v>
          </cell>
          <cell r="Z28">
            <v>139.5247</v>
          </cell>
          <cell r="AA28">
            <v>614.89409999999998</v>
          </cell>
          <cell r="AB28">
            <v>59.491100000000003</v>
          </cell>
          <cell r="AC28">
            <v>10.1951</v>
          </cell>
          <cell r="AD28">
            <v>619.30389409999998</v>
          </cell>
          <cell r="AE28">
            <v>1129.6467</v>
          </cell>
          <cell r="AH28">
            <v>1129.6467</v>
          </cell>
          <cell r="AI28">
            <v>1347.6693</v>
          </cell>
          <cell r="AJ28">
            <v>84.936999999999998</v>
          </cell>
          <cell r="AK28">
            <v>17.5868</v>
          </cell>
          <cell r="AL28">
            <v>1354.9048849999999</v>
          </cell>
        </row>
        <row r="29">
          <cell r="B29" t="str">
            <v>DC</v>
          </cell>
          <cell r="C29" t="str">
            <v>South Atlantic</v>
          </cell>
          <cell r="D29">
            <v>15.81847168634707</v>
          </cell>
          <cell r="E29">
            <v>15.790204081632654</v>
          </cell>
          <cell r="F29">
            <v>21.928334951064279</v>
          </cell>
          <cell r="G29">
            <v>0.15265566514462778</v>
          </cell>
          <cell r="H29">
            <v>0.15238286951144092</v>
          </cell>
          <cell r="I29">
            <v>0.21161870905380334</v>
          </cell>
          <cell r="J29">
            <v>44.74081627919923</v>
          </cell>
          <cell r="K29">
            <v>44.660864452356655</v>
          </cell>
          <cell r="L29">
            <v>62.021895971220211</v>
          </cell>
          <cell r="M29">
            <v>599657</v>
          </cell>
          <cell r="N29">
            <v>71786.78</v>
          </cell>
          <cell r="O29">
            <v>100</v>
          </cell>
          <cell r="P29">
            <v>71786.78</v>
          </cell>
          <cell r="Q29">
            <v>692775.978</v>
          </cell>
          <cell r="R29">
            <v>9650.4686528209259</v>
          </cell>
          <cell r="S29">
            <v>127.66381572761843</v>
          </cell>
          <cell r="T29">
            <v>3.4170543623035384E-3</v>
          </cell>
          <cell r="U29">
            <v>5.0576359057588453E-4</v>
          </cell>
          <cell r="V29">
            <v>127.89236058230532</v>
          </cell>
          <cell r="W29">
            <v>127.66379999999999</v>
          </cell>
          <cell r="Z29">
            <v>162.3049</v>
          </cell>
          <cell r="AA29">
            <v>2265.2926000000002</v>
          </cell>
          <cell r="AB29">
            <v>97.392099999999999</v>
          </cell>
          <cell r="AC29">
            <v>19.484000000000002</v>
          </cell>
          <cell r="AD29">
            <v>2273.3778741000001</v>
          </cell>
          <cell r="AE29">
            <v>2265.2926000000002</v>
          </cell>
          <cell r="AH29">
            <v>2265.2926000000002</v>
          </cell>
          <cell r="AI29">
            <v>2265.2926000000002</v>
          </cell>
          <cell r="AJ29">
            <v>97.392099999999999</v>
          </cell>
          <cell r="AK29">
            <v>19.484000000000002</v>
          </cell>
          <cell r="AL29">
            <v>2273.3778741000001</v>
          </cell>
        </row>
        <row r="30">
          <cell r="B30" t="str">
            <v>DE</v>
          </cell>
          <cell r="C30" t="str">
            <v>South Atlantic</v>
          </cell>
          <cell r="D30">
            <v>16.669099998405958</v>
          </cell>
          <cell r="E30">
            <v>16.750624613481754</v>
          </cell>
          <cell r="F30">
            <v>17.448453602865072</v>
          </cell>
          <cell r="G30">
            <v>0.15581791914055226</v>
          </cell>
          <cell r="H30">
            <v>0.15657998763141623</v>
          </cell>
          <cell r="I30">
            <v>0.1631030909214595</v>
          </cell>
          <cell r="J30">
            <v>45.667619912236887</v>
          </cell>
          <cell r="K30">
            <v>45.890969411317769</v>
          </cell>
          <cell r="L30">
            <v>47.802781629970546</v>
          </cell>
          <cell r="M30">
            <v>885122</v>
          </cell>
          <cell r="N30">
            <v>8633823.2577999998</v>
          </cell>
          <cell r="O30">
            <v>98.482125310109808</v>
          </cell>
          <cell r="P30">
            <v>8502772.6398000009</v>
          </cell>
          <cell r="Q30">
            <v>80579254.71832414</v>
          </cell>
          <cell r="R30">
            <v>9347.7103836111655</v>
          </cell>
          <cell r="S30">
            <v>134.63340564375957</v>
          </cell>
          <cell r="T30">
            <v>2.2881046643556855E-3</v>
          </cell>
          <cell r="U30">
            <v>9.7097471160456519E-4</v>
          </cell>
          <cell r="V30">
            <v>134.98245800230848</v>
          </cell>
          <cell r="W30">
            <v>135.4288</v>
          </cell>
          <cell r="Z30">
            <v>159.77549999999999</v>
          </cell>
          <cell r="AA30">
            <v>1537.7309</v>
          </cell>
          <cell r="AB30">
            <v>22.662500000000001</v>
          </cell>
          <cell r="AC30">
            <v>20.6159</v>
          </cell>
          <cell r="AD30">
            <v>1544.5977415</v>
          </cell>
          <cell r="AE30">
            <v>1550.7605000000001</v>
          </cell>
          <cell r="AH30">
            <v>1550.7605000000001</v>
          </cell>
          <cell r="AI30">
            <v>1499.5858000000001</v>
          </cell>
          <cell r="AJ30">
            <v>22.998200000000001</v>
          </cell>
          <cell r="AK30">
            <v>18.9193</v>
          </cell>
          <cell r="AL30">
            <v>1505.9337452</v>
          </cell>
        </row>
        <row r="31">
          <cell r="B31" t="str">
            <v>FL</v>
          </cell>
          <cell r="C31" t="str">
            <v>South Atlantic</v>
          </cell>
          <cell r="D31">
            <v>16.723211729224815</v>
          </cell>
          <cell r="E31">
            <v>18.012059369202223</v>
          </cell>
          <cell r="F31">
            <v>20.137811306281431</v>
          </cell>
          <cell r="G31">
            <v>0.14115125646883417</v>
          </cell>
          <cell r="H31">
            <v>0.15202969696969695</v>
          </cell>
          <cell r="I31">
            <v>0.16997197753865181</v>
          </cell>
          <cell r="J31">
            <v>41.369066960385162</v>
          </cell>
          <cell r="K31">
            <v>44.557355501083514</v>
          </cell>
          <cell r="L31">
            <v>49.815937144974157</v>
          </cell>
          <cell r="M31">
            <v>18537969</v>
          </cell>
          <cell r="N31">
            <v>221099929.55259997</v>
          </cell>
          <cell r="O31">
            <v>89.781387274934914</v>
          </cell>
          <cell r="P31">
            <v>198506584.01622805</v>
          </cell>
          <cell r="Q31">
            <v>1728428769.8462782</v>
          </cell>
          <cell r="R31">
            <v>8440.4394774338652</v>
          </cell>
          <cell r="S31">
            <v>145.39397196073318</v>
          </cell>
          <cell r="T31">
            <v>5.0616051793850678E-3</v>
          </cell>
          <cell r="U31">
            <v>1.5567802733234904E-3</v>
          </cell>
          <cell r="V31">
            <v>145.98286755423055</v>
          </cell>
          <cell r="W31">
            <v>145.6275</v>
          </cell>
          <cell r="Z31">
            <v>155.48920000000001</v>
          </cell>
          <cell r="AA31">
            <v>1228.2764999999999</v>
          </cell>
          <cell r="AB31">
            <v>39.015300000000003</v>
          </cell>
          <cell r="AC31">
            <v>14.558199999999999</v>
          </cell>
          <cell r="AD31">
            <v>1233.6088632999999</v>
          </cell>
          <cell r="AE31">
            <v>1373.4853000000001</v>
          </cell>
          <cell r="AH31">
            <v>1373.4853000000001</v>
          </cell>
          <cell r="AI31">
            <v>1313.6271999999999</v>
          </cell>
          <cell r="AJ31">
            <v>38.6571</v>
          </cell>
          <cell r="AK31">
            <v>11.8161</v>
          </cell>
          <cell r="AL31">
            <v>1318.1019900999997</v>
          </cell>
        </row>
        <row r="32">
          <cell r="B32" t="str">
            <v>GA</v>
          </cell>
          <cell r="C32" t="str">
            <v>South Atlantic</v>
          </cell>
          <cell r="D32">
            <v>14.548844067937283</v>
          </cell>
          <cell r="E32">
            <v>21.279282622139764</v>
          </cell>
          <cell r="F32">
            <v>22.869823677451542</v>
          </cell>
          <cell r="G32">
            <v>0.13421004429503899</v>
          </cell>
          <cell r="H32">
            <v>0.19629693259121833</v>
          </cell>
          <cell r="I32">
            <v>0.2109693412368584</v>
          </cell>
          <cell r="J32">
            <v>39.334714037232999</v>
          </cell>
          <cell r="K32">
            <v>57.531340149829525</v>
          </cell>
          <cell r="L32">
            <v>61.831577150310196</v>
          </cell>
          <cell r="M32">
            <v>9829211</v>
          </cell>
          <cell r="N32">
            <v>122014744.25300002</v>
          </cell>
          <cell r="O32">
            <v>68.373302894456373</v>
          </cell>
          <cell r="P32">
            <v>83425510.664000005</v>
          </cell>
          <cell r="Q32">
            <v>788221699.47848523</v>
          </cell>
          <cell r="R32">
            <v>9224.790895299433</v>
          </cell>
          <cell r="S32">
            <v>167.19526466873572</v>
          </cell>
          <cell r="T32">
            <v>3.0492794436832141E-3</v>
          </cell>
          <cell r="U32">
            <v>2.2891499330735597E-3</v>
          </cell>
          <cell r="V32">
            <v>167.96893601630586</v>
          </cell>
          <cell r="W32">
            <v>172.04300000000001</v>
          </cell>
          <cell r="Z32">
            <v>188.75909999999999</v>
          </cell>
          <cell r="AA32">
            <v>1285.5127</v>
          </cell>
          <cell r="AB32">
            <v>19.804300000000001</v>
          </cell>
          <cell r="AC32">
            <v>20.331099999999999</v>
          </cell>
          <cell r="AD32">
            <v>1292.2312313</v>
          </cell>
          <cell r="AE32">
            <v>1812.3577</v>
          </cell>
          <cell r="AH32">
            <v>1812.3577</v>
          </cell>
          <cell r="AI32">
            <v>1626.0562</v>
          </cell>
          <cell r="AJ32">
            <v>26.573399999999999</v>
          </cell>
          <cell r="AK32">
            <v>22.813099999999999</v>
          </cell>
          <cell r="AL32">
            <v>1633.6863024000002</v>
          </cell>
        </row>
        <row r="33">
          <cell r="B33" t="str">
            <v>HI</v>
          </cell>
          <cell r="C33" t="str">
            <v>Pacific</v>
          </cell>
          <cell r="D33">
            <v>19.668498330158211</v>
          </cell>
          <cell r="E33">
            <v>21.276178107606679</v>
          </cell>
          <cell r="F33">
            <v>18.540033618881996</v>
          </cell>
          <cell r="G33">
            <v>0.1828859603334706</v>
          </cell>
          <cell r="H33">
            <v>0.19783484230055656</v>
          </cell>
          <cell r="I33">
            <v>0.17239302137291279</v>
          </cell>
          <cell r="J33">
            <v>53.600809007465003</v>
          </cell>
          <cell r="K33">
            <v>57.982075703562884</v>
          </cell>
          <cell r="L33">
            <v>50.525504505543026</v>
          </cell>
          <cell r="M33">
            <v>1295178</v>
          </cell>
          <cell r="N33">
            <v>10469268.697999999</v>
          </cell>
          <cell r="O33">
            <v>90.023225705922187</v>
          </cell>
          <cell r="P33">
            <v>9424773.3897599988</v>
          </cell>
          <cell r="Q33">
            <v>91564337.920004472</v>
          </cell>
          <cell r="R33">
            <v>9298.4201062796383</v>
          </cell>
          <cell r="S33">
            <v>168.1858619517011</v>
          </cell>
          <cell r="T33">
            <v>9.621493264008088E-3</v>
          </cell>
          <cell r="U33">
            <v>2.1799681210537326E-3</v>
          </cell>
          <cell r="V33">
            <v>169.06370342777191</v>
          </cell>
          <cell r="W33">
            <v>172.0179</v>
          </cell>
          <cell r="Z33">
            <v>171.32839999999999</v>
          </cell>
          <cell r="AA33">
            <v>1542.3851</v>
          </cell>
          <cell r="AB33">
            <v>92.401300000000006</v>
          </cell>
          <cell r="AC33">
            <v>20.087199999999999</v>
          </cell>
          <cell r="AD33">
            <v>1550.5525593</v>
          </cell>
          <cell r="AE33">
            <v>1623.5396000000001</v>
          </cell>
          <cell r="AH33">
            <v>1623.5396000000001</v>
          </cell>
          <cell r="AI33">
            <v>1618.7655</v>
          </cell>
          <cell r="AJ33">
            <v>114.88590000000001</v>
          </cell>
          <cell r="AK33">
            <v>19.807200000000002</v>
          </cell>
          <cell r="AL33">
            <v>1627.3183359</v>
          </cell>
        </row>
        <row r="34">
          <cell r="B34" t="str">
            <v>IA</v>
          </cell>
          <cell r="C34" t="str">
            <v>West-North Central</v>
          </cell>
          <cell r="D34">
            <v>16.782337731878734</v>
          </cell>
          <cell r="E34">
            <v>25.386221397649969</v>
          </cell>
          <cell r="F34">
            <v>23.971606320038948</v>
          </cell>
          <cell r="G34">
            <v>0.17444075703760517</v>
          </cell>
          <cell r="H34">
            <v>0.26387215831787258</v>
          </cell>
          <cell r="I34">
            <v>0.24916821605442177</v>
          </cell>
          <cell r="J34">
            <v>51.125661499884281</v>
          </cell>
          <cell r="K34">
            <v>77.336505954827842</v>
          </cell>
          <cell r="L34">
            <v>73.027026979607783</v>
          </cell>
          <cell r="M34">
            <v>3007856</v>
          </cell>
          <cell r="N34">
            <v>56602145.651000008</v>
          </cell>
          <cell r="O34">
            <v>66.060350128510336</v>
          </cell>
          <cell r="P34">
            <v>37391575.597299993</v>
          </cell>
          <cell r="Q34">
            <v>390008956.98752928</v>
          </cell>
          <cell r="R34">
            <v>10394.306194079734</v>
          </cell>
          <cell r="S34">
            <v>203.60126179848086</v>
          </cell>
          <cell r="T34">
            <v>2.3451034003483177E-3</v>
          </cell>
          <cell r="U34">
            <v>3.3374982194678215E-3</v>
          </cell>
          <cell r="V34">
            <v>204.6851334179232</v>
          </cell>
          <cell r="W34">
            <v>205.24760000000001</v>
          </cell>
          <cell r="Z34">
            <v>207.10489999999999</v>
          </cell>
          <cell r="AA34">
            <v>1624.7873</v>
          </cell>
          <cell r="AB34">
            <v>18.6068</v>
          </cell>
          <cell r="AC34">
            <v>26.726099999999999</v>
          </cell>
          <cell r="AD34">
            <v>1633.4631337999999</v>
          </cell>
          <cell r="AE34">
            <v>2181.5160000000001</v>
          </cell>
          <cell r="AH34">
            <v>2181.5160000000001</v>
          </cell>
          <cell r="AI34">
            <v>2230.3942999999999</v>
          </cell>
          <cell r="AJ34">
            <v>27.596</v>
          </cell>
          <cell r="AK34">
            <v>35.250999999999998</v>
          </cell>
          <cell r="AL34">
            <v>2241.9016259999999</v>
          </cell>
        </row>
        <row r="35">
          <cell r="B35" t="str">
            <v>ID</v>
          </cell>
          <cell r="C35" t="str">
            <v>Mountain</v>
          </cell>
          <cell r="D35">
            <v>1.9259696139886906</v>
          </cell>
          <cell r="E35">
            <v>15.049264069264069</v>
          </cell>
          <cell r="F35">
            <v>12.635697793478624</v>
          </cell>
          <cell r="G35">
            <v>1.4215788648935593E-2</v>
          </cell>
          <cell r="H35">
            <v>0.11108023500309216</v>
          </cell>
          <cell r="I35">
            <v>9.3265443005565885E-2</v>
          </cell>
          <cell r="J35">
            <v>4.1664093343890958</v>
          </cell>
          <cell r="K35">
            <v>32.555754690238032</v>
          </cell>
          <cell r="L35">
            <v>27.334537809368662</v>
          </cell>
          <cell r="M35">
            <v>1545801</v>
          </cell>
          <cell r="N35">
            <v>15499089.316</v>
          </cell>
          <cell r="O35">
            <v>13.189048493899266</v>
          </cell>
          <cell r="P35">
            <v>2044182.406</v>
          </cell>
          <cell r="Q35">
            <v>18695338.474065907</v>
          </cell>
          <cell r="R35">
            <v>7381.1074409915755</v>
          </cell>
          <cell r="S35">
            <v>94.682312089657714</v>
          </cell>
          <cell r="T35">
            <v>7.668578003528095E-3</v>
          </cell>
          <cell r="U35">
            <v>1.4241695672960117E-3</v>
          </cell>
          <cell r="V35">
            <v>95.284844793593564</v>
          </cell>
          <cell r="W35">
            <v>121.6733</v>
          </cell>
          <cell r="Z35">
            <v>122.9066</v>
          </cell>
          <cell r="AA35">
            <v>131.95419999999999</v>
          </cell>
          <cell r="AB35">
            <v>12.2013</v>
          </cell>
          <cell r="AC35">
            <v>2.3037000000000001</v>
          </cell>
          <cell r="AD35">
            <v>132.92457429999999</v>
          </cell>
          <cell r="AE35">
            <v>894.28899999999999</v>
          </cell>
          <cell r="AH35">
            <v>894.28899999999999</v>
          </cell>
          <cell r="AI35">
            <v>706.69140000000004</v>
          </cell>
          <cell r="AJ35">
            <v>62.7911</v>
          </cell>
          <cell r="AK35">
            <v>12.5328</v>
          </cell>
          <cell r="AL35">
            <v>711.89518110000006</v>
          </cell>
        </row>
        <row r="36">
          <cell r="B36" t="str">
            <v>IL</v>
          </cell>
          <cell r="C36" t="str">
            <v>East-North Central</v>
          </cell>
          <cell r="D36">
            <v>11.709831805505383</v>
          </cell>
          <cell r="E36">
            <v>24.829140383426097</v>
          </cell>
          <cell r="F36">
            <v>23.687377027313058</v>
          </cell>
          <cell r="G36">
            <v>0.12398142788438621</v>
          </cell>
          <cell r="H36">
            <v>0.26288612244897958</v>
          </cell>
          <cell r="I36">
            <v>0.25079735349412496</v>
          </cell>
          <cell r="J36">
            <v>36.336878043489513</v>
          </cell>
          <cell r="K36">
            <v>77.047515371916631</v>
          </cell>
          <cell r="L36">
            <v>73.504499851736512</v>
          </cell>
          <cell r="M36">
            <v>12910409</v>
          </cell>
          <cell r="N36">
            <v>197522000.958</v>
          </cell>
          <cell r="O36">
            <v>46.921449406391453</v>
          </cell>
          <cell r="P36">
            <v>92680185.746000007</v>
          </cell>
          <cell r="Q36">
            <v>989140070.94006395</v>
          </cell>
          <cell r="R36">
            <v>10587.806037153865</v>
          </cell>
          <cell r="S36">
            <v>199.14887461372504</v>
          </cell>
          <cell r="T36">
            <v>2.3099084023887459E-3</v>
          </cell>
          <cell r="U36">
            <v>3.1305607958107009E-3</v>
          </cell>
          <cell r="V36">
            <v>200.16785653687651</v>
          </cell>
          <cell r="W36">
            <v>200.74359999999999</v>
          </cell>
          <cell r="Z36">
            <v>206.14580000000001</v>
          </cell>
          <cell r="AA36">
            <v>1072.6248000000001</v>
          </cell>
          <cell r="AB36">
            <v>12.300800000000001</v>
          </cell>
          <cell r="AC36">
            <v>17.370699999999999</v>
          </cell>
          <cell r="AD36">
            <v>1078.2680338000002</v>
          </cell>
          <cell r="AE36">
            <v>2161.7748999999999</v>
          </cell>
          <cell r="AH36">
            <v>2161.7748999999999</v>
          </cell>
          <cell r="AI36">
            <v>2061.2963</v>
          </cell>
          <cell r="AJ36">
            <v>25.323599999999999</v>
          </cell>
          <cell r="AK36">
            <v>31.855899999999998</v>
          </cell>
          <cell r="AL36">
            <v>2071.7034245999998</v>
          </cell>
        </row>
        <row r="37">
          <cell r="B37" t="str">
            <v>IN</v>
          </cell>
          <cell r="C37" t="str">
            <v>East-North Central</v>
          </cell>
          <cell r="D37">
            <v>23.597427615414389</v>
          </cell>
          <cell r="E37">
            <v>24.361904761904764</v>
          </cell>
          <cell r="F37">
            <v>24.65391371071534</v>
          </cell>
          <cell r="G37">
            <v>0.23665529327149948</v>
          </cell>
          <cell r="H37">
            <v>0.2443221273964131</v>
          </cell>
          <cell r="I37">
            <v>0.24725064420531848</v>
          </cell>
          <cell r="J37">
            <v>69.359699083088941</v>
          </cell>
          <cell r="K37">
            <v>71.606719635525536</v>
          </cell>
          <cell r="L37">
            <v>72.465018817502482</v>
          </cell>
          <cell r="M37">
            <v>6423113</v>
          </cell>
          <cell r="N37">
            <v>114878967.34740001</v>
          </cell>
          <cell r="O37">
            <v>96.535128381505174</v>
          </cell>
          <cell r="P37">
            <v>110898558.61216001</v>
          </cell>
          <cell r="Q37">
            <v>1114010384.566596</v>
          </cell>
          <cell r="R37">
            <v>10028.859803214766</v>
          </cell>
          <cell r="S37">
            <v>196.2921406758974</v>
          </cell>
          <cell r="T37">
            <v>2.374372161578534E-3</v>
          </cell>
          <cell r="U37">
            <v>3.1202778568076156E-3</v>
          </cell>
          <cell r="V37">
            <v>197.30928862690089</v>
          </cell>
          <cell r="W37">
            <v>196.96600000000001</v>
          </cell>
          <cell r="Z37">
            <v>202.52860000000001</v>
          </cell>
          <cell r="AA37">
            <v>2001.2144000000001</v>
          </cell>
          <cell r="AB37">
            <v>23.5182</v>
          </cell>
          <cell r="AC37">
            <v>32.863399999999999</v>
          </cell>
          <cell r="AD37">
            <v>2011.8959362000001</v>
          </cell>
          <cell r="AE37">
            <v>2067.0646999999999</v>
          </cell>
          <cell r="AH37">
            <v>2067.0646999999999</v>
          </cell>
          <cell r="AI37">
            <v>2016.8701000000001</v>
          </cell>
          <cell r="AJ37">
            <v>24.3</v>
          </cell>
          <cell r="AK37">
            <v>31.398</v>
          </cell>
          <cell r="AL37">
            <v>2027.1137799999999</v>
          </cell>
        </row>
        <row r="38">
          <cell r="B38" t="str">
            <v>KS</v>
          </cell>
          <cell r="C38" t="str">
            <v>West-North Central</v>
          </cell>
          <cell r="D38">
            <v>17.378540168080537</v>
          </cell>
          <cell r="E38">
            <v>24.798824984539269</v>
          </cell>
          <cell r="F38">
            <v>24.140808137135526</v>
          </cell>
          <cell r="G38">
            <v>0.19825944052681796</v>
          </cell>
          <cell r="H38">
            <v>0.28291220779220783</v>
          </cell>
          <cell r="I38">
            <v>0.27540536022263457</v>
          </cell>
          <cell r="J38">
            <v>58.106518325562121</v>
          </cell>
          <cell r="K38">
            <v>82.916825261491155</v>
          </cell>
          <cell r="L38">
            <v>80.716694086352462</v>
          </cell>
          <cell r="M38">
            <v>2818747</v>
          </cell>
          <cell r="N38">
            <v>44286624.611999996</v>
          </cell>
          <cell r="O38">
            <v>69.720180489062557</v>
          </cell>
          <cell r="P38">
            <v>30876714.611999996</v>
          </cell>
          <cell r="Q38">
            <v>352888848.56310588</v>
          </cell>
          <cell r="R38">
            <v>11408.290835093534</v>
          </cell>
          <cell r="S38">
            <v>200.13583309946966</v>
          </cell>
          <cell r="T38">
            <v>2.3240013564416345E-3</v>
          </cell>
          <cell r="U38">
            <v>3.1566713047427543E-3</v>
          </cell>
          <cell r="V38">
            <v>201.16320523242518</v>
          </cell>
          <cell r="W38">
            <v>200.49850000000001</v>
          </cell>
          <cell r="Z38">
            <v>202.87440000000001</v>
          </cell>
          <cell r="AA38">
            <v>1663.2030999999999</v>
          </cell>
          <cell r="AB38">
            <v>19.080400000000001</v>
          </cell>
          <cell r="AC38">
            <v>26.7087</v>
          </cell>
          <cell r="AD38">
            <v>1671.8834853999999</v>
          </cell>
          <cell r="AE38">
            <v>2284.1622000000002</v>
          </cell>
          <cell r="AH38">
            <v>2284.1622000000002</v>
          </cell>
          <cell r="AI38">
            <v>2115.8924999999999</v>
          </cell>
          <cell r="AJ38">
            <v>26.973299999999998</v>
          </cell>
          <cell r="AK38">
            <v>29.4833</v>
          </cell>
          <cell r="AL38">
            <v>2125.5987623000001</v>
          </cell>
        </row>
        <row r="39">
          <cell r="B39" t="str">
            <v>KY</v>
          </cell>
          <cell r="C39" t="str">
            <v>East-South Central</v>
          </cell>
          <cell r="D39">
            <v>24.444343568174403</v>
          </cell>
          <cell r="E39">
            <v>25.064613481756339</v>
          </cell>
          <cell r="F39">
            <v>23.126485021797592</v>
          </cell>
          <cell r="G39">
            <v>0.25789337701320419</v>
          </cell>
          <cell r="H39">
            <v>0.2644373654916512</v>
          </cell>
          <cell r="I39">
            <v>0.24398967000618427</v>
          </cell>
          <cell r="J39">
            <v>75.584225384878138</v>
          </cell>
          <cell r="K39">
            <v>77.5021587021252</v>
          </cell>
          <cell r="L39">
            <v>71.509281947885185</v>
          </cell>
          <cell r="M39">
            <v>4314113</v>
          </cell>
          <cell r="N39">
            <v>89957452.209999993</v>
          </cell>
          <cell r="O39">
            <v>97.004515593983868</v>
          </cell>
          <cell r="P39">
            <v>87262790.757000029</v>
          </cell>
          <cell r="Q39">
            <v>923144671.76610672</v>
          </cell>
          <cell r="R39">
            <v>10550.227143304084</v>
          </cell>
          <cell r="S39">
            <v>202.08754318276902</v>
          </cell>
          <cell r="T39">
            <v>2.3518603723308561E-3</v>
          </cell>
          <cell r="U39">
            <v>3.3747507228153481E-3</v>
          </cell>
          <cell r="V39">
            <v>203.18310497466072</v>
          </cell>
          <cell r="W39">
            <v>202.6474</v>
          </cell>
          <cell r="Z39">
            <v>203.7568</v>
          </cell>
          <cell r="AA39">
            <v>2071.9827</v>
          </cell>
          <cell r="AB39">
            <v>24.110499999999998</v>
          </cell>
          <cell r="AC39">
            <v>34.896900000000002</v>
          </cell>
          <cell r="AD39">
            <v>2083.3070595000004</v>
          </cell>
          <cell r="AE39">
            <v>2137.989</v>
          </cell>
          <cell r="AH39">
            <v>2137.989</v>
          </cell>
          <cell r="AI39">
            <v>2132.0077999999999</v>
          </cell>
          <cell r="AJ39">
            <v>25.796900000000001</v>
          </cell>
          <cell r="AK39">
            <v>35.112200000000001</v>
          </cell>
          <cell r="AL39">
            <v>2143.4343168999999</v>
          </cell>
        </row>
        <row r="40">
          <cell r="B40" t="str">
            <v>LA</v>
          </cell>
          <cell r="C40" t="str">
            <v>West-South Central</v>
          </cell>
          <cell r="D40">
            <v>15.123372299818863</v>
          </cell>
          <cell r="E40">
            <v>18.424415584415588</v>
          </cell>
          <cell r="F40">
            <v>18.307363206212013</v>
          </cell>
          <cell r="G40">
            <v>0.14330311368923873</v>
          </cell>
          <cell r="H40">
            <v>0.17458249845392701</v>
          </cell>
          <cell r="I40">
            <v>0.17347335626468768</v>
          </cell>
          <cell r="J40">
            <v>41.999740237174308</v>
          </cell>
          <cell r="K40">
            <v>51.167203532803931</v>
          </cell>
          <cell r="L40">
            <v>50.842132551198027</v>
          </cell>
          <cell r="M40">
            <v>4492076</v>
          </cell>
          <cell r="N40">
            <v>103347602.39899999</v>
          </cell>
          <cell r="O40">
            <v>81.838845033349727</v>
          </cell>
          <cell r="P40">
            <v>84578484.173000023</v>
          </cell>
          <cell r="Q40">
            <v>816050783.83078384</v>
          </cell>
          <cell r="R40">
            <v>9475.6057609555191</v>
          </cell>
          <cell r="S40">
            <v>146.22627035655285</v>
          </cell>
          <cell r="T40">
            <v>2.9461834238445686E-3</v>
          </cell>
          <cell r="U40">
            <v>1.4253029385616965E-3</v>
          </cell>
          <cell r="V40">
            <v>146.7299841194077</v>
          </cell>
          <cell r="W40">
            <v>148.9614</v>
          </cell>
          <cell r="Z40">
            <v>153.61080000000001</v>
          </cell>
          <cell r="AA40">
            <v>1119.1981000000001</v>
          </cell>
          <cell r="AB40">
            <v>23.2715</v>
          </cell>
          <cell r="AC40">
            <v>11.544</v>
          </cell>
          <cell r="AD40">
            <v>1123.2654415</v>
          </cell>
          <cell r="AE40">
            <v>1428.7044000000001</v>
          </cell>
          <cell r="AH40">
            <v>1428.7044000000001</v>
          </cell>
          <cell r="AI40">
            <v>1241.1778999999999</v>
          </cell>
          <cell r="AJ40">
            <v>28.439699999999998</v>
          </cell>
          <cell r="AK40">
            <v>7.1870000000000003</v>
          </cell>
          <cell r="AL40">
            <v>1244.0031036999999</v>
          </cell>
        </row>
        <row r="41">
          <cell r="B41" t="str">
            <v>MA</v>
          </cell>
          <cell r="C41" t="str">
            <v>New England</v>
          </cell>
          <cell r="D41">
            <v>14.295745460758047</v>
          </cell>
          <cell r="E41">
            <v>15.883883735312308</v>
          </cell>
          <cell r="F41">
            <v>18.87151715024677</v>
          </cell>
          <cell r="G41">
            <v>0.11199141379536544</v>
          </cell>
          <cell r="H41">
            <v>0.12443272727272728</v>
          </cell>
          <cell r="I41">
            <v>0.14783754312925168</v>
          </cell>
          <cell r="J41">
            <v>32.822805918923045</v>
          </cell>
          <cell r="K41">
            <v>36.46914632846638</v>
          </cell>
          <cell r="L41">
            <v>43.328705489229684</v>
          </cell>
          <cell r="M41">
            <v>6593587</v>
          </cell>
          <cell r="N41">
            <v>36198121.511000007</v>
          </cell>
          <cell r="O41">
            <v>76.964754463194637</v>
          </cell>
          <cell r="P41">
            <v>27859795.341229998</v>
          </cell>
          <cell r="Q41">
            <v>248702937.91414362</v>
          </cell>
          <cell r="R41">
            <v>7833.8981414283635</v>
          </cell>
          <cell r="S41">
            <v>130.98222068743129</v>
          </cell>
          <cell r="T41">
            <v>1.1549536213597047E-2</v>
          </cell>
          <cell r="U41">
            <v>1.8110291217763798E-3</v>
          </cell>
          <cell r="V41">
            <v>131.78617997566749</v>
          </cell>
          <cell r="W41">
            <v>128.4212</v>
          </cell>
          <cell r="Z41">
            <v>144.386</v>
          </cell>
          <cell r="AA41">
            <v>1062.0709999999999</v>
          </cell>
          <cell r="AB41">
            <v>67.670199999999994</v>
          </cell>
          <cell r="AC41">
            <v>14.6935</v>
          </cell>
          <cell r="AD41">
            <v>1068.0470591999999</v>
          </cell>
          <cell r="AE41">
            <v>1171.1474000000001</v>
          </cell>
          <cell r="AH41">
            <v>1171.1474000000001</v>
          </cell>
          <cell r="AI41">
            <v>1148.2764</v>
          </cell>
          <cell r="AJ41">
            <v>45.116799999999998</v>
          </cell>
          <cell r="AK41">
            <v>10.2529</v>
          </cell>
          <cell r="AL41">
            <v>1152.4022517999999</v>
          </cell>
        </row>
        <row r="42">
          <cell r="B42" t="str">
            <v>MD</v>
          </cell>
          <cell r="C42" t="str">
            <v>South Atlantic</v>
          </cell>
          <cell r="D42">
            <v>13.667619122526832</v>
          </cell>
          <cell r="E42">
            <v>22.822523191094621</v>
          </cell>
          <cell r="F42">
            <v>23.083162654351856</v>
          </cell>
          <cell r="G42">
            <v>0.14652130852326059</v>
          </cell>
          <cell r="H42">
            <v>0.24466484848484849</v>
          </cell>
          <cell r="I42">
            <v>0.2474589880395795</v>
          </cell>
          <cell r="J42">
            <v>42.942939192045898</v>
          </cell>
          <cell r="K42">
            <v>71.707165441045873</v>
          </cell>
          <cell r="L42">
            <v>72.526080902573128</v>
          </cell>
          <cell r="M42">
            <v>5699478</v>
          </cell>
          <cell r="N42">
            <v>37808347.211999997</v>
          </cell>
          <cell r="O42">
            <v>57.303483671149692</v>
          </cell>
          <cell r="P42">
            <v>21665500.070959996</v>
          </cell>
          <cell r="Q42">
            <v>242687988.84029001</v>
          </cell>
          <cell r="R42">
            <v>10720.324235679473</v>
          </cell>
          <cell r="S42">
            <v>183.5230768712415</v>
          </cell>
          <cell r="T42">
            <v>5.2603175020163413E-3</v>
          </cell>
          <cell r="U42">
            <v>2.9647733171650624E-3</v>
          </cell>
          <cell r="V42">
            <v>184.55262326710502</v>
          </cell>
          <cell r="W42">
            <v>184.52010000000001</v>
          </cell>
          <cell r="Z42">
            <v>195.00219999999999</v>
          </cell>
          <cell r="AA42">
            <v>1350.0216</v>
          </cell>
          <cell r="AB42">
            <v>33.861400000000003</v>
          </cell>
          <cell r="AC42">
            <v>23.226500000000001</v>
          </cell>
          <cell r="AD42">
            <v>1357.9329044000001</v>
          </cell>
          <cell r="AE42">
            <v>2081.6174999999998</v>
          </cell>
          <cell r="AH42">
            <v>2081.6174999999998</v>
          </cell>
          <cell r="AI42">
            <v>2034.6661999999999</v>
          </cell>
          <cell r="AJ42">
            <v>53.191899999999997</v>
          </cell>
          <cell r="AK42">
            <v>32.715000000000003</v>
          </cell>
          <cell r="AL42">
            <v>2045.9248799</v>
          </cell>
        </row>
        <row r="43">
          <cell r="B43" t="str">
            <v>ME</v>
          </cell>
          <cell r="C43" t="str">
            <v>New England</v>
          </cell>
          <cell r="D43">
            <v>7.6977158581692384</v>
          </cell>
          <cell r="E43">
            <v>14.176388373531232</v>
          </cell>
          <cell r="F43">
            <v>10.48634693253565</v>
          </cell>
          <cell r="G43">
            <v>7.0683346478866635E-2</v>
          </cell>
          <cell r="H43">
            <v>0.13017297464440322</v>
          </cell>
          <cell r="I43">
            <v>9.6289614632034629E-2</v>
          </cell>
          <cell r="J43">
            <v>20.716103891813198</v>
          </cell>
          <cell r="K43">
            <v>38.151516601524982</v>
          </cell>
          <cell r="L43">
            <v>28.220871814781546</v>
          </cell>
          <cell r="M43">
            <v>1318301</v>
          </cell>
          <cell r="N43">
            <v>14420135.401999999</v>
          </cell>
          <cell r="O43">
            <v>45.70554690777653</v>
          </cell>
          <cell r="P43">
            <v>6590801.7503259992</v>
          </cell>
          <cell r="Q43">
            <v>90118939.879964203</v>
          </cell>
          <cell r="R43">
            <v>9182.3792643441884</v>
          </cell>
          <cell r="S43">
            <v>90.032334884870224</v>
          </cell>
          <cell r="T43">
            <v>2.165480282577054E-2</v>
          </cell>
          <cell r="U43">
            <v>3.0835437943377438E-3</v>
          </cell>
          <cell r="V43">
            <v>91.442984320456105</v>
          </cell>
          <cell r="W43">
            <v>114.6161</v>
          </cell>
          <cell r="Z43">
            <v>116.83929999999999</v>
          </cell>
          <cell r="AA43">
            <v>483.0292</v>
          </cell>
          <cell r="AB43">
            <v>141.95590000000001</v>
          </cell>
          <cell r="AC43">
            <v>20.3428</v>
          </cell>
          <cell r="AD43">
            <v>492.3165419</v>
          </cell>
          <cell r="AE43">
            <v>805.7595</v>
          </cell>
          <cell r="AH43">
            <v>805.7595</v>
          </cell>
          <cell r="AI43">
            <v>758.55489999999998</v>
          </cell>
          <cell r="AJ43">
            <v>119.58540000000001</v>
          </cell>
          <cell r="AK43">
            <v>17.467199999999998</v>
          </cell>
          <cell r="AL43">
            <v>766.48102540000002</v>
          </cell>
        </row>
        <row r="44">
          <cell r="B44" t="str">
            <v>MI</v>
          </cell>
          <cell r="C44" t="str">
            <v>East-North Central</v>
          </cell>
          <cell r="D44">
            <v>16.432047535489176</v>
          </cell>
          <cell r="E44">
            <v>23.301459492888064</v>
          </cell>
          <cell r="F44">
            <v>23.357120584453256</v>
          </cell>
          <cell r="G44">
            <v>0.16359764504634886</v>
          </cell>
          <cell r="H44">
            <v>0.23198958565244279</v>
          </cell>
          <cell r="I44">
            <v>0.23254374808905379</v>
          </cell>
          <cell r="J44">
            <v>47.947727153091691</v>
          </cell>
          <cell r="K44">
            <v>67.992258397550643</v>
          </cell>
          <cell r="L44">
            <v>68.154674117542143</v>
          </cell>
          <cell r="M44">
            <v>9969727</v>
          </cell>
          <cell r="N44">
            <v>108166077.441</v>
          </cell>
          <cell r="O44">
            <v>70.181833962174778</v>
          </cell>
          <cell r="P44">
            <v>75912936.873040006</v>
          </cell>
          <cell r="Q44">
            <v>783043434.36280441</v>
          </cell>
          <cell r="R44">
            <v>9956.0109409991801</v>
          </cell>
          <cell r="S44">
            <v>181.73885967007672</v>
          </cell>
          <cell r="T44">
            <v>3.8660936581256041E-3</v>
          </cell>
          <cell r="U44">
            <v>2.8707904888719909E-3</v>
          </cell>
          <cell r="V44">
            <v>182.70999268844767</v>
          </cell>
          <cell r="W44">
            <v>188.39230000000001</v>
          </cell>
          <cell r="Z44">
            <v>198.11340000000001</v>
          </cell>
          <cell r="AA44">
            <v>1403.8898999999999</v>
          </cell>
          <cell r="AB44">
            <v>28.122499999999999</v>
          </cell>
          <cell r="AC44">
            <v>23.549199999999999</v>
          </cell>
          <cell r="AD44">
            <v>1411.7807244999999</v>
          </cell>
          <cell r="AE44">
            <v>1986.2882999999999</v>
          </cell>
          <cell r="AH44">
            <v>1986.2882999999999</v>
          </cell>
          <cell r="AI44">
            <v>1758.1151</v>
          </cell>
          <cell r="AJ44">
            <v>34.455399999999997</v>
          </cell>
          <cell r="AK44">
            <v>26.683599999999998</v>
          </cell>
          <cell r="AL44">
            <v>1767.1105794</v>
          </cell>
        </row>
        <row r="45">
          <cell r="B45" t="str">
            <v>MN</v>
          </cell>
          <cell r="C45" t="str">
            <v>West-North Central</v>
          </cell>
          <cell r="D45">
            <v>14.048514191338503</v>
          </cell>
          <cell r="E45">
            <v>23.866283240568954</v>
          </cell>
          <cell r="F45">
            <v>19.632382891769634</v>
          </cell>
          <cell r="G45">
            <v>0.14445801972361197</v>
          </cell>
          <cell r="H45">
            <v>0.24541214594928881</v>
          </cell>
          <cell r="I45">
            <v>0.20187580810142236</v>
          </cell>
          <cell r="J45">
            <v>42.338223834587325</v>
          </cell>
          <cell r="K45">
            <v>71.926185799908794</v>
          </cell>
          <cell r="L45">
            <v>59.166415035586859</v>
          </cell>
          <cell r="M45">
            <v>5266214</v>
          </cell>
          <cell r="N45">
            <v>52193624.220999986</v>
          </cell>
          <cell r="O45">
            <v>57.910387642958149</v>
          </cell>
          <cell r="P45">
            <v>30225530.111289989</v>
          </cell>
          <cell r="Q45">
            <v>334432923.96958995</v>
          </cell>
          <cell r="R45">
            <v>10282.797010140503</v>
          </cell>
          <cell r="S45">
            <v>181.09543021295431</v>
          </cell>
          <cell r="T45">
            <v>7.1228259565574601E-3</v>
          </cell>
          <cell r="U45">
            <v>3.3266154963019169E-3</v>
          </cell>
          <cell r="V45">
            <v>182.27626036189562</v>
          </cell>
          <cell r="W45">
            <v>192.9589</v>
          </cell>
          <cell r="Z45">
            <v>200.06530000000001</v>
          </cell>
          <cell r="AA45">
            <v>1302.7509</v>
          </cell>
          <cell r="AB45">
            <v>48.619100000000003</v>
          </cell>
          <cell r="AC45">
            <v>24.677900000000001</v>
          </cell>
          <cell r="AD45">
            <v>1311.4220501</v>
          </cell>
          <cell r="AE45">
            <v>2101.7100999999998</v>
          </cell>
          <cell r="AH45">
            <v>2101.7100999999998</v>
          </cell>
          <cell r="AI45">
            <v>1776.4333999999999</v>
          </cell>
          <cell r="AJ45">
            <v>97.357399999999998</v>
          </cell>
          <cell r="AK45">
            <v>34.009700000000002</v>
          </cell>
          <cell r="AL45">
            <v>1789.0209123999998</v>
          </cell>
        </row>
        <row r="46">
          <cell r="B46" t="str">
            <v>MO</v>
          </cell>
          <cell r="C46" t="str">
            <v>West-North Central</v>
          </cell>
          <cell r="D46">
            <v>21.699850085522954</v>
          </cell>
          <cell r="E46">
            <v>25.195670995670994</v>
          </cell>
          <cell r="F46">
            <v>24.696524302405226</v>
          </cell>
          <cell r="G46">
            <v>0.21445067233490128</v>
          </cell>
          <cell r="H46">
            <v>0.24899842918985776</v>
          </cell>
          <cell r="I46">
            <v>0.24406556820037106</v>
          </cell>
          <cell r="J46">
            <v>62.851896932855013</v>
          </cell>
          <cell r="K46">
            <v>72.977265295972387</v>
          </cell>
          <cell r="L46">
            <v>71.531526436216609</v>
          </cell>
          <cell r="M46">
            <v>5987580</v>
          </cell>
          <cell r="N46">
            <v>91804321.409999982</v>
          </cell>
          <cell r="O46">
            <v>86.09583873509294</v>
          </cell>
          <cell r="P46">
            <v>79039700.512999997</v>
          </cell>
          <cell r="Q46">
            <v>781693746.51192474</v>
          </cell>
          <cell r="R46">
            <v>9882.5877363075433</v>
          </cell>
          <cell r="S46">
            <v>202.56109019171106</v>
          </cell>
          <cell r="T46">
            <v>2.3250345994194144E-3</v>
          </cell>
          <cell r="U46">
            <v>3.2787393343318757E-3</v>
          </cell>
          <cell r="V46">
            <v>203.62632511194175</v>
          </cell>
          <cell r="W46">
            <v>203.70699999999999</v>
          </cell>
          <cell r="Z46">
            <v>205.51349999999999</v>
          </cell>
          <cell r="AA46">
            <v>1833.9394</v>
          </cell>
          <cell r="AB46">
            <v>20.805</v>
          </cell>
          <cell r="AC46">
            <v>29.7638</v>
          </cell>
          <cell r="AD46">
            <v>1843.603083</v>
          </cell>
          <cell r="AE46">
            <v>2118.3328999999999</v>
          </cell>
          <cell r="AH46">
            <v>2118.3328999999999</v>
          </cell>
          <cell r="AI46">
            <v>1887.8581999999999</v>
          </cell>
          <cell r="AJ46">
            <v>23.423100000000002</v>
          </cell>
          <cell r="AK46">
            <v>27.674399999999999</v>
          </cell>
          <cell r="AL46">
            <v>1896.9291490999999</v>
          </cell>
        </row>
        <row r="47">
          <cell r="B47" t="str">
            <v>MS</v>
          </cell>
          <cell r="C47" t="str">
            <v>East-South Central</v>
          </cell>
          <cell r="D47">
            <v>14.524393895902714</v>
          </cell>
          <cell r="E47">
            <v>17.286740878169446</v>
          </cell>
          <cell r="F47">
            <v>19.050951785685267</v>
          </cell>
          <cell r="G47">
            <v>0.12155784729680531</v>
          </cell>
          <cell r="H47">
            <v>0.14467653679653683</v>
          </cell>
          <cell r="I47">
            <v>0.15944160593692025</v>
          </cell>
          <cell r="J47">
            <v>35.626567203049625</v>
          </cell>
          <cell r="K47">
            <v>42.402267525362497</v>
          </cell>
          <cell r="L47">
            <v>46.729661763458459</v>
          </cell>
          <cell r="M47">
            <v>2951996</v>
          </cell>
          <cell r="N47">
            <v>54584295.177999996</v>
          </cell>
          <cell r="O47">
            <v>83.868393096795089</v>
          </cell>
          <cell r="P47">
            <v>45778971.249000005</v>
          </cell>
          <cell r="Q47">
            <v>392585299.97616708</v>
          </cell>
          <cell r="R47">
            <v>8369.2199597462313</v>
          </cell>
          <cell r="S47">
            <v>136.23070956199592</v>
          </cell>
          <cell r="T47">
            <v>3.03120382052946E-3</v>
          </cell>
          <cell r="U47">
            <v>1.1340780758401648E-3</v>
          </cell>
          <cell r="V47">
            <v>136.64592904573752</v>
          </cell>
          <cell r="W47">
            <v>139.76329999999999</v>
          </cell>
          <cell r="Z47">
            <v>155.20079999999999</v>
          </cell>
          <cell r="AA47">
            <v>1123.7837999999999</v>
          </cell>
          <cell r="AB47">
            <v>20.687899999999999</v>
          </cell>
          <cell r="AC47">
            <v>12.1708</v>
          </cell>
          <cell r="AD47">
            <v>1127.9911938999999</v>
          </cell>
          <cell r="AE47">
            <v>1415.3214</v>
          </cell>
          <cell r="AH47">
            <v>1415.3214</v>
          </cell>
          <cell r="AI47">
            <v>1298.0581</v>
          </cell>
          <cell r="AJ47">
            <v>23.4194</v>
          </cell>
          <cell r="AK47">
            <v>10.8636</v>
          </cell>
          <cell r="AL47">
            <v>1301.9176233999999</v>
          </cell>
        </row>
        <row r="48">
          <cell r="B48" t="str">
            <v>MT</v>
          </cell>
          <cell r="C48" t="str">
            <v>Mountain</v>
          </cell>
          <cell r="D48">
            <v>13.838917499058331</v>
          </cell>
          <cell r="E48">
            <v>25.647977736549166</v>
          </cell>
          <cell r="F48">
            <v>25.850840248386884</v>
          </cell>
          <cell r="G48">
            <v>0.15982445818563218</v>
          </cell>
          <cell r="H48">
            <v>0.29620627087198509</v>
          </cell>
          <cell r="I48">
            <v>0.29854911243042676</v>
          </cell>
          <cell r="J48">
            <v>46.841869339282582</v>
          </cell>
          <cell r="K48">
            <v>86.8130922837002</v>
          </cell>
          <cell r="L48">
            <v>87.499739868237626</v>
          </cell>
          <cell r="M48">
            <v>974989</v>
          </cell>
          <cell r="N48">
            <v>27795017.083000001</v>
          </cell>
          <cell r="O48">
            <v>54.90036637658001</v>
          </cell>
          <cell r="P48">
            <v>15259566.213000003</v>
          </cell>
          <cell r="Q48">
            <v>172291037.29571748</v>
          </cell>
          <cell r="R48">
            <v>11548.913287221158</v>
          </cell>
          <cell r="S48">
            <v>207.36389666083215</v>
          </cell>
          <cell r="T48">
            <v>2.3263740139126093E-3</v>
          </cell>
          <cell r="U48">
            <v>3.3856427830263711E-3</v>
          </cell>
          <cell r="V48">
            <v>208.46229977786248</v>
          </cell>
          <cell r="W48">
            <v>207.3639</v>
          </cell>
          <cell r="Z48">
            <v>209.77619999999999</v>
          </cell>
          <cell r="AA48">
            <v>1495.4857999999999</v>
          </cell>
          <cell r="AB48">
            <v>16.584700000000002</v>
          </cell>
          <cell r="AC48">
            <v>24.777799999999999</v>
          </cell>
          <cell r="AD48">
            <v>1503.5151966999999</v>
          </cell>
          <cell r="AE48">
            <v>2327.4213</v>
          </cell>
          <cell r="AH48">
            <v>2327.4213</v>
          </cell>
          <cell r="AI48">
            <v>2407.2152999999998</v>
          </cell>
          <cell r="AJ48">
            <v>27.453099999999999</v>
          </cell>
          <cell r="AK48">
            <v>38.381700000000002</v>
          </cell>
          <cell r="AL48">
            <v>2419.6901420999998</v>
          </cell>
        </row>
        <row r="49">
          <cell r="B49" t="str">
            <v>NC</v>
          </cell>
          <cell r="C49" t="str">
            <v>South Atlantic</v>
          </cell>
          <cell r="D49">
            <v>13.815829697420092</v>
          </cell>
          <cell r="E49">
            <v>22.711948051948056</v>
          </cell>
          <cell r="F49">
            <v>24.560982644879626</v>
          </cell>
          <cell r="G49">
            <v>0.13131723566906467</v>
          </cell>
          <cell r="H49">
            <v>0.21587340754483611</v>
          </cell>
          <cell r="I49">
            <v>0.23344818348794066</v>
          </cell>
          <cell r="J49">
            <v>38.486880325048261</v>
          </cell>
          <cell r="K49">
            <v>63.26887677164013</v>
          </cell>
          <cell r="L49">
            <v>68.419748970674277</v>
          </cell>
          <cell r="M49">
            <v>9380884</v>
          </cell>
          <cell r="N49">
            <v>116971226.61099999</v>
          </cell>
          <cell r="O49">
            <v>60.582688642452787</v>
          </cell>
          <cell r="P49">
            <v>70864314.018999994</v>
          </cell>
          <cell r="Q49">
            <v>693049929.32275355</v>
          </cell>
          <cell r="R49">
            <v>9504.8389090657583</v>
          </cell>
          <cell r="S49">
            <v>178.22860081830322</v>
          </cell>
          <cell r="T49">
            <v>3.8523456592904235E-3</v>
          </cell>
          <cell r="U49">
            <v>2.843659413105265E-3</v>
          </cell>
          <cell r="V49">
            <v>179.19103449521097</v>
          </cell>
          <cell r="W49">
            <v>183.62610000000001</v>
          </cell>
          <cell r="Z49">
            <v>195.7542</v>
          </cell>
          <cell r="AA49">
            <v>1181.0607</v>
          </cell>
          <cell r="AB49">
            <v>18.021899999999999</v>
          </cell>
          <cell r="AC49">
            <v>19.706499999999998</v>
          </cell>
          <cell r="AD49">
            <v>1187.5481749</v>
          </cell>
          <cell r="AE49">
            <v>1880.0141000000001</v>
          </cell>
          <cell r="AH49">
            <v>1880.0141000000001</v>
          </cell>
          <cell r="AI49">
            <v>1697.3602000000001</v>
          </cell>
          <cell r="AJ49">
            <v>29.933199999999999</v>
          </cell>
          <cell r="AK49">
            <v>24.693100000000001</v>
          </cell>
          <cell r="AL49">
            <v>1705.6436582000001</v>
          </cell>
        </row>
        <row r="50">
          <cell r="B50" t="str">
            <v>ND</v>
          </cell>
          <cell r="C50" t="str">
            <v>West-North Central</v>
          </cell>
          <cell r="D50">
            <v>21.163727219040581</v>
          </cell>
          <cell r="E50">
            <v>26.870921459492887</v>
          </cell>
          <cell r="F50">
            <v>28.193811272398396</v>
          </cell>
          <cell r="G50">
            <v>0.23027599062632784</v>
          </cell>
          <cell r="H50">
            <v>0.29237421150278292</v>
          </cell>
          <cell r="I50">
            <v>0.3067681676808906</v>
          </cell>
          <cell r="J50">
            <v>67.490032422722109</v>
          </cell>
          <cell r="K50">
            <v>85.689979924613979</v>
          </cell>
          <cell r="L50">
            <v>89.908607174938624</v>
          </cell>
          <cell r="M50">
            <v>646844</v>
          </cell>
          <cell r="N50">
            <v>36125158.886</v>
          </cell>
          <cell r="O50">
            <v>78.526649462000634</v>
          </cell>
          <cell r="P50">
            <v>28367876.885999992</v>
          </cell>
          <cell r="Q50">
            <v>308021928.873528</v>
          </cell>
          <cell r="R50">
            <v>10880.691677936253</v>
          </cell>
          <cell r="S50">
            <v>217.221548564138</v>
          </cell>
          <cell r="T50">
            <v>2.3364239447800092E-3</v>
          </cell>
          <cell r="U50">
            <v>3.4877582580675219E-3</v>
          </cell>
          <cell r="V50">
            <v>218.35181852697932</v>
          </cell>
          <cell r="W50">
            <v>217.25139999999999</v>
          </cell>
          <cell r="Z50">
            <v>217.2373</v>
          </cell>
          <cell r="AA50">
            <v>1955.1348</v>
          </cell>
          <cell r="AB50">
            <v>21.075500000000002</v>
          </cell>
          <cell r="AC50">
            <v>31.405799999999999</v>
          </cell>
          <cell r="AD50">
            <v>1965.3131834999999</v>
          </cell>
          <cell r="AE50">
            <v>2376.7853</v>
          </cell>
          <cell r="AH50">
            <v>2376.7853</v>
          </cell>
          <cell r="AI50">
            <v>2435.1795999999999</v>
          </cell>
          <cell r="AJ50">
            <v>28.0276</v>
          </cell>
          <cell r="AK50">
            <v>39.308</v>
          </cell>
          <cell r="AL50">
            <v>2447.9536595999998</v>
          </cell>
        </row>
        <row r="51">
          <cell r="B51" t="str">
            <v>NE</v>
          </cell>
          <cell r="C51" t="str">
            <v>West-North Central</v>
          </cell>
          <cell r="D51">
            <v>19.451759871713922</v>
          </cell>
          <cell r="E51">
            <v>25.637736549165119</v>
          </cell>
          <cell r="F51">
            <v>27.495430472714101</v>
          </cell>
          <cell r="G51">
            <v>0.20365845093554275</v>
          </cell>
          <cell r="H51">
            <v>0.26842515769944342</v>
          </cell>
          <cell r="I51">
            <v>0.28787507222016079</v>
          </cell>
          <cell r="J51">
            <v>59.688877765399397</v>
          </cell>
          <cell r="K51">
            <v>78.670913745440629</v>
          </cell>
          <cell r="L51">
            <v>84.371357626072921</v>
          </cell>
          <cell r="M51">
            <v>1796619</v>
          </cell>
          <cell r="N51">
            <v>34200814.916000001</v>
          </cell>
          <cell r="O51">
            <v>75.471589707426929</v>
          </cell>
          <cell r="P51">
            <v>25811898.709999993</v>
          </cell>
          <cell r="Q51">
            <v>270920986.94039893</v>
          </cell>
          <cell r="R51">
            <v>10469.924175431333</v>
          </cell>
          <cell r="S51">
            <v>206.76279870009364</v>
          </cell>
          <cell r="T51">
            <v>2.3212671600879664E-3</v>
          </cell>
          <cell r="U51">
            <v>3.3903605944521084E-3</v>
          </cell>
          <cell r="V51">
            <v>207.86255709473565</v>
          </cell>
          <cell r="W51">
            <v>207.28110000000001</v>
          </cell>
          <cell r="Z51">
            <v>208.4614</v>
          </cell>
          <cell r="AA51">
            <v>1454.8941</v>
          </cell>
          <cell r="AB51">
            <v>16.238199999999999</v>
          </cell>
          <cell r="AC51">
            <v>24.035299999999999</v>
          </cell>
          <cell r="AD51">
            <v>1462.6860452000001</v>
          </cell>
          <cell r="AE51">
            <v>2242.1686</v>
          </cell>
          <cell r="AH51">
            <v>2242.1686</v>
          </cell>
          <cell r="AI51">
            <v>2245.8521000000001</v>
          </cell>
          <cell r="AJ51">
            <v>25.675999999999998</v>
          </cell>
          <cell r="AK51">
            <v>36.083399999999997</v>
          </cell>
          <cell r="AL51">
            <v>2257.5771500000001</v>
          </cell>
        </row>
        <row r="52">
          <cell r="B52" t="str">
            <v>NH</v>
          </cell>
          <cell r="C52" t="str">
            <v>New England</v>
          </cell>
          <cell r="D52">
            <v>7.9475663136618868</v>
          </cell>
          <cell r="E52">
            <v>16.916462585034015</v>
          </cell>
          <cell r="F52">
            <v>19.660705589392052</v>
          </cell>
          <cell r="G52">
            <v>6.3852121092559153E-2</v>
          </cell>
          <cell r="H52">
            <v>0.13590978354978356</v>
          </cell>
          <cell r="I52">
            <v>0.15795750604823747</v>
          </cell>
          <cell r="J52">
            <v>18.713986252215459</v>
          </cell>
          <cell r="K52">
            <v>39.832879117756022</v>
          </cell>
          <cell r="L52">
            <v>46.294696966071939</v>
          </cell>
          <cell r="M52">
            <v>1324575</v>
          </cell>
          <cell r="N52">
            <v>19264434.942000002</v>
          </cell>
          <cell r="O52">
            <v>43.615654636624846</v>
          </cell>
          <cell r="P52">
            <v>8402309.4120000005</v>
          </cell>
          <cell r="Q52">
            <v>86908731.233999535</v>
          </cell>
          <cell r="R52">
            <v>8034.1727986336136</v>
          </cell>
          <cell r="S52">
            <v>113.24400257074252</v>
          </cell>
          <cell r="T52">
            <v>1.6584284949793152E-2</v>
          </cell>
          <cell r="U52">
            <v>2.7094183191583325E-3</v>
          </cell>
          <cell r="V52">
            <v>114.43219223362726</v>
          </cell>
          <cell r="W52">
            <v>136.7696</v>
          </cell>
          <cell r="Z52">
            <v>147.46029999999999</v>
          </cell>
          <cell r="AA52">
            <v>556.72749999999996</v>
          </cell>
          <cell r="AB52">
            <v>65.453999999999994</v>
          </cell>
          <cell r="AC52">
            <v>13.410399999999999</v>
          </cell>
          <cell r="AD52">
            <v>562.25925800000005</v>
          </cell>
          <cell r="AE52">
            <v>1335.9474</v>
          </cell>
          <cell r="AH52">
            <v>1335.9474</v>
          </cell>
          <cell r="AI52">
            <v>1156.5112999999999</v>
          </cell>
          <cell r="AJ52">
            <v>44.8352</v>
          </cell>
          <cell r="AK52">
            <v>11.9954</v>
          </cell>
          <cell r="AL52">
            <v>1161.1714132</v>
          </cell>
        </row>
        <row r="53">
          <cell r="A53" t="str">
            <v>New Jersey</v>
          </cell>
          <cell r="B53" t="str">
            <v>NJ</v>
          </cell>
          <cell r="C53" t="str">
            <v>Mid-Atlantic</v>
          </cell>
          <cell r="D53">
            <v>8.066574223533765</v>
          </cell>
          <cell r="E53">
            <v>15.607161410018552</v>
          </cell>
          <cell r="F53">
            <v>16.557868917555496</v>
          </cell>
          <cell r="G53">
            <v>6.4163619195605037E-2</v>
          </cell>
          <cell r="H53">
            <v>0.12414340136054421</v>
          </cell>
          <cell r="I53">
            <v>0.13170557494124924</v>
          </cell>
          <cell r="J53">
            <v>18.805281124151534</v>
          </cell>
          <cell r="K53">
            <v>36.38434975396958</v>
          </cell>
          <cell r="L53">
            <v>38.600696055465775</v>
          </cell>
          <cell r="M53">
            <v>8707739</v>
          </cell>
          <cell r="N53">
            <v>65232564.118000001</v>
          </cell>
          <cell r="O53">
            <v>47.537093430677089</v>
          </cell>
          <cell r="P53">
            <v>31009664.952</v>
          </cell>
          <cell r="Q53">
            <v>259579008.99183065</v>
          </cell>
          <cell r="R53">
            <v>7954.2588238277622</v>
          </cell>
          <cell r="S53">
            <v>129.90622015577932</v>
          </cell>
          <cell r="T53">
            <v>5.5350189015264005E-3</v>
          </cell>
          <cell r="U53">
            <v>1.1076426965173126E-3</v>
          </cell>
          <cell r="V53">
            <v>130.36582478863173</v>
          </cell>
          <cell r="W53">
            <v>126.18389999999999</v>
          </cell>
          <cell r="Z53">
            <v>142.39750000000001</v>
          </cell>
          <cell r="AA53">
            <v>617.50609999999995</v>
          </cell>
          <cell r="AB53">
            <v>22.641200000000001</v>
          </cell>
          <cell r="AC53">
            <v>6.2731000000000003</v>
          </cell>
          <cell r="AD53">
            <v>619.92622619999997</v>
          </cell>
          <cell r="AE53">
            <v>1178.6769999999999</v>
          </cell>
          <cell r="AH53">
            <v>1178.6769999999999</v>
          </cell>
          <cell r="AI53">
            <v>1261.5311999999999</v>
          </cell>
          <cell r="AJ53">
            <v>25.617699999999999</v>
          </cell>
          <cell r="AK53">
            <v>11.547700000000001</v>
          </cell>
          <cell r="AL53">
            <v>1265.6489586999999</v>
          </cell>
        </row>
        <row r="54">
          <cell r="A54" t="str">
            <v>New Mexico</v>
          </cell>
          <cell r="B54" t="str">
            <v>NM</v>
          </cell>
          <cell r="C54" t="str">
            <v>Mountain</v>
          </cell>
          <cell r="D54">
            <v>21.549644860712547</v>
          </cell>
          <cell r="E54">
            <v>23.208682745825605</v>
          </cell>
          <cell r="F54">
            <v>20.53513879427333</v>
          </cell>
          <cell r="G54">
            <v>0.21922195310144268</v>
          </cell>
          <cell r="H54">
            <v>0.23609914656771799</v>
          </cell>
          <cell r="I54">
            <v>0.20890150453927026</v>
          </cell>
          <cell r="J54">
            <v>64.25027933805471</v>
          </cell>
          <cell r="K54">
            <v>69.196701807654748</v>
          </cell>
          <cell r="L54">
            <v>61.225528880208167</v>
          </cell>
          <cell r="M54">
            <v>2009671</v>
          </cell>
          <cell r="N54">
            <v>36635909.329999998</v>
          </cell>
          <cell r="O54">
            <v>92.36631392765814</v>
          </cell>
          <cell r="P54">
            <v>33839239.021999992</v>
          </cell>
          <cell r="Q54">
            <v>344387639.48023301</v>
          </cell>
          <cell r="R54">
            <v>10172.880087741456</v>
          </cell>
          <cell r="S54">
            <v>187.64220587376255</v>
          </cell>
          <cell r="T54">
            <v>2.3250908930910739E-3</v>
          </cell>
          <cell r="U54">
            <v>2.7665905252518721E-3</v>
          </cell>
          <cell r="V54">
            <v>188.54867584534554</v>
          </cell>
          <cell r="W54">
            <v>187.6422</v>
          </cell>
          <cell r="Z54">
            <v>187.5872</v>
          </cell>
          <cell r="AA54">
            <v>1809.0260000000001</v>
          </cell>
          <cell r="AB54">
            <v>22.439599999999999</v>
          </cell>
          <cell r="AC54">
            <v>26.628399999999999</v>
          </cell>
          <cell r="AD54">
            <v>1817.7520356</v>
          </cell>
          <cell r="AE54">
            <v>1918.7737</v>
          </cell>
          <cell r="AH54">
            <v>1918.7737</v>
          </cell>
          <cell r="AI54">
            <v>1616.4088999999999</v>
          </cell>
          <cell r="AJ54">
            <v>23.069099999999999</v>
          </cell>
          <cell r="AK54">
            <v>18.321300000000001</v>
          </cell>
          <cell r="AL54">
            <v>1622.5729540999998</v>
          </cell>
        </row>
        <row r="55">
          <cell r="A55" t="str">
            <v>Nevada</v>
          </cell>
          <cell r="B55" t="str">
            <v>NV</v>
          </cell>
          <cell r="C55" t="str">
            <v>Mountain</v>
          </cell>
          <cell r="D55">
            <v>14.264266412034145</v>
          </cell>
          <cell r="E55">
            <v>16.78431663574521</v>
          </cell>
          <cell r="F55">
            <v>18.75373813486436</v>
          </cell>
          <cell r="G55">
            <v>0.11372522587118297</v>
          </cell>
          <cell r="H55">
            <v>0.1338169202226345</v>
          </cell>
          <cell r="I55">
            <v>0.14951859729128017</v>
          </cell>
          <cell r="J55">
            <v>33.330957172093484</v>
          </cell>
          <cell r="K55">
            <v>39.219495962085141</v>
          </cell>
          <cell r="L55">
            <v>43.821394282321272</v>
          </cell>
          <cell r="M55">
            <v>2643085</v>
          </cell>
          <cell r="N55">
            <v>35142773.975999996</v>
          </cell>
          <cell r="O55">
            <v>84.695129634122864</v>
          </cell>
          <cell r="P55">
            <v>29764217.975999992</v>
          </cell>
          <cell r="Q55">
            <v>237416383.844971</v>
          </cell>
          <cell r="R55">
            <v>7972.7356869357072</v>
          </cell>
          <cell r="S55">
            <v>135.78963825882329</v>
          </cell>
          <cell r="T55">
            <v>2.3216665869234929E-3</v>
          </cell>
          <cell r="U55">
            <v>8.4799760960856997E-4</v>
          </cell>
          <cell r="V55">
            <v>136.10127251612732</v>
          </cell>
          <cell r="W55">
            <v>135.7012</v>
          </cell>
          <cell r="Z55">
            <v>145.0772</v>
          </cell>
          <cell r="AA55">
            <v>1054.5927999999999</v>
          </cell>
          <cell r="AB55">
            <v>16.873699999999999</v>
          </cell>
          <cell r="AC55">
            <v>8.7545999999999999</v>
          </cell>
          <cell r="AD55">
            <v>1057.6610736999999</v>
          </cell>
          <cell r="AE55">
            <v>1205.6541999999999</v>
          </cell>
          <cell r="AH55">
            <v>1205.6541999999999</v>
          </cell>
          <cell r="AI55">
            <v>1183.4011</v>
          </cell>
          <cell r="AJ55">
            <v>19.4787</v>
          </cell>
          <cell r="AK55">
            <v>8.9003999999999994</v>
          </cell>
          <cell r="AL55">
            <v>1186.5692767</v>
          </cell>
        </row>
        <row r="56">
          <cell r="A56" t="str">
            <v>New York</v>
          </cell>
          <cell r="B56" t="str">
            <v>NY</v>
          </cell>
          <cell r="C56" t="str">
            <v>Mid-Atlantic</v>
          </cell>
          <cell r="D56">
            <v>7.6455868804245899</v>
          </cell>
          <cell r="E56">
            <v>15.598181818181818</v>
          </cell>
          <cell r="F56">
            <v>16.605257717150224</v>
          </cell>
          <cell r="G56">
            <v>6.9821288359686567E-2</v>
          </cell>
          <cell r="H56">
            <v>0.14244624613481754</v>
          </cell>
          <cell r="I56">
            <v>0.15164309888682742</v>
          </cell>
          <cell r="J56">
            <v>20.463449108935105</v>
          </cell>
          <cell r="K56">
            <v>41.748606721810539</v>
          </cell>
          <cell r="L56">
            <v>44.444050084064308</v>
          </cell>
          <cell r="M56">
            <v>19541453</v>
          </cell>
          <cell r="N56">
            <v>135662526.46399996</v>
          </cell>
          <cell r="O56">
            <v>48.303761951612628</v>
          </cell>
          <cell r="P56">
            <v>65530103.840714023</v>
          </cell>
          <cell r="Q56">
            <v>626602859.31834841</v>
          </cell>
          <cell r="R56">
            <v>9132.2339869623083</v>
          </cell>
          <cell r="S56">
            <v>121.82873581671757</v>
          </cell>
          <cell r="T56">
            <v>5.3050519406360776E-3</v>
          </cell>
          <cell r="U56">
            <v>8.9653280621684677E-4</v>
          </cell>
          <cell r="V56">
            <v>122.21806707739816</v>
          </cell>
          <cell r="W56">
            <v>126.1113</v>
          </cell>
          <cell r="Z56">
            <v>141.50640000000001</v>
          </cell>
          <cell r="AA56">
            <v>631.88509999999997</v>
          </cell>
          <cell r="AB56">
            <v>24.387699999999999</v>
          </cell>
          <cell r="AC56">
            <v>6.3834999999999997</v>
          </cell>
          <cell r="AD56">
            <v>634.37612669999999</v>
          </cell>
          <cell r="AE56">
            <v>1269.8000999999999</v>
          </cell>
          <cell r="AH56">
            <v>1269.8000999999999</v>
          </cell>
          <cell r="AI56">
            <v>1286.4025999999999</v>
          </cell>
          <cell r="AJ56">
            <v>33.136200000000002</v>
          </cell>
          <cell r="AK56">
            <v>8.5126000000000008</v>
          </cell>
          <cell r="AL56">
            <v>1289.7373661999998</v>
          </cell>
        </row>
        <row r="57">
          <cell r="A57" t="str">
            <v>Ohio</v>
          </cell>
          <cell r="B57" t="str">
            <v>OH</v>
          </cell>
          <cell r="C57" t="str">
            <v>East-North Central</v>
          </cell>
          <cell r="D57">
            <v>20.266370140295962</v>
          </cell>
          <cell r="E57">
            <v>23.693679653679656</v>
          </cell>
          <cell r="F57">
            <v>20.162201064013097</v>
          </cell>
          <cell r="G57">
            <v>0.20085075252071391</v>
          </cell>
          <cell r="H57">
            <v>0.23481725417439703</v>
          </cell>
          <cell r="I57">
            <v>0.19981838030921459</v>
          </cell>
          <cell r="J57">
            <v>58.865988429283092</v>
          </cell>
          <cell r="K57">
            <v>68.821000637279312</v>
          </cell>
          <cell r="L57">
            <v>58.563417441153156</v>
          </cell>
          <cell r="M57">
            <v>11542645</v>
          </cell>
          <cell r="N57">
            <v>129741418.34499998</v>
          </cell>
          <cell r="O57">
            <v>85.173995736002922</v>
          </cell>
          <cell r="P57">
            <v>110505950.12900001</v>
          </cell>
          <cell r="Q57">
            <v>1102935989.590631</v>
          </cell>
          <cell r="R57">
            <v>9910.5439765633728</v>
          </cell>
          <cell r="S57">
            <v>190.0763732848678</v>
          </cell>
          <cell r="T57">
            <v>2.3982627391917794E-3</v>
          </cell>
          <cell r="U57">
            <v>2.8857220746758227E-3</v>
          </cell>
          <cell r="V57">
            <v>191.02131064554035</v>
          </cell>
          <cell r="W57">
            <v>191.5634</v>
          </cell>
          <cell r="Z57">
            <v>203.20930000000001</v>
          </cell>
          <cell r="AA57">
            <v>1763.3530000000001</v>
          </cell>
          <cell r="AB57">
            <v>21.991199999999999</v>
          </cell>
          <cell r="AC57">
            <v>29.099399999999999</v>
          </cell>
          <cell r="AD57">
            <v>1772.8356292000001</v>
          </cell>
          <cell r="AE57">
            <v>1994.8503000000001</v>
          </cell>
          <cell r="AH57">
            <v>1994.8503000000001</v>
          </cell>
          <cell r="AI57">
            <v>1927.5092</v>
          </cell>
          <cell r="AJ57">
            <v>23.570499999999999</v>
          </cell>
          <cell r="AK57">
            <v>30.035</v>
          </cell>
          <cell r="AL57">
            <v>1937.3150305000001</v>
          </cell>
        </row>
        <row r="58">
          <cell r="A58" t="str">
            <v>Oklahoma</v>
          </cell>
          <cell r="B58" t="str">
            <v>OK</v>
          </cell>
          <cell r="C58" t="str">
            <v>West-South Central</v>
          </cell>
          <cell r="D58">
            <v>17.804164744729739</v>
          </cell>
          <cell r="E58">
            <v>20.180136054421766</v>
          </cell>
          <cell r="F58">
            <v>19.024145681893671</v>
          </cell>
          <cell r="G58">
            <v>0.17031202945685855</v>
          </cell>
          <cell r="H58">
            <v>0.19304022263450835</v>
          </cell>
          <cell r="I58">
            <v>0.18198218822510825</v>
          </cell>
          <cell r="J58">
            <v>49.915600661447407</v>
          </cell>
          <cell r="K58">
            <v>56.576853058179466</v>
          </cell>
          <cell r="L58">
            <v>53.335928553665958</v>
          </cell>
          <cell r="M58">
            <v>3687050</v>
          </cell>
          <cell r="N58">
            <v>77757667.676699996</v>
          </cell>
          <cell r="O58">
            <v>87.894880226943215</v>
          </cell>
          <cell r="P58">
            <v>68345008.871700004</v>
          </cell>
          <cell r="Q58">
            <v>655725199.76160061</v>
          </cell>
          <cell r="R58">
            <v>9565.8533774954594</v>
          </cell>
          <cell r="S58">
            <v>162.65477774639922</v>
          </cell>
          <cell r="T58">
            <v>2.4233806759936332E-3</v>
          </cell>
          <cell r="U58">
            <v>1.869306816232268E-3</v>
          </cell>
          <cell r="V58">
            <v>163.28515385362709</v>
          </cell>
          <cell r="W58">
            <v>163.15639999999999</v>
          </cell>
          <cell r="Z58">
            <v>165.9376</v>
          </cell>
          <cell r="AA58">
            <v>1478.8715999999999</v>
          </cell>
          <cell r="AB58">
            <v>21.3964</v>
          </cell>
          <cell r="AC58">
            <v>17.546099999999999</v>
          </cell>
          <cell r="AD58">
            <v>1484.7602153999999</v>
          </cell>
          <cell r="AE58">
            <v>1634.277</v>
          </cell>
          <cell r="AH58">
            <v>1634.277</v>
          </cell>
          <cell r="AI58">
            <v>1389.3364999999999</v>
          </cell>
          <cell r="AJ58">
            <v>26.8492</v>
          </cell>
          <cell r="AK58">
            <v>11.2026</v>
          </cell>
          <cell r="AL58">
            <v>1393.3731392</v>
          </cell>
        </row>
        <row r="59">
          <cell r="A59" t="str">
            <v>Oregon</v>
          </cell>
          <cell r="B59" t="str">
            <v>OR</v>
          </cell>
          <cell r="C59" t="str">
            <v>Pacific</v>
          </cell>
          <cell r="D59">
            <v>4.2288390382635832</v>
          </cell>
          <cell r="E59">
            <v>17.347037724180581</v>
          </cell>
          <cell r="F59">
            <v>16.903637745686218</v>
          </cell>
          <cell r="G59">
            <v>3.2372595816452389E-2</v>
          </cell>
          <cell r="H59">
            <v>0.13279499072356216</v>
          </cell>
          <cell r="I59">
            <v>0.12940067654916512</v>
          </cell>
          <cell r="J59">
            <v>9.4878651279168782</v>
          </cell>
          <cell r="K59">
            <v>38.919985557902152</v>
          </cell>
          <cell r="L59">
            <v>37.925168976894824</v>
          </cell>
          <cell r="M59">
            <v>3825657</v>
          </cell>
          <cell r="N59">
            <v>60612559.409999996</v>
          </cell>
          <cell r="O59">
            <v>23.601774137267039</v>
          </cell>
          <cell r="P59">
            <v>14305639.370764999</v>
          </cell>
          <cell r="Q59">
            <v>124560183.4828136</v>
          </cell>
          <cell r="R59">
            <v>7655.1969757035267</v>
          </cell>
          <cell r="S59">
            <v>126.78617050893014</v>
          </cell>
          <cell r="T59">
            <v>5.3413087063667094E-3</v>
          </cell>
          <cell r="U59">
            <v>1.4966889594878517E-3</v>
          </cell>
          <cell r="V59">
            <v>127.36231156920508</v>
          </cell>
          <cell r="W59">
            <v>140.2508</v>
          </cell>
          <cell r="Z59">
            <v>143.06870000000001</v>
          </cell>
          <cell r="AA59">
            <v>403.16309999999999</v>
          </cell>
          <cell r="AB59">
            <v>15.8384</v>
          </cell>
          <cell r="AC59">
            <v>4.3712</v>
          </cell>
          <cell r="AD59">
            <v>404.85077839999997</v>
          </cell>
          <cell r="AE59">
            <v>1103.1053999999999</v>
          </cell>
          <cell r="AH59">
            <v>1103.1053999999999</v>
          </cell>
          <cell r="AI59">
            <v>804.35609999999997</v>
          </cell>
          <cell r="AJ59">
            <v>72.404399999999995</v>
          </cell>
          <cell r="AK59">
            <v>10.1607</v>
          </cell>
          <cell r="AL59">
            <v>809.02640939999992</v>
          </cell>
        </row>
        <row r="60">
          <cell r="A60" t="str">
            <v>Pennsylvania</v>
          </cell>
          <cell r="B60" t="str">
            <v>PA</v>
          </cell>
          <cell r="C60" t="str">
            <v>Mid-Atlantic</v>
          </cell>
          <cell r="D60">
            <v>14.412010294068933</v>
          </cell>
          <cell r="E60">
            <v>21.95429808286951</v>
          </cell>
          <cell r="F60">
            <v>21.626493067196847</v>
          </cell>
          <cell r="G60">
            <v>0.13186230456330864</v>
          </cell>
          <cell r="H60">
            <v>0.20087026592455162</v>
          </cell>
          <cell r="I60">
            <v>0.1978710226592455</v>
          </cell>
          <cell r="J60">
            <v>38.646630880219412</v>
          </cell>
          <cell r="K60">
            <v>58.871707480818181</v>
          </cell>
          <cell r="L60">
            <v>57.992679560154016</v>
          </cell>
          <cell r="M60">
            <v>12604767</v>
          </cell>
          <cell r="N60">
            <v>223416431.35199994</v>
          </cell>
          <cell r="O60">
            <v>63.539908871301662</v>
          </cell>
          <cell r="P60">
            <v>141958596.88457501</v>
          </cell>
          <cell r="Q60">
            <v>1339016860.4616985</v>
          </cell>
          <cell r="R60">
            <v>9149.4733817651213</v>
          </cell>
          <cell r="S60">
            <v>176.99091493127597</v>
          </cell>
          <cell r="T60">
            <v>3.952913241530358E-3</v>
          </cell>
          <cell r="U60">
            <v>2.6037133498285885E-3</v>
          </cell>
          <cell r="V60">
            <v>177.88107724779496</v>
          </cell>
          <cell r="W60">
            <v>177.50049999999999</v>
          </cell>
          <cell r="Z60">
            <v>189.54040000000001</v>
          </cell>
          <cell r="AA60">
            <v>1172.5054</v>
          </cell>
          <cell r="AB60">
            <v>24.156099999999999</v>
          </cell>
          <cell r="AC60">
            <v>18.735900000000001</v>
          </cell>
          <cell r="AD60">
            <v>1178.8208070999999</v>
          </cell>
          <cell r="AE60">
            <v>1810.5334</v>
          </cell>
          <cell r="AH60">
            <v>1810.5334</v>
          </cell>
          <cell r="AI60">
            <v>1634.9703</v>
          </cell>
          <cell r="AJ60">
            <v>30.8386</v>
          </cell>
          <cell r="AK60">
            <v>22.302299999999999</v>
          </cell>
          <cell r="AL60">
            <v>1642.5316235999999</v>
          </cell>
        </row>
        <row r="61">
          <cell r="A61" t="str">
            <v>Rhode Island</v>
          </cell>
          <cell r="B61" t="str">
            <v>RI</v>
          </cell>
          <cell r="C61" t="str">
            <v>New England</v>
          </cell>
          <cell r="D61">
            <v>14.529549548088227</v>
          </cell>
          <cell r="E61">
            <v>14.702461348175634</v>
          </cell>
          <cell r="F61">
            <v>14.659603786505926</v>
          </cell>
          <cell r="G61">
            <v>0.11230261741332144</v>
          </cell>
          <cell r="H61">
            <v>0.11363909709338281</v>
          </cell>
          <cell r="I61">
            <v>0.11330784000000001</v>
          </cell>
          <cell r="J61">
            <v>32.914014482216132</v>
          </cell>
          <cell r="K61">
            <v>33.305714271214192</v>
          </cell>
          <cell r="L61">
            <v>33.208628370457212</v>
          </cell>
          <cell r="M61">
            <v>1053209</v>
          </cell>
          <cell r="N61">
            <v>8309035.8530000001</v>
          </cell>
          <cell r="O61">
            <v>98.722342737735687</v>
          </cell>
          <cell r="P61">
            <v>8202874.8530000001</v>
          </cell>
          <cell r="Q61">
            <v>64577922.063464828</v>
          </cell>
          <cell r="R61">
            <v>7729.2566463698813</v>
          </cell>
          <cell r="S61">
            <v>116.70508918541731</v>
          </cell>
          <cell r="T61">
            <v>2.2960561711070511E-3</v>
          </cell>
          <cell r="U61">
            <v>2.3185927819014922E-4</v>
          </cell>
          <cell r="V61">
            <v>116.82518274124951</v>
          </cell>
          <cell r="W61">
            <v>118.8694</v>
          </cell>
          <cell r="Z61">
            <v>118.8702</v>
          </cell>
          <cell r="AA61">
            <v>910.91330000000005</v>
          </cell>
          <cell r="AB61">
            <v>17.901599999999998</v>
          </cell>
          <cell r="AC61">
            <v>1.8048</v>
          </cell>
          <cell r="AD61">
            <v>911.84872160000009</v>
          </cell>
          <cell r="AE61">
            <v>928.15769999999998</v>
          </cell>
          <cell r="AH61">
            <v>928.15769999999998</v>
          </cell>
          <cell r="AI61">
            <v>966.91840000000002</v>
          </cell>
          <cell r="AJ61">
            <v>19.0871</v>
          </cell>
          <cell r="AK61">
            <v>1.9383999999999999</v>
          </cell>
          <cell r="AL61">
            <v>967.92013310000004</v>
          </cell>
        </row>
        <row r="62">
          <cell r="A62" t="str">
            <v>South Carolina</v>
          </cell>
          <cell r="B62" t="str">
            <v>SC</v>
          </cell>
          <cell r="C62" t="str">
            <v>South Atlantic</v>
          </cell>
          <cell r="D62">
            <v>9.9552462072210925</v>
          </cell>
          <cell r="E62">
            <v>22.331391465677179</v>
          </cell>
          <cell r="F62">
            <v>22.783408663257607</v>
          </cell>
          <cell r="G62">
            <v>9.5568374186521393E-2</v>
          </cell>
          <cell r="H62">
            <v>0.21437689548546693</v>
          </cell>
          <cell r="I62">
            <v>0.218716170253556</v>
          </cell>
          <cell r="J62">
            <v>28.009488331336868</v>
          </cell>
          <cell r="K62">
            <v>62.83027417510754</v>
          </cell>
          <cell r="L62">
            <v>64.102042864465417</v>
          </cell>
          <cell r="M62">
            <v>4561242</v>
          </cell>
          <cell r="N62">
            <v>96755682.344999999</v>
          </cell>
          <cell r="O62">
            <v>44.382580621859603</v>
          </cell>
          <cell r="P62">
            <v>42942668.723000005</v>
          </cell>
          <cell r="Q62">
            <v>436320176.45751494</v>
          </cell>
          <cell r="R62">
            <v>9599.8001653841911</v>
          </cell>
          <cell r="S62">
            <v>170.41085821385172</v>
          </cell>
          <cell r="T62">
            <v>3.8601010298101412E-3</v>
          </cell>
          <cell r="U62">
            <v>2.7441955989772229E-3</v>
          </cell>
          <cell r="V62">
            <v>171.34262097116067</v>
          </cell>
          <cell r="W62">
            <v>180.54929999999999</v>
          </cell>
          <cell r="Z62">
            <v>189.52770000000001</v>
          </cell>
          <cell r="AA62">
            <v>875.6454</v>
          </cell>
          <cell r="AB62">
            <v>15.2133</v>
          </cell>
          <cell r="AC62">
            <v>14.277699999999999</v>
          </cell>
          <cell r="AD62">
            <v>880.39096630000006</v>
          </cell>
          <cell r="AE62">
            <v>1871.2968000000001</v>
          </cell>
          <cell r="AH62">
            <v>1871.2968000000001</v>
          </cell>
          <cell r="AI62">
            <v>1667.1465000000001</v>
          </cell>
          <cell r="AJ62">
            <v>32.836799999999997</v>
          </cell>
          <cell r="AK62">
            <v>25.435199999999998</v>
          </cell>
          <cell r="AL62">
            <v>1675.7209848</v>
          </cell>
        </row>
        <row r="63">
          <cell r="A63" t="str">
            <v>South Dakota</v>
          </cell>
          <cell r="B63" t="str">
            <v>SD</v>
          </cell>
          <cell r="C63" t="str">
            <v>West-North Central</v>
          </cell>
          <cell r="D63">
            <v>6.5968924573227019</v>
          </cell>
          <cell r="E63">
            <v>25.129214594928882</v>
          </cell>
          <cell r="F63">
            <v>23.604232318193038</v>
          </cell>
          <cell r="G63">
            <v>6.9485436782685497E-2</v>
          </cell>
          <cell r="H63">
            <v>0.26468742115027832</v>
          </cell>
          <cell r="I63">
            <v>0.24862469763760051</v>
          </cell>
          <cell r="J63">
            <v>20.365016642053192</v>
          </cell>
          <cell r="K63">
            <v>77.575445823645452</v>
          </cell>
          <cell r="L63">
            <v>72.867730843376464</v>
          </cell>
          <cell r="M63">
            <v>812383</v>
          </cell>
          <cell r="N63">
            <v>12017721.954</v>
          </cell>
          <cell r="O63">
            <v>26.116222076142733</v>
          </cell>
          <cell r="P63">
            <v>3138574.9539999994</v>
          </cell>
          <cell r="Q63">
            <v>33058791.540173933</v>
          </cell>
          <cell r="R63">
            <v>10533.055864137223</v>
          </cell>
          <cell r="S63">
            <v>203.16966393252227</v>
          </cell>
          <cell r="T63">
            <v>2.3390763494181171E-3</v>
          </cell>
          <cell r="U63">
            <v>3.2459916358973558E-3</v>
          </cell>
          <cell r="V63">
            <v>204.22504194298821</v>
          </cell>
          <cell r="W63">
            <v>203.16970000000001</v>
          </cell>
          <cell r="Z63">
            <v>206.16909999999999</v>
          </cell>
          <cell r="AA63">
            <v>775.32360000000006</v>
          </cell>
          <cell r="AB63">
            <v>8.7672000000000008</v>
          </cell>
          <cell r="AC63">
            <v>12.599500000000001</v>
          </cell>
          <cell r="AD63">
            <v>779.41355620000002</v>
          </cell>
          <cell r="AE63">
            <v>2265.6372000000001</v>
          </cell>
          <cell r="AH63">
            <v>2265.6372000000001</v>
          </cell>
          <cell r="AI63">
            <v>1898.2354</v>
          </cell>
          <cell r="AJ63">
            <v>29.148</v>
          </cell>
          <cell r="AK63">
            <v>18.2667</v>
          </cell>
          <cell r="AL63">
            <v>1904.5101850000001</v>
          </cell>
        </row>
        <row r="64">
          <cell r="A64" t="str">
            <v>Tennessee</v>
          </cell>
          <cell r="B64" t="str">
            <v>TN</v>
          </cell>
          <cell r="C64" t="str">
            <v>East-South Central</v>
          </cell>
          <cell r="D64">
            <v>13.663390070648907</v>
          </cell>
          <cell r="E64">
            <v>24.105504019789734</v>
          </cell>
          <cell r="F64">
            <v>20.318618634311534</v>
          </cell>
          <cell r="G64">
            <v>0.13644154074653234</v>
          </cell>
          <cell r="H64">
            <v>0.24071567099567101</v>
          </cell>
          <cell r="I64">
            <v>0.20290013078540509</v>
          </cell>
          <cell r="J64">
            <v>39.988728237553438</v>
          </cell>
          <cell r="K64">
            <v>70.549727724405329</v>
          </cell>
          <cell r="L64">
            <v>59.466626842146859</v>
          </cell>
          <cell r="M64">
            <v>6296254</v>
          </cell>
          <cell r="N64">
            <v>77385936.541000009</v>
          </cell>
          <cell r="O64">
            <v>56.409453537946291</v>
          </cell>
          <cell r="P64">
            <v>43652983.917999998</v>
          </cell>
          <cell r="Q64">
            <v>440443036.04707444</v>
          </cell>
          <cell r="R64">
            <v>9985.9215056466892</v>
          </cell>
          <cell r="S64">
            <v>192.82119861976108</v>
          </cell>
          <cell r="T64">
            <v>2.558144016032749E-3</v>
          </cell>
          <cell r="U64">
            <v>3.0491433064841109E-3</v>
          </cell>
          <cell r="V64">
            <v>193.82015406910784</v>
          </cell>
          <cell r="W64">
            <v>194.893</v>
          </cell>
          <cell r="Z64">
            <v>203.57839999999999</v>
          </cell>
          <cell r="AA64">
            <v>1142.7552000000001</v>
          </cell>
          <cell r="AB64">
            <v>14.487</v>
          </cell>
          <cell r="AC64">
            <v>19.206499999999998</v>
          </cell>
          <cell r="AD64">
            <v>1149.0134420000002</v>
          </cell>
          <cell r="AE64">
            <v>2028.3532</v>
          </cell>
          <cell r="AH64">
            <v>2028.3532</v>
          </cell>
          <cell r="AI64">
            <v>2007.6542999999999</v>
          </cell>
          <cell r="AJ64">
            <v>24.2776</v>
          </cell>
          <cell r="AK64">
            <v>32.420400000000001</v>
          </cell>
          <cell r="AL64">
            <v>2018.2144536000001</v>
          </cell>
        </row>
        <row r="65">
          <cell r="A65" t="str">
            <v>Texas</v>
          </cell>
          <cell r="B65" t="str">
            <v>TX</v>
          </cell>
          <cell r="C65" t="str">
            <v>West-South Central</v>
          </cell>
          <cell r="D65">
            <v>16.855534673219665</v>
          </cell>
          <cell r="E65">
            <v>20.244774273345701</v>
          </cell>
          <cell r="F65">
            <v>18.357217364786624</v>
          </cell>
          <cell r="G65">
            <v>0.14927889432655084</v>
          </cell>
          <cell r="H65">
            <v>0.17929526283240568</v>
          </cell>
          <cell r="I65">
            <v>0.16257835567099563</v>
          </cell>
          <cell r="J65">
            <v>43.751141361826157</v>
          </cell>
          <cell r="K65">
            <v>52.548435765652307</v>
          </cell>
          <cell r="L65">
            <v>47.648990524910793</v>
          </cell>
          <cell r="M65">
            <v>24782302</v>
          </cell>
          <cell r="N65">
            <v>429697350.69380009</v>
          </cell>
          <cell r="O65">
            <v>83.052499817739559</v>
          </cell>
          <cell r="P65">
            <v>356874391.40180004</v>
          </cell>
          <cell r="Q65">
            <v>3173156987.6342511</v>
          </cell>
          <cell r="R65">
            <v>8856.3725340452966</v>
          </cell>
          <cell r="S65">
            <v>162.83649153749866</v>
          </cell>
          <cell r="T65">
            <v>2.4177389906454871E-3</v>
          </cell>
          <cell r="U65">
            <v>1.7723333194008179E-3</v>
          </cell>
          <cell r="V65">
            <v>163.43668738531647</v>
          </cell>
          <cell r="W65">
            <v>163.679</v>
          </cell>
          <cell r="Z65">
            <v>167.6446</v>
          </cell>
          <cell r="AA65">
            <v>1272.8658</v>
          </cell>
          <cell r="AB65">
            <v>18.081800000000001</v>
          </cell>
          <cell r="AC65">
            <v>14.7936</v>
          </cell>
          <cell r="AD65">
            <v>1277.8315338</v>
          </cell>
          <cell r="AE65">
            <v>1536.1744000000001</v>
          </cell>
          <cell r="AH65">
            <v>1536.1744000000001</v>
          </cell>
          <cell r="AI65">
            <v>1215.2929999999999</v>
          </cell>
          <cell r="AJ65">
            <v>21.274100000000001</v>
          </cell>
          <cell r="AK65">
            <v>7.6508000000000003</v>
          </cell>
          <cell r="AL65">
            <v>1218.1115040999998</v>
          </cell>
        </row>
        <row r="66">
          <cell r="A66" t="str">
            <v>Utah</v>
          </cell>
          <cell r="B66" t="str">
            <v>UT</v>
          </cell>
          <cell r="C66" t="str">
            <v>Mountain</v>
          </cell>
          <cell r="D66">
            <v>22.729322428842568</v>
          </cell>
          <cell r="E66">
            <v>23.715003092145952</v>
          </cell>
          <cell r="F66">
            <v>20.273673470805022</v>
          </cell>
          <cell r="G66">
            <v>0.22385931911407364</v>
          </cell>
          <cell r="H66">
            <v>0.23356721088435375</v>
          </cell>
          <cell r="I66">
            <v>0.19967382456400742</v>
          </cell>
          <cell r="J66">
            <v>65.609413573878555</v>
          </cell>
          <cell r="K66">
            <v>68.454633905144718</v>
          </cell>
          <cell r="L66">
            <v>58.52105057561765</v>
          </cell>
          <cell r="M66">
            <v>2784572</v>
          </cell>
          <cell r="N66">
            <v>39400420.758000001</v>
          </cell>
          <cell r="O66">
            <v>95.310531607419847</v>
          </cell>
          <cell r="P66">
            <v>37552750.480010003</v>
          </cell>
          <cell r="Q66">
            <v>370598739.77969396</v>
          </cell>
          <cell r="R66">
            <v>9848.9217975985684</v>
          </cell>
          <cell r="S66">
            <v>191.44821385765476</v>
          </cell>
          <cell r="T66">
            <v>2.3522293850885391E-3</v>
          </cell>
          <cell r="U66">
            <v>2.9781849143136986E-3</v>
          </cell>
          <cell r="V66">
            <v>192.42084799817886</v>
          </cell>
          <cell r="W66">
            <v>191.73580000000001</v>
          </cell>
          <cell r="Z66">
            <v>195.2132</v>
          </cell>
          <cell r="AA66">
            <v>1830.2841000000001</v>
          </cell>
          <cell r="AB66">
            <v>22.0532</v>
          </cell>
          <cell r="AC66">
            <v>29.188600000000001</v>
          </cell>
          <cell r="AD66">
            <v>1839.7956832</v>
          </cell>
          <cell r="AE66">
            <v>1895.6379999999999</v>
          </cell>
          <cell r="AH66">
            <v>1895.6379999999999</v>
          </cell>
          <cell r="AI66">
            <v>1478.3097</v>
          </cell>
          <cell r="AJ66">
            <v>20.9986</v>
          </cell>
          <cell r="AK66">
            <v>18.075700000000001</v>
          </cell>
          <cell r="AL66">
            <v>1484.3541375999998</v>
          </cell>
        </row>
        <row r="67">
          <cell r="A67" t="str">
            <v>Virginia</v>
          </cell>
          <cell r="B67" t="str">
            <v>VA</v>
          </cell>
          <cell r="C67" t="str">
            <v>South Atlantic</v>
          </cell>
          <cell r="D67">
            <v>11.47892164339097</v>
          </cell>
          <cell r="E67">
            <v>19.230822510822513</v>
          </cell>
          <cell r="F67">
            <v>23.984083639877014</v>
          </cell>
          <cell r="G67">
            <v>0.10156542800268799</v>
          </cell>
          <cell r="H67">
            <v>0.17015419913419913</v>
          </cell>
          <cell r="I67">
            <v>0.21221102432900432</v>
          </cell>
          <cell r="J67">
            <v>29.767124268079716</v>
          </cell>
          <cell r="K67">
            <v>49.869343239800443</v>
          </cell>
          <cell r="L67">
            <v>62.195493648594464</v>
          </cell>
          <cell r="M67">
            <v>7882590</v>
          </cell>
          <cell r="N67">
            <v>70739234.746999994</v>
          </cell>
          <cell r="O67">
            <v>56.496166214725534</v>
          </cell>
          <cell r="P67">
            <v>39964955.641689993</v>
          </cell>
          <cell r="Q67">
            <v>384526861.21894926</v>
          </cell>
          <cell r="R67">
            <v>8847.9938410560226</v>
          </cell>
          <cell r="S67">
            <v>150.27636561341399</v>
          </cell>
          <cell r="T67">
            <v>6.3410559328936815E-3</v>
          </cell>
          <cell r="U67">
            <v>2.1096539290006615E-3</v>
          </cell>
          <cell r="V67">
            <v>151.06352050599497</v>
          </cell>
          <cell r="W67">
            <v>155.4812</v>
          </cell>
          <cell r="Z67">
            <v>173.18879999999999</v>
          </cell>
          <cell r="AA67">
            <v>1038.0506</v>
          </cell>
          <cell r="AB67">
            <v>37.062800000000003</v>
          </cell>
          <cell r="AC67">
            <v>16.667100000000001</v>
          </cell>
          <cell r="AD67">
            <v>1043.9957198000002</v>
          </cell>
          <cell r="AE67">
            <v>1673.4689000000001</v>
          </cell>
          <cell r="AH67">
            <v>1673.4689000000001</v>
          </cell>
          <cell r="AI67">
            <v>1560.2185999999999</v>
          </cell>
          <cell r="AJ67">
            <v>46.027999999999999</v>
          </cell>
          <cell r="AK67">
            <v>20.658300000000001</v>
          </cell>
          <cell r="AL67">
            <v>1567.5892609999999</v>
          </cell>
        </row>
        <row r="68">
          <cell r="A68" t="str">
            <v>Vermont</v>
          </cell>
          <cell r="B68" t="str">
            <v>VT</v>
          </cell>
          <cell r="C68" t="str">
            <v>New England</v>
          </cell>
          <cell r="D68">
            <v>4.9477371044457409E-2</v>
          </cell>
          <cell r="E68">
            <v>20.088460111317254</v>
          </cell>
          <cell r="F68">
            <v>1.3144731588085958</v>
          </cell>
          <cell r="G68">
            <v>9.1973724087799236E-4</v>
          </cell>
          <cell r="H68">
            <v>0.37342535559678414</v>
          </cell>
          <cell r="I68">
            <v>2.4434805058750772E-2</v>
          </cell>
          <cell r="J68">
            <v>0.26955956649413609</v>
          </cell>
          <cell r="K68">
            <v>109.44471148792032</v>
          </cell>
          <cell r="L68">
            <v>7.1614317288249625</v>
          </cell>
          <cell r="M68">
            <v>621760</v>
          </cell>
          <cell r="N68">
            <v>6568121.0020000003</v>
          </cell>
          <cell r="O68">
            <v>9.0718821991641496E-2</v>
          </cell>
          <cell r="P68">
            <v>5958.5220000000008</v>
          </cell>
          <cell r="Q68">
            <v>5301223.5480805999</v>
          </cell>
          <cell r="R68">
            <v>18589.048315674885</v>
          </cell>
          <cell r="S68">
            <v>5.1988481059260705</v>
          </cell>
          <cell r="T68">
            <v>6.4340676584023648E-2</v>
          </cell>
          <cell r="U68">
            <v>8.5908455609707626E-3</v>
          </cell>
          <cell r="V68">
            <v>9.2131644380915034</v>
          </cell>
          <cell r="W68">
            <v>162.4152</v>
          </cell>
          <cell r="Z68">
            <v>162.30699999999999</v>
          </cell>
          <cell r="AA68">
            <v>2.8733</v>
          </cell>
          <cell r="AB68">
            <v>63.782499999999999</v>
          </cell>
          <cell r="AC68">
            <v>8.5092999999999996</v>
          </cell>
          <cell r="AD68">
            <v>6.8506155</v>
          </cell>
          <cell r="AE68">
            <v>2653.5742</v>
          </cell>
          <cell r="AH68">
            <v>2653.5742</v>
          </cell>
          <cell r="AI68">
            <v>115.083</v>
          </cell>
          <cell r="AJ68">
            <v>1058.2409</v>
          </cell>
          <cell r="AK68">
            <v>141.3527</v>
          </cell>
          <cell r="AL68">
            <v>181.1253959</v>
          </cell>
        </row>
        <row r="69">
          <cell r="A69" t="str">
            <v>Washington</v>
          </cell>
          <cell r="B69" t="str">
            <v>WA</v>
          </cell>
          <cell r="C69" t="str">
            <v>Pacific</v>
          </cell>
          <cell r="D69">
            <v>1.7442902923342267</v>
          </cell>
          <cell r="E69">
            <v>20.412479901051331</v>
          </cell>
          <cell r="F69">
            <v>20.273831967936975</v>
          </cell>
          <cell r="G69">
            <v>1.5657552265250924E-2</v>
          </cell>
          <cell r="H69">
            <v>0.18323181199752628</v>
          </cell>
          <cell r="I69">
            <v>0.18198724435374153</v>
          </cell>
          <cell r="J69">
            <v>4.5889660800852647</v>
          </cell>
          <cell r="K69">
            <v>53.70217233221755</v>
          </cell>
          <cell r="L69">
            <v>53.337410420205607</v>
          </cell>
          <cell r="M69">
            <v>6664195</v>
          </cell>
          <cell r="N69">
            <v>116834423.661</v>
          </cell>
          <cell r="O69">
            <v>8.3683595961141855</v>
          </cell>
          <cell r="P69">
            <v>9777124.7039999962</v>
          </cell>
          <cell r="Q69">
            <v>102619941.30801469</v>
          </cell>
          <cell r="R69">
            <v>8976.4601305542037</v>
          </cell>
          <cell r="S69">
            <v>143.09521930744197</v>
          </cell>
          <cell r="T69">
            <v>8.6948549973447468E-3</v>
          </cell>
          <cell r="U69">
            <v>2.7367556846161615E-3</v>
          </cell>
          <cell r="V69">
            <v>144.12620552461721</v>
          </cell>
          <cell r="W69">
            <v>165.03489999999999</v>
          </cell>
          <cell r="Z69">
            <v>168.87379999999999</v>
          </cell>
          <cell r="AA69">
            <v>300.4751</v>
          </cell>
          <cell r="AB69">
            <v>12.104100000000001</v>
          </cell>
          <cell r="AC69">
            <v>4.9595000000000002</v>
          </cell>
          <cell r="AD69">
            <v>302.26673110000002</v>
          </cell>
          <cell r="AE69">
            <v>1600.3395</v>
          </cell>
          <cell r="AH69">
            <v>1600.3395</v>
          </cell>
          <cell r="AI69">
            <v>1234.836</v>
          </cell>
          <cell r="AJ69">
            <v>46.342500000000001</v>
          </cell>
          <cell r="AK69">
            <v>15.703200000000001</v>
          </cell>
          <cell r="AL69">
            <v>1240.6771845000001</v>
          </cell>
        </row>
        <row r="70">
          <cell r="A70" t="str">
            <v>Wisconsin</v>
          </cell>
          <cell r="B70" t="str">
            <v>WI</v>
          </cell>
          <cell r="C70" t="str">
            <v>East-North Central</v>
          </cell>
          <cell r="D70">
            <v>16.751422008428094</v>
          </cell>
          <cell r="E70">
            <v>23.680791589363018</v>
          </cell>
          <cell r="F70">
            <v>22.193824819639058</v>
          </cell>
          <cell r="G70">
            <v>0.16872995878522354</v>
          </cell>
          <cell r="H70">
            <v>0.23852655534941247</v>
          </cell>
          <cell r="I70">
            <v>0.22354897066171922</v>
          </cell>
          <cell r="J70">
            <v>49.451922269995173</v>
          </cell>
          <cell r="K70">
            <v>69.9081346276121</v>
          </cell>
          <cell r="L70">
            <v>65.518455645286991</v>
          </cell>
          <cell r="M70">
            <v>5654774</v>
          </cell>
          <cell r="N70">
            <v>63742909.901000001</v>
          </cell>
          <cell r="O70">
            <v>70.117563069367861</v>
          </cell>
          <cell r="P70">
            <v>44694975.052084006</v>
          </cell>
          <cell r="Q70">
            <v>469822851.78439695</v>
          </cell>
          <cell r="R70">
            <v>10072.575253631061</v>
          </cell>
          <cell r="S70">
            <v>184.07913844137619</v>
          </cell>
          <cell r="T70">
            <v>3.8471692167759168E-3</v>
          </cell>
          <cell r="U70">
            <v>2.9823817207422971E-3</v>
          </cell>
          <cell r="V70">
            <v>185.08446732835861</v>
          </cell>
          <cell r="W70">
            <v>191.45920000000001</v>
          </cell>
          <cell r="Z70">
            <v>200.87649999999999</v>
          </cell>
          <cell r="AA70">
            <v>1558.0108</v>
          </cell>
          <cell r="AB70">
            <v>26.925799999999999</v>
          </cell>
          <cell r="AC70">
            <v>26.0533</v>
          </cell>
          <cell r="AD70">
            <v>1566.6527647999999</v>
          </cell>
          <cell r="AE70">
            <v>2142.3152</v>
          </cell>
          <cell r="AH70">
            <v>2142.3152</v>
          </cell>
          <cell r="AI70">
            <v>1920.9926</v>
          </cell>
          <cell r="AJ70">
            <v>35.666200000000003</v>
          </cell>
          <cell r="AK70">
            <v>29.790500000000002</v>
          </cell>
          <cell r="AL70">
            <v>1930.9766452000001</v>
          </cell>
        </row>
        <row r="71">
          <cell r="A71" t="str">
            <v>West Virginia</v>
          </cell>
          <cell r="B71" t="str">
            <v>WV</v>
          </cell>
          <cell r="C71" t="str">
            <v>South Atlantic</v>
          </cell>
          <cell r="D71">
            <v>24.832383369469312</v>
          </cell>
          <cell r="E71">
            <v>25.651317254174394</v>
          </cell>
          <cell r="F71">
            <v>22.126723214300064</v>
          </cell>
          <cell r="G71">
            <v>0.24512262660654333</v>
          </cell>
          <cell r="H71">
            <v>0.25320639455782312</v>
          </cell>
          <cell r="I71">
            <v>0.21841481873840446</v>
          </cell>
          <cell r="J71">
            <v>71.841332534156905</v>
          </cell>
          <cell r="K71">
            <v>74.210549401472193</v>
          </cell>
          <cell r="L71">
            <v>64.013721787340117</v>
          </cell>
          <cell r="M71">
            <v>1819777</v>
          </cell>
          <cell r="N71">
            <v>73413404.203999981</v>
          </cell>
          <cell r="O71">
            <v>96.284053325712236</v>
          </cell>
          <cell r="P71">
            <v>70685401.252000019</v>
          </cell>
          <cell r="Q71">
            <v>697859770.02758956</v>
          </cell>
          <cell r="R71">
            <v>9871.0874006525864</v>
          </cell>
          <cell r="S71">
            <v>207.35583184406585</v>
          </cell>
          <cell r="T71">
            <v>2.3250095395080774E-3</v>
          </cell>
          <cell r="U71">
            <v>3.4784916786822556E-3</v>
          </cell>
          <cell r="V71">
            <v>208.48298946478701</v>
          </cell>
          <cell r="W71">
            <v>207.39089999999999</v>
          </cell>
          <cell r="Z71">
            <v>207.28899999999999</v>
          </cell>
          <cell r="AA71">
            <v>1968.183</v>
          </cell>
          <cell r="AB71">
            <v>22.0854</v>
          </cell>
          <cell r="AC71">
            <v>33.0625</v>
          </cell>
          <cell r="AD71">
            <v>1978.8961684000001</v>
          </cell>
          <cell r="AE71">
            <v>2026.0263</v>
          </cell>
          <cell r="AH71">
            <v>2026.0263</v>
          </cell>
          <cell r="AI71">
            <v>2035.0360000000001</v>
          </cell>
          <cell r="AJ71">
            <v>22.853999999999999</v>
          </cell>
          <cell r="AK71">
            <v>34.017499999999998</v>
          </cell>
          <cell r="AL71">
            <v>2046.061359</v>
          </cell>
        </row>
        <row r="72">
          <cell r="A72" t="str">
            <v>Wyoming</v>
          </cell>
          <cell r="B72" t="str">
            <v>WY</v>
          </cell>
          <cell r="C72" t="str">
            <v>Mountain</v>
          </cell>
          <cell r="D72">
            <v>23.171607131160119</v>
          </cell>
          <cell r="E72">
            <v>25.82256029684601</v>
          </cell>
          <cell r="F72">
            <v>25.969328886015269</v>
          </cell>
          <cell r="G72">
            <v>0.26091008718760805</v>
          </cell>
          <cell r="H72">
            <v>0.29075956709956713</v>
          </cell>
          <cell r="I72">
            <v>0.29241216742115023</v>
          </cell>
          <cell r="J72">
            <v>76.46837256377728</v>
          </cell>
          <cell r="K72">
            <v>85.216754718513215</v>
          </cell>
          <cell r="L72">
            <v>85.701104167980716</v>
          </cell>
          <cell r="M72">
            <v>544270</v>
          </cell>
          <cell r="N72">
            <v>49588606.105000004</v>
          </cell>
          <cell r="O72">
            <v>89.387527875139469</v>
          </cell>
          <cell r="P72">
            <v>44326029.104999989</v>
          </cell>
          <cell r="Q72">
            <v>500047260.55992544</v>
          </cell>
          <cell r="R72">
            <v>11259.904663097279</v>
          </cell>
          <cell r="S72">
            <v>208.07564228401938</v>
          </cell>
          <cell r="T72">
            <v>2.319008558447023E-3</v>
          </cell>
          <cell r="U72">
            <v>3.4388864058715494E-3</v>
          </cell>
          <cell r="V72">
            <v>209.19039624956693</v>
          </cell>
          <cell r="W72">
            <v>208.77539999999999</v>
          </cell>
          <cell r="Z72">
            <v>208.9376</v>
          </cell>
          <cell r="AA72">
            <v>2089.0704000000001</v>
          </cell>
          <cell r="AB72">
            <v>23.258800000000001</v>
          </cell>
          <cell r="AC72">
            <v>34.603299999999997</v>
          </cell>
          <cell r="AD72">
            <v>2100.2858578</v>
          </cell>
          <cell r="AE72">
            <v>2296.2386000000001</v>
          </cell>
          <cell r="AH72">
            <v>2296.2386000000001</v>
          </cell>
          <cell r="AI72">
            <v>2205.8870000000002</v>
          </cell>
          <cell r="AJ72">
            <v>24.791399999999999</v>
          </cell>
          <cell r="AK72">
            <v>36.099600000000002</v>
          </cell>
          <cell r="AL72">
            <v>2217.5984954000005</v>
          </cell>
        </row>
        <row r="77">
          <cell r="A77" t="str">
            <v>Check against U.S. national results</v>
          </cell>
          <cell r="D77">
            <v>14.874503875004661</v>
          </cell>
          <cell r="E77">
            <v>21.326666194777921</v>
          </cell>
          <cell r="F77">
            <v>20.744009808600342</v>
          </cell>
          <cell r="G77">
            <v>0.14124304817694061</v>
          </cell>
          <cell r="H77">
            <v>0.20269975074727536</v>
          </cell>
          <cell r="I77">
            <v>0.19645162232732136</v>
          </cell>
          <cell r="J77">
            <v>41.395969571201825</v>
          </cell>
          <cell r="K77">
            <v>59.407898812214349</v>
          </cell>
          <cell r="L77">
            <v>57.576677118206725</v>
          </cell>
          <cell r="M77">
            <v>307006550</v>
          </cell>
          <cell r="N77">
            <v>4045517914.7443981</v>
          </cell>
          <cell r="O77">
            <v>68.904354763641095</v>
          </cell>
          <cell r="P77">
            <v>2787538016.0021358</v>
          </cell>
          <cell r="Q77">
            <v>26820073797.080132</v>
          </cell>
          <cell r="R77">
            <v>9470.2819821206267</v>
          </cell>
        </row>
        <row r="78">
          <cell r="A78" t="str">
            <v>Error</v>
          </cell>
          <cell r="D78">
            <v>1.1207599335535612E-2</v>
          </cell>
          <cell r="E78">
            <v>1.2959777346149615E-2</v>
          </cell>
          <cell r="F78">
            <v>-1.1905242413615458E-2</v>
          </cell>
          <cell r="G78">
            <v>0</v>
          </cell>
          <cell r="H78">
            <v>7.9753068605903366E-4</v>
          </cell>
          <cell r="I78">
            <v>-2.0239441833687422E-2</v>
          </cell>
          <cell r="J78">
            <v>0</v>
          </cell>
          <cell r="K78">
            <v>7.9753068605903366E-4</v>
          </cell>
          <cell r="L78">
            <v>-2.0239441833687422E-2</v>
          </cell>
          <cell r="M78">
            <v>0</v>
          </cell>
          <cell r="N78">
            <v>0</v>
          </cell>
          <cell r="O78">
            <v>0</v>
          </cell>
          <cell r="P78">
            <v>0</v>
          </cell>
          <cell r="Q78">
            <v>0</v>
          </cell>
          <cell r="R78">
            <v>-8.4346155630153907E-3</v>
          </cell>
        </row>
      </sheetData>
      <sheetData sheetId="24" refreshError="1">
        <row r="6">
          <cell r="B6" t="str">
            <v>Leaves 2</v>
          </cell>
          <cell r="C6">
            <v>0.41599999999999998</v>
          </cell>
          <cell r="D6">
            <v>0.3</v>
          </cell>
          <cell r="E6">
            <v>0.72115384615384615</v>
          </cell>
          <cell r="F6">
            <v>56.8</v>
          </cell>
        </row>
        <row r="7">
          <cell r="B7" t="str">
            <v>Leaves</v>
          </cell>
          <cell r="C7">
            <v>0.45500000000000002</v>
          </cell>
          <cell r="D7">
            <v>0.38500000000000001</v>
          </cell>
          <cell r="E7">
            <v>0.84615384615384615</v>
          </cell>
          <cell r="F7">
            <v>65.3</v>
          </cell>
          <cell r="G7">
            <v>4.6642857142857139E-2</v>
          </cell>
          <cell r="H7">
            <v>3.4982142857142851E-2</v>
          </cell>
          <cell r="I7">
            <v>7.6883830455259011E-2</v>
          </cell>
          <cell r="J7">
            <v>0.15376766091051802</v>
          </cell>
          <cell r="K7">
            <v>0.99992150706436411</v>
          </cell>
          <cell r="L7" t="str">
            <v>Yes</v>
          </cell>
          <cell r="M7" t="str">
            <v>inc biogas</v>
          </cell>
          <cell r="N7">
            <v>0.84615384615384615</v>
          </cell>
          <cell r="O7">
            <v>7.6923076923076927E-2</v>
          </cell>
          <cell r="P7">
            <v>0.38500000000000001</v>
          </cell>
          <cell r="Q7">
            <v>1.166666666666667</v>
          </cell>
          <cell r="R7">
            <v>0.21584646518820003</v>
          </cell>
          <cell r="S7">
            <v>0.65408019754000024</v>
          </cell>
        </row>
        <row r="8">
          <cell r="B8" t="str">
            <v>Food Waste - Vegetable</v>
          </cell>
          <cell r="C8">
            <v>0.47699999999999998</v>
          </cell>
          <cell r="D8">
            <v>8.1000000000000003E-2</v>
          </cell>
          <cell r="E8">
            <v>0.169811320754717</v>
          </cell>
          <cell r="F8">
            <v>369</v>
          </cell>
        </row>
        <row r="9">
          <cell r="B9" t="str">
            <v>Food Waste - Non-Vegetable</v>
          </cell>
          <cell r="C9">
            <v>0.56499999999999995</v>
          </cell>
          <cell r="D9">
            <v>0.16900000000000001</v>
          </cell>
          <cell r="E9">
            <v>0.29911504424778768</v>
          </cell>
          <cell r="F9">
            <v>369</v>
          </cell>
        </row>
        <row r="10">
          <cell r="B10" t="str">
            <v>Food Waste</v>
          </cell>
          <cell r="C10">
            <v>0.49459999999999998</v>
          </cell>
          <cell r="D10">
            <v>9.8600000000000021E-2</v>
          </cell>
          <cell r="E10">
            <v>0.19567206545333116</v>
          </cell>
          <cell r="F10">
            <v>369</v>
          </cell>
          <cell r="G10">
            <v>0.26357142857142857</v>
          </cell>
          <cell r="H10">
            <v>0.19767857142857143</v>
          </cell>
          <cell r="I10">
            <v>0.39967361793079548</v>
          </cell>
          <cell r="J10">
            <v>0.79934723586159095</v>
          </cell>
          <cell r="K10">
            <v>0.99501930131492211</v>
          </cell>
          <cell r="L10" t="str">
            <v>Yes</v>
          </cell>
          <cell r="M10" t="str">
            <v>inc biogas</v>
          </cell>
          <cell r="N10">
            <v>0.19567206545333116</v>
          </cell>
          <cell r="O10">
            <v>0.40216396727333442</v>
          </cell>
          <cell r="P10">
            <v>9.6779403573217584E-2</v>
          </cell>
          <cell r="Q10">
            <v>6.6303432737797072</v>
          </cell>
          <cell r="R10">
            <v>2.3685732871031769E-2</v>
          </cell>
          <cell r="S10">
            <v>1.622706214625282</v>
          </cell>
        </row>
        <row r="11">
          <cell r="B11" t="str">
            <v>Corrugated Containers</v>
          </cell>
          <cell r="C11">
            <v>0.46899999999999997</v>
          </cell>
          <cell r="D11">
            <v>0.26</v>
          </cell>
          <cell r="E11">
            <v>0.55437100213219626</v>
          </cell>
          <cell r="F11">
            <v>195.1</v>
          </cell>
          <cell r="G11">
            <v>0.13935714285714285</v>
          </cell>
          <cell r="H11">
            <v>0.10451785714285713</v>
          </cell>
          <cell r="I11">
            <v>0.22285257386536703</v>
          </cell>
          <cell r="J11">
            <v>0.44570514773073405</v>
          </cell>
          <cell r="K11">
            <v>1.0000761498629303</v>
          </cell>
          <cell r="L11" t="str">
            <v>Yes</v>
          </cell>
          <cell r="M11" t="str">
            <v>reduce LF C</v>
          </cell>
          <cell r="N11">
            <v>0.55429485226926589</v>
          </cell>
          <cell r="O11">
            <v>0.22285257386536703</v>
          </cell>
          <cell r="P11">
            <v>0.2599642857142857</v>
          </cell>
          <cell r="Q11">
            <v>3.4839285714285713</v>
          </cell>
          <cell r="R11">
            <v>0.19574357534434997</v>
          </cell>
          <cell r="S11">
            <v>2.6232704732575001</v>
          </cell>
        </row>
        <row r="12">
          <cell r="B12" t="str">
            <v>Magazines</v>
          </cell>
          <cell r="C12">
            <v>0.26400000000000001</v>
          </cell>
          <cell r="D12">
            <v>0.253</v>
          </cell>
          <cell r="E12">
            <v>0.95833333333333326</v>
          </cell>
          <cell r="F12">
            <v>84.4</v>
          </cell>
          <cell r="G12">
            <v>6.028571428571429E-2</v>
          </cell>
          <cell r="H12">
            <v>4.5214285714285721E-2</v>
          </cell>
          <cell r="I12">
            <v>0.17126623376623379</v>
          </cell>
          <cell r="J12">
            <v>0.34253246753246758</v>
          </cell>
          <cell r="K12">
            <v>1.3008658008658007</v>
          </cell>
          <cell r="L12" t="str">
            <v>Yes</v>
          </cell>
          <cell r="M12" t="str">
            <v>reduce LF C</v>
          </cell>
          <cell r="N12">
            <v>0.65746753246753242</v>
          </cell>
          <cell r="O12">
            <v>0.17126623376623379</v>
          </cell>
          <cell r="P12">
            <v>0.17357142857142857</v>
          </cell>
          <cell r="Q12">
            <v>1.5071428571428573</v>
          </cell>
          <cell r="R12">
            <v>0.130692921579</v>
          </cell>
          <cell r="S12">
            <v>1.1348233108300003</v>
          </cell>
        </row>
        <row r="13">
          <cell r="B13" t="str">
            <v>Third Class mail</v>
          </cell>
          <cell r="C13">
            <v>0.46300000000000002</v>
          </cell>
          <cell r="D13">
            <v>0.38100000000000001</v>
          </cell>
          <cell r="E13">
            <v>0.82289416846652264</v>
          </cell>
          <cell r="F13">
            <v>76.3</v>
          </cell>
          <cell r="G13">
            <v>5.45E-2</v>
          </cell>
          <cell r="H13">
            <v>4.0875000000000002E-2</v>
          </cell>
          <cell r="I13">
            <v>8.8282937365010805E-2</v>
          </cell>
          <cell r="J13">
            <v>0.17656587473002161</v>
          </cell>
          <cell r="K13">
            <v>0.99946004319654425</v>
          </cell>
          <cell r="N13">
            <v>0.82289416846652264</v>
          </cell>
          <cell r="P13">
            <v>0.38100000000000001</v>
          </cell>
        </row>
        <row r="14">
          <cell r="B14" t="str">
            <v>Magazines/Third-class Mail</v>
          </cell>
          <cell r="C14">
            <v>0.36350000000000005</v>
          </cell>
          <cell r="D14">
            <v>0.317</v>
          </cell>
          <cell r="E14">
            <v>0.87207702888583205</v>
          </cell>
          <cell r="F14">
            <v>80.349999999999994</v>
          </cell>
          <cell r="G14">
            <v>5.7392857142857141E-2</v>
          </cell>
          <cell r="H14">
            <v>4.3044642857142858E-2</v>
          </cell>
          <cell r="I14">
            <v>0.11841717429750441</v>
          </cell>
          <cell r="J14">
            <v>0.23683434859500882</v>
          </cell>
          <cell r="K14">
            <v>1.1089113774808408</v>
          </cell>
          <cell r="L14" t="str">
            <v>Yes</v>
          </cell>
          <cell r="M14" t="str">
            <v>reduce LF C</v>
          </cell>
          <cell r="N14">
            <v>0.76316565140499115</v>
          </cell>
          <cell r="O14">
            <v>0.11841717429750441</v>
          </cell>
          <cell r="P14">
            <v>0.27741071428571434</v>
          </cell>
          <cell r="Q14">
            <v>1.4348214285714285</v>
          </cell>
          <cell r="R14">
            <v>0.23097049478280562</v>
          </cell>
          <cell r="S14">
            <v>1.1946237049113888</v>
          </cell>
        </row>
        <row r="15">
          <cell r="B15" t="str">
            <v>Newspaper</v>
          </cell>
          <cell r="C15">
            <v>0.49199999999999999</v>
          </cell>
          <cell r="D15">
            <v>0.42099999999999999</v>
          </cell>
          <cell r="E15">
            <v>0.85569105691056913</v>
          </cell>
          <cell r="F15">
            <v>74.3</v>
          </cell>
          <cell r="G15">
            <v>5.3071428571428568E-2</v>
          </cell>
          <cell r="H15">
            <v>3.9803571428571424E-2</v>
          </cell>
          <cell r="I15">
            <v>8.0901567944250866E-2</v>
          </cell>
          <cell r="J15">
            <v>0.16180313588850173</v>
          </cell>
          <cell r="K15">
            <v>1.0174941927990708</v>
          </cell>
          <cell r="L15" t="str">
            <v>Yes</v>
          </cell>
          <cell r="M15" t="str">
            <v>reduce LF C</v>
          </cell>
          <cell r="N15">
            <v>0.8381968641114983</v>
          </cell>
          <cell r="O15">
            <v>8.0901567944250866E-2</v>
          </cell>
          <cell r="P15">
            <v>0.41239285714285717</v>
          </cell>
          <cell r="Q15">
            <v>1.3267857142857142</v>
          </cell>
          <cell r="R15">
            <v>0.32548136098995006</v>
          </cell>
          <cell r="S15">
            <v>1.0471665853275001</v>
          </cell>
        </row>
        <row r="16">
          <cell r="B16" t="str">
            <v>Office Paper</v>
          </cell>
          <cell r="C16">
            <v>0.32200000000000001</v>
          </cell>
          <cell r="D16">
            <v>0.4</v>
          </cell>
          <cell r="E16">
            <v>1.2422360248447206</v>
          </cell>
          <cell r="F16">
            <v>263.60000000000002</v>
          </cell>
          <cell r="G16">
            <v>0.18828571428571431</v>
          </cell>
          <cell r="H16">
            <v>0.14121428571428574</v>
          </cell>
          <cell r="I16">
            <v>0.43855368234250225</v>
          </cell>
          <cell r="J16">
            <v>0.8771073646850045</v>
          </cell>
          <cell r="K16">
            <v>2.1193433895297251</v>
          </cell>
          <cell r="L16" t="str">
            <v>Yes</v>
          </cell>
          <cell r="M16" t="str">
            <v>reduce LF C</v>
          </cell>
          <cell r="N16">
            <v>0.1228926353149955</v>
          </cell>
          <cell r="O16">
            <v>0.43855368234250225</v>
          </cell>
          <cell r="P16">
            <v>3.9571428571428556E-2</v>
          </cell>
          <cell r="Q16">
            <v>4.7071428571428573</v>
          </cell>
          <cell r="R16">
            <v>3.2667722487399992E-2</v>
          </cell>
          <cell r="S16">
            <v>3.8859258337900004</v>
          </cell>
        </row>
        <row r="17">
          <cell r="B17" t="str">
            <v>Phonebooks</v>
          </cell>
          <cell r="C17">
            <v>0.49199999999999999</v>
          </cell>
          <cell r="D17">
            <v>0.42</v>
          </cell>
          <cell r="E17">
            <v>0.85365853658536583</v>
          </cell>
          <cell r="F17">
            <v>74.3</v>
          </cell>
          <cell r="G17">
            <v>5.3071428571428568E-2</v>
          </cell>
          <cell r="H17">
            <v>3.9803571428571424E-2</v>
          </cell>
          <cell r="I17">
            <v>8.0901567944250866E-2</v>
          </cell>
          <cell r="J17">
            <v>0.16180313588850173</v>
          </cell>
          <cell r="K17">
            <v>1.0154616724738676</v>
          </cell>
          <cell r="L17" t="str">
            <v>Yes</v>
          </cell>
          <cell r="M17" t="str">
            <v>reduce LF C</v>
          </cell>
          <cell r="N17">
            <v>0.8381968641114983</v>
          </cell>
          <cell r="O17">
            <v>8.0901567944250866E-2</v>
          </cell>
          <cell r="P17">
            <v>0.41239285714285717</v>
          </cell>
          <cell r="Q17">
            <v>1.3267857142857142</v>
          </cell>
          <cell r="R17">
            <v>0.32548136098995006</v>
          </cell>
          <cell r="S17">
            <v>1.0471665853275001</v>
          </cell>
        </row>
        <row r="18">
          <cell r="B18" t="str">
            <v>Textbooks</v>
          </cell>
          <cell r="C18">
            <v>0.32200000000000001</v>
          </cell>
          <cell r="D18">
            <v>0.4</v>
          </cell>
          <cell r="E18">
            <v>1.2422360248447206</v>
          </cell>
          <cell r="F18">
            <v>263.60000000000002</v>
          </cell>
          <cell r="G18">
            <v>0.18828571428571431</v>
          </cell>
          <cell r="H18">
            <v>0.14121428571428574</v>
          </cell>
          <cell r="I18">
            <v>0.43855368234250225</v>
          </cell>
          <cell r="J18">
            <v>0.8771073646850045</v>
          </cell>
          <cell r="K18">
            <v>2.1193433895297251</v>
          </cell>
          <cell r="L18" t="str">
            <v>Yes</v>
          </cell>
          <cell r="M18" t="str">
            <v>reduce LF C</v>
          </cell>
          <cell r="N18">
            <v>0.1228926353149955</v>
          </cell>
          <cell r="O18">
            <v>0.43855368234250225</v>
          </cell>
          <cell r="P18">
            <v>3.9571428571428556E-2</v>
          </cell>
          <cell r="Q18">
            <v>4.7071428571428573</v>
          </cell>
          <cell r="R18">
            <v>3.2667722487399992E-2</v>
          </cell>
          <cell r="S18">
            <v>3.8859258337900004</v>
          </cell>
        </row>
        <row r="19">
          <cell r="B19" t="str">
            <v>Dimensional Lumber</v>
          </cell>
          <cell r="C19">
            <v>0.49399999999999999</v>
          </cell>
          <cell r="D19">
            <v>0.4366666666666667</v>
          </cell>
          <cell r="E19">
            <v>0.88394062078272617</v>
          </cell>
          <cell r="F19">
            <v>13.7</v>
          </cell>
          <cell r="G19">
            <v>9.7857142857142847E-3</v>
          </cell>
          <cell r="H19">
            <v>7.3392857142857131E-3</v>
          </cell>
          <cell r="I19">
            <v>1.4856853672643144E-2</v>
          </cell>
          <cell r="J19">
            <v>2.9713707345286288E-2</v>
          </cell>
          <cell r="K19">
            <v>0.91365432812801251</v>
          </cell>
          <cell r="L19" t="str">
            <v>No</v>
          </cell>
          <cell r="M19" t="str">
            <v>None</v>
          </cell>
          <cell r="N19">
            <v>0.88394062078272617</v>
          </cell>
          <cell r="O19">
            <v>1.4856853672643144E-2</v>
          </cell>
          <cell r="P19">
            <v>0.4366666666666667</v>
          </cell>
          <cell r="Q19">
            <v>0.24464285714285711</v>
          </cell>
          <cell r="R19">
            <v>0.29710300235000003</v>
          </cell>
          <cell r="S19">
            <v>0.16645220006249997</v>
          </cell>
        </row>
        <row r="20">
          <cell r="B20" t="str">
            <v>Medium-density Fiberboard</v>
          </cell>
          <cell r="C20">
            <v>0.439</v>
          </cell>
          <cell r="D20">
            <v>0.37</v>
          </cell>
          <cell r="E20">
            <v>0.84282460136674253</v>
          </cell>
          <cell r="F20">
            <v>4.5999999999999996</v>
          </cell>
          <cell r="G20">
            <v>3.2857142857142855E-3</v>
          </cell>
          <cell r="H20">
            <v>2.464285714285714E-3</v>
          </cell>
          <cell r="I20">
            <v>5.6134070940449064E-3</v>
          </cell>
          <cell r="J20">
            <v>1.1226814188089813E-2</v>
          </cell>
          <cell r="K20">
            <v>0.85405141555483233</v>
          </cell>
          <cell r="L20" t="str">
            <v>No</v>
          </cell>
          <cell r="M20" t="str">
            <v>None</v>
          </cell>
          <cell r="N20">
            <v>0.84282460136674253</v>
          </cell>
          <cell r="O20">
            <v>5.6134070940449064E-3</v>
          </cell>
          <cell r="P20">
            <v>0.37</v>
          </cell>
          <cell r="Q20">
            <v>8.2142857142857142E-2</v>
          </cell>
          <cell r="R20">
            <v>0.25174376534999998</v>
          </cell>
          <cell r="S20">
            <v>5.5889059875000008E-2</v>
          </cell>
        </row>
        <row r="21">
          <cell r="B21" t="str">
            <v>Red Oak</v>
          </cell>
          <cell r="C21">
            <v>0.44600000000000001</v>
          </cell>
          <cell r="D21">
            <v>0.45</v>
          </cell>
          <cell r="E21">
            <v>1.0089686098654709</v>
          </cell>
          <cell r="F21">
            <v>33.299999999999997</v>
          </cell>
        </row>
        <row r="22">
          <cell r="B22" t="str">
            <v>Plywood</v>
          </cell>
          <cell r="C22">
            <v>0.46899999999999997</v>
          </cell>
          <cell r="D22">
            <v>0.46</v>
          </cell>
          <cell r="E22">
            <v>0.9808102345415779</v>
          </cell>
          <cell r="F22">
            <v>6.3</v>
          </cell>
        </row>
        <row r="23">
          <cell r="B23" t="str">
            <v>Wood Flooring</v>
          </cell>
          <cell r="C23">
            <v>0.434</v>
          </cell>
          <cell r="D23">
            <v>0.41799999999999998</v>
          </cell>
          <cell r="E23">
            <v>0.96313364055299533</v>
          </cell>
          <cell r="F23">
            <v>14.5</v>
          </cell>
          <cell r="G23">
            <v>1.0357142857142856E-2</v>
          </cell>
          <cell r="H23">
            <v>7.7678571428571423E-3</v>
          </cell>
          <cell r="I23">
            <v>1.7898288347597102E-2</v>
          </cell>
          <cell r="J23">
            <v>3.5796576695194204E-2</v>
          </cell>
          <cell r="K23">
            <v>0.99893021724818953</v>
          </cell>
          <cell r="L23" t="str">
            <v>Yes</v>
          </cell>
          <cell r="M23" t="str">
            <v>inc biogas</v>
          </cell>
          <cell r="N23">
            <v>0.96313364055299533</v>
          </cell>
          <cell r="O23">
            <v>1.8433179723502335E-2</v>
          </cell>
          <cell r="P23">
            <v>0.41799999999999998</v>
          </cell>
          <cell r="Q23">
            <v>0.26666666666666716</v>
          </cell>
          <cell r="R23">
            <v>0.28440241598999999</v>
          </cell>
          <cell r="S23">
            <v>0.18143694800000035</v>
          </cell>
        </row>
        <row r="24">
          <cell r="B24" t="str">
            <v>Mixed MSW</v>
          </cell>
          <cell r="C24">
            <v>0.42</v>
          </cell>
          <cell r="D24">
            <v>7.8E-2</v>
          </cell>
          <cell r="E24">
            <v>0.18571428571428572</v>
          </cell>
          <cell r="F24">
            <v>125</v>
          </cell>
          <cell r="G24">
            <v>8.9285714285714288E-2</v>
          </cell>
          <cell r="H24">
            <v>6.6964285714285712E-2</v>
          </cell>
          <cell r="I24">
            <v>0.15943877551020408</v>
          </cell>
          <cell r="J24">
            <v>0.31887755102040816</v>
          </cell>
          <cell r="K24">
            <v>0.50459183673469388</v>
          </cell>
          <cell r="L24" t="str">
            <v>No</v>
          </cell>
          <cell r="M24" t="str">
            <v>None</v>
          </cell>
          <cell r="N24">
            <v>0.18571428571428572</v>
          </cell>
          <cell r="O24">
            <v>0.15943877551020408</v>
          </cell>
          <cell r="P24">
            <v>7.8E-2</v>
          </cell>
          <cell r="Q24">
            <v>2.2321428571428572</v>
          </cell>
          <cell r="R24">
            <v>5.6608327776000007E-2</v>
          </cell>
          <cell r="S24">
            <v>1.6199727500000001</v>
          </cell>
        </row>
        <row r="25">
          <cell r="B25" t="str">
            <v>Gypsum Board</v>
          </cell>
          <cell r="C25">
            <v>4.6899999999999997E-2</v>
          </cell>
          <cell r="D25">
            <v>2.6000000000000002E-2</v>
          </cell>
          <cell r="E25">
            <v>0.55437100213219626</v>
          </cell>
          <cell r="F25">
            <v>0</v>
          </cell>
          <cell r="G25">
            <v>0</v>
          </cell>
          <cell r="H25">
            <v>0</v>
          </cell>
          <cell r="I25">
            <v>0</v>
          </cell>
          <cell r="J25">
            <v>0</v>
          </cell>
          <cell r="K25">
            <v>0.55437100213219626</v>
          </cell>
          <cell r="L25" t="str">
            <v>No</v>
          </cell>
          <cell r="M25" t="str">
            <v>None</v>
          </cell>
          <cell r="N25">
            <v>0.55437100213219626</v>
          </cell>
          <cell r="O25">
            <v>0</v>
          </cell>
          <cell r="P25">
            <v>2.6000000000000002E-2</v>
          </cell>
          <cell r="Q25">
            <v>0</v>
          </cell>
          <cell r="R25">
            <v>2.2171595045600002E-2</v>
          </cell>
          <cell r="S25">
            <v>0</v>
          </cell>
        </row>
        <row r="27">
          <cell r="C27" t="str">
            <v>Rows for materials not in WARM used to calculated values for other WARM materials</v>
          </cell>
        </row>
        <row r="28">
          <cell r="J28" t="str">
            <v>Moisture Content, CSFs, and Methane Yield of Individual Waste Components</v>
          </cell>
        </row>
        <row r="29">
          <cell r="J29" t="str">
            <v>Waste Category</v>
          </cell>
          <cell r="K29" t="str">
            <v xml:space="preserve">Moisture Contentb (%) </v>
          </cell>
          <cell r="M29" t="str">
            <v>CSFc</v>
          </cell>
          <cell r="N29" t="str">
            <v>Lod</v>
          </cell>
        </row>
        <row r="30">
          <cell r="E30">
            <v>0.5</v>
          </cell>
          <cell r="J30" t="str">
            <v>Lumber</v>
          </cell>
          <cell r="K30">
            <v>0.25</v>
          </cell>
          <cell r="M30" t="str">
            <v>0.38f</v>
          </cell>
          <cell r="N30" t="str">
            <v>62.6f</v>
          </cell>
        </row>
        <row r="31">
          <cell r="E31">
            <v>12</v>
          </cell>
          <cell r="J31" t="str">
            <v>Gypsum board</v>
          </cell>
          <cell r="K31">
            <v>0.06</v>
          </cell>
          <cell r="M31" t="str">
            <v>0.03k</v>
          </cell>
          <cell r="N31" t="str">
            <v>15.2k</v>
          </cell>
        </row>
        <row r="32">
          <cell r="E32">
            <v>22400</v>
          </cell>
          <cell r="J32" t="str">
            <v>bMoisture contents from Tchobanoglous et al. (1993)</v>
          </cell>
        </row>
        <row r="33">
          <cell r="E33">
            <v>22.4</v>
          </cell>
          <cell r="J33" t="str">
            <v>cCSF (kg C dry kg refuse-1) based on corrected values from Barlaz (1998)</v>
          </cell>
        </row>
        <row r="34">
          <cell r="E34">
            <v>16</v>
          </cell>
          <cell r="J34" t="str">
            <v>dLo (M3 CH4 dry Mg refuse-1) based on values from Eleazar et al. (1997)</v>
          </cell>
        </row>
        <row r="35">
          <cell r="E35">
            <v>0.7142857142857143</v>
          </cell>
          <cell r="J35" t="str">
            <v>fCSF and Lo values for branches were used for wood (non-C&amp;D) and lumber.</v>
          </cell>
        </row>
        <row r="36">
          <cell r="E36">
            <v>7.1428571428571429E-4</v>
          </cell>
          <cell r="J36" t="str">
            <v>kEstimated based on 10% of mass comprised of heavy paper backing board [National Gypsum Company; Charlotte, N.C. (national Gypsum Company 2008)]. The CSF/Lo for OCC/Kraft bags was multiplied by 0.1 to obtain a CSF/Lo for gypsum board.</v>
          </cell>
        </row>
        <row r="37">
          <cell r="E37">
            <v>714.28571428571433</v>
          </cell>
          <cell r="J37" t="str">
            <v>Source: Barlaz and Staley. 2009. "Composition of Municipal Solid Waste in the United States and Implications for Carbon Sequestration and Methane Yield. Journal of Environmental Engineering</v>
          </cell>
        </row>
        <row r="38">
          <cell r="E38">
            <v>9.9999999999999995E-7</v>
          </cell>
        </row>
        <row r="39">
          <cell r="E39">
            <v>0.75</v>
          </cell>
        </row>
        <row r="40">
          <cell r="E40">
            <v>0.2</v>
          </cell>
          <cell r="F40" t="str">
            <v>Source:</v>
          </cell>
          <cell r="G40" t="str">
            <v>Conversation with M. Barlaz 5/20/2014</v>
          </cell>
        </row>
        <row r="43">
          <cell r="E43">
            <v>666.58</v>
          </cell>
        </row>
        <row r="44">
          <cell r="E44">
            <v>9.9999999999999995E-7</v>
          </cell>
        </row>
        <row r="45">
          <cell r="E45">
            <v>0.75</v>
          </cell>
        </row>
        <row r="53">
          <cell r="A53" t="str">
            <v>M = initial dry mass of component I in each reactor</v>
          </cell>
        </row>
        <row r="54">
          <cell r="B54" t="str">
            <v>short ton/tonne</v>
          </cell>
          <cell r="C54">
            <v>0.90702947845804993</v>
          </cell>
        </row>
        <row r="56">
          <cell r="B56" t="str">
            <v>Exhibit 6-2</v>
          </cell>
        </row>
        <row r="57">
          <cell r="C57" t="str">
            <v>Initial Carbon Content, % of dry matter</v>
          </cell>
          <cell r="D57" t="str">
            <v>Measured Yield of CH4 as proportion of Initial Carbon</v>
          </cell>
          <cell r="E57" t="str">
            <v>Implied Yield of Biogas (CH4+CO2) as proportion of Initial Carbon</v>
          </cell>
          <cell r="F57" t="str">
            <v>Measured Proportion of Initial Carbon Stored</v>
          </cell>
          <cell r="G57" t="str">
            <v>Outputs as % of Initial Carbon</v>
          </cell>
          <cell r="H57" t="str">
            <v>Adjustment Approach</v>
          </cell>
          <cell r="I57" t="str">
            <v>Adjusted Yield of CH4 as proportion of Initial Carbon</v>
          </cell>
          <cell r="J57" t="str">
            <v>Adjusted Proportion of Initial Carbon Stored</v>
          </cell>
        </row>
        <row r="58">
          <cell r="C58" t="str">
            <v>A</v>
          </cell>
          <cell r="D58" t="str">
            <v>B</v>
          </cell>
          <cell r="E58" t="str">
            <v>C (=2*B)</v>
          </cell>
          <cell r="F58" t="str">
            <v>D</v>
          </cell>
          <cell r="G58" t="str">
            <v>E (=C+D)</v>
          </cell>
          <cell r="H58" t="str">
            <v>F</v>
          </cell>
          <cell r="I58" t="str">
            <v>G</v>
          </cell>
          <cell r="J58" t="str">
            <v>H</v>
          </cell>
        </row>
        <row r="59">
          <cell r="B59" t="str">
            <v>Paper and paperboard</v>
          </cell>
        </row>
        <row r="60">
          <cell r="B60" t="str">
            <v>Corrugated containers</v>
          </cell>
          <cell r="C60">
            <v>0.46899999999999997</v>
          </cell>
          <cell r="D60">
            <v>0.11841717429750441</v>
          </cell>
          <cell r="E60">
            <v>0.23683434859500882</v>
          </cell>
          <cell r="F60">
            <v>0.87207702888583205</v>
          </cell>
          <cell r="G60">
            <v>1.1089113774808408</v>
          </cell>
          <cell r="H60" t="str">
            <v>reduce LF C</v>
          </cell>
          <cell r="I60">
            <v>0.11841717429750441</v>
          </cell>
          <cell r="J60">
            <v>0.76316565140499115</v>
          </cell>
        </row>
        <row r="61">
          <cell r="B61" t="str">
            <v>Newspaper</v>
          </cell>
          <cell r="C61">
            <v>0.49199999999999999</v>
          </cell>
          <cell r="D61">
            <v>0.17126623376623379</v>
          </cell>
          <cell r="E61">
            <v>0.34253246753246758</v>
          </cell>
          <cell r="F61">
            <v>0.95833333333333326</v>
          </cell>
          <cell r="G61">
            <v>1.3008658008658007</v>
          </cell>
          <cell r="H61" t="str">
            <v>reduce LF C</v>
          </cell>
          <cell r="I61">
            <v>0.17126623376623379</v>
          </cell>
          <cell r="J61">
            <v>0.65746753246753242</v>
          </cell>
        </row>
        <row r="62">
          <cell r="B62" t="str">
            <v>Office paper</v>
          </cell>
          <cell r="C62">
            <v>0.32200000000000001</v>
          </cell>
          <cell r="D62">
            <v>8.0901567944250866E-2</v>
          </cell>
          <cell r="E62">
            <v>0.16180313588850173</v>
          </cell>
          <cell r="F62">
            <v>0.85569105691056913</v>
          </cell>
          <cell r="G62">
            <v>1.0174941927990708</v>
          </cell>
          <cell r="H62" t="str">
            <v>reduce LF C</v>
          </cell>
          <cell r="I62">
            <v>8.0901567944250866E-2</v>
          </cell>
          <cell r="J62">
            <v>0.8381968641114983</v>
          </cell>
        </row>
        <row r="63">
          <cell r="B63" t="str">
            <v>Coated Paper</v>
          </cell>
          <cell r="C63">
            <v>0.46899999999999997</v>
          </cell>
          <cell r="D63">
            <v>0.22285257386536703</v>
          </cell>
          <cell r="E63">
            <v>0.44570514773073405</v>
          </cell>
          <cell r="F63">
            <v>0.55437100213219626</v>
          </cell>
          <cell r="G63">
            <v>1.0000761498629303</v>
          </cell>
          <cell r="H63" t="str">
            <v>reduce LF C</v>
          </cell>
          <cell r="I63">
            <v>0.22285257386536703</v>
          </cell>
          <cell r="J63">
            <v>0.55429485226926589</v>
          </cell>
        </row>
        <row r="65">
          <cell r="B65" t="str">
            <v>Food Waste</v>
          </cell>
          <cell r="C65">
            <v>0.49459999999999998</v>
          </cell>
          <cell r="D65">
            <v>0.39967361793079548</v>
          </cell>
          <cell r="E65">
            <v>0.79934723586159095</v>
          </cell>
          <cell r="F65">
            <v>0.19567206545333116</v>
          </cell>
          <cell r="G65">
            <v>0.99501930131492211</v>
          </cell>
          <cell r="H65" t="str">
            <v>inc biogas</v>
          </cell>
          <cell r="I65">
            <v>0.40216396727333442</v>
          </cell>
          <cell r="J65">
            <v>0.19567206545333116</v>
          </cell>
        </row>
        <row r="67">
          <cell r="B67" t="str">
            <v>Yard Trimmings</v>
          </cell>
        </row>
        <row r="68">
          <cell r="B68" t="str">
            <v>Grass</v>
          </cell>
          <cell r="C68">
            <v>0.49399999999999999</v>
          </cell>
          <cell r="D68">
            <v>0</v>
          </cell>
          <cell r="E68">
            <v>0</v>
          </cell>
          <cell r="F68">
            <v>0.95141700404858298</v>
          </cell>
          <cell r="G68">
            <v>0</v>
          </cell>
          <cell r="H68">
            <v>0</v>
          </cell>
          <cell r="I68">
            <v>0</v>
          </cell>
          <cell r="J68">
            <v>0</v>
          </cell>
        </row>
        <row r="69">
          <cell r="B69" t="str">
            <v>Leaves</v>
          </cell>
          <cell r="C69">
            <v>0.45500000000000002</v>
          </cell>
          <cell r="D69">
            <v>7.6883830455259011E-2</v>
          </cell>
          <cell r="E69">
            <v>0.15376766091051802</v>
          </cell>
          <cell r="F69">
            <v>0.84615384615384615</v>
          </cell>
          <cell r="G69">
            <v>0.99992150706436411</v>
          </cell>
          <cell r="H69" t="str">
            <v>inc biogas</v>
          </cell>
          <cell r="I69">
            <v>7.6923076923076927E-2</v>
          </cell>
          <cell r="J69">
            <v>0.84615384615384615</v>
          </cell>
        </row>
        <row r="70">
          <cell r="B70" t="str">
            <v>Branches</v>
          </cell>
          <cell r="C70">
            <v>0.45500000000000002</v>
          </cell>
          <cell r="D70">
            <v>7.6883830455259011E-2</v>
          </cell>
          <cell r="E70">
            <v>0.15376766091051802</v>
          </cell>
          <cell r="F70">
            <v>0.84615384615384615</v>
          </cell>
          <cell r="G70">
            <v>0.99992150706436411</v>
          </cell>
          <cell r="H70" t="str">
            <v>inc biogas</v>
          </cell>
          <cell r="I70">
            <v>7.6923076923076927E-2</v>
          </cell>
          <cell r="J70">
            <v>0.84615384615384615</v>
          </cell>
        </row>
        <row r="72">
          <cell r="B72" t="str">
            <v>MSW</v>
          </cell>
          <cell r="C72">
            <v>0.32200000000000001</v>
          </cell>
          <cell r="D72">
            <v>0.43855368234250225</v>
          </cell>
          <cell r="E72">
            <v>0.8771073646850045</v>
          </cell>
          <cell r="F72">
            <v>1.2422360248447206</v>
          </cell>
          <cell r="G72">
            <v>2.1193433895297251</v>
          </cell>
          <cell r="H72" t="str">
            <v>reduce LF C</v>
          </cell>
          <cell r="I72">
            <v>0.43855368234250225</v>
          </cell>
          <cell r="J72">
            <v>0.1228926353149955</v>
          </cell>
        </row>
        <row r="76">
          <cell r="B76" t="str">
            <v>Material-Specific Decay Rates</v>
          </cell>
        </row>
        <row r="77">
          <cell r="B77" t="str">
            <v>Source:  Levis and Barlaz. 2013. Landfill Gas Model Spreadsheet, Materials Properties sheet.</v>
          </cell>
        </row>
        <row r="79">
          <cell r="B79" t="str">
            <v>Material</v>
          </cell>
          <cell r="C79" t="str">
            <v>Landfill moisture conditions</v>
          </cell>
        </row>
        <row r="80">
          <cell r="C80" t="str">
            <v>Dry (k=0.02)</v>
          </cell>
          <cell r="D80" t="str">
            <v>Average (k = 0.04)</v>
          </cell>
          <cell r="E80" t="str">
            <v>Wet (k = 0.08)</v>
          </cell>
          <cell r="F80" t="str">
            <v>Bioreactor (k = 0.12)</v>
          </cell>
        </row>
        <row r="81">
          <cell r="B81" t="str">
            <v>Branches</v>
          </cell>
          <cell r="C81">
            <v>8.0000000000000002E-3</v>
          </cell>
          <cell r="D81">
            <v>1.4999999999999999E-2</v>
          </cell>
          <cell r="E81">
            <v>0.03</v>
          </cell>
          <cell r="F81">
            <v>4.4999999999999998E-2</v>
          </cell>
        </row>
        <row r="82">
          <cell r="B82" t="str">
            <v>Grass</v>
          </cell>
          <cell r="C82">
            <v>0.14899999999999999</v>
          </cell>
          <cell r="D82">
            <v>0.29799999999999999</v>
          </cell>
          <cell r="E82">
            <v>0.59599999999999997</v>
          </cell>
          <cell r="F82">
            <v>0.89400000000000002</v>
          </cell>
        </row>
        <row r="83">
          <cell r="B83" t="str">
            <v>Leaves</v>
          </cell>
          <cell r="C83">
            <v>8.5999999999999993E-2</v>
          </cell>
          <cell r="D83">
            <v>0.17100000000000001</v>
          </cell>
          <cell r="E83">
            <v>0.34200000000000003</v>
          </cell>
          <cell r="F83">
            <v>0.51300000000000001</v>
          </cell>
        </row>
        <row r="84">
          <cell r="B84" t="str">
            <v>Food Waste</v>
          </cell>
          <cell r="C84">
            <v>7.1999999999999995E-2</v>
          </cell>
          <cell r="D84">
            <v>0.14399999999999999</v>
          </cell>
          <cell r="E84">
            <v>0.28799999999999998</v>
          </cell>
          <cell r="F84">
            <v>0.432</v>
          </cell>
        </row>
        <row r="85">
          <cell r="B85" t="str">
            <v>Corrugated Containers</v>
          </cell>
          <cell r="C85">
            <v>0.01</v>
          </cell>
          <cell r="D85">
            <v>0.02</v>
          </cell>
          <cell r="E85">
            <v>0.04</v>
          </cell>
          <cell r="F85">
            <v>0.06</v>
          </cell>
        </row>
        <row r="86">
          <cell r="B86" t="str">
            <v>Magazines/Third-class Mail</v>
          </cell>
          <cell r="C86">
            <v>6.0999999999999999E-2</v>
          </cell>
          <cell r="D86">
            <v>0.122</v>
          </cell>
          <cell r="E86">
            <v>0.24399999999999999</v>
          </cell>
          <cell r="F86">
            <v>0.36599999999999999</v>
          </cell>
        </row>
        <row r="87">
          <cell r="B87" t="str">
            <v>Newspaper</v>
          </cell>
          <cell r="C87">
            <v>1.7000000000000001E-2</v>
          </cell>
          <cell r="D87">
            <v>3.3000000000000002E-2</v>
          </cell>
          <cell r="E87">
            <v>6.6000000000000003E-2</v>
          </cell>
          <cell r="F87">
            <v>9.9000000000000005E-2</v>
          </cell>
        </row>
        <row r="88">
          <cell r="B88" t="str">
            <v>Office Paper</v>
          </cell>
          <cell r="C88">
            <v>1.4999999999999999E-2</v>
          </cell>
          <cell r="D88">
            <v>2.9000000000000001E-2</v>
          </cell>
          <cell r="E88">
            <v>5.8000000000000003E-2</v>
          </cell>
          <cell r="F88">
            <v>8.6999999999999994E-2</v>
          </cell>
        </row>
        <row r="89">
          <cell r="B89" t="str">
            <v>Phonebooks</v>
          </cell>
          <cell r="C89">
            <v>1.7000000000000001E-2</v>
          </cell>
          <cell r="D89">
            <v>3.3000000000000002E-2</v>
          </cell>
          <cell r="E89">
            <v>6.6000000000000003E-2</v>
          </cell>
          <cell r="F89">
            <v>9.9000000000000005E-2</v>
          </cell>
        </row>
        <row r="90">
          <cell r="B90" t="str">
            <v>Textbooks</v>
          </cell>
          <cell r="C90">
            <v>1.4999999999999999E-2</v>
          </cell>
          <cell r="D90">
            <v>2.9000000000000001E-2</v>
          </cell>
          <cell r="E90">
            <v>5.8000000000000003E-2</v>
          </cell>
          <cell r="F90">
            <v>8.6999999999999994E-2</v>
          </cell>
        </row>
        <row r="91">
          <cell r="B91" t="str">
            <v>Dimensional Lumber</v>
          </cell>
          <cell r="C91">
            <v>4.1000000000000002E-2</v>
          </cell>
          <cell r="D91">
            <v>8.2000000000000003E-2</v>
          </cell>
          <cell r="E91">
            <v>0.16400000000000001</v>
          </cell>
          <cell r="F91">
            <v>0.246</v>
          </cell>
        </row>
        <row r="92">
          <cell r="B92" t="str">
            <v>Medium-density Fiberboard</v>
          </cell>
          <cell r="C92">
            <v>3.2000000000000001E-2</v>
          </cell>
          <cell r="D92">
            <v>6.4000000000000001E-2</v>
          </cell>
          <cell r="E92">
            <v>0.129</v>
          </cell>
          <cell r="F92">
            <v>0.193</v>
          </cell>
        </row>
        <row r="93">
          <cell r="B93" t="str">
            <v>Wood Flooring</v>
          </cell>
          <cell r="C93">
            <v>1.6E-2</v>
          </cell>
          <cell r="D93">
            <v>3.3000000000000002E-2</v>
          </cell>
          <cell r="E93">
            <v>6.5000000000000002E-2</v>
          </cell>
          <cell r="F93">
            <v>9.8000000000000004E-2</v>
          </cell>
        </row>
        <row r="94">
          <cell r="B94" t="str">
            <v>Mixed MSW</v>
          </cell>
          <cell r="C94">
            <v>0.02</v>
          </cell>
          <cell r="D94">
            <v>0.04</v>
          </cell>
          <cell r="E94">
            <v>0.08</v>
          </cell>
          <cell r="F94">
            <v>0.12</v>
          </cell>
        </row>
        <row r="95">
          <cell r="B95" t="str">
            <v>--</v>
          </cell>
          <cell r="C95" t="str">
            <v>--</v>
          </cell>
          <cell r="D95" t="str">
            <v>--</v>
          </cell>
          <cell r="E95" t="str">
            <v>--</v>
          </cell>
          <cell r="F95" t="str">
            <v>--</v>
          </cell>
        </row>
        <row r="96">
          <cell r="B96" t="str">
            <v>Mixed material categories:</v>
          </cell>
        </row>
        <row r="97">
          <cell r="B97" t="str">
            <v>Average of newspaper and office paper</v>
          </cell>
          <cell r="C97">
            <v>1.6E-2</v>
          </cell>
          <cell r="D97">
            <v>3.1E-2</v>
          </cell>
          <cell r="E97">
            <v>6.2E-2</v>
          </cell>
          <cell r="F97">
            <v>9.2999999999999999E-2</v>
          </cell>
        </row>
        <row r="98">
          <cell r="B98" t="str">
            <v>Mixed Paper (general)</v>
          </cell>
          <cell r="C98">
            <v>1.7000000000000001E-2</v>
          </cell>
          <cell r="D98">
            <v>3.3000000000000002E-2</v>
          </cell>
          <cell r="E98">
            <v>6.6000000000000003E-2</v>
          </cell>
          <cell r="F98">
            <v>9.9000000000000005E-2</v>
          </cell>
        </row>
        <row r="99">
          <cell r="B99" t="str">
            <v>Mixed Paper (primarily residential)</v>
          </cell>
          <cell r="C99">
            <v>1.7000000000000001E-2</v>
          </cell>
          <cell r="D99">
            <v>3.4000000000000002E-2</v>
          </cell>
          <cell r="E99">
            <v>6.9000000000000006E-2</v>
          </cell>
          <cell r="F99">
            <v>0.10299999999999999</v>
          </cell>
        </row>
        <row r="100">
          <cell r="B100" t="str">
            <v>Mixed Paper (primarily from offices)</v>
          </cell>
          <cell r="C100">
            <v>3.2000000000000001E-2</v>
          </cell>
          <cell r="D100">
            <v>6.3E-2</v>
          </cell>
          <cell r="E100">
            <v>0.126</v>
          </cell>
          <cell r="F100">
            <v>0.189</v>
          </cell>
        </row>
        <row r="101">
          <cell r="B101" t="str">
            <v>Yard trimmings</v>
          </cell>
          <cell r="C101">
            <v>9.8000000000000004E-2</v>
          </cell>
          <cell r="D101">
            <v>0.19600000000000001</v>
          </cell>
          <cell r="E101">
            <v>0.39100000000000001</v>
          </cell>
          <cell r="F101">
            <v>0.58699999999999997</v>
          </cell>
        </row>
        <row r="102">
          <cell r="B102" t="str">
            <v>Mixed organics</v>
          </cell>
          <cell r="C102">
            <v>8.4000000000000005E-2</v>
          </cell>
          <cell r="D102">
            <v>0.16900000000000001</v>
          </cell>
          <cell r="E102">
            <v>0.33700000000000002</v>
          </cell>
          <cell r="F102">
            <v>0.50600000000000001</v>
          </cell>
        </row>
        <row r="103">
          <cell r="B103" t="str">
            <v>Mixed Recyclables</v>
          </cell>
          <cell r="C103">
            <v>1.2999999999999999E-2</v>
          </cell>
          <cell r="D103">
            <v>2.5999999999999999E-2</v>
          </cell>
          <cell r="E103">
            <v>5.1999999999999998E-2</v>
          </cell>
          <cell r="F103">
            <v>7.9000000000000001E-2</v>
          </cell>
        </row>
        <row r="112">
          <cell r="B112" t="str">
            <v>BR 05-23-2014: DELETE THIS TABLE AFTER INCORPORATING UPDATED TABLES FROM MORT</v>
          </cell>
        </row>
        <row r="114">
          <cell r="B114" t="str">
            <v>Landfill gas collection efficiencies, by decay rate, across collection scenarios</v>
          </cell>
        </row>
        <row r="115">
          <cell r="B115" t="str">
            <v>Source: Calculations and personal communication with Mort Barlaz, October 12, 2009.</v>
          </cell>
        </row>
        <row r="117">
          <cell r="B117" t="str">
            <v>Decay Rate</v>
          </cell>
          <cell r="C117" t="str">
            <v>Landfill gas collection efficiencies (%)</v>
          </cell>
        </row>
        <row r="118">
          <cell r="C118" t="str">
            <v>Landfill Gas Collection Scenario</v>
          </cell>
        </row>
        <row r="119">
          <cell r="C119">
            <v>1</v>
          </cell>
          <cell r="D119">
            <v>2</v>
          </cell>
          <cell r="E119">
            <v>3</v>
          </cell>
        </row>
        <row r="129">
          <cell r="B129">
            <v>2.7E-2</v>
          </cell>
          <cell r="C129">
            <v>0.88300000000000001</v>
          </cell>
          <cell r="D129">
            <v>0.83299999999999996</v>
          </cell>
          <cell r="E129">
            <v>0.89900000000000002</v>
          </cell>
        </row>
        <row r="130">
          <cell r="B130">
            <v>2.9000000000000001E-2</v>
          </cell>
          <cell r="C130">
            <v>0.87400000000000011</v>
          </cell>
          <cell r="D130">
            <v>0.81799999999999995</v>
          </cell>
          <cell r="E130">
            <v>0.89200000000000013</v>
          </cell>
        </row>
        <row r="131">
          <cell r="B131">
            <v>0.03</v>
          </cell>
          <cell r="C131">
            <v>0.872</v>
          </cell>
          <cell r="D131">
            <v>0.81400000000000006</v>
          </cell>
          <cell r="E131">
            <v>0.8909999999999999</v>
          </cell>
        </row>
        <row r="132">
          <cell r="B132">
            <v>3.1E-2</v>
          </cell>
          <cell r="C132">
            <v>0.87</v>
          </cell>
          <cell r="D132">
            <v>0.81099999999999994</v>
          </cell>
          <cell r="E132">
            <v>0.88900000000000001</v>
          </cell>
        </row>
        <row r="133">
          <cell r="B133">
            <v>3.3000000000000002E-2</v>
          </cell>
          <cell r="C133">
            <v>0.86599999999999999</v>
          </cell>
          <cell r="D133">
            <v>0.80400000000000005</v>
          </cell>
          <cell r="E133">
            <v>0.8859999999999999</v>
          </cell>
        </row>
        <row r="134">
          <cell r="B134">
            <v>3.4000000000000002E-2</v>
          </cell>
          <cell r="C134">
            <v>0.8640000000000001</v>
          </cell>
          <cell r="D134">
            <v>0.8</v>
          </cell>
          <cell r="E134">
            <v>0.88500000000000001</v>
          </cell>
        </row>
        <row r="135">
          <cell r="B135">
            <v>3.9333333333333331E-2</v>
          </cell>
          <cell r="C135">
            <v>0.85299999999999998</v>
          </cell>
          <cell r="D135">
            <v>0.78299999999999992</v>
          </cell>
          <cell r="E135">
            <v>0.877</v>
          </cell>
        </row>
        <row r="136">
          <cell r="B136">
            <v>0.04</v>
          </cell>
          <cell r="C136">
            <v>0.85099999999999998</v>
          </cell>
          <cell r="D136">
            <v>0.77900000000000003</v>
          </cell>
          <cell r="E136">
            <v>0.875</v>
          </cell>
        </row>
        <row r="137">
          <cell r="B137">
            <v>4.4999999999999998E-2</v>
          </cell>
          <cell r="C137">
            <v>0.84099999999999997</v>
          </cell>
          <cell r="D137">
            <v>0.7609999999999999</v>
          </cell>
          <cell r="E137">
            <v>0.86799999999999999</v>
          </cell>
        </row>
        <row r="138">
          <cell r="B138">
            <v>4.7799999999999995E-2</v>
          </cell>
          <cell r="C138">
            <v>0.83984000000000003</v>
          </cell>
          <cell r="D138">
            <v>0.75907999999999987</v>
          </cell>
          <cell r="E138">
            <v>0.86712</v>
          </cell>
        </row>
        <row r="139">
          <cell r="B139">
            <v>5.0599999999999999E-2</v>
          </cell>
          <cell r="C139">
            <v>0.83635999999999999</v>
          </cell>
          <cell r="D139">
            <v>0.75331999999999988</v>
          </cell>
          <cell r="E139">
            <v>0.86448000000000003</v>
          </cell>
        </row>
        <row r="140">
          <cell r="B140">
            <v>5.3399999999999996E-2</v>
          </cell>
          <cell r="C140">
            <v>0.83055999999999996</v>
          </cell>
          <cell r="D140">
            <v>0.74371999999999994</v>
          </cell>
          <cell r="E140">
            <v>0.86007999999999996</v>
          </cell>
        </row>
        <row r="141">
          <cell r="B141">
            <v>5.62E-2</v>
          </cell>
          <cell r="C141">
            <v>0.82244000000000006</v>
          </cell>
          <cell r="D141">
            <v>0.73027999999999993</v>
          </cell>
          <cell r="E141">
            <v>0.8539199999999999</v>
          </cell>
        </row>
        <row r="142">
          <cell r="B142">
            <v>5.8999999999999997E-2</v>
          </cell>
          <cell r="C142">
            <v>0.81200000000000006</v>
          </cell>
          <cell r="D142">
            <v>0.71299999999999997</v>
          </cell>
          <cell r="E142">
            <v>0.84599999999999997</v>
          </cell>
        </row>
        <row r="143">
          <cell r="B143">
            <v>6.0999999999999999E-2</v>
          </cell>
          <cell r="C143">
            <v>0.80799999999999994</v>
          </cell>
          <cell r="D143">
            <v>0.70599999999999996</v>
          </cell>
          <cell r="E143">
            <v>0.84299999999999997</v>
          </cell>
        </row>
        <row r="144">
          <cell r="B144">
            <v>6.2E-2</v>
          </cell>
          <cell r="C144">
            <v>0.80599999999999994</v>
          </cell>
          <cell r="D144">
            <v>0.70299999999999996</v>
          </cell>
          <cell r="E144">
            <v>0.84200000000000008</v>
          </cell>
        </row>
        <row r="145">
          <cell r="B145">
            <v>6.3E-2</v>
          </cell>
          <cell r="C145">
            <v>0.80400000000000005</v>
          </cell>
          <cell r="D145">
            <v>0.69900000000000007</v>
          </cell>
          <cell r="E145">
            <v>0.84</v>
          </cell>
        </row>
        <row r="146">
          <cell r="B146">
            <v>6.6000000000000003E-2</v>
          </cell>
          <cell r="C146">
            <v>0.79799999999999993</v>
          </cell>
          <cell r="D146">
            <v>0.69</v>
          </cell>
          <cell r="E146">
            <v>0.83599999999999997</v>
          </cell>
        </row>
        <row r="147">
          <cell r="B147">
            <v>6.9000000000000006E-2</v>
          </cell>
          <cell r="C147">
            <v>0.79200000000000004</v>
          </cell>
          <cell r="D147">
            <v>0.68</v>
          </cell>
          <cell r="E147">
            <v>0.83200000000000007</v>
          </cell>
        </row>
        <row r="148">
          <cell r="B148">
            <v>7.1999999999999995E-2</v>
          </cell>
          <cell r="C148">
            <v>0.78599999999999992</v>
          </cell>
          <cell r="D148">
            <v>0.67</v>
          </cell>
          <cell r="E148">
            <v>0.82700000000000007</v>
          </cell>
        </row>
        <row r="149">
          <cell r="B149">
            <v>7.5999999999999998E-2</v>
          </cell>
          <cell r="C149">
            <v>0.77800000000000002</v>
          </cell>
          <cell r="D149">
            <v>0.65700000000000003</v>
          </cell>
          <cell r="E149">
            <v>0.82200000000000006</v>
          </cell>
        </row>
        <row r="150">
          <cell r="B150">
            <v>0.08</v>
          </cell>
          <cell r="C150">
            <v>0.77</v>
          </cell>
          <cell r="D150">
            <v>0.64500000000000002</v>
          </cell>
          <cell r="E150">
            <v>0.81599999999999995</v>
          </cell>
        </row>
        <row r="151">
          <cell r="B151">
            <v>8.5000000000000006E-2</v>
          </cell>
          <cell r="C151">
            <v>0.7609999999999999</v>
          </cell>
          <cell r="D151">
            <v>0.63</v>
          </cell>
          <cell r="E151">
            <v>0.80900000000000005</v>
          </cell>
        </row>
        <row r="152">
          <cell r="B152">
            <v>8.7999999999999995E-2</v>
          </cell>
          <cell r="C152">
            <v>0.755</v>
          </cell>
          <cell r="D152">
            <v>0.621</v>
          </cell>
          <cell r="E152">
            <v>0.80500000000000005</v>
          </cell>
        </row>
        <row r="153">
          <cell r="B153">
            <v>9.4E-2</v>
          </cell>
          <cell r="C153">
            <v>0.74400000000000011</v>
          </cell>
          <cell r="D153">
            <v>0.60299999999999998</v>
          </cell>
          <cell r="E153">
            <v>0.79700000000000015</v>
          </cell>
        </row>
        <row r="154">
          <cell r="B154">
            <v>9.8000000000000004E-2</v>
          </cell>
          <cell r="C154">
            <v>0.73950000000000005</v>
          </cell>
          <cell r="D154">
            <v>0.59599999999999997</v>
          </cell>
          <cell r="E154">
            <v>0.79400000000000004</v>
          </cell>
        </row>
        <row r="155">
          <cell r="B155">
            <v>9.9000000000000005E-2</v>
          </cell>
          <cell r="C155">
            <v>0.73499999999999999</v>
          </cell>
          <cell r="D155">
            <v>0.58899999999999997</v>
          </cell>
          <cell r="E155">
            <v>0.79100000000000004</v>
          </cell>
        </row>
        <row r="156">
          <cell r="B156">
            <v>0.10299999999999999</v>
          </cell>
          <cell r="C156">
            <v>0.72799999999999998</v>
          </cell>
          <cell r="D156">
            <v>0.57700000000000007</v>
          </cell>
          <cell r="E156">
            <v>0.78599999999999992</v>
          </cell>
        </row>
        <row r="157">
          <cell r="B157">
            <v>0.10725</v>
          </cell>
          <cell r="C157">
            <v>0.72618749999999999</v>
          </cell>
          <cell r="D157">
            <v>0.57418750000000007</v>
          </cell>
          <cell r="E157">
            <v>0.78474999999999995</v>
          </cell>
        </row>
        <row r="162">
          <cell r="D162">
            <v>0.51700000000000002</v>
          </cell>
          <cell r="E162">
            <v>0.75900000000000001</v>
          </cell>
        </row>
        <row r="163">
          <cell r="D163">
            <v>0.505</v>
          </cell>
          <cell r="E163">
            <v>0.753</v>
          </cell>
        </row>
        <row r="164">
          <cell r="D164">
            <v>0.50166666666666671</v>
          </cell>
          <cell r="E164">
            <v>0.75144444444444447</v>
          </cell>
        </row>
        <row r="165">
          <cell r="D165">
            <v>0.49166666666666664</v>
          </cell>
          <cell r="E165">
            <v>0.74677777777777776</v>
          </cell>
        </row>
        <row r="166">
          <cell r="D166">
            <v>0.47499999999999998</v>
          </cell>
          <cell r="E166">
            <v>0.7390000000000001</v>
          </cell>
        </row>
        <row r="167">
          <cell r="B167">
            <v>0.14899999999999999</v>
          </cell>
          <cell r="C167">
            <v>0.65300000000000002</v>
          </cell>
          <cell r="D167">
            <v>0.46299999999999997</v>
          </cell>
          <cell r="E167">
            <v>0.7340000000000001</v>
          </cell>
        </row>
        <row r="168">
          <cell r="B168">
            <v>0.153</v>
          </cell>
          <cell r="C168">
            <v>0.64800000000000002</v>
          </cell>
          <cell r="D168">
            <v>0.45500000000000002</v>
          </cell>
          <cell r="E168">
            <v>0.73</v>
          </cell>
        </row>
        <row r="169">
          <cell r="B169">
            <v>0.16200000000000001</v>
          </cell>
          <cell r="C169">
            <v>0.63400000000000001</v>
          </cell>
          <cell r="D169">
            <v>0.436</v>
          </cell>
          <cell r="E169">
            <v>0.72099999999999997</v>
          </cell>
        </row>
        <row r="170">
          <cell r="B170">
            <v>0.17100000000000001</v>
          </cell>
          <cell r="C170">
            <v>0.622</v>
          </cell>
          <cell r="D170">
            <v>0.41700000000000004</v>
          </cell>
          <cell r="E170">
            <v>0.71299999999999997</v>
          </cell>
        </row>
        <row r="171">
          <cell r="B171">
            <v>0.17550000000000002</v>
          </cell>
          <cell r="C171">
            <v>0.62043749999999998</v>
          </cell>
          <cell r="D171">
            <v>0.41487500000000005</v>
          </cell>
          <cell r="E171">
            <v>0.71199999999999997</v>
          </cell>
        </row>
        <row r="172">
          <cell r="B172">
            <v>0.18</v>
          </cell>
          <cell r="C172">
            <v>0.61575000000000002</v>
          </cell>
          <cell r="D172">
            <v>0.40850000000000003</v>
          </cell>
          <cell r="E172">
            <v>0.70899999999999996</v>
          </cell>
        </row>
        <row r="173">
          <cell r="B173">
            <v>0.1845</v>
          </cell>
          <cell r="C173">
            <v>0.60793750000000002</v>
          </cell>
          <cell r="D173">
            <v>0.39787499999999998</v>
          </cell>
          <cell r="E173">
            <v>0.70399999999999996</v>
          </cell>
        </row>
        <row r="174">
          <cell r="B174">
            <v>0.189</v>
          </cell>
          <cell r="C174">
            <v>0.59699999999999998</v>
          </cell>
          <cell r="D174">
            <v>0.3829999999999999</v>
          </cell>
          <cell r="E174">
            <v>0.69700000000000006</v>
          </cell>
        </row>
        <row r="175">
          <cell r="B175">
            <v>0.19503703703703704</v>
          </cell>
          <cell r="C175">
            <v>0.59619753086419747</v>
          </cell>
          <cell r="D175">
            <v>0.38193827160493815</v>
          </cell>
          <cell r="E175">
            <v>0.69648148148148159</v>
          </cell>
        </row>
        <row r="176">
          <cell r="B176">
            <v>0.20107407407407407</v>
          </cell>
          <cell r="C176">
            <v>0.59379012345679005</v>
          </cell>
          <cell r="D176">
            <v>0.37875308641975297</v>
          </cell>
          <cell r="E176">
            <v>0.69492592592592595</v>
          </cell>
        </row>
        <row r="177">
          <cell r="B177">
            <v>0.20711111111111111</v>
          </cell>
          <cell r="C177">
            <v>0.58977777777777773</v>
          </cell>
          <cell r="D177">
            <v>0.37344444444444436</v>
          </cell>
          <cell r="E177">
            <v>0.69233333333333336</v>
          </cell>
        </row>
        <row r="178">
          <cell r="B178">
            <v>0.21314814814814814</v>
          </cell>
          <cell r="C178">
            <v>0.58416049382716051</v>
          </cell>
          <cell r="D178">
            <v>0.36601234567901225</v>
          </cell>
          <cell r="E178">
            <v>0.68870370370370382</v>
          </cell>
        </row>
        <row r="179">
          <cell r="B179">
            <v>0.21918518518518518</v>
          </cell>
          <cell r="C179">
            <v>0.57693827160493827</v>
          </cell>
          <cell r="D179">
            <v>0.35645679012345671</v>
          </cell>
          <cell r="E179">
            <v>0.68403703703703711</v>
          </cell>
        </row>
        <row r="180">
          <cell r="B180">
            <v>0.22522222222222221</v>
          </cell>
          <cell r="C180">
            <v>0.56811111111111112</v>
          </cell>
          <cell r="D180">
            <v>0.34477777777777774</v>
          </cell>
          <cell r="E180">
            <v>0.67833333333333334</v>
          </cell>
        </row>
        <row r="181">
          <cell r="B181">
            <v>0.23125925925925925</v>
          </cell>
          <cell r="C181">
            <v>0.55767901234567896</v>
          </cell>
          <cell r="D181">
            <v>0.33097530864197522</v>
          </cell>
          <cell r="E181">
            <v>0.67159259259259263</v>
          </cell>
        </row>
        <row r="182">
          <cell r="B182">
            <v>0.23729629629629628</v>
          </cell>
          <cell r="C182">
            <v>0.545641975308642</v>
          </cell>
          <cell r="D182">
            <v>0.31504938271604932</v>
          </cell>
          <cell r="E182">
            <v>0.66381481481481486</v>
          </cell>
        </row>
        <row r="183">
          <cell r="B183">
            <v>0.24333333333333332</v>
          </cell>
          <cell r="C183">
            <v>0.53200000000000003</v>
          </cell>
          <cell r="D183">
            <v>0.29699999999999999</v>
          </cell>
          <cell r="E183">
            <v>0.65500000000000003</v>
          </cell>
        </row>
        <row r="184">
          <cell r="B184">
            <v>0.24955555555555556</v>
          </cell>
          <cell r="C184">
            <v>0.52977777777777779</v>
          </cell>
          <cell r="D184">
            <v>0.2941111111111111</v>
          </cell>
          <cell r="E184">
            <v>0.65355555555555556</v>
          </cell>
        </row>
        <row r="185">
          <cell r="B185">
            <v>0.25577777777777777</v>
          </cell>
          <cell r="C185">
            <v>0.52311111111111119</v>
          </cell>
          <cell r="D185">
            <v>0.28544444444444445</v>
          </cell>
          <cell r="E185">
            <v>0.64922222222222226</v>
          </cell>
        </row>
        <row r="186">
          <cell r="B186">
            <v>0.26200000000000001</v>
          </cell>
          <cell r="C186">
            <v>0.51200000000000001</v>
          </cell>
          <cell r="D186">
            <v>0.27100000000000002</v>
          </cell>
          <cell r="E186">
            <v>0.64200000000000002</v>
          </cell>
        </row>
        <row r="187">
          <cell r="B187">
            <v>0.27066666666666667</v>
          </cell>
          <cell r="C187">
            <v>0.50911111111111107</v>
          </cell>
          <cell r="D187">
            <v>0.26755555555555555</v>
          </cell>
          <cell r="E187">
            <v>0.64022222222222225</v>
          </cell>
        </row>
        <row r="188">
          <cell r="B188">
            <v>0.27933333333333332</v>
          </cell>
          <cell r="C188">
            <v>0.50044444444444447</v>
          </cell>
          <cell r="D188">
            <v>0.25722222222222224</v>
          </cell>
          <cell r="E188">
            <v>0.63488888888888884</v>
          </cell>
        </row>
        <row r="189">
          <cell r="B189">
            <v>0.28799999999999998</v>
          </cell>
          <cell r="C189">
            <v>0.48599999999999999</v>
          </cell>
          <cell r="D189">
            <v>0.24</v>
          </cell>
          <cell r="E189">
            <v>0.626</v>
          </cell>
        </row>
        <row r="190">
          <cell r="B190">
            <v>0.29799999999999999</v>
          </cell>
          <cell r="C190">
            <v>0.47600000000000003</v>
          </cell>
          <cell r="D190">
            <v>0.22899999999999998</v>
          </cell>
          <cell r="E190">
            <v>0.62</v>
          </cell>
        </row>
        <row r="191">
          <cell r="B191">
            <v>0.307</v>
          </cell>
          <cell r="C191">
            <v>0.46799999999999997</v>
          </cell>
          <cell r="D191">
            <v>0.22</v>
          </cell>
          <cell r="E191">
            <v>0.61499999999999999</v>
          </cell>
        </row>
        <row r="192">
          <cell r="B192">
            <v>0.32500000000000001</v>
          </cell>
          <cell r="C192">
            <v>0.45100000000000001</v>
          </cell>
          <cell r="D192">
            <v>0.20199999999999999</v>
          </cell>
          <cell r="E192">
            <v>0.60499999999999998</v>
          </cell>
        </row>
        <row r="193">
          <cell r="B193">
            <v>0.34100000000000003</v>
          </cell>
          <cell r="C193">
            <v>0.43799999999999994</v>
          </cell>
          <cell r="D193">
            <v>0.188</v>
          </cell>
          <cell r="E193">
            <v>0.59699999999999998</v>
          </cell>
        </row>
        <row r="194">
          <cell r="B194">
            <v>0.36499999999999999</v>
          </cell>
          <cell r="C194">
            <v>0.41799999999999993</v>
          </cell>
          <cell r="D194">
            <v>0.16800000000000001</v>
          </cell>
          <cell r="E194">
            <v>0.58499999999999996</v>
          </cell>
        </row>
        <row r="195">
          <cell r="B195">
            <v>0.39100000000000001</v>
          </cell>
          <cell r="C195">
            <v>0.40749999999999997</v>
          </cell>
          <cell r="D195">
            <v>0.1575</v>
          </cell>
          <cell r="E195">
            <v>0.57899999999999996</v>
          </cell>
        </row>
        <row r="205">
          <cell r="B205">
            <v>0.54586666666666672</v>
          </cell>
          <cell r="C205">
            <v>0.31312000000000001</v>
          </cell>
          <cell r="D205">
            <v>8.0680000000000002E-2</v>
          </cell>
          <cell r="E205">
            <v>0.52632000000000001</v>
          </cell>
        </row>
        <row r="206">
          <cell r="B206">
            <v>0.56279999999999997</v>
          </cell>
          <cell r="C206">
            <v>0.30452000000000001</v>
          </cell>
          <cell r="D206">
            <v>7.5280000000000014E-2</v>
          </cell>
          <cell r="E206">
            <v>0.52171999999999996</v>
          </cell>
        </row>
        <row r="207">
          <cell r="B207">
            <v>0.57973333333333332</v>
          </cell>
          <cell r="C207">
            <v>0.29247999999999996</v>
          </cell>
          <cell r="D207">
            <v>6.7720000000000002E-2</v>
          </cell>
          <cell r="E207">
            <v>0.51527999999999996</v>
          </cell>
        </row>
        <row r="208">
          <cell r="B208">
            <v>0.59666666666666668</v>
          </cell>
          <cell r="C208">
            <v>0.27699999999999997</v>
          </cell>
          <cell r="D208">
            <v>5.8000000000000003E-2</v>
          </cell>
          <cell r="E208">
            <v>0.5069999999999999</v>
          </cell>
        </row>
        <row r="209">
          <cell r="B209">
            <v>0.62378787878787878</v>
          </cell>
          <cell r="C209">
            <v>0.27612396694214875</v>
          </cell>
          <cell r="D209">
            <v>5.7644628099173555E-2</v>
          </cell>
          <cell r="E209">
            <v>0.50654545454545441</v>
          </cell>
        </row>
        <row r="210">
          <cell r="B210">
            <v>0.65090909090909088</v>
          </cell>
          <cell r="C210">
            <v>0.27349586776859502</v>
          </cell>
          <cell r="D210">
            <v>5.6578512396694217E-2</v>
          </cell>
          <cell r="E210">
            <v>0.50518181818181807</v>
          </cell>
        </row>
        <row r="211">
          <cell r="B211">
            <v>0.67803030303030298</v>
          </cell>
          <cell r="C211">
            <v>0.2691157024793388</v>
          </cell>
          <cell r="D211">
            <v>5.4801652892561989E-2</v>
          </cell>
          <cell r="E211">
            <v>0.50290909090909086</v>
          </cell>
        </row>
        <row r="212">
          <cell r="B212">
            <v>0.7051515151515152</v>
          </cell>
          <cell r="C212">
            <v>0.26298347107438014</v>
          </cell>
          <cell r="D212">
            <v>5.2314049586776858E-2</v>
          </cell>
          <cell r="E212">
            <v>0.49972727272727263</v>
          </cell>
        </row>
        <row r="213">
          <cell r="B213">
            <v>0.7322727272727273</v>
          </cell>
          <cell r="C213">
            <v>0.25509917355371897</v>
          </cell>
          <cell r="D213">
            <v>4.9115702479338844E-2</v>
          </cell>
          <cell r="E213">
            <v>0.49563636363636354</v>
          </cell>
        </row>
        <row r="214">
          <cell r="B214">
            <v>0.7593939393939394</v>
          </cell>
          <cell r="C214">
            <v>0.24546280991735536</v>
          </cell>
          <cell r="D214">
            <v>4.520661157024794E-2</v>
          </cell>
          <cell r="E214">
            <v>0.49063636363636354</v>
          </cell>
        </row>
        <row r="215">
          <cell r="B215">
            <v>0.7865151515151515</v>
          </cell>
          <cell r="C215">
            <v>0.23407438016528925</v>
          </cell>
          <cell r="D215">
            <v>4.0586776859504139E-2</v>
          </cell>
          <cell r="E215">
            <v>0.48472727272727267</v>
          </cell>
        </row>
        <row r="216">
          <cell r="B216">
            <v>0.81363636363636371</v>
          </cell>
          <cell r="C216">
            <v>0.22093388429752064</v>
          </cell>
          <cell r="D216">
            <v>3.5256198347107429E-2</v>
          </cell>
          <cell r="E216">
            <v>0.47790909090909084</v>
          </cell>
        </row>
        <row r="217">
          <cell r="B217">
            <v>0.84075757575757581</v>
          </cell>
          <cell r="C217">
            <v>0.20604132231404959</v>
          </cell>
          <cell r="D217">
            <v>2.9214876033057849E-2</v>
          </cell>
          <cell r="E217">
            <v>0.47018181818181815</v>
          </cell>
        </row>
        <row r="218">
          <cell r="B218">
            <v>0.86787878787878792</v>
          </cell>
          <cell r="C218">
            <v>0.18939669421487604</v>
          </cell>
          <cell r="D218">
            <v>2.2462809917355372E-2</v>
          </cell>
          <cell r="E218">
            <v>0.46154545454545454</v>
          </cell>
        </row>
        <row r="219">
          <cell r="B219">
            <v>0.89500000000000002</v>
          </cell>
          <cell r="C219">
            <v>0.17100000000000001</v>
          </cell>
          <cell r="D219">
            <v>1.4999999999999999E-2</v>
          </cell>
          <cell r="E219">
            <v>0.45200000000000001</v>
          </cell>
        </row>
        <row r="222">
          <cell r="B222" t="str">
            <v>Reference: Barlaz, M. B.; Chanton, J. P.; Green, R. B. (2009) Controls on Landfill Gas</v>
          </cell>
        </row>
        <row r="223">
          <cell r="B223" t="str">
            <v>Collection Efficiency: Instantaneous and Lifetime Performance. Journal of the Air and Waste</v>
          </cell>
        </row>
        <row r="224">
          <cell r="B224" t="str">
            <v>Management Board, forthcoming.</v>
          </cell>
        </row>
        <row r="226">
          <cell r="B226" t="str">
            <v>Polynomial Equations</v>
          </cell>
          <cell r="C226">
            <v>1</v>
          </cell>
          <cell r="E226" t="str">
            <v xml:space="preserve">y = -0.000x2 - 0.001x + 0.897 </v>
          </cell>
        </row>
        <row r="227">
          <cell r="C227">
            <v>2</v>
          </cell>
          <cell r="E227" t="str">
            <v xml:space="preserve">y = -9E-05x2 - 0.009x + 0.901 </v>
          </cell>
        </row>
        <row r="228">
          <cell r="C228">
            <v>3</v>
          </cell>
          <cell r="E228" t="str">
            <v xml:space="preserve">y = -7E-05x2 - 0.002x + 0.920 </v>
          </cell>
        </row>
        <row r="229">
          <cell r="B229" t="str">
            <v xml:space="preserve">Assumption: </v>
          </cell>
        </row>
        <row r="230">
          <cell r="B230" t="str">
            <v>Red cells assume a linear interpolation between the adjacent decay rates.</v>
          </cell>
        </row>
        <row r="231">
          <cell r="B231" t="str">
            <v>Interpolated cells have been added to ensure that there is no more than a 2% difference between adjacent colleciton efficiencies.</v>
          </cell>
        </row>
        <row r="237">
          <cell r="H237">
            <v>8</v>
          </cell>
          <cell r="I237">
            <v>9</v>
          </cell>
          <cell r="J237">
            <v>10</v>
          </cell>
          <cell r="K237">
            <v>11</v>
          </cell>
          <cell r="L237">
            <v>12</v>
          </cell>
          <cell r="M237">
            <v>13</v>
          </cell>
          <cell r="N237">
            <v>14</v>
          </cell>
          <cell r="O237">
            <v>15</v>
          </cell>
          <cell r="P237">
            <v>16</v>
          </cell>
          <cell r="Q237">
            <v>17</v>
          </cell>
          <cell r="R237">
            <v>18</v>
          </cell>
        </row>
        <row r="239">
          <cell r="I239" t="str">
            <v>k =0.04</v>
          </cell>
          <cell r="P239" t="str">
            <v>k =0.06</v>
          </cell>
        </row>
        <row r="240">
          <cell r="I240" t="str">
            <v>Best Case</v>
          </cell>
          <cell r="P240" t="str">
            <v>Best Case</v>
          </cell>
        </row>
        <row r="241">
          <cell r="I241" t="str">
            <v>Material</v>
          </cell>
          <cell r="J241" t="str">
            <v>Methane Flared (m3/yr)</v>
          </cell>
          <cell r="K241" t="str">
            <v>Methane to Beneficial Use (m3/yr)</v>
          </cell>
          <cell r="L241" t="str">
            <v>Methane Treated (m3/yr)</v>
          </cell>
          <cell r="M241" t="str">
            <v>Methane Oxidized (m3/yr)</v>
          </cell>
          <cell r="N241" t="str">
            <v>Methane Emitted</v>
          </cell>
          <cell r="P241" t="str">
            <v>Material</v>
          </cell>
          <cell r="Q241" t="str">
            <v>Methane Flared (m3/yr)</v>
          </cell>
          <cell r="R241" t="str">
            <v>Methane to Beneficial Use (m3/yr)</v>
          </cell>
        </row>
        <row r="242">
          <cell r="I242" t="str">
            <v>Branches</v>
          </cell>
          <cell r="J242">
            <v>3.2180365719826103</v>
          </cell>
          <cell r="K242">
            <v>53.783468645760479</v>
          </cell>
          <cell r="L242">
            <v>57.001505217743123</v>
          </cell>
          <cell r="M242">
            <v>13.16153830244016</v>
          </cell>
          <cell r="N242">
            <v>29.836956479818603</v>
          </cell>
          <cell r="P242" t="str">
            <v>Branches</v>
          </cell>
          <cell r="Q242">
            <v>2.6374643065871042</v>
          </cell>
          <cell r="R242">
            <v>52.950149719860384</v>
          </cell>
        </row>
        <row r="243">
          <cell r="A243" t="str">
            <v>1Grass</v>
          </cell>
          <cell r="B243" t="str">
            <v>Grass</v>
          </cell>
          <cell r="C243">
            <v>15.147135083382866</v>
          </cell>
          <cell r="D243">
            <v>51.218469148186799</v>
          </cell>
          <cell r="E243">
            <v>66.365604231569591</v>
          </cell>
          <cell r="F243">
            <v>6.8633698896827582</v>
          </cell>
          <cell r="G243">
            <v>26.771025878749377</v>
          </cell>
          <cell r="I243" t="str">
            <v>Grass</v>
          </cell>
          <cell r="J243">
            <v>11.681532214309186</v>
          </cell>
          <cell r="K243">
            <v>47.224844794128359</v>
          </cell>
          <cell r="L243">
            <v>58.906377008437495</v>
          </cell>
          <cell r="M243">
            <v>7.8812982554952047</v>
          </cell>
          <cell r="N243">
            <v>33.212324736068773</v>
          </cell>
          <cell r="P243" t="str">
            <v>Grass</v>
          </cell>
          <cell r="Q243">
            <v>8.5459065379632673</v>
          </cell>
          <cell r="R243">
            <v>45.132593418740647</v>
          </cell>
          <cell r="S243">
            <v>53.67849995670386</v>
          </cell>
        </row>
        <row r="244">
          <cell r="A244" t="str">
            <v>1Leaves</v>
          </cell>
          <cell r="B244" t="str">
            <v>Leaves</v>
          </cell>
          <cell r="C244">
            <v>12.568899638156594</v>
          </cell>
          <cell r="D244">
            <v>57.815915226631262</v>
          </cell>
          <cell r="E244">
            <v>70.384814864787757</v>
          </cell>
          <cell r="F244">
            <v>6.5327566581525094</v>
          </cell>
          <cell r="G244">
            <v>23.082428477059345</v>
          </cell>
          <cell r="I244" t="str">
            <v>Leaves</v>
          </cell>
          <cell r="J244">
            <v>10.496119110727694</v>
          </cell>
          <cell r="K244">
            <v>54.25082304410904</v>
          </cell>
          <cell r="L244">
            <v>64.746942154836688</v>
          </cell>
          <cell r="M244">
            <v>7.145431693095869</v>
          </cell>
          <cell r="N244">
            <v>28.107626152066373</v>
          </cell>
          <cell r="P244" t="str">
            <v>Leaves</v>
          </cell>
          <cell r="Q244">
            <v>8.0132754233092616</v>
          </cell>
          <cell r="R244">
            <v>52.494173648851515</v>
          </cell>
          <cell r="S244">
            <v>60.507449072160789</v>
          </cell>
        </row>
        <row r="245">
          <cell r="A245" t="str">
            <v>1Food Waste</v>
          </cell>
          <cell r="B245" t="str">
            <v>Food Waste</v>
          </cell>
          <cell r="C245">
            <v>11.640512106538978</v>
          </cell>
          <cell r="D245">
            <v>59.464760806320314</v>
          </cell>
          <cell r="E245">
            <v>71.105272912859036</v>
          </cell>
          <cell r="F245">
            <v>6.5805431425829051</v>
          </cell>
          <cell r="G245">
            <v>22.314183944559097</v>
          </cell>
          <cell r="I245" t="str">
            <v>Food Waste</v>
          </cell>
          <cell r="J245">
            <v>9.9461644937138711</v>
          </cell>
          <cell r="K245">
            <v>56.212173246287492</v>
          </cell>
          <cell r="L245">
            <v>66.158337740001059</v>
          </cell>
          <cell r="M245">
            <v>7.0119186799637978</v>
          </cell>
          <cell r="N245">
            <v>26.829743580036496</v>
          </cell>
          <cell r="P245" t="str">
            <v>Food Waste</v>
          </cell>
          <cell r="Q245">
            <v>7.6910740229555463</v>
          </cell>
          <cell r="R245">
            <v>54.617016258961527</v>
          </cell>
          <cell r="S245">
            <v>62.308090281917025</v>
          </cell>
        </row>
        <row r="246">
          <cell r="A246" t="str">
            <v>1Corrugated Containers</v>
          </cell>
          <cell r="B246" t="str">
            <v>Corrugated Containers</v>
          </cell>
          <cell r="C246">
            <v>4.5588896256249507</v>
          </cell>
          <cell r="D246">
            <v>61.340665363397207</v>
          </cell>
          <cell r="E246">
            <v>65.899554989022121</v>
          </cell>
          <cell r="F246">
            <v>10.333815798694403</v>
          </cell>
          <cell r="G246">
            <v>23.766629212283561</v>
          </cell>
          <cell r="I246" t="str">
            <v>Corrugated Containers</v>
          </cell>
          <cell r="J246">
            <v>3.6186955759781694</v>
          </cell>
          <cell r="K246">
            <v>55.772812167055172</v>
          </cell>
          <cell r="L246">
            <v>59.391507743033344</v>
          </cell>
          <cell r="M246">
            <v>12.155776057383077</v>
          </cell>
          <cell r="N246">
            <v>28.452716199584096</v>
          </cell>
          <cell r="P246" t="str">
            <v>Corrugated Containers</v>
          </cell>
          <cell r="Q246">
            <v>2.9891911107980609</v>
          </cell>
          <cell r="R246">
            <v>56.063024891988057</v>
          </cell>
          <cell r="S246">
            <v>59.052216002786075</v>
          </cell>
        </row>
        <row r="247">
          <cell r="A247" t="str">
            <v>1Magazines/Third-class Mail</v>
          </cell>
          <cell r="B247" t="str">
            <v>Magazines/Third-class Mail</v>
          </cell>
          <cell r="C247">
            <v>10.731017403138088</v>
          </cell>
          <cell r="D247">
            <v>60.779167370936214</v>
          </cell>
          <cell r="E247">
            <v>71.510184774074304</v>
          </cell>
          <cell r="F247">
            <v>6.7124084818834762</v>
          </cell>
          <cell r="G247">
            <v>21.7774067440421</v>
          </cell>
          <cell r="I247" t="str">
            <v>Magazines/Third-class Mail</v>
          </cell>
          <cell r="J247">
            <v>9.3587835405593545</v>
          </cell>
          <cell r="K247">
            <v>57.924684961271346</v>
          </cell>
          <cell r="L247">
            <v>67.283468501830583</v>
          </cell>
          <cell r="M247">
            <v>6.9481762442382839</v>
          </cell>
          <cell r="N247">
            <v>25.76835525392881</v>
          </cell>
          <cell r="P247" t="str">
            <v>Magazines/Third-class Mail</v>
          </cell>
          <cell r="Q247">
            <v>7.3237894306537363</v>
          </cell>
          <cell r="R247">
            <v>56.539256168303439</v>
          </cell>
          <cell r="S247">
            <v>63.863045598957079</v>
          </cell>
        </row>
        <row r="248">
          <cell r="A248" t="str">
            <v>1Newspaper</v>
          </cell>
          <cell r="B248" t="str">
            <v>Newspaper</v>
          </cell>
          <cell r="C248">
            <v>5.4399686494238679</v>
          </cell>
          <cell r="D248">
            <v>62.289771810138546</v>
          </cell>
          <cell r="E248">
            <v>67.729740459562379</v>
          </cell>
          <cell r="F248">
            <v>9.4632312491528197</v>
          </cell>
          <cell r="G248">
            <v>22.807028291285427</v>
          </cell>
          <cell r="I248" t="str">
            <v>Newspaper</v>
          </cell>
          <cell r="J248">
            <v>4.6744932277784637</v>
          </cell>
          <cell r="K248">
            <v>59.457075505055947</v>
          </cell>
          <cell r="L248">
            <v>64.131568732834339</v>
          </cell>
          <cell r="M248">
            <v>10.063385073145804</v>
          </cell>
          <cell r="N248">
            <v>25.805046194021596</v>
          </cell>
          <cell r="P248" t="str">
            <v>Newspaper</v>
          </cell>
          <cell r="Q248">
            <v>3.8930477164559307</v>
          </cell>
          <cell r="R248">
            <v>60.836130644588039</v>
          </cell>
          <cell r="S248">
            <v>64.729178361044006</v>
          </cell>
        </row>
        <row r="249">
          <cell r="A249" t="str">
            <v>1Office Paper</v>
          </cell>
          <cell r="B249" t="str">
            <v>Office Paper</v>
          </cell>
          <cell r="C249">
            <v>5.165979846186997</v>
          </cell>
          <cell r="D249">
            <v>62.040087666297772</v>
          </cell>
          <cell r="E249">
            <v>67.206067512484836</v>
          </cell>
          <cell r="F249">
            <v>9.7179685766552009</v>
          </cell>
          <cell r="G249">
            <v>23.07596391086004</v>
          </cell>
          <cell r="I249" t="str">
            <v>Office Paper</v>
          </cell>
          <cell r="J249">
            <v>4.3522408643825656</v>
          </cell>
          <cell r="K249">
            <v>58.54679734361946</v>
          </cell>
          <cell r="L249">
            <v>62.899038208002068</v>
          </cell>
          <cell r="M249">
            <v>10.625562554546757</v>
          </cell>
          <cell r="N249">
            <v>26.475399237450354</v>
          </cell>
          <cell r="P249" t="str">
            <v>Office Paper</v>
          </cell>
          <cell r="Q249">
            <v>3.6225666358292297</v>
          </cell>
          <cell r="R249">
            <v>59.813918919621877</v>
          </cell>
          <cell r="S249">
            <v>63.436485555451071</v>
          </cell>
        </row>
        <row r="250">
          <cell r="A250" t="str">
            <v>1Phonebooks</v>
          </cell>
          <cell r="B250" t="str">
            <v>Phonebooks</v>
          </cell>
          <cell r="C250">
            <v>5.4399686494238679</v>
          </cell>
          <cell r="D250">
            <v>62.289771810138546</v>
          </cell>
          <cell r="E250">
            <v>67.729740459562379</v>
          </cell>
          <cell r="F250">
            <v>9.4632312491528197</v>
          </cell>
          <cell r="G250">
            <v>22.807028291285427</v>
          </cell>
          <cell r="I250" t="str">
            <v>Phonebooks</v>
          </cell>
          <cell r="J250">
            <v>4.6744932277784637</v>
          </cell>
          <cell r="K250">
            <v>59.457075505055947</v>
          </cell>
          <cell r="L250">
            <v>64.131568732834339</v>
          </cell>
          <cell r="M250">
            <v>10.063385073145804</v>
          </cell>
          <cell r="N250">
            <v>25.805046194021596</v>
          </cell>
          <cell r="P250" t="str">
            <v>Phonebooks</v>
          </cell>
          <cell r="Q250">
            <v>3.8930477164559307</v>
          </cell>
          <cell r="R250">
            <v>60.836130644588039</v>
          </cell>
          <cell r="S250">
            <v>64.729178361044006</v>
          </cell>
        </row>
        <row r="251">
          <cell r="A251" t="str">
            <v>1Mixed MSW</v>
          </cell>
          <cell r="B251" t="str">
            <v>Mixed MSW</v>
          </cell>
          <cell r="C251">
            <v>5.9216711801533393</v>
          </cell>
          <cell r="D251">
            <v>62.636775340666603</v>
          </cell>
          <cell r="E251">
            <v>68.558446520820098</v>
          </cell>
          <cell r="F251">
            <v>9.0475837744378396</v>
          </cell>
          <cell r="G251">
            <v>22.393969704742648</v>
          </cell>
          <cell r="I251" t="str">
            <v>Mixed MSW</v>
          </cell>
          <cell r="J251">
            <v>5.2219815100165903</v>
          </cell>
          <cell r="K251">
            <v>60.624294032463567</v>
          </cell>
          <cell r="L251">
            <v>65.846275542480143</v>
          </cell>
          <cell r="M251">
            <v>9.2428317403849682</v>
          </cell>
          <cell r="N251">
            <v>24.910892717136889</v>
          </cell>
          <cell r="P251" t="str">
            <v>Mixed MSW</v>
          </cell>
          <cell r="Q251">
            <v>4.3402588166382738</v>
          </cell>
          <cell r="R251">
            <v>61.91245027788996</v>
          </cell>
          <cell r="S251">
            <v>66.2527090945282</v>
          </cell>
        </row>
        <row r="252">
          <cell r="A252" t="str">
            <v>1Dimensional Lumber</v>
          </cell>
          <cell r="B252" t="str">
            <v>Dimensional Lumber</v>
          </cell>
          <cell r="C252">
            <v>8.6581812336858253</v>
          </cell>
          <cell r="D252">
            <v>62.671222636384314</v>
          </cell>
          <cell r="E252">
            <v>71.329403870070237</v>
          </cell>
          <cell r="F252">
            <v>7.3551851162398627</v>
          </cell>
          <cell r="G252">
            <v>21.315411013691673</v>
          </cell>
          <cell r="I252" t="str">
            <v>Dimensional Lumber</v>
          </cell>
          <cell r="J252">
            <v>7.8268728129059095</v>
          </cell>
          <cell r="K252">
            <v>60.916054001601708</v>
          </cell>
          <cell r="L252">
            <v>68.742926814507527</v>
          </cell>
          <cell r="M252">
            <v>7.1617181212590753</v>
          </cell>
          <cell r="N252">
            <v>24.09535506423472</v>
          </cell>
          <cell r="P252" t="str">
            <v>Dimensional Lumber</v>
          </cell>
          <cell r="Q252">
            <v>6.2908377247865275</v>
          </cell>
          <cell r="R252">
            <v>60.339051172462078</v>
          </cell>
          <cell r="S252">
            <v>66.629888897248563</v>
          </cell>
        </row>
        <row r="253">
          <cell r="A253" t="str">
            <v>1Medium-density Fiberboard</v>
          </cell>
          <cell r="B253" t="str">
            <v>Medium-density Fiberboard</v>
          </cell>
          <cell r="C253">
            <v>7.5650236610122708</v>
          </cell>
          <cell r="D253">
            <v>63.025742627802913</v>
          </cell>
          <cell r="E253">
            <v>70.590766288815203</v>
          </cell>
          <cell r="F253">
            <v>7.9054700598232301</v>
          </cell>
          <cell r="G253">
            <v>21.503763651363073</v>
          </cell>
          <cell r="I253" t="str">
            <v>Medium-density Fiberboard</v>
          </cell>
          <cell r="J253">
            <v>6.882876408726843</v>
          </cell>
          <cell r="K253">
            <v>61.687470398244727</v>
          </cell>
          <cell r="L253">
            <v>68.570346806971529</v>
          </cell>
          <cell r="M253">
            <v>7.6195565491086068</v>
          </cell>
          <cell r="N253">
            <v>23.810096643919003</v>
          </cell>
          <cell r="P253" t="str">
            <v>Medium-density Fiberboard</v>
          </cell>
          <cell r="Q253">
            <v>5.6128293349773735</v>
          </cell>
          <cell r="R253">
            <v>61.805052048236888</v>
          </cell>
          <cell r="S253">
            <v>67.417881383214322</v>
          </cell>
        </row>
        <row r="254">
          <cell r="A254" t="str">
            <v>1Wood Flooring</v>
          </cell>
          <cell r="B254" t="str">
            <v>Wood Flooring</v>
          </cell>
          <cell r="C254">
            <v>5.4188390788562169</v>
          </cell>
          <cell r="D254">
            <v>62.271902471626852</v>
          </cell>
          <cell r="E254">
            <v>67.690741550482997</v>
          </cell>
          <cell r="F254">
            <v>9.4823900313953082</v>
          </cell>
          <cell r="G254">
            <v>22.826868418121922</v>
          </cell>
          <cell r="I254" t="str">
            <v>Wood Flooring</v>
          </cell>
          <cell r="J254">
            <v>4.6498994781918785</v>
          </cell>
          <cell r="K254">
            <v>59.393682726426647</v>
          </cell>
          <cell r="L254">
            <v>64.043582204618559</v>
          </cell>
          <cell r="M254">
            <v>10.104128121340665</v>
          </cell>
          <cell r="N254">
            <v>25.85228967404214</v>
          </cell>
          <cell r="P254" t="str">
            <v>Wood Flooring</v>
          </cell>
          <cell r="Q254">
            <v>3.8725937845037994</v>
          </cell>
          <cell r="R254">
            <v>60.769305629724677</v>
          </cell>
          <cell r="S254">
            <v>64.641899414228604</v>
          </cell>
        </row>
        <row r="256">
          <cell r="A256">
            <v>2</v>
          </cell>
          <cell r="B256" t="str">
            <v>Typical</v>
          </cell>
          <cell r="I256" t="str">
            <v>Typical</v>
          </cell>
          <cell r="P256" t="str">
            <v>Typical</v>
          </cell>
        </row>
        <row r="257">
          <cell r="B257" t="str">
            <v>Material</v>
          </cell>
          <cell r="C257" t="str">
            <v>Methane Flared (m3/yr)</v>
          </cell>
          <cell r="D257" t="str">
            <v>Methane to Beneficial Use (m3/yr)</v>
          </cell>
          <cell r="E257" t="str">
            <v>Methane Treated (m3/yr)</v>
          </cell>
          <cell r="F257" t="str">
            <v>Methane Oxidized (m3/yr)</v>
          </cell>
          <cell r="G257" t="str">
            <v>Methane Emitted</v>
          </cell>
          <cell r="I257" t="str">
            <v>Material</v>
          </cell>
          <cell r="J257" t="str">
            <v>Methane Flared (m3/yr)</v>
          </cell>
          <cell r="K257" t="str">
            <v>Methane to Beneficial Use (m3/yr)</v>
          </cell>
          <cell r="L257" t="str">
            <v>Methane Treated (m3/yr)</v>
          </cell>
          <cell r="M257" t="str">
            <v>Methane Oxidized (m3/yr)</v>
          </cell>
          <cell r="N257" t="str">
            <v>Methane Emitted</v>
          </cell>
          <cell r="P257" t="str">
            <v>Material</v>
          </cell>
          <cell r="Q257" t="str">
            <v>Methane Flared (m3/yr)</v>
          </cell>
          <cell r="R257" t="str">
            <v>Methane to Beneficial Use (m3/yr)</v>
          </cell>
          <cell r="S257" t="str">
            <v>Methane Treated (m3/yr)</v>
          </cell>
        </row>
        <row r="258">
          <cell r="A258" t="str">
            <v>2Branches</v>
          </cell>
          <cell r="B258" t="str">
            <v>Branches</v>
          </cell>
          <cell r="C258">
            <v>4.1273274152143395</v>
          </cell>
          <cell r="D258">
            <v>61.08337275537167</v>
          </cell>
          <cell r="E258">
            <v>65.210700170585909</v>
          </cell>
          <cell r="F258">
            <v>10.543156411040405</v>
          </cell>
          <cell r="G258">
            <v>24.246143418374629</v>
          </cell>
          <cell r="I258" t="str">
            <v>Branches</v>
          </cell>
          <cell r="J258">
            <v>3.408138951374446</v>
          </cell>
          <cell r="K258">
            <v>53.474423961502829</v>
          </cell>
          <cell r="L258">
            <v>56.882562912877198</v>
          </cell>
          <cell r="M258">
            <v>13.035462104661713</v>
          </cell>
          <cell r="N258">
            <v>30.081974982462846</v>
          </cell>
          <cell r="P258" t="str">
            <v>Branches</v>
          </cell>
          <cell r="Q258">
            <v>2.7008275429997006</v>
          </cell>
          <cell r="R258">
            <v>51.498460827068456</v>
          </cell>
          <cell r="S258">
            <v>54.199288370068224</v>
          </cell>
        </row>
        <row r="259">
          <cell r="A259" t="str">
            <v>2Grass</v>
          </cell>
          <cell r="B259" t="str">
            <v>Grass</v>
          </cell>
          <cell r="C259">
            <v>14.071137374474993</v>
          </cell>
          <cell r="D259">
            <v>48.51141709823785</v>
          </cell>
          <cell r="E259">
            <v>62.582554472712829</v>
          </cell>
          <cell r="F259">
            <v>7.4013393084379526</v>
          </cell>
          <cell r="G259">
            <v>30.016106218851078</v>
          </cell>
          <cell r="I259" t="str">
            <v>Grass</v>
          </cell>
          <cell r="J259">
            <v>10.664164618975565</v>
          </cell>
          <cell r="K259">
            <v>42.553358233373444</v>
          </cell>
          <cell r="L259">
            <v>53.217522852348999</v>
          </cell>
          <cell r="M259">
            <v>8.646134641664398</v>
          </cell>
          <cell r="N259">
            <v>38.136342505988175</v>
          </cell>
          <cell r="P259" t="str">
            <v>Grass</v>
          </cell>
          <cell r="Q259">
            <v>8.1168890486177698</v>
          </cell>
          <cell r="R259">
            <v>39.19023275719988</v>
          </cell>
          <cell r="S259">
            <v>47.307121805817651</v>
          </cell>
        </row>
        <row r="260">
          <cell r="A260" t="str">
            <v>2Leaves</v>
          </cell>
          <cell r="B260" t="str">
            <v>Leaves</v>
          </cell>
          <cell r="C260">
            <v>11.939642872284416</v>
          </cell>
          <cell r="D260">
            <v>56.030718692389556</v>
          </cell>
          <cell r="E260">
            <v>67.970361564673951</v>
          </cell>
          <cell r="F260">
            <v>6.871195844828633</v>
          </cell>
          <cell r="G260">
            <v>25.158442590497078</v>
          </cell>
          <cell r="I260" t="str">
            <v>Leaves</v>
          </cell>
          <cell r="J260">
            <v>9.9854381490773712</v>
          </cell>
          <cell r="K260">
            <v>50.568423647963634</v>
          </cell>
          <cell r="L260">
            <v>60.553861797040994</v>
          </cell>
          <cell r="M260">
            <v>7.7225229711228085</v>
          </cell>
          <cell r="N260">
            <v>31.723615231835172</v>
          </cell>
          <cell r="P260" t="str">
            <v>Leaves</v>
          </cell>
          <cell r="Q260">
            <v>7.9034918714073212</v>
          </cell>
          <cell r="R260">
            <v>47.333282228169118</v>
          </cell>
          <cell r="S260">
            <v>55.236774099576515</v>
          </cell>
        </row>
        <row r="261">
          <cell r="A261" t="str">
            <v>2Food Waste</v>
          </cell>
          <cell r="B261" t="str">
            <v>Food Waste</v>
          </cell>
          <cell r="C261">
            <v>11.113003624892063</v>
          </cell>
          <cell r="D261">
            <v>57.93445130260524</v>
          </cell>
          <cell r="E261">
            <v>69.047454927497327</v>
          </cell>
          <cell r="F261">
            <v>6.862399764011978</v>
          </cell>
          <cell r="G261">
            <v>24.090145308491987</v>
          </cell>
          <cell r="I261" t="str">
            <v>Food Waste</v>
          </cell>
          <cell r="J261">
            <v>9.5771815707627628</v>
          </cell>
          <cell r="K261">
            <v>52.877668866704177</v>
          </cell>
          <cell r="L261">
            <v>62.454850437466881</v>
          </cell>
          <cell r="M261">
            <v>7.5148054793584578</v>
          </cell>
          <cell r="N261">
            <v>30.030344083176107</v>
          </cell>
          <cell r="P261" t="str">
            <v>Food Waste</v>
          </cell>
          <cell r="Q261">
            <v>7.6742014592410879</v>
          </cell>
          <cell r="R261">
            <v>49.804740151117876</v>
          </cell>
          <cell r="S261">
            <v>57.478941610359016</v>
          </cell>
        </row>
        <row r="262">
          <cell r="A262" t="str">
            <v>2Corrugated Containers</v>
          </cell>
          <cell r="B262" t="str">
            <v>Corrugated Containers</v>
          </cell>
          <cell r="C262">
            <v>4.4442291356636661</v>
          </cell>
          <cell r="D262">
            <v>61.476345188810321</v>
          </cell>
          <cell r="E262">
            <v>65.92057432447389</v>
          </cell>
          <cell r="F262">
            <v>10.199785882440711</v>
          </cell>
          <cell r="G262">
            <v>23.879639793085477</v>
          </cell>
          <cell r="I262" t="str">
            <v>Corrugated Containers</v>
          </cell>
          <cell r="J262">
            <v>3.8103871441927915</v>
          </cell>
          <cell r="K262">
            <v>55.331526965423471</v>
          </cell>
          <cell r="L262">
            <v>59.141914109616259</v>
          </cell>
          <cell r="M262">
            <v>12.047496803715774</v>
          </cell>
          <cell r="N262">
            <v>28.810589086668493</v>
          </cell>
          <cell r="P262" t="str">
            <v>Corrugated Containers</v>
          </cell>
          <cell r="Q262">
            <v>3.09740819269651</v>
          </cell>
          <cell r="R262">
            <v>54.423478422190449</v>
          </cell>
          <cell r="S262">
            <v>57.520886614886976</v>
          </cell>
        </row>
        <row r="263">
          <cell r="A263" t="str">
            <v>2Magazines/Third-class Mail</v>
          </cell>
          <cell r="B263" t="str">
            <v>Magazines/Third-class Mail</v>
          </cell>
          <cell r="C263">
            <v>10.286204257334411</v>
          </cell>
          <cell r="D263">
            <v>59.48049515921997</v>
          </cell>
          <cell r="E263">
            <v>69.766699416554459</v>
          </cell>
          <cell r="F263">
            <v>6.941844951570789</v>
          </cell>
          <cell r="G263">
            <v>23.291455631874644</v>
          </cell>
          <cell r="I263" t="str">
            <v>Magazines/Third-class Mail</v>
          </cell>
          <cell r="J263">
            <v>9.1121744939339671</v>
          </cell>
          <cell r="K263">
            <v>54.9295000833107</v>
          </cell>
          <cell r="L263">
            <v>64.041674577244748</v>
          </cell>
          <cell r="M263">
            <v>7.376590913715579</v>
          </cell>
          <cell r="N263">
            <v>28.581734509037581</v>
          </cell>
          <cell r="P263" t="str">
            <v>Magazines/Third-class Mail</v>
          </cell>
          <cell r="Q263">
            <v>7.3856519298936121</v>
          </cell>
          <cell r="R263">
            <v>52.081469918004963</v>
          </cell>
          <cell r="S263">
            <v>59.467121847898596</v>
          </cell>
        </row>
        <row r="264">
          <cell r="A264" t="str">
            <v>2Newspaper</v>
          </cell>
          <cell r="B264" t="str">
            <v>Newspaper</v>
          </cell>
          <cell r="C264">
            <v>5.2928185598019999</v>
          </cell>
          <cell r="D264">
            <v>62.221770682090259</v>
          </cell>
          <cell r="E264">
            <v>67.514589241892253</v>
          </cell>
          <cell r="F264">
            <v>9.3859554072236939</v>
          </cell>
          <cell r="G264">
            <v>23.099455350884632</v>
          </cell>
          <cell r="I264" t="str">
            <v>Newspaper</v>
          </cell>
          <cell r="J264">
            <v>4.8538743082113243</v>
          </cell>
          <cell r="K264">
            <v>58.63075825228492</v>
          </cell>
          <cell r="L264">
            <v>63.484632560496266</v>
          </cell>
          <cell r="M264">
            <v>10.020054788723682</v>
          </cell>
          <cell r="N264">
            <v>26.495312650781788</v>
          </cell>
          <cell r="P264" t="str">
            <v>Newspaper</v>
          </cell>
          <cell r="Q264">
            <v>4.0849216035225222</v>
          </cell>
          <cell r="R264">
            <v>58.70833559251021</v>
          </cell>
          <cell r="S264">
            <v>62.793257196032769</v>
          </cell>
        </row>
        <row r="265">
          <cell r="A265" t="str">
            <v>2Office Paper</v>
          </cell>
          <cell r="B265" t="str">
            <v>Office Paper</v>
          </cell>
          <cell r="C265">
            <v>5.0292489714193378</v>
          </cell>
          <cell r="D265">
            <v>62.03524765593469</v>
          </cell>
          <cell r="E265">
            <v>67.064496627353989</v>
          </cell>
          <cell r="F265">
            <v>9.6233099673666835</v>
          </cell>
          <cell r="G265">
            <v>23.31219340527926</v>
          </cell>
          <cell r="I265" t="str">
            <v>Office Paper</v>
          </cell>
          <cell r="J265">
            <v>4.5379259658056723</v>
          </cell>
          <cell r="K265">
            <v>57.842975430047993</v>
          </cell>
          <cell r="L265">
            <v>62.380901395853719</v>
          </cell>
          <cell r="M265">
            <v>10.559989994656497</v>
          </cell>
          <cell r="N265">
            <v>27.059108609488909</v>
          </cell>
          <cell r="P265" t="str">
            <v>Office Paper</v>
          </cell>
          <cell r="Q265">
            <v>3.7940089526905405</v>
          </cell>
          <cell r="R265">
            <v>57.833909752350706</v>
          </cell>
          <cell r="S265">
            <v>61.62791870504104</v>
          </cell>
        </row>
        <row r="266">
          <cell r="A266" t="str">
            <v>2Phonebooks</v>
          </cell>
          <cell r="B266" t="str">
            <v>Phonebooks</v>
          </cell>
          <cell r="C266">
            <v>5.2928185598019999</v>
          </cell>
          <cell r="D266">
            <v>62.221770682090259</v>
          </cell>
          <cell r="E266">
            <v>67.514589241892253</v>
          </cell>
          <cell r="F266">
            <v>9.3859554072236939</v>
          </cell>
          <cell r="G266">
            <v>23.099455350884632</v>
          </cell>
          <cell r="I266" t="str">
            <v>Phonebooks</v>
          </cell>
          <cell r="J266">
            <v>4.8538743082113243</v>
          </cell>
          <cell r="K266">
            <v>58.63075825228492</v>
          </cell>
          <cell r="L266">
            <v>63.484632560496266</v>
          </cell>
          <cell r="M266">
            <v>10.020054788723682</v>
          </cell>
          <cell r="N266">
            <v>26.495312650781788</v>
          </cell>
          <cell r="P266" t="str">
            <v>Phonebooks</v>
          </cell>
          <cell r="Q266">
            <v>4.0849216035225222</v>
          </cell>
          <cell r="R266">
            <v>58.70833559251021</v>
          </cell>
          <cell r="S266">
            <v>62.793257196032769</v>
          </cell>
        </row>
        <row r="267">
          <cell r="A267" t="str">
            <v>2Mixed MSW</v>
          </cell>
          <cell r="B267" t="str">
            <v>Mixed MSW</v>
          </cell>
          <cell r="C267">
            <v>5.7554250820924757</v>
          </cell>
          <cell r="D267">
            <v>62.458057585072169</v>
          </cell>
          <cell r="E267">
            <v>68.213482667164811</v>
          </cell>
          <cell r="F267">
            <v>9.0003343211246118</v>
          </cell>
          <cell r="G267">
            <v>22.786183011711138</v>
          </cell>
          <cell r="I267" t="str">
            <v>Mixed MSW</v>
          </cell>
          <cell r="J267">
            <v>5.3853393564300065</v>
          </cell>
          <cell r="K267">
            <v>59.581123408216087</v>
          </cell>
          <cell r="L267">
            <v>64.966462764646167</v>
          </cell>
          <cell r="M267">
            <v>9.2414055538532445</v>
          </cell>
          <cell r="N267">
            <v>25.792131681502667</v>
          </cell>
          <cell r="P267" t="str">
            <v>Mixed MSW</v>
          </cell>
          <cell r="Q267">
            <v>4.5573742861776134</v>
          </cell>
          <cell r="R267">
            <v>59.535015333470213</v>
          </cell>
          <cell r="S267">
            <v>64.092389619647946</v>
          </cell>
        </row>
        <row r="268">
          <cell r="A268" t="str">
            <v>2Dimensional Lumber</v>
          </cell>
          <cell r="B268" t="str">
            <v>Dimensional Lumber</v>
          </cell>
          <cell r="C268">
            <v>8.3583494140014327</v>
          </cell>
          <cell r="D268">
            <v>61.865243815919932</v>
          </cell>
          <cell r="E268">
            <v>70.223593229921406</v>
          </cell>
          <cell r="F268">
            <v>7.4683973407519133</v>
          </cell>
          <cell r="G268">
            <v>22.308009429328422</v>
          </cell>
          <cell r="I268" t="str">
            <v>Dimensional Lumber</v>
          </cell>
          <cell r="J268">
            <v>7.8055831745371975</v>
          </cell>
          <cell r="K268">
            <v>58.712600026433648</v>
          </cell>
          <cell r="L268">
            <v>66.518183200970753</v>
          </cell>
          <cell r="M268">
            <v>7.4121475696769759</v>
          </cell>
          <cell r="N268">
            <v>26.069669229353597</v>
          </cell>
          <cell r="P268" t="str">
            <v>Dimensional Lumber</v>
          </cell>
          <cell r="Q268">
            <v>6.48295996935882</v>
          </cell>
          <cell r="R268">
            <v>56.722546305056412</v>
          </cell>
          <cell r="S268">
            <v>63.205506274415313</v>
          </cell>
        </row>
        <row r="269">
          <cell r="A269" t="str">
            <v>2Medium-density Fiberboard</v>
          </cell>
          <cell r="B269" t="str">
            <v>Medium-density Fiberboard</v>
          </cell>
          <cell r="C269">
            <v>7.3245584423854133</v>
          </cell>
          <cell r="D269">
            <v>62.470967607808547</v>
          </cell>
          <cell r="E269">
            <v>69.795526050194042</v>
          </cell>
          <cell r="F269">
            <v>7.9562822481849604</v>
          </cell>
          <cell r="G269">
            <v>22.24819170162246</v>
          </cell>
          <cell r="I269" t="str">
            <v>Medium-density Fiberboard</v>
          </cell>
          <cell r="J269">
            <v>6.9519769708408399</v>
          </cell>
          <cell r="K269">
            <v>59.927973384927455</v>
          </cell>
          <cell r="L269">
            <v>66.879950355768287</v>
          </cell>
          <cell r="M269">
            <v>7.7704515597929085</v>
          </cell>
          <cell r="N269">
            <v>25.349598084437979</v>
          </cell>
          <cell r="P269" t="str">
            <v>Medium-density Fiberboard</v>
          </cell>
          <cell r="Q269">
            <v>5.8408236339976076</v>
          </cell>
          <cell r="R269">
            <v>58.656894744219244</v>
          </cell>
          <cell r="S269">
            <v>64.497718378216788</v>
          </cell>
        </row>
        <row r="270">
          <cell r="A270" t="str">
            <v>2Wood Flooring</v>
          </cell>
          <cell r="B270" t="str">
            <v>Wood Flooring</v>
          </cell>
          <cell r="C270">
            <v>5.2725034442189527</v>
          </cell>
          <cell r="D270">
            <v>62.2087670490614</v>
          </cell>
          <cell r="E270">
            <v>67.481270493280235</v>
          </cell>
          <cell r="F270">
            <v>9.4037817513882125</v>
          </cell>
          <cell r="G270">
            <v>23.114947755331684</v>
          </cell>
          <cell r="I270" t="str">
            <v>Wood Flooring</v>
          </cell>
          <cell r="J270">
            <v>4.8298419649053033</v>
          </cell>
          <cell r="K270">
            <v>58.576854318375339</v>
          </cell>
          <cell r="L270">
            <v>63.406696283280525</v>
          </cell>
          <cell r="M270">
            <v>10.059033454577806</v>
          </cell>
          <cell r="N270">
            <v>26.534270262142968</v>
          </cell>
          <cell r="P270" t="str">
            <v>Wood Flooring</v>
          </cell>
          <cell r="Q270">
            <v>4.0630584010388375</v>
          </cell>
          <cell r="R270">
            <v>58.65275842596197</v>
          </cell>
          <cell r="S270">
            <v>62.715816827000701</v>
          </cell>
        </row>
        <row r="272">
          <cell r="I272" t="str">
            <v>Worst Case</v>
          </cell>
          <cell r="P272" t="str">
            <v>Worst Case</v>
          </cell>
        </row>
        <row r="277">
          <cell r="I277" t="str">
            <v>Food Waste</v>
          </cell>
          <cell r="J277">
            <v>7.3767677035895014</v>
          </cell>
          <cell r="K277">
            <v>43.096741971074849</v>
          </cell>
          <cell r="L277">
            <v>50.473509674664299</v>
          </cell>
          <cell r="M277">
            <v>7.7436019353225607</v>
          </cell>
          <cell r="N277">
            <v>41.782888390014584</v>
          </cell>
          <cell r="P277" t="str">
            <v>Food Waste</v>
          </cell>
          <cell r="Q277">
            <v>5.0147075587897776</v>
          </cell>
          <cell r="R277">
            <v>36.424956405967635</v>
          </cell>
        </row>
        <row r="278">
          <cell r="I278" t="str">
            <v>Corrugated Containers</v>
          </cell>
          <cell r="J278">
            <v>3.5754934244974397</v>
          </cell>
          <cell r="K278">
            <v>53.657281882171567</v>
          </cell>
          <cell r="L278">
            <v>57.23277530666909</v>
          </cell>
          <cell r="M278">
            <v>12.019108420035774</v>
          </cell>
          <cell r="N278">
            <v>30.748116273295679</v>
          </cell>
          <cell r="P278" t="str">
            <v>Corrugated Containers</v>
          </cell>
          <cell r="Q278">
            <v>2.9093399563805322</v>
          </cell>
          <cell r="R278">
            <v>52.790960554367331</v>
          </cell>
        </row>
        <row r="279">
          <cell r="I279" t="str">
            <v>Magazines/Third-class Mail</v>
          </cell>
          <cell r="J279">
            <v>7.2668986792575359</v>
          </cell>
          <cell r="K279">
            <v>46.285595975240447</v>
          </cell>
          <cell r="L279">
            <v>53.552494654498005</v>
          </cell>
          <cell r="M279">
            <v>7.5787559101850945</v>
          </cell>
          <cell r="N279">
            <v>38.868749435314712</v>
          </cell>
          <cell r="P279" t="str">
            <v>Magazines/Third-class Mail</v>
          </cell>
          <cell r="Q279">
            <v>5.098272122035608</v>
          </cell>
          <cell r="R279">
            <v>40.061000398021726</v>
          </cell>
        </row>
        <row r="280">
          <cell r="I280" t="str">
            <v>Newspaper</v>
          </cell>
          <cell r="J280">
            <v>4.4567265323367593</v>
          </cell>
          <cell r="K280">
            <v>56.009016872519091</v>
          </cell>
          <cell r="L280">
            <v>60.465743404855644</v>
          </cell>
          <cell r="M280">
            <v>10.02083094827973</v>
          </cell>
          <cell r="N280">
            <v>29.513425646866281</v>
          </cell>
          <cell r="P280" t="str">
            <v>Newspaper</v>
          </cell>
          <cell r="Q280">
            <v>3.6153649850989842</v>
          </cell>
          <cell r="R280">
            <v>55.327285681636425</v>
          </cell>
        </row>
        <row r="281">
          <cell r="A281" t="str">
            <v>3Office Paper</v>
          </cell>
          <cell r="B281" t="str">
            <v>Office Paper</v>
          </cell>
          <cell r="C281">
            <v>4.9439718869313722</v>
          </cell>
          <cell r="D281">
            <v>60.528390651715149</v>
          </cell>
          <cell r="E281">
            <v>65.47236253864655</v>
          </cell>
          <cell r="F281">
            <v>9.5793482216789911</v>
          </cell>
          <cell r="G281">
            <v>24.948289239674445</v>
          </cell>
          <cell r="I281" t="str">
            <v>Office Paper</v>
          </cell>
          <cell r="J281">
            <v>4.1943116815153285</v>
          </cell>
          <cell r="K281">
            <v>55.522063869659355</v>
          </cell>
          <cell r="L281">
            <v>59.716375551174636</v>
          </cell>
          <cell r="M281">
            <v>10.550935175926124</v>
          </cell>
          <cell r="N281">
            <v>29.732689272898284</v>
          </cell>
          <cell r="P281" t="str">
            <v>Office Paper</v>
          </cell>
          <cell r="Q281">
            <v>3.4127791244335501</v>
          </cell>
          <cell r="R281">
            <v>54.991296801280107</v>
          </cell>
          <cell r="S281">
            <v>58.404075925713641</v>
          </cell>
        </row>
        <row r="282">
          <cell r="A282" t="str">
            <v>3Phonebooks</v>
          </cell>
          <cell r="B282" t="str">
            <v>Phonebooks</v>
          </cell>
          <cell r="C282">
            <v>5.1782645767198847</v>
          </cell>
          <cell r="D282">
            <v>60.597971040024404</v>
          </cell>
          <cell r="E282">
            <v>65.776235616744245</v>
          </cell>
          <cell r="F282">
            <v>9.343830407161704</v>
          </cell>
          <cell r="G282">
            <v>24.879933976094648</v>
          </cell>
          <cell r="I282" t="str">
            <v>Phonebooks</v>
          </cell>
          <cell r="J282">
            <v>4.4567265323367593</v>
          </cell>
          <cell r="K282">
            <v>56.009016872519091</v>
          </cell>
          <cell r="L282">
            <v>60.465743404855644</v>
          </cell>
          <cell r="M282">
            <v>10.02083094827973</v>
          </cell>
          <cell r="N282">
            <v>29.513425646866281</v>
          </cell>
          <cell r="P282" t="str">
            <v>Phonebooks</v>
          </cell>
          <cell r="Q282">
            <v>3.6153649850989842</v>
          </cell>
          <cell r="R282">
            <v>55.327285681636425</v>
          </cell>
          <cell r="S282">
            <v>58.942650666735176</v>
          </cell>
        </row>
        <row r="283">
          <cell r="A283" t="str">
            <v>3Mixed MSW</v>
          </cell>
          <cell r="B283" t="str">
            <v>Mixed MSW</v>
          </cell>
          <cell r="C283">
            <v>5.5857485491741183</v>
          </cell>
          <cell r="D283">
            <v>60.619749253737929</v>
          </cell>
          <cell r="E283">
            <v>66.205497802912006</v>
          </cell>
          <cell r="F283">
            <v>8.9628187077291113</v>
          </cell>
          <cell r="G283">
            <v>24.83168348935942</v>
          </cell>
          <cell r="I283" t="str">
            <v>Mixed MSW</v>
          </cell>
          <cell r="J283">
            <v>4.8884019077004144</v>
          </cell>
          <cell r="K283">
            <v>56.42378252754979</v>
          </cell>
          <cell r="L283">
            <v>61.312184435250103</v>
          </cell>
          <cell r="M283">
            <v>9.2605275797428632</v>
          </cell>
          <cell r="N283">
            <v>29.427287985009045</v>
          </cell>
          <cell r="P283" t="str">
            <v>Mixed MSW</v>
          </cell>
          <cell r="Q283">
            <v>3.9321902209648605</v>
          </cell>
          <cell r="R283">
            <v>55.233926226959163</v>
          </cell>
          <cell r="S283">
            <v>59.166116447923898</v>
          </cell>
        </row>
        <row r="284">
          <cell r="A284" t="str">
            <v>3Dimensional Lumber</v>
          </cell>
          <cell r="B284" t="str">
            <v>Dimensional Lumber</v>
          </cell>
          <cell r="C284">
            <v>7.7754690671286788</v>
          </cell>
          <cell r="D284">
            <v>58.587961424178545</v>
          </cell>
          <cell r="E284">
            <v>66.363430491307213</v>
          </cell>
          <cell r="F284">
            <v>7.4845614055316423</v>
          </cell>
          <cell r="G284">
            <v>26.152008103162867</v>
          </cell>
          <cell r="I284" t="str">
            <v>Dimensional Lumber</v>
          </cell>
          <cell r="J284">
            <v>6.6281262186107357</v>
          </cell>
          <cell r="K284">
            <v>52.485786638547602</v>
          </cell>
          <cell r="L284">
            <v>59.113912857158404</v>
          </cell>
          <cell r="M284">
            <v>7.5407295950955984</v>
          </cell>
          <cell r="N284">
            <v>33.34535754774744</v>
          </cell>
          <cell r="P284" t="str">
            <v>Dimensional Lumber</v>
          </cell>
          <cell r="Q284">
            <v>4.9557623275936891</v>
          </cell>
          <cell r="R284">
            <v>47.826112893771544</v>
          </cell>
          <cell r="S284">
            <v>52.781875221365226</v>
          </cell>
        </row>
        <row r="285">
          <cell r="A285" t="str">
            <v>3Medium-density Fiberboard</v>
          </cell>
          <cell r="B285" t="str">
            <v>Medium-density Fiberboard</v>
          </cell>
          <cell r="C285">
            <v>6.9291246440765191</v>
          </cell>
          <cell r="D285">
            <v>59.815117625194901</v>
          </cell>
          <cell r="E285">
            <v>66.744242269271311</v>
          </cell>
          <cell r="F285">
            <v>7.9459865962310694</v>
          </cell>
          <cell r="G285">
            <v>25.309771134499044</v>
          </cell>
          <cell r="I285" t="str">
            <v>Medium-density Fiberboard</v>
          </cell>
          <cell r="J285">
            <v>6.0691424408979131</v>
          </cell>
          <cell r="K285">
            <v>54.929726909166476</v>
          </cell>
          <cell r="L285">
            <v>60.998869350064467</v>
          </cell>
          <cell r="M285">
            <v>7.8558559404331447</v>
          </cell>
          <cell r="N285">
            <v>31.145274709501646</v>
          </cell>
          <cell r="P285" t="str">
            <v>Medium-density Fiberboard</v>
          </cell>
          <cell r="Q285">
            <v>4.681276246717589</v>
          </cell>
          <cell r="R285">
            <v>51.49218109036795</v>
          </cell>
          <cell r="S285">
            <v>56.173457337085622</v>
          </cell>
        </row>
        <row r="286">
          <cell r="A286" t="str">
            <v>3Wood Flooring</v>
          </cell>
          <cell r="B286" t="str">
            <v>Wood Flooring</v>
          </cell>
          <cell r="C286">
            <v>5.1602602696977478</v>
          </cell>
          <cell r="D286">
            <v>60.594117268113415</v>
          </cell>
          <cell r="E286">
            <v>65.754377537811138</v>
          </cell>
          <cell r="F286">
            <v>9.361494154810023</v>
          </cell>
          <cell r="G286">
            <v>24.884128307379125</v>
          </cell>
          <cell r="I286" t="str">
            <v>Wood Flooring</v>
          </cell>
          <cell r="J286">
            <v>4.4369107363747178</v>
          </cell>
          <cell r="K286">
            <v>55.978440564744339</v>
          </cell>
          <cell r="L286">
            <v>60.415351301119024</v>
          </cell>
          <cell r="M286">
            <v>10.059032981458472</v>
          </cell>
          <cell r="N286">
            <v>29.525615717423818</v>
          </cell>
          <cell r="P286" t="str">
            <v>Wood Flooring</v>
          </cell>
          <cell r="Q286">
            <v>3.6003223071460533</v>
          </cell>
          <cell r="R286">
            <v>55.31288727841941</v>
          </cell>
          <cell r="S286">
            <v>58.913209585565554</v>
          </cell>
        </row>
        <row r="288">
          <cell r="A288">
            <v>4</v>
          </cell>
          <cell r="B288" t="str">
            <v>California</v>
          </cell>
          <cell r="I288" t="str">
            <v>California</v>
          </cell>
          <cell r="P288" t="str">
            <v>California</v>
          </cell>
        </row>
        <row r="289">
          <cell r="B289" t="str">
            <v>Material</v>
          </cell>
          <cell r="C289" t="str">
            <v>Methane Flared (m3/yr)</v>
          </cell>
          <cell r="D289" t="str">
            <v>Methane to Beneficial Use (m3/yr)</v>
          </cell>
          <cell r="E289" t="str">
            <v>Methane Treated (m3/yr)</v>
          </cell>
          <cell r="F289" t="str">
            <v>Methane Oxidized (m3/yr)</v>
          </cell>
          <cell r="G289" t="str">
            <v>Methane Emitted</v>
          </cell>
          <cell r="I289" t="str">
            <v>Material</v>
          </cell>
          <cell r="J289" t="str">
            <v>Methane Flared (m3/yr)</v>
          </cell>
          <cell r="K289" t="str">
            <v>Methane to Beneficial Use (m3/yr)</v>
          </cell>
          <cell r="L289" t="str">
            <v>Methane Treated (m3/yr)</v>
          </cell>
          <cell r="M289" t="str">
            <v>Methane Oxidized (m3/yr)</v>
          </cell>
          <cell r="N289" t="str">
            <v>Methane Emitted</v>
          </cell>
          <cell r="P289" t="str">
            <v>Material</v>
          </cell>
          <cell r="Q289" t="str">
            <v>Methane Flared (m3/yr)</v>
          </cell>
          <cell r="R289" t="str">
            <v>Methane to Beneficial Use (m3/yr)</v>
          </cell>
          <cell r="S289" t="str">
            <v>Methane Treated (m3/yr)</v>
          </cell>
        </row>
        <row r="290">
          <cell r="A290" t="str">
            <v>4Branches</v>
          </cell>
          <cell r="B290" t="str">
            <v>Branches</v>
          </cell>
          <cell r="C290">
            <v>19.219504481338713</v>
          </cell>
          <cell r="D290">
            <v>65.050417700848584</v>
          </cell>
          <cell r="E290">
            <v>84.269922182187315</v>
          </cell>
          <cell r="F290">
            <v>4.3654599914142445</v>
          </cell>
          <cell r="G290">
            <v>11.364617826399444</v>
          </cell>
          <cell r="I290" t="str">
            <v>Branches</v>
          </cell>
          <cell r="J290">
            <v>19.191142097028717</v>
          </cell>
          <cell r="K290">
            <v>57.23972858025018</v>
          </cell>
          <cell r="L290">
            <v>76.430870677278833</v>
          </cell>
          <cell r="M290">
            <v>6.8944591745575972</v>
          </cell>
          <cell r="N290">
            <v>16.674670148165376</v>
          </cell>
          <cell r="P290" t="str">
            <v>Branches</v>
          </cell>
          <cell r="Q290">
            <v>14.8150485393277</v>
          </cell>
          <cell r="R290">
            <v>56.698554711614634</v>
          </cell>
          <cell r="S290">
            <v>71.513603250942339</v>
          </cell>
        </row>
        <row r="291">
          <cell r="A291" t="str">
            <v>4Grass</v>
          </cell>
          <cell r="B291" t="str">
            <v>Grass</v>
          </cell>
          <cell r="C291">
            <v>15.102434799868833</v>
          </cell>
          <cell r="D291">
            <v>57.139354072038728</v>
          </cell>
          <cell r="E291">
            <v>72.24178887190763</v>
          </cell>
          <cell r="F291">
            <v>5.3265290163934882</v>
          </cell>
          <cell r="G291">
            <v>22.431682111700791</v>
          </cell>
          <cell r="I291" t="str">
            <v>Grass</v>
          </cell>
          <cell r="J291">
            <v>12.275428999895571</v>
          </cell>
          <cell r="K291">
            <v>50.992065978849269</v>
          </cell>
          <cell r="L291">
            <v>63.267494978744807</v>
          </cell>
          <cell r="M291">
            <v>6.5411742723726283</v>
          </cell>
          <cell r="N291">
            <v>30.191330748884091</v>
          </cell>
          <cell r="P291" t="str">
            <v>Grass</v>
          </cell>
          <cell r="Q291">
            <v>8.8684957968816711</v>
          </cell>
          <cell r="R291">
            <v>47.698251631481448</v>
          </cell>
          <cell r="S291">
            <v>56.566747428363072</v>
          </cell>
        </row>
        <row r="292">
          <cell r="A292" t="str">
            <v>4Leaves</v>
          </cell>
          <cell r="B292" t="str">
            <v>Leaves</v>
          </cell>
          <cell r="C292">
            <v>13.514856751405302</v>
          </cell>
          <cell r="D292">
            <v>63.845196742769815</v>
          </cell>
          <cell r="E292">
            <v>77.36005349417519</v>
          </cell>
          <cell r="F292">
            <v>4.6810410575419743</v>
          </cell>
          <cell r="G292">
            <v>17.958905448282579</v>
          </cell>
          <cell r="I292" t="str">
            <v>Leaves</v>
          </cell>
          <cell r="J292">
            <v>11.786856428501782</v>
          </cell>
          <cell r="K292">
            <v>58.952414510609351</v>
          </cell>
          <cell r="L292">
            <v>70.739270939111051</v>
          </cell>
          <cell r="M292">
            <v>5.5395563036637077</v>
          </cell>
          <cell r="N292">
            <v>23.721172757224178</v>
          </cell>
          <cell r="P292" t="str">
            <v>Leaves</v>
          </cell>
          <cell r="Q292">
            <v>8.7734967974882796</v>
          </cell>
          <cell r="R292">
            <v>56.731145967753861</v>
          </cell>
          <cell r="S292">
            <v>65.504642765242167</v>
          </cell>
        </row>
        <row r="293">
          <cell r="A293" t="str">
            <v>4Food Waste</v>
          </cell>
          <cell r="B293" t="str">
            <v>Food Waste</v>
          </cell>
          <cell r="C293">
            <v>13.208166975518914</v>
          </cell>
          <cell r="D293">
            <v>65.405248455216196</v>
          </cell>
          <cell r="E293">
            <v>78.613415430735117</v>
          </cell>
          <cell r="F293">
            <v>4.5392824204042066</v>
          </cell>
          <cell r="G293">
            <v>16.847302148861807</v>
          </cell>
          <cell r="I293" t="str">
            <v>Food Waste</v>
          </cell>
          <cell r="J293">
            <v>11.600821042948786</v>
          </cell>
          <cell r="K293">
            <v>61.043220265739407</v>
          </cell>
          <cell r="L293">
            <v>72.644041308688202</v>
          </cell>
          <cell r="M293">
            <v>5.2905629862885704</v>
          </cell>
          <cell r="N293">
            <v>22.065395705024677</v>
          </cell>
          <cell r="P293" t="str">
            <v>Food Waste</v>
          </cell>
          <cell r="Q293">
            <v>8.657408936154285</v>
          </cell>
          <cell r="R293">
            <v>59.203932880689472</v>
          </cell>
          <cell r="S293">
            <v>67.861341816843719</v>
          </cell>
        </row>
        <row r="294">
          <cell r="A294" t="str">
            <v>4Corrugated Containers</v>
          </cell>
          <cell r="B294" t="str">
            <v>Corrugated Containers</v>
          </cell>
          <cell r="C294">
            <v>18.53019244997385</v>
          </cell>
          <cell r="D294">
            <v>65.635159957313164</v>
          </cell>
          <cell r="E294">
            <v>84.165352407286917</v>
          </cell>
          <cell r="F294">
            <v>4.3306259967981671</v>
          </cell>
          <cell r="G294">
            <v>11.504021595914821</v>
          </cell>
          <cell r="I294" t="str">
            <v>Corrugated Containers</v>
          </cell>
          <cell r="J294">
            <v>18.107767033909013</v>
          </cell>
          <cell r="K294">
            <v>59.423010502593755</v>
          </cell>
          <cell r="L294">
            <v>77.530777536502725</v>
          </cell>
          <cell r="M294">
            <v>6.3632127761240653</v>
          </cell>
          <cell r="N294">
            <v>16.106009687373675</v>
          </cell>
          <cell r="P294" t="str">
            <v>Corrugated Containers</v>
          </cell>
          <cell r="Q294">
            <v>13.87128090749783</v>
          </cell>
          <cell r="R294">
            <v>60.088642960595941</v>
          </cell>
          <cell r="S294">
            <v>73.959923868093668</v>
          </cell>
        </row>
        <row r="295">
          <cell r="A295" t="str">
            <v>4Magazines/Third-class Mail</v>
          </cell>
          <cell r="B295" t="str">
            <v>Magazines/Third-class Mail</v>
          </cell>
          <cell r="C295">
            <v>13.085612214872885</v>
          </cell>
          <cell r="D295">
            <v>66.596148648111324</v>
          </cell>
          <cell r="E295">
            <v>79.681760862984063</v>
          </cell>
          <cell r="F295">
            <v>4.4285661365056139</v>
          </cell>
          <cell r="G295">
            <v>15.889673000510134</v>
          </cell>
          <cell r="I295" t="str">
            <v>Magazines/Third-class Mail</v>
          </cell>
          <cell r="J295">
            <v>11.484826252750027</v>
          </cell>
          <cell r="K295">
            <v>62.815767756627707</v>
          </cell>
          <cell r="L295">
            <v>74.300594009377789</v>
          </cell>
          <cell r="M295">
            <v>5.0817856715656298</v>
          </cell>
          <cell r="N295">
            <v>20.617620319054424</v>
          </cell>
          <cell r="P295" t="str">
            <v>Magazines/Third-class Mail</v>
          </cell>
          <cell r="Q295">
            <v>8.5620498160434835</v>
          </cell>
          <cell r="R295">
            <v>61.381018464132978</v>
          </cell>
          <cell r="S295">
            <v>69.943068280176661</v>
          </cell>
        </row>
        <row r="296">
          <cell r="A296" t="str">
            <v>4Newspaper</v>
          </cell>
          <cell r="B296" t="str">
            <v>Newspaper</v>
          </cell>
          <cell r="C296">
            <v>16.930693661858925</v>
          </cell>
          <cell r="D296">
            <v>66.873383761308475</v>
          </cell>
          <cell r="E296">
            <v>83.804077423167328</v>
          </cell>
          <cell r="F296">
            <v>4.2637575101225709</v>
          </cell>
          <cell r="G296">
            <v>11.932165066710718</v>
          </cell>
          <cell r="I296" t="str">
            <v>Newspaper</v>
          </cell>
          <cell r="J296">
            <v>15.653454640878572</v>
          </cell>
          <cell r="K296">
            <v>63.534955775369809</v>
          </cell>
          <cell r="L296">
            <v>79.188410416248288</v>
          </cell>
          <cell r="M296">
            <v>5.3966284093087529</v>
          </cell>
          <cell r="N296">
            <v>15.414961174444608</v>
          </cell>
          <cell r="P296" t="str">
            <v>Newspaper</v>
          </cell>
          <cell r="Q296">
            <v>11.668608353151697</v>
          </cell>
          <cell r="R296">
            <v>65.406834791418376</v>
          </cell>
          <cell r="S296">
            <v>77.075443144570116</v>
          </cell>
        </row>
        <row r="297">
          <cell r="A297" t="str">
            <v>4Office Paper</v>
          </cell>
          <cell r="B297" t="str">
            <v>Office Paper</v>
          </cell>
          <cell r="C297">
            <v>17.391343282265773</v>
          </cell>
          <cell r="D297">
            <v>66.536811532029688</v>
          </cell>
          <cell r="E297">
            <v>83.928154814295667</v>
          </cell>
          <cell r="F297">
            <v>4.2807329738128264</v>
          </cell>
          <cell r="G297">
            <v>11.791112211891621</v>
          </cell>
          <cell r="I297" t="str">
            <v>Office Paper</v>
          </cell>
          <cell r="J297">
            <v>16.341083011330586</v>
          </cell>
          <cell r="K297">
            <v>62.505506351805764</v>
          </cell>
          <cell r="L297">
            <v>78.846589363136403</v>
          </cell>
          <cell r="M297">
            <v>5.6346638651570791</v>
          </cell>
          <cell r="N297">
            <v>15.518746771705692</v>
          </cell>
          <cell r="P297" t="str">
            <v>Office Paper</v>
          </cell>
          <cell r="Q297">
            <v>12.280535472229149</v>
          </cell>
          <cell r="R297">
            <v>64.24312301546972</v>
          </cell>
          <cell r="S297">
            <v>76.523658487698867</v>
          </cell>
        </row>
        <row r="298">
          <cell r="A298" t="str">
            <v>4Phonebooks</v>
          </cell>
          <cell r="B298" t="str">
            <v>Phonebooks</v>
          </cell>
          <cell r="C298">
            <v>16.930693661858925</v>
          </cell>
          <cell r="D298">
            <v>66.873383761308475</v>
          </cell>
          <cell r="E298">
            <v>83.804077423167328</v>
          </cell>
          <cell r="F298">
            <v>4.2637575101225709</v>
          </cell>
          <cell r="G298">
            <v>11.932165066710718</v>
          </cell>
          <cell r="I298" t="str">
            <v>Phonebooks</v>
          </cell>
          <cell r="J298">
            <v>15.653454640878572</v>
          </cell>
          <cell r="K298">
            <v>63.534955775369809</v>
          </cell>
          <cell r="L298">
            <v>79.188410416248288</v>
          </cell>
          <cell r="M298">
            <v>5.3966284093087529</v>
          </cell>
          <cell r="N298">
            <v>15.414961174444608</v>
          </cell>
          <cell r="P298" t="str">
            <v>Phonebooks</v>
          </cell>
          <cell r="Q298">
            <v>11.668608353151697</v>
          </cell>
          <cell r="R298">
            <v>65.406834791418376</v>
          </cell>
          <cell r="S298">
            <v>77.075443144570116</v>
          </cell>
        </row>
        <row r="299">
          <cell r="A299" t="str">
            <v>4Mixed MSW</v>
          </cell>
          <cell r="B299" t="str">
            <v>Mixed MSW</v>
          </cell>
          <cell r="C299">
            <v>16.195288683222014</v>
          </cell>
          <cell r="D299">
            <v>67.367023825588618</v>
          </cell>
          <cell r="E299">
            <v>83.562312508810592</v>
          </cell>
          <cell r="F299">
            <v>4.2414339605921052</v>
          </cell>
          <cell r="G299">
            <v>12.196253530597771</v>
          </cell>
          <cell r="I299" t="str">
            <v>Mixed MSW</v>
          </cell>
          <cell r="J299">
            <v>14.609092145847566</v>
          </cell>
          <cell r="K299">
            <v>64.884526846053419</v>
          </cell>
          <cell r="L299">
            <v>79.493618991901045</v>
          </cell>
          <cell r="M299">
            <v>5.0868038016536863</v>
          </cell>
          <cell r="N299">
            <v>15.419577206447391</v>
          </cell>
          <cell r="P299" t="str">
            <v>Mixed MSW</v>
          </cell>
          <cell r="Q299">
            <v>10.76741035735459</v>
          </cell>
          <cell r="R299">
            <v>66.681743584579408</v>
          </cell>
          <cell r="S299">
            <v>77.449153941934</v>
          </cell>
        </row>
        <row r="300">
          <cell r="A300" t="str">
            <v>4Dimensional Lumber</v>
          </cell>
          <cell r="B300" t="str">
            <v>Dimensional Lumber</v>
          </cell>
          <cell r="C300">
            <v>13.577968294945958</v>
          </cell>
          <cell r="D300">
            <v>68.10232501890691</v>
          </cell>
          <cell r="E300">
            <v>81.680293313853014</v>
          </cell>
          <cell r="F300">
            <v>4.2653842819570009</v>
          </cell>
          <cell r="G300">
            <v>14.054322404191849</v>
          </cell>
          <cell r="I300" t="str">
            <v>Dimensional Lumber</v>
          </cell>
          <cell r="J300">
            <v>11.736103607973535</v>
          </cell>
          <cell r="K300">
            <v>65.74009927760126</v>
          </cell>
          <cell r="L300">
            <v>77.476202885574807</v>
          </cell>
          <cell r="M300">
            <v>4.745548450583529</v>
          </cell>
          <cell r="N300">
            <v>17.778248663843055</v>
          </cell>
          <cell r="P300" t="str">
            <v>Dimensional Lumber</v>
          </cell>
          <cell r="Q300">
            <v>8.6367317641923407</v>
          </cell>
          <cell r="R300">
            <v>65.465963100970257</v>
          </cell>
          <cell r="S300">
            <v>74.102694865162434</v>
          </cell>
        </row>
        <row r="301">
          <cell r="A301" t="str">
            <v>4Medium-density Fiberboard</v>
          </cell>
          <cell r="B301" t="str">
            <v>Medium-density Fiberboard</v>
          </cell>
          <cell r="C301">
            <v>14.328984898125146</v>
          </cell>
          <cell r="D301">
            <v>68.202640155814564</v>
          </cell>
          <cell r="E301">
            <v>82.531625053939649</v>
          </cell>
          <cell r="F301">
            <v>4.227871617752637</v>
          </cell>
          <cell r="G301">
            <v>13.240503328309186</v>
          </cell>
          <cell r="I301" t="str">
            <v>Medium-density Fiberboard</v>
          </cell>
          <cell r="J301">
            <v>12.388439476815456</v>
          </cell>
          <cell r="K301">
            <v>66.363735122268537</v>
          </cell>
          <cell r="L301">
            <v>78.75217459908383</v>
          </cell>
          <cell r="M301">
            <v>4.7018055861615418</v>
          </cell>
          <cell r="N301">
            <v>16.546019814753706</v>
          </cell>
          <cell r="P301" t="str">
            <v>Medium-density Fiberboard</v>
          </cell>
          <cell r="Q301">
            <v>9.0484907149875315</v>
          </cell>
          <cell r="R301">
            <v>66.909793666290739</v>
          </cell>
          <cell r="S301">
            <v>75.958284381278361</v>
          </cell>
        </row>
        <row r="302">
          <cell r="A302" t="str">
            <v>4Wood Flooring</v>
          </cell>
          <cell r="B302" t="str">
            <v>Wood Flooring</v>
          </cell>
          <cell r="C302">
            <v>16.965096428227294</v>
          </cell>
          <cell r="D302">
            <v>66.848905887058663</v>
          </cell>
          <cell r="E302">
            <v>83.814002315285919</v>
          </cell>
          <cell r="F302">
            <v>4.2649522509609312</v>
          </cell>
          <cell r="G302">
            <v>11.921045433753463</v>
          </cell>
          <cell r="I302" t="str">
            <v>Wood Flooring</v>
          </cell>
          <cell r="J302">
            <v>15.704029171999506</v>
          </cell>
          <cell r="K302">
            <v>63.462789630957616</v>
          </cell>
          <cell r="L302">
            <v>79.166818802956968</v>
          </cell>
          <cell r="M302">
            <v>5.4132444935536785</v>
          </cell>
          <cell r="N302">
            <v>15.419936703490494</v>
          </cell>
          <cell r="P302" t="str">
            <v>Wood Flooring</v>
          </cell>
          <cell r="Q302">
            <v>11.71321446076821</v>
          </cell>
          <cell r="R302">
            <v>65.329892389305101</v>
          </cell>
          <cell r="S302">
            <v>77.043106850073258</v>
          </cell>
        </row>
        <row r="304">
          <cell r="B304" t="str">
            <v>Without Energy Recovery</v>
          </cell>
        </row>
        <row r="305">
          <cell r="B305" t="str">
            <v>k =0.02</v>
          </cell>
          <cell r="I305" t="str">
            <v>k =0.04</v>
          </cell>
          <cell r="P305" t="str">
            <v>k =0.06</v>
          </cell>
        </row>
        <row r="306">
          <cell r="A306">
            <v>5</v>
          </cell>
          <cell r="B306" t="str">
            <v>Best Case</v>
          </cell>
          <cell r="I306" t="str">
            <v>Best Case</v>
          </cell>
          <cell r="P306" t="str">
            <v>Best Case</v>
          </cell>
        </row>
        <row r="307">
          <cell r="B307" t="str">
            <v>Material</v>
          </cell>
          <cell r="C307" t="str">
            <v>Methane Flared (m3/yr)</v>
          </cell>
          <cell r="D307" t="str">
            <v>Methane to Beneficial Use (m3/yr)</v>
          </cell>
          <cell r="E307" t="str">
            <v>Methane Treated (m3/yr)</v>
          </cell>
          <cell r="F307" t="str">
            <v>Methane Oxidized (m3/yr)</v>
          </cell>
          <cell r="G307" t="str">
            <v>Methane Emitted</v>
          </cell>
          <cell r="I307" t="str">
            <v>Material</v>
          </cell>
          <cell r="J307" t="str">
            <v>Methane Flared (m3/yr)</v>
          </cell>
          <cell r="K307" t="str">
            <v>Methane to Beneficial Use (m3/yr)</v>
          </cell>
          <cell r="L307" t="str">
            <v>Methane Treated (m3/yr)</v>
          </cell>
          <cell r="M307" t="str">
            <v>Methane Oxidized (m3/yr)</v>
          </cell>
          <cell r="N307" t="str">
            <v>Methane Emitted</v>
          </cell>
          <cell r="P307" t="str">
            <v>Material</v>
          </cell>
          <cell r="Q307" t="str">
            <v>Methane Flared (m3/yr)</v>
          </cell>
          <cell r="R307" t="str">
            <v>Methane to Beneficial Use (m3/yr)</v>
          </cell>
          <cell r="S307" t="str">
            <v>Methane Treated (m3/yr)</v>
          </cell>
        </row>
        <row r="308">
          <cell r="A308" t="str">
            <v>5Branches</v>
          </cell>
          <cell r="B308" t="str">
            <v>Branches</v>
          </cell>
          <cell r="C308">
            <v>30.939980553502799</v>
          </cell>
          <cell r="D308">
            <v>0</v>
          </cell>
          <cell r="E308">
            <v>30.939980553502799</v>
          </cell>
          <cell r="F308">
            <v>21.730990954069867</v>
          </cell>
          <cell r="G308">
            <v>47.329028492428307</v>
          </cell>
          <cell r="I308" t="str">
            <v>Branches</v>
          </cell>
          <cell r="J308">
            <v>34.99070623389489</v>
          </cell>
          <cell r="K308">
            <v>0</v>
          </cell>
          <cell r="L308">
            <v>34.99070623389489</v>
          </cell>
          <cell r="M308">
            <v>19.963394826893271</v>
          </cell>
          <cell r="N308">
            <v>45.045898939213671</v>
          </cell>
          <cell r="P308" t="str">
            <v>Branches</v>
          </cell>
          <cell r="Q308">
            <v>37.611029956420296</v>
          </cell>
          <cell r="R308">
            <v>0</v>
          </cell>
          <cell r="S308">
            <v>37.611029956420296</v>
          </cell>
        </row>
        <row r="309">
          <cell r="A309" t="str">
            <v>5Grass</v>
          </cell>
          <cell r="B309" t="str">
            <v>Grass</v>
          </cell>
          <cell r="C309">
            <v>55.748757108583135</v>
          </cell>
          <cell r="D309">
            <v>0</v>
          </cell>
          <cell r="E309">
            <v>55.748757108583135</v>
          </cell>
          <cell r="F309">
            <v>9.5666812205217546</v>
          </cell>
          <cell r="G309">
            <v>34.684561670896649</v>
          </cell>
          <cell r="I309" t="str">
            <v>Grass</v>
          </cell>
          <cell r="J309">
            <v>54.31280890912555</v>
          </cell>
          <cell r="K309">
            <v>0</v>
          </cell>
          <cell r="L309">
            <v>54.31280890912555</v>
          </cell>
          <cell r="M309">
            <v>8.8727197518893117</v>
          </cell>
          <cell r="N309">
            <v>36.814471338986557</v>
          </cell>
          <cell r="P309" t="str">
            <v>Grass</v>
          </cell>
          <cell r="Q309">
            <v>50.629539856024216</v>
          </cell>
          <cell r="R309">
            <v>0</v>
          </cell>
          <cell r="S309">
            <v>50.629539856024216</v>
          </cell>
        </row>
        <row r="310">
          <cell r="I310" t="str">
            <v>Leaves</v>
          </cell>
          <cell r="J310">
            <v>56.842383341214074</v>
          </cell>
          <cell r="K310">
            <v>0</v>
          </cell>
          <cell r="L310">
            <v>56.842383341214074</v>
          </cell>
          <cell r="M310">
            <v>9.0498603979098711</v>
          </cell>
          <cell r="N310">
            <v>34.107756260875085</v>
          </cell>
          <cell r="P310" t="str">
            <v>Leaves</v>
          </cell>
          <cell r="Q310">
            <v>55.166470953998356</v>
          </cell>
          <cell r="R310">
            <v>0</v>
          </cell>
        </row>
        <row r="311">
          <cell r="I311" t="str">
            <v>Food Waste</v>
          </cell>
          <cell r="J311">
            <v>56.926518403328231</v>
          </cell>
          <cell r="K311">
            <v>0</v>
          </cell>
          <cell r="L311">
            <v>56.926518403328231</v>
          </cell>
          <cell r="M311">
            <v>9.3067704604862751</v>
          </cell>
          <cell r="N311">
            <v>33.76671113618702</v>
          </cell>
          <cell r="P311" t="str">
            <v>Food Waste</v>
          </cell>
          <cell r="Q311">
            <v>55.998049546972261</v>
          </cell>
          <cell r="R311">
            <v>0</v>
          </cell>
        </row>
        <row r="312">
          <cell r="I312" t="str">
            <v>Corrugated Containers</v>
          </cell>
          <cell r="J312">
            <v>37.646199292316325</v>
          </cell>
          <cell r="K312">
            <v>0</v>
          </cell>
          <cell r="L312">
            <v>37.646199292316325</v>
          </cell>
          <cell r="M312">
            <v>18.806056884182095</v>
          </cell>
          <cell r="N312">
            <v>43.547743823502039</v>
          </cell>
          <cell r="P312" t="str">
            <v>Corrugated Containers</v>
          </cell>
          <cell r="Q312">
            <v>41.173876205446362</v>
          </cell>
          <cell r="R312">
            <v>0</v>
          </cell>
        </row>
        <row r="313">
          <cell r="I313" t="str">
            <v>Magazines/Third-class Mail</v>
          </cell>
          <cell r="J313">
            <v>56.655104971720071</v>
          </cell>
          <cell r="K313">
            <v>0</v>
          </cell>
          <cell r="L313">
            <v>56.655104971720071</v>
          </cell>
          <cell r="M313">
            <v>9.6665026860508991</v>
          </cell>
          <cell r="N313">
            <v>33.678392342226964</v>
          </cell>
          <cell r="P313" t="str">
            <v>Magazines/Third-class Mail</v>
          </cell>
          <cell r="Q313">
            <v>56.493260215045147</v>
          </cell>
          <cell r="R313">
            <v>0</v>
          </cell>
        </row>
        <row r="314">
          <cell r="I314" t="str">
            <v>Newspaper</v>
          </cell>
          <cell r="J314">
            <v>43.623998835276559</v>
          </cell>
          <cell r="K314">
            <v>0</v>
          </cell>
          <cell r="L314">
            <v>43.623998835276559</v>
          </cell>
          <cell r="M314">
            <v>16.168161294273066</v>
          </cell>
          <cell r="N314">
            <v>40.207839870452162</v>
          </cell>
          <cell r="P314" t="str">
            <v>Newspaper</v>
          </cell>
          <cell r="Q314">
            <v>48.112459924956838</v>
          </cell>
          <cell r="R314">
            <v>0</v>
          </cell>
        </row>
        <row r="315">
          <cell r="I315" t="str">
            <v>Office Paper</v>
          </cell>
          <cell r="J315">
            <v>41.943544074551568</v>
          </cell>
          <cell r="K315">
            <v>0</v>
          </cell>
          <cell r="L315">
            <v>41.943544074551568</v>
          </cell>
          <cell r="M315">
            <v>16.915373415522858</v>
          </cell>
          <cell r="N315">
            <v>41.141082509924722</v>
          </cell>
          <cell r="P315" t="str">
            <v>Office Paper</v>
          </cell>
          <cell r="Q315">
            <v>46.324753803488811</v>
          </cell>
          <cell r="R315">
            <v>0</v>
          </cell>
        </row>
        <row r="316">
          <cell r="I316" t="str">
            <v>Phonebooks</v>
          </cell>
          <cell r="J316">
            <v>43.623998835276559</v>
          </cell>
          <cell r="K316">
            <v>0</v>
          </cell>
          <cell r="L316">
            <v>43.623998835276559</v>
          </cell>
          <cell r="M316">
            <v>16.168161294273066</v>
          </cell>
          <cell r="N316">
            <v>40.207839870452162</v>
          </cell>
          <cell r="P316" t="str">
            <v>Phonebooks</v>
          </cell>
          <cell r="Q316">
            <v>48.112459924956838</v>
          </cell>
          <cell r="R316">
            <v>0</v>
          </cell>
        </row>
        <row r="317">
          <cell r="I317" t="str">
            <v>Mixed MSW</v>
          </cell>
          <cell r="J317">
            <v>46.213853187825571</v>
          </cell>
          <cell r="K317">
            <v>0</v>
          </cell>
          <cell r="L317">
            <v>46.213853187825571</v>
          </cell>
          <cell r="M317">
            <v>15.004448473106011</v>
          </cell>
          <cell r="N317">
            <v>38.781698339070466</v>
          </cell>
          <cell r="P317" t="str">
            <v>Mixed MSW</v>
          </cell>
          <cell r="Q317">
            <v>50.609936827001555</v>
          </cell>
          <cell r="R317">
            <v>0</v>
          </cell>
        </row>
        <row r="318">
          <cell r="I318" t="str">
            <v>Dimensional Lumber</v>
          </cell>
          <cell r="J318">
            <v>54.522581470717093</v>
          </cell>
          <cell r="K318">
            <v>0</v>
          </cell>
          <cell r="L318">
            <v>54.522581470717093</v>
          </cell>
          <cell r="M318">
            <v>11.024177923863601</v>
          </cell>
          <cell r="N318">
            <v>34.453240605420618</v>
          </cell>
          <cell r="P318" t="str">
            <v>Dimensional Lumber</v>
          </cell>
          <cell r="Q318">
            <v>56.306783918487071</v>
          </cell>
          <cell r="R318">
            <v>0</v>
          </cell>
        </row>
        <row r="319">
          <cell r="A319" t="str">
            <v>5Medium-density Fiberboard</v>
          </cell>
          <cell r="B319" t="str">
            <v>Medium-density Fiberboard</v>
          </cell>
          <cell r="C319">
            <v>42.436822323795617</v>
          </cell>
          <cell r="D319">
            <v>0</v>
          </cell>
          <cell r="E319">
            <v>42.436822323795617</v>
          </cell>
          <cell r="F319">
            <v>16.59609005789153</v>
          </cell>
          <cell r="G319">
            <v>40.967087618314146</v>
          </cell>
          <cell r="I319" t="str">
            <v>Medium-density Fiberboard</v>
          </cell>
          <cell r="J319">
            <v>52.225391617099667</v>
          </cell>
          <cell r="K319">
            <v>0</v>
          </cell>
          <cell r="L319">
            <v>52.225391617099667</v>
          </cell>
          <cell r="M319">
            <v>12.197036833363141</v>
          </cell>
          <cell r="N319">
            <v>35.577571549536358</v>
          </cell>
          <cell r="P319" t="str">
            <v>Medium-density Fiberboard</v>
          </cell>
          <cell r="Q319">
            <v>55.155164446812122</v>
          </cell>
          <cell r="R319">
            <v>0</v>
          </cell>
          <cell r="S319">
            <v>55.155164446812122</v>
          </cell>
        </row>
        <row r="320">
          <cell r="A320" t="str">
            <v>5Wood Flooring</v>
          </cell>
          <cell r="B320" t="str">
            <v>Wood Flooring</v>
          </cell>
          <cell r="C320">
            <v>35.455390306927661</v>
          </cell>
          <cell r="D320">
            <v>0</v>
          </cell>
          <cell r="E320">
            <v>35.455390306927661</v>
          </cell>
          <cell r="F320">
            <v>19.735831526763505</v>
          </cell>
          <cell r="G320">
            <v>44.80877816630921</v>
          </cell>
          <cell r="I320" t="str">
            <v>Wood Flooring</v>
          </cell>
          <cell r="J320">
            <v>43.499941060227336</v>
          </cell>
          <cell r="K320">
            <v>0</v>
          </cell>
          <cell r="L320">
            <v>43.499941060227336</v>
          </cell>
          <cell r="M320">
            <v>16.223510200598927</v>
          </cell>
          <cell r="N320">
            <v>40.27654873917507</v>
          </cell>
          <cell r="P320" t="str">
            <v>Wood Flooring</v>
          </cell>
          <cell r="Q320">
            <v>47.984962506020004</v>
          </cell>
          <cell r="R320">
            <v>0</v>
          </cell>
          <cell r="S320">
            <v>47.984962506020004</v>
          </cell>
        </row>
        <row r="322">
          <cell r="A322">
            <v>6</v>
          </cell>
          <cell r="B322" t="str">
            <v>Typical</v>
          </cell>
          <cell r="I322" t="str">
            <v>Typical</v>
          </cell>
          <cell r="P322" t="str">
            <v>Typical</v>
          </cell>
        </row>
        <row r="323">
          <cell r="B323" t="str">
            <v>Material</v>
          </cell>
          <cell r="C323" t="str">
            <v>Methane Flared (m3/yr)</v>
          </cell>
          <cell r="D323" t="str">
            <v>Methane to Beneficial Use (m3/yr)</v>
          </cell>
          <cell r="E323" t="str">
            <v>Methane Treated (m3/yr)</v>
          </cell>
          <cell r="F323" t="str">
            <v>Methane Oxidized (m3/yr)</v>
          </cell>
          <cell r="G323" t="str">
            <v>Methane Emitted</v>
          </cell>
          <cell r="I323" t="str">
            <v>Material</v>
          </cell>
          <cell r="J323" t="str">
            <v>Methane Flared (m3/yr)</v>
          </cell>
          <cell r="K323" t="str">
            <v>Methane to Beneficial Use (m3/yr)</v>
          </cell>
          <cell r="L323" t="str">
            <v>Methane Treated (m3/yr)</v>
          </cell>
          <cell r="M323" t="str">
            <v>Methane Oxidized (m3/yr)</v>
          </cell>
          <cell r="N323" t="str">
            <v>Methane Emitted</v>
          </cell>
          <cell r="P323" t="str">
            <v>Material</v>
          </cell>
          <cell r="Q323" t="str">
            <v>Methane Flared (m3/yr)</v>
          </cell>
          <cell r="R323" t="str">
            <v>Methane to Beneficial Use (m3/yr)</v>
          </cell>
          <cell r="S323" t="str">
            <v>Methane Treated (m3/yr)</v>
          </cell>
        </row>
        <row r="324">
          <cell r="A324" t="str">
            <v>6Branches</v>
          </cell>
          <cell r="B324" t="str">
            <v>Branches</v>
          </cell>
          <cell r="C324">
            <v>30.384836340918024</v>
          </cell>
          <cell r="D324">
            <v>0</v>
          </cell>
          <cell r="E324">
            <v>30.384836340918024</v>
          </cell>
          <cell r="F324">
            <v>21.801792543289793</v>
          </cell>
          <cell r="G324">
            <v>47.813371115793331</v>
          </cell>
          <cell r="I324" t="str">
            <v>Branches</v>
          </cell>
          <cell r="J324">
            <v>34.150241856308973</v>
          </cell>
          <cell r="K324">
            <v>0</v>
          </cell>
          <cell r="L324">
            <v>34.150241856308973</v>
          </cell>
          <cell r="M324">
            <v>20.08192949939248</v>
          </cell>
          <cell r="N324">
            <v>45.76782864430043</v>
          </cell>
          <cell r="P324" t="str">
            <v>Branches</v>
          </cell>
          <cell r="Q324">
            <v>36.869297023635703</v>
          </cell>
          <cell r="R324">
            <v>0</v>
          </cell>
          <cell r="S324">
            <v>36.869297023635653</v>
          </cell>
        </row>
        <row r="325">
          <cell r="A325" t="str">
            <v>6Grass</v>
          </cell>
          <cell r="B325" t="str">
            <v>Grass</v>
          </cell>
          <cell r="C325">
            <v>52.196670002540735</v>
          </cell>
          <cell r="D325">
            <v>0</v>
          </cell>
          <cell r="E325">
            <v>52.196670002540735</v>
          </cell>
          <cell r="F325">
            <v>10.038634905160668</v>
          </cell>
          <cell r="G325">
            <v>37.764695092300286</v>
          </cell>
          <cell r="I325" t="str">
            <v>Grass</v>
          </cell>
          <cell r="J325">
            <v>48.525670255611423</v>
          </cell>
          <cell r="K325">
            <v>0</v>
          </cell>
          <cell r="L325">
            <v>48.525670255611423</v>
          </cell>
          <cell r="M325">
            <v>9.6616040808213786</v>
          </cell>
          <cell r="N325">
            <v>41.812725663568671</v>
          </cell>
          <cell r="P325" t="str">
            <v>Grass</v>
          </cell>
          <cell r="Q325">
            <v>44.483485402651617</v>
          </cell>
          <cell r="R325">
            <v>0</v>
          </cell>
          <cell r="S325">
            <v>44.483485402651617</v>
          </cell>
        </row>
        <row r="326">
          <cell r="A326" t="str">
            <v>6Leaves</v>
          </cell>
          <cell r="B326" t="str">
            <v>Leaves</v>
          </cell>
          <cell r="C326">
            <v>51.219104137932369</v>
          </cell>
          <cell r="D326">
            <v>0</v>
          </cell>
          <cell r="E326">
            <v>51.219104137932369</v>
          </cell>
          <cell r="F326">
            <v>11.537375020074231</v>
          </cell>
          <cell r="G326">
            <v>37.243520841992975</v>
          </cell>
          <cell r="I326" t="str">
            <v>Leaves</v>
          </cell>
          <cell r="J326">
            <v>52.426250884025727</v>
          </cell>
          <cell r="K326">
            <v>0</v>
          </cell>
          <cell r="L326">
            <v>52.426250884025727</v>
          </cell>
          <cell r="M326">
            <v>9.6993208439372616</v>
          </cell>
          <cell r="N326">
            <v>37.874428272035985</v>
          </cell>
          <cell r="P326" t="str">
            <v>Leaves</v>
          </cell>
          <cell r="Q326">
            <v>50.191654915418681</v>
          </cell>
          <cell r="R326">
            <v>0</v>
          </cell>
          <cell r="S326">
            <v>50.191654915418681</v>
          </cell>
        </row>
        <row r="327">
          <cell r="A327" t="str">
            <v>6Food Waste</v>
          </cell>
          <cell r="B327" t="str">
            <v>Food Waste</v>
          </cell>
          <cell r="C327">
            <v>50.077052027018823</v>
          </cell>
          <cell r="D327">
            <v>0</v>
          </cell>
          <cell r="E327">
            <v>50.077052027018823</v>
          </cell>
          <cell r="F327">
            <v>12.273553689448407</v>
          </cell>
          <cell r="G327">
            <v>37.649394283533972</v>
          </cell>
          <cell r="I327" t="str">
            <v>Food Waste</v>
          </cell>
          <cell r="J327">
            <v>52.9446907764084</v>
          </cell>
          <cell r="K327">
            <v>0</v>
          </cell>
          <cell r="L327">
            <v>52.9446907764084</v>
          </cell>
          <cell r="M327">
            <v>9.9046144938357799</v>
          </cell>
          <cell r="N327">
            <v>37.150694729757319</v>
          </cell>
          <cell r="P327" t="str">
            <v>Food Waste</v>
          </cell>
          <cell r="Q327">
            <v>51.491877127154375</v>
          </cell>
          <cell r="R327">
            <v>0</v>
          </cell>
          <cell r="S327">
            <v>51.491877127154375</v>
          </cell>
        </row>
        <row r="328">
          <cell r="A328" t="str">
            <v>6Corrugated Containers</v>
          </cell>
          <cell r="B328" t="str">
            <v>Corrugated Containers</v>
          </cell>
          <cell r="C328">
            <v>31.656912550657147</v>
          </cell>
          <cell r="D328">
            <v>0</v>
          </cell>
          <cell r="E328">
            <v>31.656912550657147</v>
          </cell>
          <cell r="F328">
            <v>21.22818154385719</v>
          </cell>
          <cell r="G328">
            <v>47.114905905485742</v>
          </cell>
          <cell r="I328" t="str">
            <v>Corrugated Containers</v>
          </cell>
          <cell r="J328">
            <v>36.652146527552866</v>
          </cell>
          <cell r="K328">
            <v>0</v>
          </cell>
          <cell r="L328">
            <v>36.652146527552866</v>
          </cell>
          <cell r="M328">
            <v>18.958993086581209</v>
          </cell>
          <cell r="N328">
            <v>44.38886038586638</v>
          </cell>
          <cell r="P328" t="str">
            <v>Corrugated Containers</v>
          </cell>
          <cell r="Q328">
            <v>40.267296543751485</v>
          </cell>
          <cell r="R328">
            <v>0</v>
          </cell>
          <cell r="S328">
            <v>40.267296543751485</v>
          </cell>
        </row>
        <row r="329">
          <cell r="A329" t="str">
            <v>6Magazines/Third-class Mail</v>
          </cell>
          <cell r="B329" t="str">
            <v>Magazines/Third-class Mail</v>
          </cell>
          <cell r="C329">
            <v>48.644829315758784</v>
          </cell>
          <cell r="D329">
            <v>0</v>
          </cell>
          <cell r="E329">
            <v>48.644829315758784</v>
          </cell>
          <cell r="F329">
            <v>13.09137888321222</v>
          </cell>
          <cell r="G329">
            <v>38.263791801028837</v>
          </cell>
          <cell r="I329" t="str">
            <v>Magazines/Third-class Mail</v>
          </cell>
          <cell r="J329">
            <v>53.073776508804869</v>
          </cell>
          <cell r="K329">
            <v>0</v>
          </cell>
          <cell r="L329">
            <v>53.073776508804869</v>
          </cell>
          <cell r="M329">
            <v>10.215229567326288</v>
          </cell>
          <cell r="N329">
            <v>36.710993923866646</v>
          </cell>
          <cell r="P329" t="str">
            <v>Magazines/Third-class Mail</v>
          </cell>
          <cell r="Q329">
            <v>52.449126539531086</v>
          </cell>
          <cell r="R329">
            <v>0</v>
          </cell>
          <cell r="S329">
            <v>52.449126539531086</v>
          </cell>
        </row>
        <row r="330">
          <cell r="A330" t="str">
            <v>6Newspaper</v>
          </cell>
          <cell r="B330" t="str">
            <v>Newspaper</v>
          </cell>
          <cell r="C330">
            <v>34.862962269196402</v>
          </cell>
          <cell r="D330">
            <v>0</v>
          </cell>
          <cell r="E330">
            <v>34.862962269196402</v>
          </cell>
          <cell r="F330">
            <v>19.770534219825436</v>
          </cell>
          <cell r="G330">
            <v>45.366503510978809</v>
          </cell>
          <cell r="I330" t="str">
            <v>Newspaper</v>
          </cell>
          <cell r="J330">
            <v>42.226518721716928</v>
          </cell>
          <cell r="K330">
            <v>0</v>
          </cell>
          <cell r="L330">
            <v>42.226518721716928</v>
          </cell>
          <cell r="M330">
            <v>16.402182534250336</v>
          </cell>
          <cell r="N330">
            <v>41.371298744034426</v>
          </cell>
          <cell r="P330" t="str">
            <v>Newspaper</v>
          </cell>
          <cell r="Q330">
            <v>46.749848818458908</v>
          </cell>
          <cell r="R330">
            <v>0</v>
          </cell>
          <cell r="S330">
            <v>46.749848818458908</v>
          </cell>
        </row>
        <row r="331">
          <cell r="A331" t="str">
            <v>6Office Paper</v>
          </cell>
          <cell r="B331" t="str">
            <v>Office Paper</v>
          </cell>
          <cell r="C331">
            <v>33.896986910479484</v>
          </cell>
          <cell r="D331">
            <v>0</v>
          </cell>
          <cell r="E331">
            <v>33.896986910479484</v>
          </cell>
          <cell r="F331">
            <v>20.211667836416446</v>
          </cell>
          <cell r="G331">
            <v>45.891345253104063</v>
          </cell>
          <cell r="I331" t="str">
            <v>Office Paper</v>
          </cell>
          <cell r="J331">
            <v>40.669578245458929</v>
          </cell>
          <cell r="K331">
            <v>0</v>
          </cell>
          <cell r="L331">
            <v>40.669578245458929</v>
          </cell>
          <cell r="M331">
            <v>17.125869441404024</v>
          </cell>
          <cell r="N331">
            <v>42.204552313136304</v>
          </cell>
          <cell r="P331" t="str">
            <v>Office Paper</v>
          </cell>
          <cell r="Q331">
            <v>45.104552341030292</v>
          </cell>
          <cell r="R331">
            <v>0</v>
          </cell>
          <cell r="S331">
            <v>45.104552341030292</v>
          </cell>
        </row>
        <row r="332">
          <cell r="A332" t="str">
            <v>6Phonebooks</v>
          </cell>
          <cell r="B332" t="str">
            <v>Phonebooks</v>
          </cell>
          <cell r="C332">
            <v>34.862962269196402</v>
          </cell>
          <cell r="D332">
            <v>0</v>
          </cell>
          <cell r="E332">
            <v>34.862962269196402</v>
          </cell>
          <cell r="F332">
            <v>19.770534219825436</v>
          </cell>
          <cell r="G332">
            <v>45.366503510978809</v>
          </cell>
          <cell r="I332" t="str">
            <v>Phonebooks</v>
          </cell>
          <cell r="J332">
            <v>42.226518721716928</v>
          </cell>
          <cell r="K332">
            <v>0</v>
          </cell>
          <cell r="L332">
            <v>42.226518721716928</v>
          </cell>
          <cell r="M332">
            <v>16.402182534250336</v>
          </cell>
          <cell r="N332">
            <v>41.371298744034426</v>
          </cell>
          <cell r="P332" t="str">
            <v>Phonebooks</v>
          </cell>
          <cell r="Q332">
            <v>46.749848818458908</v>
          </cell>
          <cell r="R332">
            <v>0</v>
          </cell>
          <cell r="S332">
            <v>46.749848818458908</v>
          </cell>
        </row>
        <row r="333">
          <cell r="A333" t="str">
            <v>6Mixed MSW</v>
          </cell>
          <cell r="B333" t="str">
            <v>Mixed MSW</v>
          </cell>
          <cell r="C333">
            <v>36.496788925818556</v>
          </cell>
          <cell r="D333">
            <v>0</v>
          </cell>
          <cell r="E333">
            <v>36.496788925818556</v>
          </cell>
          <cell r="F333">
            <v>19.020079990406998</v>
          </cell>
          <cell r="G333">
            <v>44.483131083774971</v>
          </cell>
          <cell r="I333" t="str">
            <v>Mixed MSW</v>
          </cell>
          <cell r="J333">
            <v>44.604177326322635</v>
          </cell>
          <cell r="K333">
            <v>0</v>
          </cell>
          <cell r="L333">
            <v>44.604177326322635</v>
          </cell>
          <cell r="M333">
            <v>15.276546432284155</v>
          </cell>
          <cell r="N333">
            <v>40.119276241395106</v>
          </cell>
          <cell r="P333" t="str">
            <v>Mixed MSW</v>
          </cell>
          <cell r="Q333">
            <v>48.997961033583429</v>
          </cell>
          <cell r="R333">
            <v>0</v>
          </cell>
          <cell r="S333">
            <v>48.997961033583429</v>
          </cell>
        </row>
        <row r="334">
          <cell r="A334" t="str">
            <v>6Dimensional Lumber</v>
          </cell>
          <cell r="B334" t="str">
            <v>Dimensional Lumber</v>
          </cell>
          <cell r="C334">
            <v>44.32515083859257</v>
          </cell>
          <cell r="D334">
            <v>0</v>
          </cell>
          <cell r="E334">
            <v>44.32515083859257</v>
          </cell>
          <cell r="F334">
            <v>15.311966472250017</v>
          </cell>
          <cell r="G334">
            <v>40.362882689159107</v>
          </cell>
          <cell r="I334" t="str">
            <v>Dimensional Lumber</v>
          </cell>
          <cell r="J334">
            <v>51.792548903154398</v>
          </cell>
          <cell r="K334">
            <v>0</v>
          </cell>
          <cell r="L334">
            <v>51.792548903154398</v>
          </cell>
          <cell r="M334">
            <v>11.463698525444988</v>
          </cell>
          <cell r="N334">
            <v>36.743752571401863</v>
          </cell>
          <cell r="P334" t="str">
            <v>Dimensional Lumber</v>
          </cell>
          <cell r="Q334">
            <v>53.309418305398239</v>
          </cell>
          <cell r="R334">
            <v>0</v>
          </cell>
          <cell r="S334">
            <v>53.309418305398239</v>
          </cell>
        </row>
        <row r="335">
          <cell r="A335" t="str">
            <v>6Medium-density Fiberboard</v>
          </cell>
          <cell r="B335" t="str">
            <v>Medium-density Fiberboard</v>
          </cell>
          <cell r="C335">
            <v>41.486797997355026</v>
          </cell>
          <cell r="D335">
            <v>0</v>
          </cell>
          <cell r="E335">
            <v>41.486797997355026</v>
          </cell>
          <cell r="F335">
            <v>16.684461411408513</v>
          </cell>
          <cell r="G335">
            <v>41.828740591237967</v>
          </cell>
          <cell r="I335" t="str">
            <v>Medium-density Fiberboard</v>
          </cell>
          <cell r="J335">
            <v>49.932444462930505</v>
          </cell>
          <cell r="K335">
            <v>0</v>
          </cell>
          <cell r="L335">
            <v>49.932444462930505</v>
          </cell>
          <cell r="M335">
            <v>12.576191456069239</v>
          </cell>
          <cell r="N335">
            <v>37.491364080999368</v>
          </cell>
          <cell r="P335" t="str">
            <v>Medium-density Fiberboard</v>
          </cell>
          <cell r="Q335">
            <v>52.707246597685909</v>
          </cell>
          <cell r="R335">
            <v>0</v>
          </cell>
          <cell r="S335">
            <v>52.707246597685909</v>
          </cell>
        </row>
        <row r="336">
          <cell r="A336" t="str">
            <v>6Wood Flooring</v>
          </cell>
          <cell r="B336" t="str">
            <v>Wood Flooring</v>
          </cell>
          <cell r="C336">
            <v>34.789429771033923</v>
          </cell>
          <cell r="D336">
            <v>0</v>
          </cell>
          <cell r="E336">
            <v>34.789429771033923</v>
          </cell>
          <cell r="F336">
            <v>19.804178208954436</v>
          </cell>
          <cell r="G336">
            <v>45.406392020011936</v>
          </cell>
          <cell r="I336" t="str">
            <v>Wood Flooring</v>
          </cell>
          <cell r="J336">
            <v>42.111914736569467</v>
          </cell>
          <cell r="K336">
            <v>0</v>
          </cell>
          <cell r="L336">
            <v>42.111914736569467</v>
          </cell>
          <cell r="M336">
            <v>16.455768025051835</v>
          </cell>
          <cell r="N336">
            <v>41.432317238380044</v>
          </cell>
          <cell r="P336" t="str">
            <v>Wood Flooring</v>
          </cell>
          <cell r="Q336">
            <v>46.633326281000024</v>
          </cell>
          <cell r="R336">
            <v>0</v>
          </cell>
          <cell r="S336">
            <v>46.633326281000024</v>
          </cell>
        </row>
        <row r="338">
          <cell r="A338">
            <v>7</v>
          </cell>
          <cell r="B338" t="str">
            <v>Worst Case</v>
          </cell>
          <cell r="I338" t="str">
            <v>Worst Case</v>
          </cell>
          <cell r="P338" t="str">
            <v>Worst Case</v>
          </cell>
        </row>
        <row r="339">
          <cell r="B339" t="str">
            <v>Material</v>
          </cell>
          <cell r="C339" t="str">
            <v>Methane Flared (m3/yr)</v>
          </cell>
          <cell r="D339" t="str">
            <v>Methane to Beneficial Use (m3/yr)</v>
          </cell>
          <cell r="E339" t="str">
            <v>Methane Treated (m3/yr)</v>
          </cell>
          <cell r="F339" t="str">
            <v>Methane Oxidized (m3/yr)</v>
          </cell>
          <cell r="G339" t="str">
            <v>Methane Emitted</v>
          </cell>
          <cell r="I339" t="str">
            <v>Material</v>
          </cell>
          <cell r="J339" t="str">
            <v>Methane Flared (m3/yr)</v>
          </cell>
          <cell r="K339" t="str">
            <v>Methane to Beneficial Use (m3/yr)</v>
          </cell>
          <cell r="L339" t="str">
            <v>Methane Treated (m3/yr)</v>
          </cell>
          <cell r="M339" t="str">
            <v>Methane Oxidized (m3/yr)</v>
          </cell>
          <cell r="N339" t="str">
            <v>Methane Emitted</v>
          </cell>
          <cell r="P339" t="str">
            <v>Material</v>
          </cell>
          <cell r="Q339" t="str">
            <v>Methane Flared (m3/yr)</v>
          </cell>
          <cell r="R339" t="str">
            <v>Methane to Beneficial Use (m3/yr)</v>
          </cell>
          <cell r="S339" t="str">
            <v>Methane Treated (m3/yr)</v>
          </cell>
        </row>
        <row r="340">
          <cell r="A340" t="str">
            <v>7Branches</v>
          </cell>
          <cell r="B340" t="str">
            <v>Branches</v>
          </cell>
          <cell r="C340">
            <v>28.951585481421244</v>
          </cell>
          <cell r="D340">
            <v>0</v>
          </cell>
          <cell r="E340">
            <v>28.951585481421244</v>
          </cell>
          <cell r="F340">
            <v>21.831508023441629</v>
          </cell>
          <cell r="G340">
            <v>49.216906495138218</v>
          </cell>
          <cell r="I340" t="str">
            <v>Branches</v>
          </cell>
          <cell r="J340">
            <v>32.624667438870979</v>
          </cell>
          <cell r="K340">
            <v>0</v>
          </cell>
          <cell r="L340">
            <v>32.624667438870979</v>
          </cell>
          <cell r="M340">
            <v>19.921996792810795</v>
          </cell>
          <cell r="N340">
            <v>47.453335768320024</v>
          </cell>
          <cell r="P340" t="str">
            <v>Branches</v>
          </cell>
          <cell r="Q340">
            <v>34.083633320532044</v>
          </cell>
          <cell r="R340">
            <v>0</v>
          </cell>
          <cell r="S340">
            <v>34.083633320532044</v>
          </cell>
        </row>
        <row r="341">
          <cell r="A341" t="str">
            <v>7Grass</v>
          </cell>
          <cell r="B341" t="str">
            <v>Grass</v>
          </cell>
          <cell r="C341">
            <v>40.249806018519671</v>
          </cell>
          <cell r="D341">
            <v>0</v>
          </cell>
          <cell r="E341">
            <v>40.249806018519671</v>
          </cell>
          <cell r="F341">
            <v>10.131081662514802</v>
          </cell>
          <cell r="G341">
            <v>49.619112318967311</v>
          </cell>
          <cell r="I341" t="str">
            <v>Grass</v>
          </cell>
          <cell r="J341">
            <v>29.69913106393691</v>
          </cell>
          <cell r="K341">
            <v>0</v>
          </cell>
          <cell r="L341">
            <v>29.69913106393691</v>
          </cell>
          <cell r="M341">
            <v>9.7255489383812392</v>
          </cell>
          <cell r="N341">
            <v>60.57531999768333</v>
          </cell>
          <cell r="P341" t="str">
            <v>Grass</v>
          </cell>
          <cell r="Q341">
            <v>21.567631121478371</v>
          </cell>
          <cell r="R341">
            <v>0</v>
          </cell>
          <cell r="S341">
            <v>21.567631121478371</v>
          </cell>
        </row>
        <row r="342">
          <cell r="A342" t="str">
            <v>7Leaves</v>
          </cell>
          <cell r="B342" t="str">
            <v>Leaves</v>
          </cell>
          <cell r="C342">
            <v>43.648409809229726</v>
          </cell>
          <cell r="D342">
            <v>0</v>
          </cell>
          <cell r="E342">
            <v>43.648409809229726</v>
          </cell>
          <cell r="F342">
            <v>11.58691516185467</v>
          </cell>
          <cell r="G342">
            <v>44.764675028915228</v>
          </cell>
          <cell r="I342" t="str">
            <v>Leaves</v>
          </cell>
          <cell r="J342">
            <v>39.287786711890234</v>
          </cell>
          <cell r="K342">
            <v>0</v>
          </cell>
          <cell r="L342">
            <v>39.287786711890234</v>
          </cell>
          <cell r="M342">
            <v>9.7706138574999137</v>
          </cell>
          <cell r="N342">
            <v>50.941599430608797</v>
          </cell>
          <cell r="P342" t="str">
            <v>Leaves</v>
          </cell>
          <cell r="Q342">
            <v>32.581636598940968</v>
          </cell>
          <cell r="R342">
            <v>0</v>
          </cell>
          <cell r="S342">
            <v>32.581636598940968</v>
          </cell>
        </row>
        <row r="343">
          <cell r="A343" t="str">
            <v>7Food Waste</v>
          </cell>
          <cell r="B343" t="str">
            <v>Food Waste</v>
          </cell>
          <cell r="C343">
            <v>43.565881951319255</v>
          </cell>
          <cell r="D343">
            <v>0</v>
          </cell>
          <cell r="E343">
            <v>43.565881951319255</v>
          </cell>
          <cell r="F343">
            <v>12.31390565243758</v>
          </cell>
          <cell r="G343">
            <v>44.120212396244277</v>
          </cell>
          <cell r="I343" t="str">
            <v>Food Waste</v>
          </cell>
          <cell r="J343">
            <v>41.430898718011356</v>
          </cell>
          <cell r="K343">
            <v>0</v>
          </cell>
          <cell r="L343">
            <v>41.430898718011356</v>
          </cell>
          <cell r="M343">
            <v>9.9562009723128959</v>
          </cell>
          <cell r="N343">
            <v>48.612900309677215</v>
          </cell>
          <cell r="P343" t="str">
            <v>Food Waste</v>
          </cell>
          <cell r="Q343">
            <v>35.61868119061716</v>
          </cell>
          <cell r="R343">
            <v>0</v>
          </cell>
          <cell r="S343">
            <v>35.61868119061716</v>
          </cell>
        </row>
        <row r="344">
          <cell r="A344" t="str">
            <v>7Corrugated Containers</v>
          </cell>
          <cell r="B344" t="str">
            <v>Corrugated Containers</v>
          </cell>
          <cell r="C344">
            <v>30.071754087506296</v>
          </cell>
          <cell r="D344">
            <v>0</v>
          </cell>
          <cell r="E344">
            <v>30.071754087506296</v>
          </cell>
          <cell r="F344">
            <v>21.257206622033891</v>
          </cell>
          <cell r="G344">
            <v>48.671039290459852</v>
          </cell>
          <cell r="I344" t="str">
            <v>Corrugated Containers</v>
          </cell>
          <cell r="J344">
            <v>34.758062623409103</v>
          </cell>
          <cell r="K344">
            <v>0</v>
          </cell>
          <cell r="L344">
            <v>34.758062623409103</v>
          </cell>
          <cell r="M344">
            <v>18.809074429584282</v>
          </cell>
          <cell r="N344">
            <v>46.432862947007067</v>
          </cell>
          <cell r="P344" t="str">
            <v>Corrugated Containers</v>
          </cell>
          <cell r="Q344">
            <v>36.877874437410263</v>
          </cell>
          <cell r="R344">
            <v>0</v>
          </cell>
          <cell r="S344">
            <v>36.877874437410263</v>
          </cell>
        </row>
        <row r="345">
          <cell r="A345" t="str">
            <v>7Magazines/Third-class Mail</v>
          </cell>
          <cell r="B345" t="str">
            <v>Magazines/Third-class Mail</v>
          </cell>
          <cell r="C345">
            <v>43.027225037818425</v>
          </cell>
          <cell r="D345">
            <v>0</v>
          </cell>
          <cell r="E345">
            <v>43.027225037818425</v>
          </cell>
          <cell r="F345">
            <v>13.125416638210375</v>
          </cell>
          <cell r="G345">
            <v>43.847358323971072</v>
          </cell>
          <cell r="I345" t="str">
            <v>Magazines/Third-class Mail</v>
          </cell>
          <cell r="J345">
            <v>43.015788150293147</v>
          </cell>
          <cell r="K345">
            <v>0</v>
          </cell>
          <cell r="L345">
            <v>43.015788150293147</v>
          </cell>
          <cell r="M345">
            <v>10.243957787877655</v>
          </cell>
          <cell r="N345">
            <v>46.740254061827066</v>
          </cell>
          <cell r="P345" t="str">
            <v>Magazines/Third-class Mail</v>
          </cell>
          <cell r="Q345">
            <v>38.211021015015966</v>
          </cell>
          <cell r="R345">
            <v>0</v>
          </cell>
          <cell r="S345">
            <v>38.211021015015966</v>
          </cell>
        </row>
        <row r="346">
          <cell r="A346" t="str">
            <v>7Newspaper</v>
          </cell>
          <cell r="B346" t="str">
            <v>Newspaper</v>
          </cell>
          <cell r="C346">
            <v>32.845403364367428</v>
          </cell>
          <cell r="D346">
            <v>0</v>
          </cell>
          <cell r="E346">
            <v>32.845403364367428</v>
          </cell>
          <cell r="F346">
            <v>19.798000379408556</v>
          </cell>
          <cell r="G346">
            <v>47.35659625622479</v>
          </cell>
          <cell r="I346" t="str">
            <v>Newspaper</v>
          </cell>
          <cell r="J346">
            <v>39.27964246841664</v>
          </cell>
          <cell r="K346">
            <v>0</v>
          </cell>
          <cell r="L346">
            <v>39.27964246841664</v>
          </cell>
          <cell r="M346">
            <v>16.279255143318355</v>
          </cell>
          <cell r="N346">
            <v>44.441102388266664</v>
          </cell>
          <cell r="P346" t="str">
            <v>Newspaper</v>
          </cell>
          <cell r="Q346">
            <v>41.706641064208341</v>
          </cell>
          <cell r="R346">
            <v>0</v>
          </cell>
          <cell r="S346">
            <v>41.706641064208341</v>
          </cell>
        </row>
        <row r="347">
          <cell r="A347" t="str">
            <v>7Office Paper</v>
          </cell>
          <cell r="B347" t="str">
            <v>Office Paper</v>
          </cell>
          <cell r="C347">
            <v>32.017815462974617</v>
          </cell>
          <cell r="D347">
            <v>0</v>
          </cell>
          <cell r="E347">
            <v>32.017815462974617</v>
          </cell>
          <cell r="F347">
            <v>20.239570677559996</v>
          </cell>
          <cell r="G347">
            <v>47.742613859465486</v>
          </cell>
          <cell r="I347" t="str">
            <v>Office Paper</v>
          </cell>
          <cell r="J347">
            <v>38.057339459858262</v>
          </cell>
          <cell r="K347">
            <v>0</v>
          </cell>
          <cell r="L347">
            <v>38.057339459858262</v>
          </cell>
          <cell r="M347">
            <v>16.994572630580446</v>
          </cell>
          <cell r="N347">
            <v>44.948087909560414</v>
          </cell>
          <cell r="P347" t="str">
            <v>Office Paper</v>
          </cell>
          <cell r="Q347">
            <v>40.573760582366702</v>
          </cell>
          <cell r="R347">
            <v>0</v>
          </cell>
          <cell r="S347">
            <v>40.573760582366702</v>
          </cell>
        </row>
        <row r="348">
          <cell r="I348" t="str">
            <v>Phonebooks</v>
          </cell>
          <cell r="J348">
            <v>39.27964246841664</v>
          </cell>
          <cell r="K348">
            <v>0</v>
          </cell>
          <cell r="L348">
            <v>39.27964246841664</v>
          </cell>
          <cell r="M348">
            <v>16.279255143318355</v>
          </cell>
          <cell r="N348">
            <v>44.441102388266664</v>
          </cell>
          <cell r="P348" t="str">
            <v>Phonebooks</v>
          </cell>
          <cell r="Q348">
            <v>41.706641064208341</v>
          </cell>
          <cell r="R348">
            <v>0</v>
          </cell>
        </row>
        <row r="349">
          <cell r="I349" t="str">
            <v>Mixed MSW</v>
          </cell>
          <cell r="J349">
            <v>41.059072635281595</v>
          </cell>
          <cell r="K349">
            <v>0</v>
          </cell>
          <cell r="L349">
            <v>41.059072635281595</v>
          </cell>
          <cell r="M349">
            <v>15.168209197486004</v>
          </cell>
          <cell r="N349">
            <v>43.772718167234231</v>
          </cell>
          <cell r="P349" t="str">
            <v>Mixed MSW</v>
          </cell>
          <cell r="Q349">
            <v>43.068041411059681</v>
          </cell>
          <cell r="R349">
            <v>0</v>
          </cell>
        </row>
        <row r="350">
          <cell r="I350" t="str">
            <v>Dimensional Lumber</v>
          </cell>
          <cell r="J350">
            <v>44.705020461027473</v>
          </cell>
          <cell r="K350">
            <v>0</v>
          </cell>
          <cell r="L350">
            <v>44.705020461027473</v>
          </cell>
          <cell r="M350">
            <v>11.435137295045571</v>
          </cell>
          <cell r="N350">
            <v>43.85984224392832</v>
          </cell>
          <cell r="P350" t="str">
            <v>Dimensional Lumber</v>
          </cell>
          <cell r="Q350">
            <v>42.63781870228123</v>
          </cell>
          <cell r="R350">
            <v>0</v>
          </cell>
        </row>
        <row r="351">
          <cell r="I351" t="str">
            <v>Medium-density Fiberboard</v>
          </cell>
          <cell r="J351">
            <v>44.290712438391353</v>
          </cell>
          <cell r="K351">
            <v>0</v>
          </cell>
          <cell r="L351">
            <v>44.290712438391353</v>
          </cell>
          <cell r="M351">
            <v>12.516287813844867</v>
          </cell>
          <cell r="N351">
            <v>43.192999747763039</v>
          </cell>
          <cell r="P351" t="str">
            <v>Medium-density Fiberboard</v>
          </cell>
          <cell r="Q351">
            <v>43.891361876433358</v>
          </cell>
          <cell r="R351">
            <v>0</v>
          </cell>
        </row>
        <row r="352">
          <cell r="I352" t="str">
            <v>Wood Flooring</v>
          </cell>
          <cell r="J352">
            <v>39.191015817864397</v>
          </cell>
          <cell r="K352">
            <v>0</v>
          </cell>
          <cell r="L352">
            <v>39.191015817864397</v>
          </cell>
          <cell r="M352">
            <v>16.332196777861562</v>
          </cell>
          <cell r="N352">
            <v>44.476787404275306</v>
          </cell>
          <cell r="P352" t="str">
            <v>Wood Flooring</v>
          </cell>
          <cell r="Q352">
            <v>41.629456000457026</v>
          </cell>
          <cell r="R352">
            <v>0</v>
          </cell>
        </row>
        <row r="354">
          <cell r="I354" t="str">
            <v>California</v>
          </cell>
          <cell r="P354" t="str">
            <v>California</v>
          </cell>
        </row>
        <row r="355">
          <cell r="I355" t="str">
            <v>Material</v>
          </cell>
          <cell r="J355" t="str">
            <v>Methane Flared (m3/yr)</v>
          </cell>
          <cell r="K355" t="str">
            <v>Methane to Beneficial Use (m3/yr)</v>
          </cell>
          <cell r="L355" t="str">
            <v>Methane Treated (m3/yr)</v>
          </cell>
          <cell r="M355" t="str">
            <v>Methane Oxidized (m3/yr)</v>
          </cell>
          <cell r="N355" t="str">
            <v>Methane Emitted</v>
          </cell>
          <cell r="P355" t="str">
            <v>Material</v>
          </cell>
          <cell r="Q355" t="str">
            <v>Methane Flared (m3/yr)</v>
          </cell>
          <cell r="R355" t="str">
            <v>Methane to Beneficial Use (m3/yr)</v>
          </cell>
        </row>
        <row r="356">
          <cell r="I356" t="str">
            <v>Branches</v>
          </cell>
          <cell r="J356">
            <v>71.477998140801574</v>
          </cell>
          <cell r="K356">
            <v>0</v>
          </cell>
          <cell r="L356">
            <v>71.477998140801574</v>
          </cell>
          <cell r="M356">
            <v>8.5593393828367361</v>
          </cell>
          <cell r="N356">
            <v>19.962662476363711</v>
          </cell>
          <cell r="P356" t="str">
            <v>Branches</v>
          </cell>
          <cell r="Q356">
            <v>67.93225926636272</v>
          </cell>
          <cell r="R356">
            <v>0</v>
          </cell>
        </row>
        <row r="357">
          <cell r="A357" t="str">
            <v>8Grass</v>
          </cell>
          <cell r="B357" t="str">
            <v>Grass</v>
          </cell>
          <cell r="C357">
            <v>70.908435693057072</v>
          </cell>
          <cell r="D357">
            <v>0</v>
          </cell>
          <cell r="E357">
            <v>70.908435693057072</v>
          </cell>
          <cell r="F357">
            <v>5.6849207264905344</v>
          </cell>
          <cell r="G357">
            <v>23.4066435804543</v>
          </cell>
          <cell r="I357" t="str">
            <v>Grass</v>
          </cell>
          <cell r="J357">
            <v>63.109440694330942</v>
          </cell>
          <cell r="K357">
            <v>0</v>
          </cell>
          <cell r="L357">
            <v>63.109440694330942</v>
          </cell>
          <cell r="M357">
            <v>6.5869532569358542</v>
          </cell>
          <cell r="N357">
            <v>30.303606048734689</v>
          </cell>
          <cell r="P357" t="str">
            <v>Grass</v>
          </cell>
          <cell r="Q357">
            <v>56.454920786486205</v>
          </cell>
          <cell r="R357">
            <v>0</v>
          </cell>
          <cell r="S357">
            <v>56.454920786486205</v>
          </cell>
        </row>
        <row r="358">
          <cell r="A358" t="str">
            <v>8Leaves</v>
          </cell>
          <cell r="B358" t="str">
            <v>Leaves</v>
          </cell>
          <cell r="C358">
            <v>74.697654514707196</v>
          </cell>
          <cell r="D358">
            <v>0</v>
          </cell>
          <cell r="E358">
            <v>74.697654514707196</v>
          </cell>
          <cell r="F358">
            <v>5.4371075398478323</v>
          </cell>
          <cell r="G358">
            <v>19.865237945444562</v>
          </cell>
          <cell r="I358" t="str">
            <v>Leaves</v>
          </cell>
          <cell r="J358">
            <v>70.352020459322162</v>
          </cell>
          <cell r="K358">
            <v>0</v>
          </cell>
          <cell r="L358">
            <v>70.352020459322162</v>
          </cell>
          <cell r="M358">
            <v>5.6577539170144906</v>
          </cell>
          <cell r="N358">
            <v>23.990225623662287</v>
          </cell>
          <cell r="P358" t="str">
            <v>Leaves</v>
          </cell>
          <cell r="Q358">
            <v>65.244404968450297</v>
          </cell>
          <cell r="R358">
            <v>0</v>
          </cell>
          <cell r="S358">
            <v>65.244404968450297</v>
          </cell>
        </row>
        <row r="359">
          <cell r="A359" t="str">
            <v>8Food Waste</v>
          </cell>
          <cell r="B359" t="str">
            <v>Food Waste</v>
          </cell>
          <cell r="C359">
            <v>75.315853012471706</v>
          </cell>
          <cell r="D359">
            <v>0</v>
          </cell>
          <cell r="E359">
            <v>75.315853012471706</v>
          </cell>
          <cell r="F359">
            <v>5.4906279218545189</v>
          </cell>
          <cell r="G359">
            <v>19.193519065675236</v>
          </cell>
          <cell r="I359" t="str">
            <v>Food Waste</v>
          </cell>
          <cell r="J359">
            <v>72.12657479854451</v>
          </cell>
          <cell r="K359">
            <v>0</v>
          </cell>
          <cell r="L359">
            <v>72.12657479854451</v>
          </cell>
          <cell r="M359">
            <v>5.450876824811413</v>
          </cell>
          <cell r="N359">
            <v>22.422548376645622</v>
          </cell>
          <cell r="P359" t="str">
            <v>Food Waste</v>
          </cell>
          <cell r="Q359">
            <v>67.51626219071963</v>
          </cell>
          <cell r="R359">
            <v>0</v>
          </cell>
          <cell r="S359">
            <v>67.51626219071963</v>
          </cell>
        </row>
        <row r="360">
          <cell r="A360" t="str">
            <v>8Corrugated Containers</v>
          </cell>
          <cell r="B360" t="str">
            <v>Corrugated Containers</v>
          </cell>
          <cell r="C360">
            <v>70.58618186447552</v>
          </cell>
          <cell r="D360">
            <v>0</v>
          </cell>
          <cell r="E360">
            <v>70.58618186447552</v>
          </cell>
          <cell r="F360">
            <v>8.6139315343470226</v>
          </cell>
          <cell r="G360">
            <v>20.799886601177356</v>
          </cell>
          <cell r="I360" t="str">
            <v>Corrugated Containers</v>
          </cell>
          <cell r="J360">
            <v>72.995832552904048</v>
          </cell>
          <cell r="K360">
            <v>0</v>
          </cell>
          <cell r="L360">
            <v>72.995832552904048</v>
          </cell>
          <cell r="M360">
            <v>7.884395603977211</v>
          </cell>
          <cell r="N360">
            <v>19.119771843119217</v>
          </cell>
          <cell r="P360" t="str">
            <v>Corrugated Containers</v>
          </cell>
          <cell r="Q360">
            <v>70.677559786638739</v>
          </cell>
          <cell r="R360">
            <v>0</v>
          </cell>
          <cell r="S360">
            <v>70.677559786638739</v>
          </cell>
        </row>
        <row r="361">
          <cell r="A361" t="str">
            <v>8Magazines/Third-class Mail</v>
          </cell>
          <cell r="B361" t="str">
            <v>Magazines/Third-class Mail</v>
          </cell>
          <cell r="C361">
            <v>75.645773245699147</v>
          </cell>
          <cell r="D361">
            <v>0</v>
          </cell>
          <cell r="E361">
            <v>75.645773245699147</v>
          </cell>
          <cell r="F361">
            <v>5.6099921604227445</v>
          </cell>
          <cell r="G361">
            <v>18.744234593877984</v>
          </cell>
          <cell r="I361" t="str">
            <v>Magazines/Third-class Mail</v>
          </cell>
          <cell r="J361">
            <v>73.615966550946595</v>
          </cell>
          <cell r="K361">
            <v>0</v>
          </cell>
          <cell r="L361">
            <v>73.615966550946595</v>
          </cell>
          <cell r="M361">
            <v>5.29680486011687</v>
          </cell>
          <cell r="N361">
            <v>21.087228588934384</v>
          </cell>
          <cell r="P361" t="str">
            <v>Magazines/Third-class Mail</v>
          </cell>
          <cell r="Q361">
            <v>69.487914437800441</v>
          </cell>
          <cell r="R361">
            <v>0</v>
          </cell>
          <cell r="S361">
            <v>69.487914437800441</v>
          </cell>
        </row>
        <row r="362">
          <cell r="A362" t="str">
            <v>8Newspaper</v>
          </cell>
          <cell r="B362" t="str">
            <v>Newspaper</v>
          </cell>
          <cell r="C362">
            <v>72.212889448093691</v>
          </cell>
          <cell r="D362">
            <v>0</v>
          </cell>
          <cell r="E362">
            <v>72.212889448093691</v>
          </cell>
          <cell r="F362">
            <v>7.8894540308686185</v>
          </cell>
          <cell r="G362">
            <v>19.897656521038378</v>
          </cell>
          <cell r="I362" t="str">
            <v>Newspaper</v>
          </cell>
          <cell r="J362">
            <v>75.674952315555331</v>
          </cell>
          <cell r="K362">
            <v>0</v>
          </cell>
          <cell r="L362">
            <v>75.674952315555331</v>
          </cell>
          <cell r="M362">
            <v>6.5676677860854573</v>
          </cell>
          <cell r="N362">
            <v>17.75737989836092</v>
          </cell>
          <cell r="P362" t="str">
            <v>Newspaper</v>
          </cell>
          <cell r="Q362">
            <v>74.5753532249703</v>
          </cell>
          <cell r="R362">
            <v>0</v>
          </cell>
          <cell r="S362">
            <v>74.5753532249703</v>
          </cell>
        </row>
        <row r="363">
          <cell r="A363" t="str">
            <v>8Office Paper</v>
          </cell>
          <cell r="B363" t="str">
            <v>Office Paper</v>
          </cell>
          <cell r="C363">
            <v>71.747827505037492</v>
          </cell>
          <cell r="D363">
            <v>0</v>
          </cell>
          <cell r="E363">
            <v>71.747827505037492</v>
          </cell>
          <cell r="F363">
            <v>8.1008777479675658</v>
          </cell>
          <cell r="G363">
            <v>20.151294746994829</v>
          </cell>
          <cell r="I363" t="str">
            <v>Office Paper</v>
          </cell>
          <cell r="J363">
            <v>75.034491941361594</v>
          </cell>
          <cell r="K363">
            <v>0</v>
          </cell>
          <cell r="L363">
            <v>75.034491941361594</v>
          </cell>
          <cell r="M363">
            <v>6.9079062135880305</v>
          </cell>
          <cell r="N363">
            <v>18.05760184504954</v>
          </cell>
          <cell r="P363" t="str">
            <v>Office Paper</v>
          </cell>
          <cell r="Q363">
            <v>73.79225133731876</v>
          </cell>
          <cell r="R363">
            <v>0</v>
          </cell>
          <cell r="S363">
            <v>73.79225133731876</v>
          </cell>
        </row>
        <row r="364">
          <cell r="A364" t="str">
            <v>8Phonebooks</v>
          </cell>
          <cell r="B364" t="str">
            <v>Phonebooks</v>
          </cell>
          <cell r="C364">
            <v>72.212889448093691</v>
          </cell>
          <cell r="D364">
            <v>0</v>
          </cell>
          <cell r="E364">
            <v>72.212889448093691</v>
          </cell>
          <cell r="F364">
            <v>7.8894540308686185</v>
          </cell>
          <cell r="G364">
            <v>19.897656521038378</v>
          </cell>
          <cell r="I364" t="str">
            <v>Phonebooks</v>
          </cell>
          <cell r="J364">
            <v>75.674952315555331</v>
          </cell>
          <cell r="K364">
            <v>0</v>
          </cell>
          <cell r="L364">
            <v>75.674952315555331</v>
          </cell>
          <cell r="M364">
            <v>6.5676677860854573</v>
          </cell>
          <cell r="N364">
            <v>17.75737989836092</v>
          </cell>
          <cell r="P364" t="str">
            <v>Phonebooks</v>
          </cell>
          <cell r="Q364">
            <v>74.5753532249703</v>
          </cell>
          <cell r="R364">
            <v>0</v>
          </cell>
          <cell r="S364">
            <v>74.5753532249703</v>
          </cell>
        </row>
        <row r="365">
          <cell r="A365" t="str">
            <v>8Mixed MSW</v>
          </cell>
          <cell r="B365" t="str">
            <v>Mixed MSW</v>
          </cell>
          <cell r="C365">
            <v>72.948618421587071</v>
          </cell>
          <cell r="D365">
            <v>0</v>
          </cell>
          <cell r="E365">
            <v>72.948618421587071</v>
          </cell>
          <cell r="F365">
            <v>7.5453812464597565</v>
          </cell>
          <cell r="G365">
            <v>19.506000331953469</v>
          </cell>
          <cell r="I365" t="str">
            <v>Mixed MSW</v>
          </cell>
          <cell r="J365">
            <v>76.459012293313208</v>
          </cell>
          <cell r="K365">
            <v>0</v>
          </cell>
          <cell r="L365">
            <v>76.459012293313208</v>
          </cell>
          <cell r="M365">
            <v>6.0942803131534085</v>
          </cell>
          <cell r="N365">
            <v>17.446707393535462</v>
          </cell>
          <cell r="P365" t="str">
            <v>Mixed MSW</v>
          </cell>
          <cell r="Q365">
            <v>75.317427770931118</v>
          </cell>
          <cell r="R365">
            <v>0</v>
          </cell>
          <cell r="S365">
            <v>75.317427770931118</v>
          </cell>
        </row>
        <row r="366">
          <cell r="A366" t="str">
            <v>8Dimensional Lumber</v>
          </cell>
          <cell r="B366" t="str">
            <v>Dimensional Lumber</v>
          </cell>
          <cell r="C366">
            <v>75.429176419672274</v>
          </cell>
          <cell r="D366">
            <v>0</v>
          </cell>
          <cell r="E366">
            <v>75.429176419672274</v>
          </cell>
          <cell r="F366">
            <v>6.1504385642868264</v>
          </cell>
          <cell r="G366">
            <v>18.420385016042669</v>
          </cell>
          <cell r="I366" t="str">
            <v>Dimensional Lumber</v>
          </cell>
          <cell r="J366">
            <v>76.180880465609079</v>
          </cell>
          <cell r="K366">
            <v>0</v>
          </cell>
          <cell r="L366">
            <v>76.180880465609079</v>
          </cell>
          <cell r="M366">
            <v>5.1637203198439652</v>
          </cell>
          <cell r="N366">
            <v>18.655399214548336</v>
          </cell>
          <cell r="P366" t="str">
            <v>Dimensional Lumber</v>
          </cell>
          <cell r="Q366">
            <v>73.235120047551888</v>
          </cell>
          <cell r="R366">
            <v>0</v>
          </cell>
          <cell r="S366">
            <v>73.235120047551888</v>
          </cell>
        </row>
        <row r="367">
          <cell r="A367" t="str">
            <v>8Medium-density Fiberboard</v>
          </cell>
          <cell r="B367" t="str">
            <v>Medium-density Fiberboard</v>
          </cell>
          <cell r="C367">
            <v>74.758673447592059</v>
          </cell>
          <cell r="D367">
            <v>0</v>
          </cell>
          <cell r="E367">
            <v>74.758673447592059</v>
          </cell>
          <cell r="F367">
            <v>6.6041024664056351</v>
          </cell>
          <cell r="G367">
            <v>18.637224086003865</v>
          </cell>
          <cell r="I367" t="str">
            <v>Medium-density Fiberboard</v>
          </cell>
          <cell r="J367">
            <v>76.932548676515722</v>
          </cell>
          <cell r="K367">
            <v>0</v>
          </cell>
          <cell r="L367">
            <v>76.932548676515722</v>
          </cell>
          <cell r="M367">
            <v>5.2965333119880098</v>
          </cell>
          <cell r="N367">
            <v>17.770918011495421</v>
          </cell>
          <cell r="P367" t="str">
            <v>Medium-density Fiberboard</v>
          </cell>
          <cell r="Q367">
            <v>74.723810903068284</v>
          </cell>
          <cell r="R367">
            <v>0</v>
          </cell>
          <cell r="S367">
            <v>74.723810903068284</v>
          </cell>
        </row>
        <row r="368">
          <cell r="A368" t="str">
            <v>8Wood Flooring</v>
          </cell>
          <cell r="B368" t="str">
            <v>Wood Flooring</v>
          </cell>
          <cell r="C368">
            <v>72.178262086602174</v>
          </cell>
          <cell r="D368">
            <v>0</v>
          </cell>
          <cell r="E368">
            <v>72.178262086602174</v>
          </cell>
          <cell r="F368">
            <v>7.9053399898221421</v>
          </cell>
          <cell r="G368">
            <v>19.916397923575957</v>
          </cell>
          <cell r="I368" t="str">
            <v>Wood Flooring</v>
          </cell>
          <cell r="J368">
            <v>75.630997232372394</v>
          </cell>
          <cell r="K368">
            <v>0</v>
          </cell>
          <cell r="L368">
            <v>75.630997232372394</v>
          </cell>
          <cell r="M368">
            <v>6.5919323134271197</v>
          </cell>
          <cell r="N368">
            <v>17.777070454201663</v>
          </cell>
          <cell r="P368" t="str">
            <v>Wood Flooring</v>
          </cell>
          <cell r="Q368">
            <v>74.525707840372817</v>
          </cell>
          <cell r="R368">
            <v>0</v>
          </cell>
          <cell r="S368">
            <v>74.525707840372817</v>
          </cell>
        </row>
        <row r="372">
          <cell r="B372" t="str">
            <v>Proportion of landfill types and decay in the U.S. average scenario</v>
          </cell>
        </row>
        <row r="373">
          <cell r="B373" t="str">
            <v>Landfill type</v>
          </cell>
          <cell r="C373" t="str">
            <v>Annual Precipitation (cm)</v>
          </cell>
          <cell r="D373" t="str">
            <v>Decay Rate (yr-1)</v>
          </cell>
          <cell r="E373" t="str">
            <v>Percent of Waste Received</v>
          </cell>
        </row>
        <row r="374">
          <cell r="B374" t="str">
            <v>Arid</v>
          </cell>
          <cell r="C374" t="str">
            <v>&lt; 51</v>
          </cell>
          <cell r="D374">
            <v>0.02</v>
          </cell>
          <cell r="E374">
            <v>0.2</v>
          </cell>
        </row>
        <row r="375">
          <cell r="B375" t="str">
            <v>Moderate</v>
          </cell>
          <cell r="C375" t="str">
            <v>51 &lt;x &lt; 102</v>
          </cell>
          <cell r="D375">
            <v>0.04</v>
          </cell>
          <cell r="E375">
            <v>0.28899999999999998</v>
          </cell>
        </row>
        <row r="376">
          <cell r="B376" t="str">
            <v>Wet</v>
          </cell>
          <cell r="C376" t="str">
            <v>&gt; 102</v>
          </cell>
          <cell r="D376">
            <v>0.06</v>
          </cell>
          <cell r="E376">
            <v>0.41099999999999998</v>
          </cell>
        </row>
        <row r="377">
          <cell r="B377" t="str">
            <v>Bioreactor</v>
          </cell>
          <cell r="C377" t="str">
            <v>NA</v>
          </cell>
          <cell r="D377">
            <v>0.12</v>
          </cell>
          <cell r="E377">
            <v>0.1</v>
          </cell>
        </row>
        <row r="380">
          <cell r="B380" t="str">
            <v>The mass of waste disposed in bioreactor landfills was assumed to be 10%. This mass was subtracted from the mass disposed in moderate and wet landfills in equal proportions, after which the fraction disposed in each category was corrected. The original ma</v>
          </cell>
        </row>
      </sheetData>
      <sheetData sheetId="25" refreshError="1">
        <row r="6">
          <cell r="F6" t="str">
            <v>Component</v>
          </cell>
          <cell r="G6" t="str">
            <v>VCT 
(mass %)</v>
          </cell>
          <cell r="I6" t="str">
            <v>KEY</v>
          </cell>
        </row>
        <row r="7">
          <cell r="F7" t="str">
            <v>asphalt binder</v>
          </cell>
          <cell r="G7">
            <v>5.1999999999999998E-2</v>
          </cell>
          <cell r="J7" t="str">
            <v>Calculated Energy Inputs</v>
          </cell>
        </row>
        <row r="8">
          <cell r="F8" t="str">
            <v>aggregate (fine and course)</v>
          </cell>
          <cell r="G8">
            <v>0.94799999999999995</v>
          </cell>
          <cell r="J8" t="str">
            <v>Total Energy Inputs by Fuel Type</v>
          </cell>
        </row>
        <row r="9">
          <cell r="F9" t="str">
            <v>Source: Hassan, Marwa. 2009.  Life-Cycle Assesssment of Warm-Mix Asphalt: An Environmetnal an Economic Perspective</v>
          </cell>
        </row>
        <row r="24">
          <cell r="B24" t="str">
            <v>NAICS Category</v>
          </cell>
          <cell r="C24" t="str">
            <v>Purchased Fuels and Electric Energy</v>
          </cell>
          <cell r="D24" t="str">
            <v>Coal</v>
          </cell>
          <cell r="F24" t="str">
            <v>Distillate Fuel Oil</v>
          </cell>
          <cell r="H24" t="str">
            <v>Residual Fuel Oil</v>
          </cell>
          <cell r="J24" t="str">
            <v>Gas</v>
          </cell>
          <cell r="L24" t="str">
            <v>Gasoline</v>
          </cell>
          <cell r="N24" t="str">
            <v>Other</v>
          </cell>
          <cell r="O24" t="str">
            <v>Undistributed</v>
          </cell>
          <cell r="P24" t="str">
            <v>Purchased Electricity</v>
          </cell>
          <cell r="R24" t="str">
            <v>Generated Less Sold Electricity</v>
          </cell>
        </row>
        <row r="25">
          <cell r="D25" t="str">
            <v>Quantity 
(1000 short tons)</v>
          </cell>
          <cell r="E25" t="str">
            <v>Cost 
($1000)</v>
          </cell>
          <cell r="F25" t="str">
            <v>Quantity 
(1000 barrels)</v>
          </cell>
          <cell r="G25" t="str">
            <v>Cost 
($1000)</v>
          </cell>
          <cell r="H25" t="str">
            <v>Quantity 
(1000 barrels)</v>
          </cell>
          <cell r="I25" t="str">
            <v>Cost 
($1000)</v>
          </cell>
          <cell r="J25" t="str">
            <v>Quantity
(billion cubic ft)</v>
          </cell>
          <cell r="K25" t="str">
            <v>Cost 
($1000)</v>
          </cell>
          <cell r="L25" t="str">
            <v>Quantity (million gal)</v>
          </cell>
          <cell r="M25" t="str">
            <v>Cost 
($1000)</v>
          </cell>
          <cell r="N25" t="str">
            <v>Cost 
($1000)</v>
          </cell>
          <cell r="O25" t="str">
            <v>Cost 
($1000)</v>
          </cell>
          <cell r="P25" t="str">
            <v>Quantity 
(million kwh)</v>
          </cell>
          <cell r="Q25" t="str">
            <v>Cost 
($1000)</v>
          </cell>
          <cell r="R25" t="str">
            <v>Quantity (million kwh)</v>
          </cell>
        </row>
        <row r="26">
          <cell r="B26" t="str">
            <v>Crushed &amp; Broken Limestone Mining &amp; Quarrying</v>
          </cell>
          <cell r="C26">
            <v>347499</v>
          </cell>
          <cell r="D26">
            <v>43</v>
          </cell>
          <cell r="E26">
            <v>1569</v>
          </cell>
          <cell r="F26">
            <v>2312.4</v>
          </cell>
          <cell r="G26">
            <v>75817</v>
          </cell>
          <cell r="H26">
            <v>308.39999999999998</v>
          </cell>
          <cell r="I26">
            <v>8896</v>
          </cell>
          <cell r="J26">
            <v>2.2999999999999998</v>
          </cell>
          <cell r="K26">
            <v>6595</v>
          </cell>
          <cell r="L26">
            <v>11.3</v>
          </cell>
          <cell r="M26">
            <v>12149</v>
          </cell>
          <cell r="N26">
            <v>2458</v>
          </cell>
          <cell r="O26">
            <v>56418</v>
          </cell>
          <cell r="P26">
            <v>3165</v>
          </cell>
          <cell r="Q26">
            <v>183597</v>
          </cell>
          <cell r="R26">
            <v>13.3</v>
          </cell>
        </row>
        <row r="27">
          <cell r="B27" t="str">
            <v>Crushed &amp; Broken Granite Mining &amp; Quarrying</v>
          </cell>
          <cell r="C27">
            <v>88182</v>
          </cell>
          <cell r="D27" t="str">
            <v>d</v>
          </cell>
          <cell r="E27" t="str">
            <v>d</v>
          </cell>
          <cell r="F27">
            <v>692.7</v>
          </cell>
          <cell r="G27">
            <v>20387</v>
          </cell>
          <cell r="H27">
            <v>170.9</v>
          </cell>
          <cell r="I27">
            <v>4706</v>
          </cell>
          <cell r="J27" t="str">
            <v>d</v>
          </cell>
          <cell r="K27" t="str">
            <v>d</v>
          </cell>
          <cell r="L27">
            <v>1.9</v>
          </cell>
          <cell r="M27">
            <v>1971</v>
          </cell>
          <cell r="N27" t="str">
            <v>d</v>
          </cell>
          <cell r="O27">
            <v>6003</v>
          </cell>
          <cell r="P27">
            <v>735.8</v>
          </cell>
          <cell r="Q27">
            <v>48076</v>
          </cell>
          <cell r="R27">
            <v>2.4</v>
          </cell>
        </row>
        <row r="28">
          <cell r="B28" t="str">
            <v>Other Crushed &amp; Broken Stone Mining &amp; Quarrying</v>
          </cell>
          <cell r="C28">
            <v>91238</v>
          </cell>
          <cell r="D28">
            <v>0</v>
          </cell>
          <cell r="E28">
            <v>0</v>
          </cell>
          <cell r="F28">
            <v>468.4</v>
          </cell>
          <cell r="G28">
            <v>15887</v>
          </cell>
          <cell r="H28">
            <v>60.3</v>
          </cell>
          <cell r="I28">
            <v>1685</v>
          </cell>
          <cell r="J28">
            <v>1.8</v>
          </cell>
          <cell r="K28">
            <v>5851</v>
          </cell>
          <cell r="L28">
            <v>1.5</v>
          </cell>
          <cell r="M28">
            <v>1583</v>
          </cell>
          <cell r="N28">
            <v>174</v>
          </cell>
          <cell r="O28">
            <v>20770</v>
          </cell>
          <cell r="P28">
            <v>722.6</v>
          </cell>
          <cell r="Q28">
            <v>45288</v>
          </cell>
          <cell r="R28">
            <v>2.6</v>
          </cell>
        </row>
        <row r="29">
          <cell r="C29">
            <v>526919</v>
          </cell>
          <cell r="D29">
            <v>43</v>
          </cell>
          <cell r="E29">
            <v>1569</v>
          </cell>
          <cell r="F29">
            <v>3473.5000000000005</v>
          </cell>
          <cell r="G29">
            <v>112091</v>
          </cell>
          <cell r="H29">
            <v>539.59999999999991</v>
          </cell>
          <cell r="I29">
            <v>15287</v>
          </cell>
          <cell r="J29">
            <v>4.0999999999999996</v>
          </cell>
          <cell r="K29">
            <v>12446</v>
          </cell>
          <cell r="L29">
            <v>14.700000000000001</v>
          </cell>
          <cell r="M29">
            <v>15703</v>
          </cell>
          <cell r="N29">
            <v>2632</v>
          </cell>
          <cell r="O29">
            <v>83191</v>
          </cell>
          <cell r="P29">
            <v>4623.4000000000005</v>
          </cell>
          <cell r="Q29">
            <v>276961</v>
          </cell>
          <cell r="R29">
            <v>18.3</v>
          </cell>
        </row>
        <row r="30">
          <cell r="C30">
            <v>95395024.193750709</v>
          </cell>
          <cell r="D30">
            <v>920199.99999999988</v>
          </cell>
          <cell r="F30">
            <v>20278293.000000004</v>
          </cell>
          <cell r="H30">
            <v>3399479.9999999995</v>
          </cell>
          <cell r="J30">
            <v>4223000</v>
          </cell>
          <cell r="L30">
            <v>1837500.0000000002</v>
          </cell>
          <cell r="N30">
            <v>476153.01117841766</v>
          </cell>
          <cell r="O30">
            <v>15050017.155373761</v>
          </cell>
          <cell r="P30">
            <v>49016368.063672729</v>
          </cell>
          <cell r="R30">
            <v>194012.96352580588</v>
          </cell>
        </row>
        <row r="33">
          <cell r="B33" t="str">
            <v>Crushed stone production, 1997</v>
          </cell>
          <cell r="G33" t="str">
            <v>Energy Consumption for 1 kg of aggregate production (MMBTU/kg)</v>
          </cell>
        </row>
        <row r="34">
          <cell r="B34" t="str">
            <v>NAICS</v>
          </cell>
          <cell r="C34" t="str">
            <v>Product</v>
          </cell>
          <cell r="D34" t="str">
            <v>Units</v>
          </cell>
          <cell r="E34" t="str">
            <v>Quantity</v>
          </cell>
          <cell r="H34" t="str">
            <v>Coal</v>
          </cell>
          <cell r="I34" t="str">
            <v>Distillate Fuel Oil</v>
          </cell>
          <cell r="J34" t="str">
            <v>Residual Fuel Oil</v>
          </cell>
          <cell r="K34" t="str">
            <v>Gas</v>
          </cell>
          <cell r="L34" t="str">
            <v>Gasoline</v>
          </cell>
          <cell r="M34" t="str">
            <v>Other</v>
          </cell>
          <cell r="N34" t="str">
            <v>Undistributed</v>
          </cell>
          <cell r="O34" t="str">
            <v>Electricity</v>
          </cell>
        </row>
        <row r="35">
          <cell r="B35">
            <v>2123120100</v>
          </cell>
          <cell r="C35" t="str">
            <v>Crushed and broken limestone</v>
          </cell>
          <cell r="D35" t="str">
            <v>million short tons</v>
          </cell>
          <cell r="E35">
            <v>954.9</v>
          </cell>
          <cell r="G35" t="str">
            <v>Combustion Energy</v>
          </cell>
          <cell r="H35">
            <v>7.0311053416145367E-7</v>
          </cell>
          <cell r="I35">
            <v>1.5494328866672976E-5</v>
          </cell>
          <cell r="J35">
            <v>2.5974898920573554E-6</v>
          </cell>
          <cell r="K35">
            <v>3.226728739147815E-6</v>
          </cell>
          <cell r="L35">
            <v>1.4040052233445679E-6</v>
          </cell>
          <cell r="M35">
            <v>3.6382112370380559E-7</v>
          </cell>
          <cell r="N35">
            <v>1.1499484461262649E-5</v>
          </cell>
          <cell r="O35">
            <v>3.760088816596635E-5</v>
          </cell>
        </row>
        <row r="36">
          <cell r="B36">
            <v>2123130100</v>
          </cell>
          <cell r="C36" t="str">
            <v>Crushed and broken granite</v>
          </cell>
          <cell r="D36" t="str">
            <v>million short tons</v>
          </cell>
          <cell r="E36">
            <v>255.8</v>
          </cell>
          <cell r="G36" t="str">
            <v>Precombustion Energy % of Combustion Energy</v>
          </cell>
          <cell r="H36">
            <v>4.9532710280373843E-2</v>
          </cell>
          <cell r="I36">
            <v>0.14460431654676262</v>
          </cell>
          <cell r="J36">
            <v>0.14599999999999999</v>
          </cell>
          <cell r="K36">
            <v>8.6407766990291249E-2</v>
          </cell>
          <cell r="L36">
            <v>0.1368</v>
          </cell>
          <cell r="M36">
            <v>0.14460431654676262</v>
          </cell>
          <cell r="N36">
            <v>0.14460431654676262</v>
          </cell>
          <cell r="O36">
            <v>0</v>
          </cell>
        </row>
        <row r="37">
          <cell r="B37">
            <v>2123190111</v>
          </cell>
          <cell r="C37" t="str">
            <v xml:space="preserve">Bituminous limestone and bituminous sandstone </v>
          </cell>
          <cell r="D37" t="str">
            <v>1,000 metric tons</v>
          </cell>
          <cell r="E37">
            <v>2954.1</v>
          </cell>
          <cell r="G37" t="str">
            <v>PreCombustion Energy</v>
          </cell>
          <cell r="H37">
            <v>3.4826970383698178E-8</v>
          </cell>
          <cell r="I37">
            <v>2.2405468361160207E-6</v>
          </cell>
          <cell r="J37">
            <v>3.7923352424037388E-7</v>
          </cell>
          <cell r="K37">
            <v>2.7881442503316066E-7</v>
          </cell>
          <cell r="L37">
            <v>1.9206791455353691E-7</v>
          </cell>
          <cell r="M37">
            <v>5.2610104938463986E-8</v>
          </cell>
          <cell r="N37">
            <v>1.6628750911610021E-6</v>
          </cell>
          <cell r="O37">
            <v>0</v>
          </cell>
        </row>
        <row r="38">
          <cell r="B38">
            <v>2123190121</v>
          </cell>
          <cell r="C38" t="str">
            <v>Other crushed and broken stone</v>
          </cell>
          <cell r="D38" t="str">
            <v>million short tons</v>
          </cell>
          <cell r="E38">
            <v>228.7</v>
          </cell>
          <cell r="G38" t="str">
            <v>Total</v>
          </cell>
          <cell r="H38">
            <v>7.3793750454515183E-7</v>
          </cell>
          <cell r="I38">
            <v>1.7734875702788996E-5</v>
          </cell>
          <cell r="J38">
            <v>2.9767234162977292E-6</v>
          </cell>
          <cell r="K38">
            <v>3.5055431641809758E-6</v>
          </cell>
          <cell r="L38">
            <v>1.5960731378981049E-6</v>
          </cell>
          <cell r="M38">
            <v>4.1643122864226955E-7</v>
          </cell>
          <cell r="N38">
            <v>1.3162359552423651E-5</v>
          </cell>
          <cell r="O38">
            <v>3.760088816596635E-5</v>
          </cell>
        </row>
        <row r="39">
          <cell r="D39" t="str">
            <v>million short tons</v>
          </cell>
          <cell r="E39">
            <v>1442.6563378436019</v>
          </cell>
        </row>
        <row r="40">
          <cell r="D40" t="str">
            <v>kg</v>
          </cell>
          <cell r="E40">
            <v>1308755814756.0002</v>
          </cell>
        </row>
        <row r="41">
          <cell r="B41" t="str">
            <v>Source: US Census Bureau, 1997 Economic Census, Mining--Subject Series, Product Summary  www.census.gov/prod/ec97/97n21s-ps.pdf</v>
          </cell>
          <cell r="G41" t="str">
            <v>mmBTU/ton</v>
          </cell>
          <cell r="H41">
            <v>7.0516224502458272E-2</v>
          </cell>
        </row>
        <row r="46">
          <cell r="B46" t="str">
            <v>Limestone manufacturing, at mine 
(i.e. no transportation required) (per 1 kg of limestone)</v>
          </cell>
        </row>
        <row r="47">
          <cell r="B47" t="str">
            <v>Energy Inputs</v>
          </cell>
          <cell r="C47" t="str">
            <v>Quantity</v>
          </cell>
          <cell r="D47" t="str">
            <v>Units</v>
          </cell>
          <cell r="F47" t="str">
            <v>Raw Materials Required to produce 1 kg of Road Asphalt</v>
          </cell>
          <cell r="K47" t="str">
            <v>Process Energy Consumption for 1 kg of road asphalt production (MMBTU/kg)</v>
          </cell>
        </row>
        <row r="48">
          <cell r="B48" t="str">
            <v>Bituminous coal, combusted in industrial boiler</v>
          </cell>
          <cell r="C48">
            <v>3.5833000000000001E-5</v>
          </cell>
          <cell r="D48" t="str">
            <v>kg</v>
          </cell>
          <cell r="F48" t="str">
            <v>Raw Material</v>
          </cell>
          <cell r="G48" t="str">
            <v>Unit</v>
          </cell>
          <cell r="H48" t="str">
            <v>Amount</v>
          </cell>
          <cell r="M48" t="str">
            <v xml:space="preserve"> Bituminous Coal</v>
          </cell>
          <cell r="N48" t="str">
            <v>Diesel</v>
          </cell>
          <cell r="O48" t="str">
            <v>Residual Fuel Oil</v>
          </cell>
          <cell r="P48" t="str">
            <v>LPG</v>
          </cell>
          <cell r="Q48" t="str">
            <v>Natural Gas</v>
          </cell>
          <cell r="R48" t="str">
            <v>Gasoline</v>
          </cell>
          <cell r="S48" t="str">
            <v>Electricity</v>
          </cell>
          <cell r="T48" t="str">
            <v>Energy from Hydro Power</v>
          </cell>
          <cell r="U48" t="str">
            <v>Uranium</v>
          </cell>
          <cell r="V48" t="str">
            <v>Wood Waste</v>
          </cell>
        </row>
        <row r="49">
          <cell r="B49" t="str">
            <v>Diesel, combusted in industrial boiler</v>
          </cell>
          <cell r="C49">
            <v>5.8418000000000001E-4</v>
          </cell>
          <cell r="D49" t="str">
            <v>L</v>
          </cell>
          <cell r="F49" t="str">
            <v>Crude Oil</v>
          </cell>
          <cell r="G49" t="str">
            <v>kg</v>
          </cell>
          <cell r="H49">
            <v>1.03</v>
          </cell>
          <cell r="K49" t="str">
            <v>Combustion Energy</v>
          </cell>
          <cell r="L49" t="str">
            <v>Limestone</v>
          </cell>
          <cell r="M49">
            <v>1.1918464832201651E-9</v>
          </cell>
          <cell r="N49">
            <v>3.0245966582795389E-8</v>
          </cell>
          <cell r="O49">
            <v>0</v>
          </cell>
          <cell r="P49">
            <v>0</v>
          </cell>
          <cell r="Q49">
            <v>7.2038409107319191E-9</v>
          </cell>
          <cell r="R49">
            <v>2.379977535759663E-9</v>
          </cell>
          <cell r="S49">
            <v>6.3165054978327469E-8</v>
          </cell>
          <cell r="T49">
            <v>0</v>
          </cell>
          <cell r="U49">
            <v>0</v>
          </cell>
          <cell r="V49">
            <v>0</v>
          </cell>
        </row>
        <row r="50">
          <cell r="B50" t="str">
            <v>Natural gas, combusted in industrial boiler</v>
          </cell>
          <cell r="C50">
            <v>1.4046000000000002E-4</v>
          </cell>
          <cell r="D50" t="str">
            <v>m3</v>
          </cell>
          <cell r="F50" t="str">
            <v>Limestone</v>
          </cell>
          <cell r="G50" t="str">
            <v>kg</v>
          </cell>
          <cell r="H50">
            <v>1.41E-3</v>
          </cell>
          <cell r="L50" t="str">
            <v>Crude Oil</v>
          </cell>
          <cell r="M50">
            <v>0</v>
          </cell>
          <cell r="N50">
            <v>4.7345375867124746E-5</v>
          </cell>
          <cell r="O50">
            <v>9.2014970839867153E-4</v>
          </cell>
          <cell r="P50">
            <v>2.3805059098532152E-5</v>
          </cell>
          <cell r="Q50">
            <v>1.5595091016959986E-3</v>
          </cell>
          <cell r="R50">
            <v>2.3275304682879078E-5</v>
          </cell>
          <cell r="S50">
            <v>1.8848836648789806E-3</v>
          </cell>
          <cell r="T50">
            <v>0</v>
          </cell>
          <cell r="U50">
            <v>0</v>
          </cell>
          <cell r="V50">
            <v>0</v>
          </cell>
        </row>
        <row r="51">
          <cell r="B51" t="str">
            <v>Gasoline, combusted in equipment</v>
          </cell>
          <cell r="C51">
            <v>5.1116000000000003E-5</v>
          </cell>
          <cell r="D51" t="str">
            <v>L</v>
          </cell>
          <cell r="F51" t="str">
            <v>Source: Athena Institude: Franklin Associates, 2001. LCI for Road and Roofing Asphalt</v>
          </cell>
          <cell r="L51" t="str">
            <v>Production Energy</v>
          </cell>
          <cell r="M51">
            <v>6.1228986124289061E-4</v>
          </cell>
          <cell r="N51">
            <v>0</v>
          </cell>
          <cell r="O51">
            <v>8.4450505629630893E-4</v>
          </cell>
          <cell r="P51">
            <v>0</v>
          </cell>
          <cell r="Q51">
            <v>3.6964867784013518E-3</v>
          </cell>
          <cell r="R51">
            <v>0</v>
          </cell>
          <cell r="S51">
            <v>0</v>
          </cell>
          <cell r="T51">
            <v>3.1846655321611645E-5</v>
          </cell>
          <cell r="U51">
            <v>2.1041540123207698E-4</v>
          </cell>
          <cell r="V51">
            <v>5.9522915303488433E-7</v>
          </cell>
        </row>
        <row r="52">
          <cell r="B52" t="str">
            <v>Electricity, at grid, US</v>
          </cell>
          <cell r="C52">
            <v>4.2255000000000001E-3</v>
          </cell>
          <cell r="D52" t="str">
            <v>kWh</v>
          </cell>
          <cell r="K52" t="str">
            <v>PreCombustion Energy</v>
          </cell>
          <cell r="L52" t="str">
            <v>Limestone</v>
          </cell>
          <cell r="M52">
            <v>5.9035386552026888E-11</v>
          </cell>
          <cell r="N52">
            <v>3.1019129971640766E-6</v>
          </cell>
          <cell r="O52">
            <v>0</v>
          </cell>
          <cell r="P52">
            <v>0</v>
          </cell>
          <cell r="Q52">
            <v>6.2246780684965119E-10</v>
          </cell>
          <cell r="R52">
            <v>3.2558092689192198E-10</v>
          </cell>
          <cell r="S52">
            <v>0</v>
          </cell>
          <cell r="T52">
            <v>0</v>
          </cell>
          <cell r="U52">
            <v>0</v>
          </cell>
          <cell r="V52">
            <v>0</v>
          </cell>
        </row>
        <row r="53">
          <cell r="B53" t="str">
            <v>Source: U.S. LCI Database - www.nrel.gov/lci</v>
          </cell>
          <cell r="F53" t="str">
            <v>Energy Consumption to Produce 1 kg of Road Asphalt</v>
          </cell>
          <cell r="L53" t="str">
            <v>Crude Oil</v>
          </cell>
          <cell r="M53">
            <v>0</v>
          </cell>
          <cell r="N53">
            <v>6.8463457189151632E-6</v>
          </cell>
          <cell r="O53">
            <v>1.3434185742620602E-4</v>
          </cell>
          <cell r="P53">
            <v>3.1407721951990067E-6</v>
          </cell>
          <cell r="Q53">
            <v>1.3475369907858627E-4</v>
          </cell>
          <cell r="R53">
            <v>3.1840616806178585E-6</v>
          </cell>
          <cell r="S53">
            <v>0</v>
          </cell>
          <cell r="T53">
            <v>0</v>
          </cell>
          <cell r="U53">
            <v>0</v>
          </cell>
          <cell r="V53">
            <v>0</v>
          </cell>
        </row>
        <row r="54">
          <cell r="F54" t="str">
            <v>Energy Input</v>
          </cell>
          <cell r="G54" t="str">
            <v>Unti</v>
          </cell>
          <cell r="H54" t="str">
            <v>Quantity</v>
          </cell>
          <cell r="L54" t="str">
            <v>Production Energy</v>
          </cell>
          <cell r="M54">
            <v>0</v>
          </cell>
          <cell r="N54">
            <v>0</v>
          </cell>
          <cell r="O54">
            <v>0</v>
          </cell>
          <cell r="P54">
            <v>0</v>
          </cell>
          <cell r="Q54">
            <v>0</v>
          </cell>
          <cell r="R54">
            <v>0</v>
          </cell>
          <cell r="S54">
            <v>0</v>
          </cell>
          <cell r="T54">
            <v>0</v>
          </cell>
          <cell r="U54">
            <v>0</v>
          </cell>
          <cell r="V54">
            <v>0</v>
          </cell>
        </row>
        <row r="55">
          <cell r="B55" t="str">
            <v>Virgin Crude Oil production (includes "crude oil, at production" and "crude oil, in refinery") (per 1 kg of crude oil)</v>
          </cell>
          <cell r="F55" t="str">
            <v>Coal</v>
          </cell>
          <cell r="G55" t="str">
            <v>MJ LHV</v>
          </cell>
          <cell r="H55">
            <v>0.64600000000000002</v>
          </cell>
          <cell r="K55" t="str">
            <v>Total</v>
          </cell>
          <cell r="M55">
            <v>6.1229111212476048E-4</v>
          </cell>
          <cell r="N55">
            <v>5.7323880549786779E-5</v>
          </cell>
          <cell r="O55">
            <v>1.8989966221211866E-3</v>
          </cell>
          <cell r="P55">
            <v>2.6945831293731158E-5</v>
          </cell>
          <cell r="Q55">
            <v>5.390757405484654E-3</v>
          </cell>
          <cell r="R55">
            <v>2.646207192195959E-5</v>
          </cell>
          <cell r="S55">
            <v>1.884946829933959E-3</v>
          </cell>
          <cell r="T55">
            <v>3.1846655321611645E-5</v>
          </cell>
          <cell r="U55">
            <v>2.1041540123207698E-4</v>
          </cell>
          <cell r="V55">
            <v>5.9522915303488433E-7</v>
          </cell>
        </row>
        <row r="56">
          <cell r="B56" t="str">
            <v>Energy Inputs</v>
          </cell>
          <cell r="C56" t="str">
            <v>Quantity</v>
          </cell>
          <cell r="D56" t="str">
            <v>Units</v>
          </cell>
          <cell r="F56" t="str">
            <v>Crude Oil</v>
          </cell>
          <cell r="G56" t="str">
            <v>MJ LHV</v>
          </cell>
          <cell r="H56">
            <v>0.89100000000000001</v>
          </cell>
        </row>
        <row r="57">
          <cell r="B57" t="str">
            <v>Electricity, at grid, US</v>
          </cell>
          <cell r="C57">
            <v>0.17261068108785974</v>
          </cell>
          <cell r="D57" t="str">
            <v>kwh</v>
          </cell>
          <cell r="F57" t="str">
            <v>Energy from Hydro Power</v>
          </cell>
          <cell r="G57" t="str">
            <v>MJ LHV</v>
          </cell>
          <cell r="H57">
            <v>3.3599999999999998E-2</v>
          </cell>
          <cell r="T57" t="str">
            <v>mmBTU/ton</v>
          </cell>
          <cell r="U57">
            <v>9.1993803734382116</v>
          </cell>
        </row>
        <row r="58">
          <cell r="B58" t="str">
            <v>Natural gas, combusted in industrial boiler</v>
          </cell>
          <cell r="C58">
            <v>4.1625393537590143E-2</v>
          </cell>
          <cell r="D58" t="str">
            <v>m3</v>
          </cell>
          <cell r="F58" t="str">
            <v>Natural Gas</v>
          </cell>
          <cell r="G58" t="str">
            <v>MJ LHV</v>
          </cell>
          <cell r="H58">
            <v>3.9</v>
          </cell>
        </row>
        <row r="59">
          <cell r="B59" t="str">
            <v>Diesel, combusted in industrial boiler</v>
          </cell>
          <cell r="C59">
            <v>1.2518107392326726E-3</v>
          </cell>
          <cell r="D59" t="str">
            <v>L</v>
          </cell>
          <cell r="F59" t="str">
            <v>Uranium</v>
          </cell>
          <cell r="G59" t="str">
            <v>MJ LHV</v>
          </cell>
          <cell r="H59">
            <v>0.222</v>
          </cell>
          <cell r="K59" t="str">
            <v xml:space="preserve">Total Transportation Energy Inputs for virgin crude oil (MMBTU/kg of road asphalt) </v>
          </cell>
        </row>
        <row r="60">
          <cell r="B60" t="str">
            <v>Residual fuel oil, combusted in industrial boiler</v>
          </cell>
          <cell r="C60">
            <v>2.2544631362691882E-2</v>
          </cell>
          <cell r="D60" t="str">
            <v>L</v>
          </cell>
          <cell r="F60" t="str">
            <v>Wood/Wood Wastes</v>
          </cell>
          <cell r="G60" t="str">
            <v>MJ LHV</v>
          </cell>
          <cell r="H60">
            <v>6.2799999999999998E-4</v>
          </cell>
          <cell r="L60" t="str">
            <v>Transport, barge, average fuel mix</v>
          </cell>
          <cell r="M60" t="str">
            <v>Transport, ocean freighter, average fuel mix</v>
          </cell>
          <cell r="N60" t="str">
            <v>Transport, pipeline, unspecified</v>
          </cell>
        </row>
        <row r="61">
          <cell r="B61" t="str">
            <v>Gasoline, combusted in equipment</v>
          </cell>
          <cell r="C61">
            <v>6.8432320411386115E-4</v>
          </cell>
          <cell r="D61" t="str">
            <v>L</v>
          </cell>
          <cell r="F61" t="str">
            <v>Source: Athena Institude: Franklin Associates, 2001. LCI for Road and Roofing Asphalt</v>
          </cell>
          <cell r="K61" t="str">
            <v>Combustion Energy</v>
          </cell>
          <cell r="L61">
            <v>1.5263842226137419E-7</v>
          </cell>
          <cell r="M61">
            <v>5.13829799013757E-4</v>
          </cell>
          <cell r="N61">
            <v>1.1260061714651676E-4</v>
          </cell>
        </row>
        <row r="62">
          <cell r="B62" t="str">
            <v>Liquefied petroleum gas, combusted in industrial boiler</v>
          </cell>
          <cell r="C62">
            <v>9.1609770889218513E-4</v>
          </cell>
          <cell r="D62" t="str">
            <v>L</v>
          </cell>
          <cell r="K62" t="str">
            <v>PreCombustion Energy</v>
          </cell>
          <cell r="L62">
            <v>2.2182746487812163E-8</v>
          </cell>
          <cell r="M62">
            <v>7.4674226846289945E-5</v>
          </cell>
          <cell r="N62">
            <v>0</v>
          </cell>
        </row>
        <row r="63">
          <cell r="B63" t="str">
            <v>Source: GHG MSTR, based American Chemistry Council (2006); also available in U.S. LCI database - www.nrel.gov/lci</v>
          </cell>
          <cell r="K63" t="str">
            <v>Total</v>
          </cell>
          <cell r="L63">
            <v>1.7482116874918635E-7</v>
          </cell>
          <cell r="M63">
            <v>5.8850402586004696E-4</v>
          </cell>
          <cell r="N63">
            <v>1.1260061714651676E-4</v>
          </cell>
        </row>
        <row r="66">
          <cell r="B66" t="str">
            <v>Virgin Crude Oil transportation energy (includes "crude oil, at production" and "crude oil, in refinery") (per 1 kg of crude oil)</v>
          </cell>
          <cell r="F66" t="str">
            <v xml:space="preserve">Transportation Energy Inputs for virgin crude oil (MMBTU/kg of road asphalt) </v>
          </cell>
        </row>
        <row r="67">
          <cell r="B67" t="str">
            <v>Energy Inputs</v>
          </cell>
          <cell r="C67" t="str">
            <v>Quantity</v>
          </cell>
          <cell r="D67" t="str">
            <v>Units</v>
          </cell>
          <cell r="G67" t="str">
            <v>Transport, barge, average fuel mix</v>
          </cell>
          <cell r="H67" t="str">
            <v>Transport, ocean freighter, average fuel mix</v>
          </cell>
          <cell r="I67" t="str">
            <v>Transport, pipeline, unspecified</v>
          </cell>
        </row>
        <row r="68">
          <cell r="B68" t="str">
            <v>Transport, barge, average fuel mix</v>
          </cell>
          <cell r="C68">
            <v>1.1517548936170212E-3</v>
          </cell>
          <cell r="D68" t="str">
            <v>tkm</v>
          </cell>
          <cell r="F68" t="str">
            <v>Combustion Energy</v>
          </cell>
          <cell r="G68">
            <v>1.5263842226137419E-7</v>
          </cell>
          <cell r="H68">
            <v>5.13829799013757E-4</v>
          </cell>
          <cell r="I68">
            <v>1.1260061714651676E-4</v>
          </cell>
        </row>
        <row r="69">
          <cell r="B69" t="str">
            <v>Transport, ocean freighter, average fuel mix</v>
          </cell>
          <cell r="C69">
            <v>4.5821167659574478</v>
          </cell>
          <cell r="D69" t="str">
            <v>tkm</v>
          </cell>
          <cell r="F69" t="str">
            <v>PreCombustion Energy</v>
          </cell>
          <cell r="G69">
            <v>2.2182746487812163E-8</v>
          </cell>
          <cell r="H69">
            <v>7.4674226846289945E-5</v>
          </cell>
          <cell r="I69">
            <v>0</v>
          </cell>
        </row>
        <row r="70">
          <cell r="B70" t="str">
            <v>Transport, pipeline, unspecified</v>
          </cell>
          <cell r="C70">
            <v>0.63085223626382225</v>
          </cell>
          <cell r="D70" t="str">
            <v>tkm</v>
          </cell>
          <cell r="F70" t="str">
            <v>Total</v>
          </cell>
          <cell r="G70">
            <v>1.7482116874918635E-7</v>
          </cell>
          <cell r="H70">
            <v>5.8850402586004696E-4</v>
          </cell>
          <cell r="I70">
            <v>1.1260061714651676E-4</v>
          </cell>
        </row>
        <row r="76">
          <cell r="A76" t="str">
            <v>Asphalt Production</v>
          </cell>
        </row>
        <row r="78">
          <cell r="B78" t="str">
            <v>Average Energy Use Per Tonne of Hot-Mix Asphalt</v>
          </cell>
        </row>
        <row r="79">
          <cell r="B79" t="str">
            <v>Fuel Source</v>
          </cell>
          <cell r="C79" t="str">
            <v>Physical Units</v>
          </cell>
          <cell r="D79" t="str">
            <v>Physical Quantity</v>
          </cell>
          <cell r="F79" t="str">
            <v>Energy Inputs to Produce 1 kg of Hot-Mix Asphalt Concrete</v>
          </cell>
        </row>
        <row r="80">
          <cell r="B80" t="str">
            <v>Liquid Propane Gas</v>
          </cell>
          <cell r="C80" t="str">
            <v>L</v>
          </cell>
          <cell r="D80">
            <v>0.52</v>
          </cell>
          <cell r="G80" t="str">
            <v>Liquid Propane Gas</v>
          </cell>
          <cell r="H80" t="str">
            <v>Heavy Fuel Oil</v>
          </cell>
          <cell r="I80" t="str">
            <v>Diesel Fuel</v>
          </cell>
          <cell r="J80" t="str">
            <v>Waste (used) Fuel</v>
          </cell>
          <cell r="K80" t="str">
            <v>Purchased Electricity</v>
          </cell>
          <cell r="L80" t="str">
            <v>Natural Gas</v>
          </cell>
        </row>
        <row r="81">
          <cell r="B81" t="str">
            <v>Heavy Fuel Oil</v>
          </cell>
          <cell r="C81" t="str">
            <v>L</v>
          </cell>
          <cell r="D81">
            <v>0.72</v>
          </cell>
          <cell r="F81" t="str">
            <v>Combustion Energy</v>
          </cell>
          <cell r="G81">
            <v>1.3118784133968113E-5</v>
          </cell>
          <cell r="H81">
            <v>2.8530581684827953E-5</v>
          </cell>
          <cell r="I81">
            <v>4.5532694992564316E-5</v>
          </cell>
          <cell r="J81">
            <v>1.1689613329200345E-4</v>
          </cell>
          <cell r="K81">
            <v>2.2475818725393902E-5</v>
          </cell>
          <cell r="L81">
            <v>1.6950333728191333E-4</v>
          </cell>
        </row>
        <row r="82">
          <cell r="B82" t="str">
            <v>Diesel Fuel</v>
          </cell>
          <cell r="C82" t="str">
            <v>L</v>
          </cell>
          <cell r="D82">
            <v>1.24</v>
          </cell>
          <cell r="F82" t="str">
            <v>PreCombustion Energy</v>
          </cell>
          <cell r="G82">
            <v>1.7308552888795629E-6</v>
          </cell>
          <cell r="H82">
            <v>4.1654649259848815E-6</v>
          </cell>
          <cell r="I82">
            <v>6.584224239931964E-6</v>
          </cell>
          <cell r="J82">
            <v>1.7066835460632502E-5</v>
          </cell>
          <cell r="K82">
            <v>0</v>
          </cell>
          <cell r="L82">
            <v>1.4646404871932314E-5</v>
          </cell>
        </row>
        <row r="83">
          <cell r="B83" t="str">
            <v>Waste (used) Fuel</v>
          </cell>
          <cell r="C83" t="str">
            <v>L</v>
          </cell>
          <cell r="D83">
            <v>2.95</v>
          </cell>
          <cell r="F83" t="str">
            <v>Total</v>
          </cell>
          <cell r="G83">
            <v>1.4849639422847676E-5</v>
          </cell>
          <cell r="H83">
            <v>3.2696046610812832E-5</v>
          </cell>
          <cell r="I83">
            <v>5.2116919232496281E-5</v>
          </cell>
          <cell r="J83">
            <v>1.3396296875263595E-4</v>
          </cell>
          <cell r="K83">
            <v>2.2475818725393902E-5</v>
          </cell>
          <cell r="L83">
            <v>1.8414974215384564E-4</v>
          </cell>
        </row>
        <row r="84">
          <cell r="B84" t="str">
            <v>Purchased Electricity</v>
          </cell>
          <cell r="C84" t="str">
            <v>kWh</v>
          </cell>
          <cell r="D84">
            <v>2.12</v>
          </cell>
        </row>
        <row r="85">
          <cell r="B85" t="str">
            <v>Natural Gas</v>
          </cell>
          <cell r="C85" t="str">
            <v>m3</v>
          </cell>
          <cell r="D85">
            <v>4.66</v>
          </cell>
          <cell r="K85" t="str">
            <v>mmBTU/ton</v>
          </cell>
          <cell r="L85">
            <v>0.39938911134717636</v>
          </cell>
        </row>
        <row r="86">
          <cell r="B86" t="str">
            <v>Source: Canadian Industry Program for Energy Conservation. 2005.  Road Rehabilitation Energy Reduction Guide for Canadian Road Builders.  Table 4, pg 10.</v>
          </cell>
          <cell r="F86" t="str">
            <v xml:space="preserve">Transportation Energy Inputs (MMBTU/kg) </v>
          </cell>
        </row>
        <row r="87">
          <cell r="H87" t="str">
            <v>Diesel</v>
          </cell>
        </row>
        <row r="88">
          <cell r="B88" t="str">
            <v>As Contructed Pavement Material Quantities (per lane-km)</v>
          </cell>
          <cell r="F88" t="str">
            <v>Combustion Energy</v>
          </cell>
          <cell r="G88" t="str">
            <v>Liquid Asphalt transport</v>
          </cell>
          <cell r="H88">
            <v>6.7423413738989475E-5</v>
          </cell>
        </row>
        <row r="89">
          <cell r="B89" t="str">
            <v>Pavement Structure</v>
          </cell>
          <cell r="C89" t="str">
            <v>Class I Roadway</v>
          </cell>
          <cell r="D89" t="str">
            <v>Class 2 Roadway</v>
          </cell>
          <cell r="G89" t="str">
            <v>Aggregate transport</v>
          </cell>
          <cell r="H89">
            <v>8.1805456501664226E-6</v>
          </cell>
        </row>
        <row r="90">
          <cell r="B90" t="str">
            <v>Asphalt (m3)</v>
          </cell>
          <cell r="C90">
            <v>413</v>
          </cell>
          <cell r="D90">
            <v>863</v>
          </cell>
          <cell r="G90" t="str">
            <v>Hot-mix asphalt transport</v>
          </cell>
          <cell r="H90">
            <v>1.9403080775370327E-5</v>
          </cell>
        </row>
        <row r="91">
          <cell r="B91" t="str">
            <v>Asphalt (tonnes) @ 2.42 t/m3</v>
          </cell>
          <cell r="C91">
            <v>998</v>
          </cell>
          <cell r="D91">
            <v>2087</v>
          </cell>
          <cell r="F91" t="str">
            <v>PreCombustion Energy</v>
          </cell>
          <cell r="G91" t="str">
            <v>Liquid Asphalt transport</v>
          </cell>
          <cell r="H91">
            <v>9.7497166629761772E-6</v>
          </cell>
        </row>
        <row r="92">
          <cell r="B92" t="str">
            <v xml:space="preserve">            Asphalt Cement (tonnes)</v>
          </cell>
          <cell r="C92">
            <v>50</v>
          </cell>
          <cell r="D92">
            <v>104</v>
          </cell>
          <cell r="G92" t="str">
            <v>Aggregate transport</v>
          </cell>
          <cell r="H92">
            <v>1.1829422127219075E-6</v>
          </cell>
        </row>
        <row r="93">
          <cell r="B93" t="str">
            <v xml:space="preserve">             Aggregate (tonnes)</v>
          </cell>
          <cell r="C93">
            <v>943</v>
          </cell>
          <cell r="D93">
            <v>1984</v>
          </cell>
          <cell r="G93" t="str">
            <v>Hot-mix asphalt transport</v>
          </cell>
          <cell r="H93">
            <v>2.8057692344240551E-6</v>
          </cell>
        </row>
        <row r="94">
          <cell r="B94" t="str">
            <v>Source: Canadian Industry Program for Energy Conservation. 2005.  Road Rehabilitation Energy Reduction Guide for Canadian Road Builders.  Table 1, pg 5</v>
          </cell>
        </row>
        <row r="97">
          <cell r="B97" t="str">
            <v>Transportation Energy Use by Road Type (per lane-km)</v>
          </cell>
        </row>
        <row r="98">
          <cell r="B98" t="str">
            <v>Class I Roadway (Rural Secondary Highway)</v>
          </cell>
          <cell r="C98" t="str">
            <v>Units</v>
          </cell>
          <cell r="D98" t="str">
            <v>Fuel Type</v>
          </cell>
          <cell r="E98" t="str">
            <v>Quantity Average</v>
          </cell>
          <cell r="F98" t="str">
            <v>Low</v>
          </cell>
          <cell r="G98" t="str">
            <v>High</v>
          </cell>
        </row>
        <row r="99">
          <cell r="B99" t="str">
            <v>Liquid Asphalt transport</v>
          </cell>
          <cell r="C99" t="str">
            <v>L</v>
          </cell>
          <cell r="D99" t="str">
            <v>Diesel</v>
          </cell>
          <cell r="E99">
            <v>149</v>
          </cell>
          <cell r="F99">
            <v>83</v>
          </cell>
          <cell r="G99">
            <v>225</v>
          </cell>
        </row>
        <row r="100">
          <cell r="B100" t="str">
            <v>Aggregate transport</v>
          </cell>
          <cell r="C100" t="str">
            <v>L</v>
          </cell>
          <cell r="D100" t="str">
            <v>Diesel</v>
          </cell>
          <cell r="E100">
            <v>0</v>
          </cell>
          <cell r="F100">
            <v>0</v>
          </cell>
          <cell r="G100">
            <v>0</v>
          </cell>
        </row>
        <row r="101">
          <cell r="B101" t="str">
            <v>Hot-mix asphalt transport</v>
          </cell>
          <cell r="C101" t="str">
            <v>L</v>
          </cell>
          <cell r="D101" t="str">
            <v>Diesel</v>
          </cell>
          <cell r="E101">
            <v>434</v>
          </cell>
          <cell r="F101">
            <v>213</v>
          </cell>
          <cell r="G101">
            <v>500</v>
          </cell>
        </row>
        <row r="102">
          <cell r="B102" t="str">
            <v>Class II Roadway (Urban Arterial Roadway)</v>
          </cell>
          <cell r="C102" t="str">
            <v>Units</v>
          </cell>
          <cell r="D102" t="str">
            <v>Fuel Type</v>
          </cell>
          <cell r="E102" t="str">
            <v>Quantity Average</v>
          </cell>
          <cell r="F102" t="str">
            <v>Low</v>
          </cell>
          <cell r="G102" t="str">
            <v>High</v>
          </cell>
        </row>
        <row r="103">
          <cell r="B103" t="str">
            <v>Liquid Asphalt transport</v>
          </cell>
          <cell r="C103" t="str">
            <v>L</v>
          </cell>
          <cell r="D103" t="str">
            <v>Diesel</v>
          </cell>
          <cell r="E103">
            <v>72</v>
          </cell>
          <cell r="F103">
            <v>41</v>
          </cell>
          <cell r="G103">
            <v>116</v>
          </cell>
        </row>
        <row r="104">
          <cell r="B104" t="str">
            <v>Aggregate transport</v>
          </cell>
          <cell r="C104" t="str">
            <v>L</v>
          </cell>
          <cell r="D104" t="str">
            <v>Diesel</v>
          </cell>
          <cell r="E104">
            <v>884</v>
          </cell>
          <cell r="F104">
            <v>729</v>
          </cell>
          <cell r="G104">
            <v>1140</v>
          </cell>
        </row>
        <row r="105">
          <cell r="B105" t="str">
            <v>Hot-mix asphalt transport</v>
          </cell>
          <cell r="C105" t="str">
            <v>L</v>
          </cell>
          <cell r="D105" t="str">
            <v>Diesel</v>
          </cell>
          <cell r="E105">
            <v>1298</v>
          </cell>
          <cell r="F105">
            <v>1100</v>
          </cell>
          <cell r="G105">
            <v>2014</v>
          </cell>
        </row>
        <row r="106">
          <cell r="B106" t="str">
            <v>Source: Canadian Industry Program for Energy Conservation. 2005.  Road Rehabilitation Energy Reduction Guide for Canadian Road Builders.  Table 5, pg 11.</v>
          </cell>
        </row>
        <row r="109">
          <cell r="B109" t="str">
            <v>Average Transportation Energy Use (per kg of road asphalt)</v>
          </cell>
        </row>
        <row r="110">
          <cell r="C110" t="str">
            <v>Units</v>
          </cell>
          <cell r="D110" t="str">
            <v>Fuel Type</v>
          </cell>
          <cell r="E110" t="str">
            <v>Quantity</v>
          </cell>
        </row>
        <row r="111">
          <cell r="B111" t="str">
            <v>Liquid Asphalt transport</v>
          </cell>
          <cell r="C111" t="str">
            <v>L</v>
          </cell>
          <cell r="D111" t="str">
            <v>Diesel</v>
          </cell>
          <cell r="E111">
            <v>1.8361538461538461E-3</v>
          </cell>
        </row>
        <row r="112">
          <cell r="B112" t="str">
            <v>Aggregate transport</v>
          </cell>
          <cell r="C112" t="str">
            <v>L</v>
          </cell>
          <cell r="D112" t="str">
            <v>Diesel</v>
          </cell>
          <cell r="E112">
            <v>2.2278225806451614E-4</v>
          </cell>
        </row>
        <row r="113">
          <cell r="B113" t="str">
            <v>Hot-mix asphalt transport</v>
          </cell>
          <cell r="C113" t="str">
            <v>L</v>
          </cell>
          <cell r="D113" t="str">
            <v>Diesel</v>
          </cell>
          <cell r="E113">
            <v>5.2840755780847752E-4</v>
          </cell>
        </row>
        <row r="117">
          <cell r="A117" t="str">
            <v>Total Energy Inputs to Manufacture Virgin Asphalt Concrete</v>
          </cell>
        </row>
        <row r="119">
          <cell r="B119" t="str">
            <v>Energy Inputs to Manufacture 1 kg of Asphalt Concrete (MMBTU/kg) - Process Energy</v>
          </cell>
        </row>
        <row r="120">
          <cell r="H120" t="str">
            <v>Natural Gas</v>
          </cell>
          <cell r="I120" t="str">
            <v>Gasoline</v>
          </cell>
          <cell r="J120" t="str">
            <v>Electricity</v>
          </cell>
          <cell r="K120" t="str">
            <v>Energy from Hydro Power</v>
          </cell>
          <cell r="L120" t="str">
            <v>Uranium</v>
          </cell>
          <cell r="M120" t="str">
            <v>Wood Waste</v>
          </cell>
          <cell r="N120" t="str">
            <v>Waste (used) Fuel</v>
          </cell>
        </row>
        <row r="121">
          <cell r="H121">
            <v>3.3232549196435651E-6</v>
          </cell>
          <cell r="I121">
            <v>1.5130773347274034E-6</v>
          </cell>
          <cell r="J121">
            <v>3.5645641981336101E-5</v>
          </cell>
          <cell r="K121">
            <v>0</v>
          </cell>
          <cell r="L121">
            <v>0</v>
          </cell>
          <cell r="M121">
            <v>0</v>
          </cell>
          <cell r="N121">
            <v>0</v>
          </cell>
        </row>
        <row r="122">
          <cell r="H122">
            <v>2.8031938508520202E-4</v>
          </cell>
          <cell r="I122">
            <v>1.3760277399418987E-6</v>
          </cell>
          <cell r="J122">
            <v>9.8017235156565858E-5</v>
          </cell>
          <cell r="K122">
            <v>1.6560260767238056E-6</v>
          </cell>
          <cell r="L122">
            <v>1.0941600864068002E-5</v>
          </cell>
          <cell r="M122">
            <v>3.0951915957813985E-8</v>
          </cell>
          <cell r="N122">
            <v>0</v>
          </cell>
        </row>
        <row r="123">
          <cell r="H123">
            <v>1.8414974215384564E-4</v>
          </cell>
          <cell r="I123">
            <v>0</v>
          </cell>
          <cell r="J123">
            <v>2.2475818725393902E-5</v>
          </cell>
          <cell r="K123">
            <v>0</v>
          </cell>
          <cell r="L123">
            <v>0</v>
          </cell>
          <cell r="M123">
            <v>0</v>
          </cell>
          <cell r="N123">
            <v>1.3396296875263595E-4</v>
          </cell>
        </row>
        <row r="124">
          <cell r="H124">
            <v>4.6779238215869122E-4</v>
          </cell>
          <cell r="I124">
            <v>2.8891050746693021E-6</v>
          </cell>
          <cell r="J124">
            <v>1.5613869586329586E-4</v>
          </cell>
          <cell r="K124">
            <v>1.6560260767238056E-6</v>
          </cell>
          <cell r="L124">
            <v>1.0941600864068002E-5</v>
          </cell>
          <cell r="M124">
            <v>3.0951915957813985E-8</v>
          </cell>
          <cell r="N124">
            <v>1.3396296875263595E-4</v>
          </cell>
        </row>
        <row r="126">
          <cell r="I126" t="str">
            <v>mmBTU/ton</v>
          </cell>
          <cell r="J126">
            <v>0.94460627159429389</v>
          </cell>
        </row>
        <row r="129">
          <cell r="B129" t="str">
            <v>Binder Production Transport</v>
          </cell>
          <cell r="C129">
            <v>7.7173130401965648E-5</v>
          </cell>
          <cell r="D129">
            <v>0</v>
          </cell>
          <cell r="E129">
            <v>0</v>
          </cell>
          <cell r="F129">
            <v>0</v>
          </cell>
          <cell r="G129">
            <v>7.7173130401965648E-5</v>
          </cell>
        </row>
        <row r="130">
          <cell r="B130" t="str">
            <v>Crude Oil Transport for Binder Production</v>
          </cell>
          <cell r="C130">
            <v>0</v>
          </cell>
          <cell r="D130">
            <v>1.7482116874918635E-7</v>
          </cell>
          <cell r="E130">
            <v>5.8850402586004696E-4</v>
          </cell>
          <cell r="F130">
            <v>1.1260061714651676E-4</v>
          </cell>
          <cell r="G130">
            <v>7.0127946417531295E-4</v>
          </cell>
        </row>
        <row r="131">
          <cell r="B131" t="str">
            <v>Asphalt Production Transport</v>
          </cell>
          <cell r="C131">
            <v>2.2208850009794381E-5</v>
          </cell>
          <cell r="D131">
            <v>0</v>
          </cell>
          <cell r="E131">
            <v>0</v>
          </cell>
          <cell r="F131">
            <v>0</v>
          </cell>
          <cell r="G131">
            <v>2.2208850009794381E-5</v>
          </cell>
        </row>
        <row r="132">
          <cell r="B132" t="str">
            <v>Total</v>
          </cell>
          <cell r="C132">
            <v>1.0874546827464836E-4</v>
          </cell>
          <cell r="D132">
            <v>1.7482116874918635E-7</v>
          </cell>
          <cell r="E132">
            <v>5.8850402586004696E-4</v>
          </cell>
          <cell r="F132">
            <v>1.1260061714651676E-4</v>
          </cell>
          <cell r="G132">
            <v>8.1002493244996122E-4</v>
          </cell>
        </row>
        <row r="133">
          <cell r="F133">
            <v>0.73484225773813561</v>
          </cell>
        </row>
        <row r="136">
          <cell r="A136" t="str">
            <v>Total Energy Inputs to Recycle Asphalt Concrete</v>
          </cell>
        </row>
        <row r="138">
          <cell r="B138" t="str">
            <v>Energy Inputs to obtain materials for Recycle Asphalt Concrete</v>
          </cell>
          <cell r="F138" t="str">
            <v xml:space="preserve">Energy Inputs to Recycle Asphalt Concrete - Transportation Energy </v>
          </cell>
          <cell r="J138" t="str">
            <v>Total Energy Inputs to Recycle Asphalt Concrete (MMBTU/kg) - Process Energy</v>
          </cell>
        </row>
        <row r="139">
          <cell r="C139" t="str">
            <v>Diesel (gal/short_ton)</v>
          </cell>
          <cell r="D139" t="str">
            <v>Electricity 
(kWh/short_ton)</v>
          </cell>
          <cell r="G139" t="str">
            <v>Diesel 
(gal/short_ton)</v>
          </cell>
          <cell r="K139" t="str">
            <v>Liquid Propane Gas</v>
          </cell>
          <cell r="L139" t="str">
            <v>Heavy Fuel Oil</v>
          </cell>
          <cell r="M139" t="str">
            <v>Diesel Fuel</v>
          </cell>
          <cell r="N139" t="str">
            <v>Waste (used) Fuel</v>
          </cell>
          <cell r="O139" t="str">
            <v>Purchased Electricity</v>
          </cell>
          <cell r="P139" t="str">
            <v>Natural Gas</v>
          </cell>
        </row>
        <row r="140">
          <cell r="B140" t="str">
            <v>Front end loader use</v>
          </cell>
          <cell r="C140">
            <v>4.4699999999999997E-2</v>
          </cell>
          <cell r="F140" t="str">
            <v>Transporting RAP to mixing plant</v>
          </cell>
          <cell r="G140">
            <v>0.14960000000000001</v>
          </cell>
          <cell r="J140" t="str">
            <v>Materials</v>
          </cell>
          <cell r="K140">
            <v>0</v>
          </cell>
          <cell r="L140">
            <v>0</v>
          </cell>
          <cell r="M140">
            <v>7.8393845116927333E-6</v>
          </cell>
          <cell r="N140">
            <v>0</v>
          </cell>
          <cell r="O140">
            <v>5.2565811658673947E-6</v>
          </cell>
          <cell r="P140">
            <v>0</v>
          </cell>
        </row>
        <row r="141">
          <cell r="B141" t="str">
            <v>RAP crushing</v>
          </cell>
          <cell r="D141">
            <v>0.44979999999999998</v>
          </cell>
          <cell r="F141" t="str">
            <v>Transporting aggregate to customers</v>
          </cell>
          <cell r="G141">
            <v>0.14960000000000001</v>
          </cell>
          <cell r="J141" t="str">
            <v>Production</v>
          </cell>
          <cell r="K141">
            <v>1.4849639422847676E-5</v>
          </cell>
          <cell r="L141">
            <v>3.2696046610812832E-5</v>
          </cell>
          <cell r="M141">
            <v>5.2116919232496281E-5</v>
          </cell>
          <cell r="N141">
            <v>1.3396296875263595E-4</v>
          </cell>
          <cell r="O141">
            <v>2.2475818725393902E-5</v>
          </cell>
          <cell r="P141">
            <v>1.8414974215384564E-4</v>
          </cell>
        </row>
        <row r="142">
          <cell r="B142" t="str">
            <v>Source: Levis (2008)</v>
          </cell>
          <cell r="F142" t="str">
            <v>Source: Levis (2008)</v>
          </cell>
          <cell r="J142" t="str">
            <v xml:space="preserve">Total </v>
          </cell>
          <cell r="K142">
            <v>1.4849639422847676E-5</v>
          </cell>
          <cell r="L142">
            <v>3.2696046610812832E-5</v>
          </cell>
          <cell r="M142">
            <v>5.9956303744189014E-5</v>
          </cell>
          <cell r="N142">
            <v>1.3396296875263595E-4</v>
          </cell>
          <cell r="O142">
            <v>2.7732399891261297E-5</v>
          </cell>
          <cell r="P142">
            <v>1.8414974215384564E-4</v>
          </cell>
        </row>
        <row r="144">
          <cell r="B144" t="str">
            <v>Energy Inputs to obtain materials for Recycled Asphalt Concrete (MMBTU/kg)</v>
          </cell>
          <cell r="F144" t="str">
            <v>Energy Inputs to Recycle Asphalt Concrete (MMBTU/kg) - Transportation Energy</v>
          </cell>
        </row>
        <row r="145">
          <cell r="C145" t="str">
            <v>Diesel</v>
          </cell>
          <cell r="D145" t="str">
            <v>Electricity</v>
          </cell>
          <cell r="G145" t="str">
            <v>Diesel</v>
          </cell>
        </row>
        <row r="146">
          <cell r="B146" t="str">
            <v>Combustion Energy</v>
          </cell>
          <cell r="C146">
            <v>6.848990868166499E-6</v>
          </cell>
          <cell r="D146">
            <v>5.2565811658673947E-6</v>
          </cell>
          <cell r="F146" t="str">
            <v>Combustion Energy</v>
          </cell>
          <cell r="G146">
            <v>4.5843804647772194E-5</v>
          </cell>
        </row>
        <row r="147">
          <cell r="B147" t="str">
            <v>PreCombustion  Energy</v>
          </cell>
          <cell r="C147">
            <v>9.9039364352623467E-7</v>
          </cell>
          <cell r="D147">
            <v>0</v>
          </cell>
          <cell r="F147" t="str">
            <v>PreCombustion  Energy</v>
          </cell>
          <cell r="G147">
            <v>6.6292120389943953E-6</v>
          </cell>
        </row>
        <row r="148">
          <cell r="B148" t="str">
            <v>Total</v>
          </cell>
          <cell r="C148">
            <v>7.8393845116927333E-6</v>
          </cell>
          <cell r="D148">
            <v>5.2565811658673947E-6</v>
          </cell>
          <cell r="F148" t="str">
            <v>Total</v>
          </cell>
          <cell r="G148">
            <v>5.247301668676659E-5</v>
          </cell>
        </row>
        <row r="151">
          <cell r="B151" t="str">
            <v>Average Energy Use Per Tonne of Hot-Mix Asphalt</v>
          </cell>
        </row>
        <row r="152">
          <cell r="B152" t="str">
            <v>Fuel Source</v>
          </cell>
          <cell r="C152" t="str">
            <v>Physical Units</v>
          </cell>
          <cell r="D152" t="str">
            <v>Physical Quantity</v>
          </cell>
          <cell r="F152" t="str">
            <v>Energy Inputs to Produce 1 kg of Hot-Mix Asphalt Concrete from Recycled materials</v>
          </cell>
        </row>
        <row r="153">
          <cell r="B153" t="str">
            <v>Liquid Propane Gas</v>
          </cell>
          <cell r="C153" t="str">
            <v>L</v>
          </cell>
          <cell r="D153">
            <v>0.52</v>
          </cell>
          <cell r="G153" t="str">
            <v>Liquid Propane Gas</v>
          </cell>
          <cell r="H153" t="str">
            <v>Heavy Fuel Oil</v>
          </cell>
          <cell r="I153" t="str">
            <v>Diesel Fuel</v>
          </cell>
          <cell r="J153" t="str">
            <v>Waste (used) Fuel</v>
          </cell>
          <cell r="K153" t="str">
            <v>Purchased Electricity</v>
          </cell>
          <cell r="L153" t="str">
            <v>Natural Gas</v>
          </cell>
        </row>
        <row r="154">
          <cell r="B154" t="str">
            <v>Heavy Fuel Oil</v>
          </cell>
          <cell r="C154" t="str">
            <v>L</v>
          </cell>
          <cell r="D154">
            <v>0.72</v>
          </cell>
          <cell r="F154" t="str">
            <v>Combustion Energy</v>
          </cell>
          <cell r="G154">
            <v>1.3118784133968113E-5</v>
          </cell>
          <cell r="H154">
            <v>2.8530581684827953E-5</v>
          </cell>
          <cell r="I154">
            <v>4.5532694992564316E-5</v>
          </cell>
          <cell r="J154">
            <v>1.1689613329200345E-4</v>
          </cell>
          <cell r="K154">
            <v>2.2475818725393902E-5</v>
          </cell>
          <cell r="L154">
            <v>1.6950333728191333E-4</v>
          </cell>
        </row>
        <row r="155">
          <cell r="B155" t="str">
            <v>Diesel Fuel</v>
          </cell>
          <cell r="C155" t="str">
            <v>L</v>
          </cell>
          <cell r="D155">
            <v>1.24</v>
          </cell>
          <cell r="F155" t="str">
            <v>PreCombustion Energy</v>
          </cell>
          <cell r="G155">
            <v>1.7308552888795629E-6</v>
          </cell>
          <cell r="H155">
            <v>4.1654649259848815E-6</v>
          </cell>
          <cell r="I155">
            <v>6.584224239931964E-6</v>
          </cell>
          <cell r="J155">
            <v>1.7066835460632502E-5</v>
          </cell>
          <cell r="K155">
            <v>0</v>
          </cell>
          <cell r="L155">
            <v>1.4646404871932314E-5</v>
          </cell>
        </row>
        <row r="156">
          <cell r="B156" t="str">
            <v>Waste (used) Fuel</v>
          </cell>
          <cell r="C156" t="str">
            <v>L</v>
          </cell>
          <cell r="D156">
            <v>2.95</v>
          </cell>
          <cell r="F156" t="str">
            <v>Total</v>
          </cell>
          <cell r="G156">
            <v>1.4849639422847676E-5</v>
          </cell>
          <cell r="H156">
            <v>3.2696046610812832E-5</v>
          </cell>
          <cell r="I156">
            <v>5.2116919232496281E-5</v>
          </cell>
          <cell r="J156">
            <v>1.3396296875263595E-4</v>
          </cell>
          <cell r="K156">
            <v>2.2475818725393902E-5</v>
          </cell>
          <cell r="L156">
            <v>1.8414974215384564E-4</v>
          </cell>
        </row>
        <row r="157">
          <cell r="B157" t="str">
            <v>Purchased Electricity</v>
          </cell>
          <cell r="C157" t="str">
            <v>kWh</v>
          </cell>
          <cell r="D157">
            <v>2.12</v>
          </cell>
        </row>
        <row r="165">
          <cell r="D165" t="str">
            <v>Aggregates (Natural)</v>
          </cell>
          <cell r="E165" t="str">
            <v>Aggregates (Manuf.)</v>
          </cell>
          <cell r="F165" t="str">
            <v>Plant Oper.</v>
          </cell>
          <cell r="G165" t="str">
            <v>Transp.</v>
          </cell>
          <cell r="H165" t="str">
            <v>Const.</v>
          </cell>
          <cell r="I165" t="str">
            <v>Total</v>
          </cell>
        </row>
        <row r="166">
          <cell r="D166">
            <v>1.9</v>
          </cell>
          <cell r="E166">
            <v>82</v>
          </cell>
          <cell r="F166">
            <v>410</v>
          </cell>
          <cell r="G166">
            <v>120</v>
          </cell>
          <cell r="H166">
            <v>41</v>
          </cell>
          <cell r="I166">
            <v>870</v>
          </cell>
        </row>
        <row r="167">
          <cell r="B167" t="str">
            <v>Hassan Data</v>
          </cell>
          <cell r="C167">
            <v>230</v>
          </cell>
          <cell r="D167">
            <v>83.9</v>
          </cell>
          <cell r="F167">
            <v>410</v>
          </cell>
          <cell r="G167">
            <v>120</v>
          </cell>
          <cell r="H167">
            <v>41</v>
          </cell>
          <cell r="I167">
            <v>870</v>
          </cell>
        </row>
        <row r="168">
          <cell r="B168" t="str">
            <v>Levis Data</v>
          </cell>
          <cell r="C168">
            <v>835.38813978755888</v>
          </cell>
          <cell r="D168">
            <v>59.792348249141654</v>
          </cell>
          <cell r="F168">
            <v>381.51705907963236</v>
          </cell>
          <cell r="G168">
            <v>281.76566052866212</v>
          </cell>
          <cell r="I168">
            <v>1558.4632076449952</v>
          </cell>
        </row>
        <row r="169">
          <cell r="B169" t="str">
            <v xml:space="preserve">Calculated Compustion </v>
          </cell>
          <cell r="C169">
            <v>490.50165104488326</v>
          </cell>
          <cell r="D169">
            <v>66.137324434194895</v>
          </cell>
          <cell r="F169">
            <v>379.07859606316293</v>
          </cell>
          <cell r="G169">
            <v>122.11967552141634</v>
          </cell>
          <cell r="I169">
            <v>1057.8372470636575</v>
          </cell>
        </row>
        <row r="170">
          <cell r="B170" t="str">
            <v>Source: Hassan, Marwa. 2009.  Life-Cycle Assesssment of Warm-Mix Asphalt: An Environmetnal an Economic Perspective</v>
          </cell>
        </row>
        <row r="171">
          <cell r="B171" t="str">
            <v>Source: Levis (2009)</v>
          </cell>
        </row>
        <row r="173">
          <cell r="B173" t="str">
            <v>Inputs for Virgin material Processing</v>
          </cell>
        </row>
        <row r="174">
          <cell r="C174" t="str">
            <v>Diesel 
(gal/short_ton)</v>
          </cell>
          <cell r="D174" t="str">
            <v>Gasoline 
(gal/short_ton)</v>
          </cell>
          <cell r="E174" t="str">
            <v>Natural Gas 
(ft3/short_ton)</v>
          </cell>
          <cell r="F174" t="str">
            <v>LPG (gal/short_ton)</v>
          </cell>
          <cell r="G174" t="str">
            <v>Coal 
(lbs/short_ton)</v>
          </cell>
          <cell r="H174" t="str">
            <v>Electricity 
(kWh/Short_ton)</v>
          </cell>
        </row>
        <row r="175">
          <cell r="B175" t="str">
            <v>Virgin aggregate production</v>
          </cell>
          <cell r="C175">
            <v>0.1288</v>
          </cell>
          <cell r="D175">
            <v>1.1299999999999999E-2</v>
          </cell>
          <cell r="E175">
            <v>4.1399999999999997</v>
          </cell>
          <cell r="G175">
            <v>6.6000000000000003E-2</v>
          </cell>
          <cell r="H175">
            <v>3.5236000000000001</v>
          </cell>
        </row>
        <row r="176">
          <cell r="B176" t="str">
            <v>Virgin binder production</v>
          </cell>
          <cell r="C176">
            <v>1.8574214188252176</v>
          </cell>
          <cell r="D176">
            <v>5.1434444568422742E-2</v>
          </cell>
          <cell r="E176">
            <v>7.1308386213461847E-2</v>
          </cell>
          <cell r="F176">
            <v>6.8855352275444329E-2</v>
          </cell>
          <cell r="G176">
            <v>0</v>
          </cell>
          <cell r="H176">
            <v>49.105675530485385</v>
          </cell>
        </row>
        <row r="177">
          <cell r="B177" t="str">
            <v>Heated binder storage at mixing plant</v>
          </cell>
          <cell r="E177">
            <v>2.2439</v>
          </cell>
        </row>
        <row r="178">
          <cell r="B178" t="str">
            <v>Levis (2009)</v>
          </cell>
        </row>
        <row r="181">
          <cell r="B181" t="str">
            <v>Inputs for virgin material Transport</v>
          </cell>
        </row>
        <row r="182">
          <cell r="C182" t="str">
            <v>Diesel 
(gal/short_ton)</v>
          </cell>
        </row>
        <row r="183">
          <cell r="B183" t="str">
            <v>Transporting virgin aggregate from quarry</v>
          </cell>
          <cell r="C183">
            <v>0.2238</v>
          </cell>
        </row>
        <row r="184">
          <cell r="B184" t="str">
            <v>Virgin binder production (transport to refinery)</v>
          </cell>
          <cell r="C184">
            <v>1.6973965114737048</v>
          </cell>
        </row>
        <row r="185">
          <cell r="B185" t="str">
            <v>Binder transport to mixing plant</v>
          </cell>
          <cell r="C185">
            <v>1.1512614246065451E-4</v>
          </cell>
        </row>
        <row r="186">
          <cell r="B186" t="str">
            <v>Levis (2009)</v>
          </cell>
        </row>
      </sheetData>
      <sheetData sheetId="26" refreshError="1">
        <row r="7">
          <cell r="P7" t="str">
            <v>sums process and roof plant numbers to get total process energy</v>
          </cell>
        </row>
        <row r="8">
          <cell r="B8" t="str">
            <v>Paper felt shingle energy input, GJ/tonne</v>
          </cell>
          <cell r="I8" t="str">
            <v>Paper felt shingle energy input, MMBTU/tonne</v>
          </cell>
          <cell r="P8" t="str">
            <v>Paper felt shingle energy input, MMBTU/tonne</v>
          </cell>
          <cell r="U8" t="str">
            <v>Precombustion MMBTU / tonne</v>
          </cell>
          <cell r="X8" t="str">
            <v>Total
MMBTU/tonne</v>
          </cell>
        </row>
        <row r="9">
          <cell r="B9" t="str">
            <v>Fuel Type</v>
          </cell>
          <cell r="C9" t="str">
            <v>Process</v>
          </cell>
          <cell r="D9" t="str">
            <v>Transport</v>
          </cell>
          <cell r="E9" t="str">
            <v>Total</v>
          </cell>
          <cell r="F9" t="str">
            <v>Roof Plant</v>
          </cell>
          <cell r="G9" t="str">
            <v>Total</v>
          </cell>
          <cell r="I9" t="str">
            <v>Fuel Type</v>
          </cell>
          <cell r="J9" t="str">
            <v>Process</v>
          </cell>
          <cell r="K9" t="str">
            <v>Transport</v>
          </cell>
          <cell r="L9" t="str">
            <v>Total</v>
          </cell>
          <cell r="M9" t="str">
            <v>Roof Plant</v>
          </cell>
          <cell r="N9" t="str">
            <v>Total</v>
          </cell>
          <cell r="P9" t="str">
            <v>Fuel Type</v>
          </cell>
          <cell r="Q9" t="str">
            <v>Process Total</v>
          </cell>
          <cell r="R9" t="str">
            <v>Transport</v>
          </cell>
          <cell r="S9" t="str">
            <v>Total</v>
          </cell>
          <cell r="U9" t="str">
            <v>Process</v>
          </cell>
          <cell r="V9" t="str">
            <v>Transport</v>
          </cell>
          <cell r="X9" t="str">
            <v>Process</v>
          </cell>
          <cell r="Y9" t="str">
            <v>Transport</v>
          </cell>
        </row>
        <row r="10">
          <cell r="B10" t="str">
            <v>Coal</v>
          </cell>
          <cell r="C10">
            <v>0</v>
          </cell>
          <cell r="E10">
            <v>0</v>
          </cell>
          <cell r="G10">
            <v>0</v>
          </cell>
          <cell r="I10" t="str">
            <v>Coal</v>
          </cell>
          <cell r="J10">
            <v>0</v>
          </cell>
          <cell r="K10">
            <v>0</v>
          </cell>
          <cell r="L10">
            <v>0</v>
          </cell>
          <cell r="M10">
            <v>0</v>
          </cell>
          <cell r="N10">
            <v>0</v>
          </cell>
          <cell r="P10" t="str">
            <v>Coal</v>
          </cell>
          <cell r="Q10">
            <v>0</v>
          </cell>
          <cell r="R10">
            <v>0</v>
          </cell>
          <cell r="S10">
            <v>0</v>
          </cell>
          <cell r="U10">
            <v>0</v>
          </cell>
          <cell r="V10">
            <v>0</v>
          </cell>
          <cell r="X10">
            <v>0</v>
          </cell>
          <cell r="Y10">
            <v>0</v>
          </cell>
        </row>
        <row r="11">
          <cell r="B11" t="str">
            <v>Gasoline</v>
          </cell>
          <cell r="C11">
            <v>8.5000000000000006E-3</v>
          </cell>
          <cell r="E11">
            <v>8.5000000000000006E-3</v>
          </cell>
          <cell r="G11">
            <v>8.5000000000000006E-3</v>
          </cell>
          <cell r="I11" t="str">
            <v>Gasoline</v>
          </cell>
          <cell r="J11">
            <v>8.056445542669613E-3</v>
          </cell>
          <cell r="K11">
            <v>0</v>
          </cell>
          <cell r="L11">
            <v>8.056445542669613E-3</v>
          </cell>
          <cell r="M11">
            <v>0</v>
          </cell>
          <cell r="N11">
            <v>8.056445542669613E-3</v>
          </cell>
          <cell r="P11" t="str">
            <v>Gasoline</v>
          </cell>
          <cell r="Q11">
            <v>8.056445542669613E-3</v>
          </cell>
          <cell r="R11">
            <v>0</v>
          </cell>
          <cell r="S11">
            <v>8.056445542669613E-3</v>
          </cell>
          <cell r="U11">
            <v>1.1021217502372033E-3</v>
          </cell>
          <cell r="V11">
            <v>0</v>
          </cell>
          <cell r="X11">
            <v>9.1585672929068163E-3</v>
          </cell>
          <cell r="Y11">
            <v>0</v>
          </cell>
        </row>
        <row r="12">
          <cell r="B12" t="str">
            <v>LPG</v>
          </cell>
          <cell r="C12">
            <v>1.35E-2</v>
          </cell>
          <cell r="E12">
            <v>1.35E-2</v>
          </cell>
          <cell r="G12">
            <v>1.35E-2</v>
          </cell>
          <cell r="I12" t="str">
            <v>LPG</v>
          </cell>
          <cell r="J12">
            <v>1.279553115600468E-2</v>
          </cell>
          <cell r="K12">
            <v>0</v>
          </cell>
          <cell r="L12">
            <v>1.279553115600468E-2</v>
          </cell>
          <cell r="M12">
            <v>0</v>
          </cell>
          <cell r="N12">
            <v>1.279553115600468E-2</v>
          </cell>
          <cell r="P12" t="str">
            <v>LPG</v>
          </cell>
          <cell r="Q12">
            <v>1.279553115600468E-2</v>
          </cell>
          <cell r="R12">
            <v>0</v>
          </cell>
          <cell r="S12">
            <v>1.279553115600468E-2</v>
          </cell>
          <cell r="U12">
            <v>1.6882062048760101E-3</v>
          </cell>
          <cell r="V12">
            <v>0</v>
          </cell>
          <cell r="X12">
            <v>1.448373736088069E-2</v>
          </cell>
          <cell r="Y12">
            <v>0</v>
          </cell>
        </row>
        <row r="13">
          <cell r="B13" t="str">
            <v>Diesel road</v>
          </cell>
          <cell r="C13">
            <v>6.3200000000000006E-2</v>
          </cell>
          <cell r="D13">
            <v>0.1721</v>
          </cell>
          <cell r="E13">
            <v>0.23519999999999999</v>
          </cell>
          <cell r="G13">
            <v>0.23519999999999999</v>
          </cell>
          <cell r="I13" t="str">
            <v>Diesel road</v>
          </cell>
          <cell r="J13">
            <v>5.9902042152555249E-2</v>
          </cell>
          <cell r="K13">
            <v>0.163119326810993</v>
          </cell>
          <cell r="L13">
            <v>0.22292658725128153</v>
          </cell>
          <cell r="M13">
            <v>0</v>
          </cell>
          <cell r="N13">
            <v>0.22292658725128153</v>
          </cell>
          <cell r="P13" t="str">
            <v>Diesel road</v>
          </cell>
          <cell r="Q13" t="str">
            <v>-</v>
          </cell>
          <cell r="R13">
            <v>0.22302136896354824</v>
          </cell>
          <cell r="S13">
            <v>0.22302136896354824</v>
          </cell>
          <cell r="U13" t="str">
            <v>-</v>
          </cell>
          <cell r="V13">
            <v>3.224985263429727E-2</v>
          </cell>
          <cell r="X13">
            <v>0</v>
          </cell>
          <cell r="Y13">
            <v>0.25527122159784549</v>
          </cell>
        </row>
        <row r="14">
          <cell r="B14" t="str">
            <v>Diesel rail</v>
          </cell>
          <cell r="C14">
            <v>8.3999999999999995E-3</v>
          </cell>
          <cell r="D14">
            <v>0.2545</v>
          </cell>
          <cell r="E14">
            <v>0.26290000000000002</v>
          </cell>
          <cell r="G14">
            <v>0.26290000000000002</v>
          </cell>
          <cell r="I14" t="str">
            <v>Diesel rail</v>
          </cell>
          <cell r="J14">
            <v>7.9616638304029121E-3</v>
          </cell>
          <cell r="K14">
            <v>0.24121945771875491</v>
          </cell>
          <cell r="L14">
            <v>0.24918112154915784</v>
          </cell>
          <cell r="M14">
            <v>0</v>
          </cell>
          <cell r="N14">
            <v>0.24918112154915784</v>
          </cell>
          <cell r="P14" t="str">
            <v>Diesel rail</v>
          </cell>
          <cell r="Q14" t="str">
            <v>-</v>
          </cell>
          <cell r="R14">
            <v>0.24918112154915784</v>
          </cell>
          <cell r="S14">
            <v>0.24918112154915784</v>
          </cell>
          <cell r="U14" t="str">
            <v>-</v>
          </cell>
          <cell r="V14">
            <v>3.6032665777971755E-2</v>
          </cell>
          <cell r="X14">
            <v>0</v>
          </cell>
          <cell r="Y14">
            <v>0.2852137873271296</v>
          </cell>
        </row>
        <row r="15">
          <cell r="B15" t="str">
            <v>Natural Gas</v>
          </cell>
          <cell r="C15">
            <v>1.6970000000000001</v>
          </cell>
          <cell r="E15">
            <v>1.6970000000000001</v>
          </cell>
          <cell r="F15">
            <v>6.7799999999999999E-2</v>
          </cell>
          <cell r="G15">
            <v>1.7648000000000001</v>
          </cell>
          <cell r="I15" t="str">
            <v>Natural Gas</v>
          </cell>
          <cell r="J15">
            <v>1.6084456571659216</v>
          </cell>
          <cell r="K15">
            <v>0</v>
          </cell>
          <cell r="L15">
            <v>1.6084456571659216</v>
          </cell>
          <cell r="M15">
            <v>6.4262000916823506E-2</v>
          </cell>
          <cell r="N15">
            <v>1.6727076580827454</v>
          </cell>
          <cell r="P15" t="str">
            <v>Natural Gas</v>
          </cell>
          <cell r="Q15">
            <v>1.6727076580827451</v>
          </cell>
          <cell r="R15">
            <v>0</v>
          </cell>
          <cell r="S15">
            <v>1.6727076580827451</v>
          </cell>
          <cell r="U15">
            <v>0.14453493356248961</v>
          </cell>
          <cell r="V15">
            <v>0</v>
          </cell>
          <cell r="X15">
            <v>1.8172425916452348</v>
          </cell>
          <cell r="Y15">
            <v>0</v>
          </cell>
        </row>
        <row r="16">
          <cell r="B16" t="str">
            <v>Petroleum Coke</v>
          </cell>
          <cell r="E16">
            <v>0</v>
          </cell>
          <cell r="G16">
            <v>0</v>
          </cell>
          <cell r="I16" t="str">
            <v>Petroleum Coke</v>
          </cell>
          <cell r="J16">
            <v>0</v>
          </cell>
          <cell r="K16">
            <v>0</v>
          </cell>
          <cell r="L16">
            <v>0</v>
          </cell>
          <cell r="M16">
            <v>0</v>
          </cell>
          <cell r="N16">
            <v>0</v>
          </cell>
          <cell r="P16" t="str">
            <v>Petroleum Coke</v>
          </cell>
          <cell r="Q16">
            <v>0</v>
          </cell>
          <cell r="R16">
            <v>0</v>
          </cell>
          <cell r="S16">
            <v>0</v>
          </cell>
          <cell r="U16">
            <v>0</v>
          </cell>
          <cell r="V16">
            <v>0</v>
          </cell>
          <cell r="X16">
            <v>0</v>
          </cell>
          <cell r="Y16">
            <v>0</v>
          </cell>
        </row>
        <row r="17">
          <cell r="B17" t="str">
            <v>Residual Oil</v>
          </cell>
          <cell r="C17">
            <v>0.52229999999999999</v>
          </cell>
          <cell r="E17">
            <v>0.52229999999999999</v>
          </cell>
          <cell r="G17">
            <v>0.52229999999999999</v>
          </cell>
          <cell r="I17" t="str">
            <v>Residual Oil</v>
          </cell>
          <cell r="J17">
            <v>0.49504488316898104</v>
          </cell>
          <cell r="K17">
            <v>0</v>
          </cell>
          <cell r="L17">
            <v>0.49504488316898104</v>
          </cell>
          <cell r="M17">
            <v>0</v>
          </cell>
          <cell r="N17">
            <v>0.49504488316898104</v>
          </cell>
          <cell r="P17" t="str">
            <v>Residual Oil</v>
          </cell>
          <cell r="Q17">
            <v>0.49504488316898104</v>
          </cell>
          <cell r="R17">
            <v>0</v>
          </cell>
          <cell r="S17">
            <v>0.49504488316898104</v>
          </cell>
          <cell r="U17">
            <v>7.2276552942671241E-2</v>
          </cell>
          <cell r="V17">
            <v>0</v>
          </cell>
          <cell r="X17">
            <v>0.56732143611165231</v>
          </cell>
          <cell r="Y17">
            <v>0</v>
          </cell>
        </row>
        <row r="18">
          <cell r="B18" t="str">
            <v>Other</v>
          </cell>
          <cell r="C18">
            <v>0</v>
          </cell>
          <cell r="E18">
            <v>0</v>
          </cell>
          <cell r="G18">
            <v>0</v>
          </cell>
          <cell r="I18" t="str">
            <v>Other</v>
          </cell>
          <cell r="J18">
            <v>0</v>
          </cell>
          <cell r="K18">
            <v>0</v>
          </cell>
          <cell r="L18">
            <v>0</v>
          </cell>
          <cell r="M18">
            <v>0</v>
          </cell>
          <cell r="N18">
            <v>0</v>
          </cell>
          <cell r="P18" t="str">
            <v>Other</v>
          </cell>
          <cell r="Q18">
            <v>0</v>
          </cell>
          <cell r="R18">
            <v>0</v>
          </cell>
          <cell r="S18">
            <v>0</v>
          </cell>
          <cell r="U18" t="str">
            <v>-</v>
          </cell>
          <cell r="V18" t="str">
            <v>-</v>
          </cell>
          <cell r="X18">
            <v>0</v>
          </cell>
          <cell r="Y18">
            <v>0</v>
          </cell>
        </row>
        <row r="19">
          <cell r="B19" t="str">
            <v>Fuel energy subtotal</v>
          </cell>
          <cell r="C19">
            <v>2.3129</v>
          </cell>
          <cell r="D19">
            <v>0.42659999999999998</v>
          </cell>
          <cell r="E19">
            <v>2.7395</v>
          </cell>
          <cell r="G19">
            <v>2.7395</v>
          </cell>
          <cell r="I19" t="str">
            <v>Fuel energy subtotal</v>
          </cell>
          <cell r="J19">
            <v>2.1922062230165351</v>
          </cell>
          <cell r="K19">
            <v>0.40433878452974786</v>
          </cell>
          <cell r="L19">
            <v>2.596545007546283</v>
          </cell>
          <cell r="M19">
            <v>0</v>
          </cell>
          <cell r="N19">
            <v>2.596545007546283</v>
          </cell>
          <cell r="P19" t="str">
            <v>Fuel energy subtotal</v>
          </cell>
          <cell r="Q19">
            <v>2.1886045179504006</v>
          </cell>
          <cell r="R19">
            <v>0.47220249051270607</v>
          </cell>
          <cell r="S19">
            <v>2.6608070084631064</v>
          </cell>
          <cell r="U19">
            <v>0.21960181446027408</v>
          </cell>
          <cell r="V19">
            <v>6.8282518412269025E-2</v>
          </cell>
          <cell r="X19">
            <v>2.4082063324106748</v>
          </cell>
          <cell r="Y19">
            <v>0.54048500892497509</v>
          </cell>
        </row>
        <row r="20">
          <cell r="B20" t="str">
            <v>Electricity</v>
          </cell>
          <cell r="C20">
            <v>0.30909999999999999</v>
          </cell>
          <cell r="E20">
            <v>0.30909999999999999</v>
          </cell>
          <cell r="F20">
            <v>7.1999999999999995E-2</v>
          </cell>
          <cell r="G20">
            <v>0.38109999999999999</v>
          </cell>
          <cell r="I20" t="str">
            <v>Electricity</v>
          </cell>
          <cell r="J20">
            <v>0.29297027261637382</v>
          </cell>
          <cell r="K20">
            <v>0</v>
          </cell>
          <cell r="L20">
            <v>0.29297027261637382</v>
          </cell>
          <cell r="M20">
            <v>6.8242832832024966E-2</v>
          </cell>
          <cell r="N20">
            <v>0.3612131054483988</v>
          </cell>
          <cell r="P20" t="str">
            <v>Electricity</v>
          </cell>
          <cell r="Q20">
            <v>0.3612131054483988</v>
          </cell>
          <cell r="R20">
            <v>0</v>
          </cell>
          <cell r="S20">
            <v>0.3612131054483988</v>
          </cell>
          <cell r="U20">
            <v>0</v>
          </cell>
          <cell r="V20">
            <v>0</v>
          </cell>
          <cell r="X20">
            <v>1.1220362044257535</v>
          </cell>
          <cell r="Y20">
            <v>0</v>
          </cell>
        </row>
        <row r="21">
          <cell r="B21" t="str">
            <v>Total process energy</v>
          </cell>
          <cell r="C21">
            <v>2.6619999999999999</v>
          </cell>
          <cell r="D21">
            <v>0.42659999999999998</v>
          </cell>
          <cell r="E21">
            <v>3.0486</v>
          </cell>
          <cell r="F21">
            <v>0.13980000000000001</v>
          </cell>
          <cell r="G21">
            <v>3.1884000000000001</v>
          </cell>
          <cell r="I21" t="str">
            <v>Total process energy</v>
          </cell>
          <cell r="J21">
            <v>2.5230891805395896</v>
          </cell>
          <cell r="K21">
            <v>0.40433878452974786</v>
          </cell>
          <cell r="L21">
            <v>2.8895152801626569</v>
          </cell>
          <cell r="M21">
            <v>0.13250483374884847</v>
          </cell>
          <cell r="N21">
            <v>3.0220201139115055</v>
          </cell>
          <cell r="P21" t="str">
            <v>Total process energy</v>
          </cell>
          <cell r="Q21">
            <v>2.5498176233987992</v>
          </cell>
          <cell r="R21">
            <v>0.47220249051270607</v>
          </cell>
          <cell r="S21">
            <v>3.022020113911505</v>
          </cell>
          <cell r="U21">
            <v>0.21960181446027408</v>
          </cell>
          <cell r="V21">
            <v>6.8282518412269025E-2</v>
          </cell>
          <cell r="X21">
            <v>3.5302425368364281</v>
          </cell>
          <cell r="Y21">
            <v>0.54048500892497509</v>
          </cell>
        </row>
        <row r="22">
          <cell r="B22" t="str">
            <v>Feedstock energy</v>
          </cell>
          <cell r="C22">
            <v>10.321899999999999</v>
          </cell>
          <cell r="E22">
            <v>10.321899999999999</v>
          </cell>
          <cell r="G22">
            <v>10.321899999999999</v>
          </cell>
          <cell r="I22" t="str">
            <v>Feedstock energy</v>
          </cell>
          <cell r="J22">
            <v>9.7832735584566457</v>
          </cell>
          <cell r="K22">
            <v>0</v>
          </cell>
          <cell r="L22">
            <v>9.7832735584566457</v>
          </cell>
          <cell r="M22">
            <v>0</v>
          </cell>
          <cell r="N22">
            <v>9.7832735584566457</v>
          </cell>
          <cell r="P22" t="str">
            <v>Feedstock energy</v>
          </cell>
          <cell r="Q22">
            <v>9.7832735584566457</v>
          </cell>
          <cell r="R22">
            <v>0</v>
          </cell>
          <cell r="S22">
            <v>9.7832735584566457</v>
          </cell>
        </row>
        <row r="23">
          <cell r="B23" t="str">
            <v>Total, including feedstock energy</v>
          </cell>
          <cell r="C23">
            <v>12.943899999999999</v>
          </cell>
          <cell r="D23">
            <v>0.42659999999999998</v>
          </cell>
          <cell r="E23">
            <v>13.3705</v>
          </cell>
          <cell r="F23">
            <v>0.13980000000000001</v>
          </cell>
          <cell r="G23">
            <v>13.510300000000001</v>
          </cell>
          <cell r="I23" t="str">
            <v>Total, including feedstock energy</v>
          </cell>
          <cell r="J23">
            <v>12.268450054089554</v>
          </cell>
          <cell r="K23">
            <v>0.40433878452974786</v>
          </cell>
          <cell r="L23">
            <v>12.672788838619303</v>
          </cell>
          <cell r="M23">
            <v>0.13250483374884847</v>
          </cell>
          <cell r="N23">
            <v>12.805293672368151</v>
          </cell>
          <cell r="P23" t="str">
            <v>Total, including feedstock energy</v>
          </cell>
          <cell r="Q23">
            <v>12.333091181855444</v>
          </cell>
          <cell r="R23">
            <v>0.47220249051270607</v>
          </cell>
          <cell r="S23">
            <v>12.805293672368149</v>
          </cell>
          <cell r="Z23">
            <v>3.5302425368364281</v>
          </cell>
        </row>
        <row r="24">
          <cell r="B24" t="str">
            <v>*Numbers in table do not sum entirely accurately. Numbers here are as shown in the paper, not as calculated by summing columns/rows.</v>
          </cell>
          <cell r="I24" t="str">
            <v>*Numbers in table do not sum entirely accurately. Numbers here are as shown in the paper, not as calculated by summing columns/rows.</v>
          </cell>
          <cell r="P24" t="str">
            <v>*Numbers in table do not sum entirely accurately. Numbers here are as shown in the paper, not as calculated by summing columns/rows.</v>
          </cell>
        </row>
        <row r="26">
          <cell r="B26" t="str">
            <v>Glass shingle energy input, GJ/tonne</v>
          </cell>
          <cell r="I26" t="str">
            <v>Glass shingle energy input, MMBTU/tonne</v>
          </cell>
          <cell r="P26" t="str">
            <v>Glass shingle energy input, MMBTU/tonne</v>
          </cell>
          <cell r="U26" t="str">
            <v>Precombustion MMBTU / tonne</v>
          </cell>
          <cell r="X26" t="str">
            <v>Total
MMBTU/tonne</v>
          </cell>
        </row>
        <row r="27">
          <cell r="B27" t="str">
            <v>Fuel Type</v>
          </cell>
          <cell r="C27" t="str">
            <v>Process</v>
          </cell>
          <cell r="D27" t="str">
            <v>Transport</v>
          </cell>
          <cell r="E27" t="str">
            <v>Total</v>
          </cell>
          <cell r="F27" t="str">
            <v>Roof Plant</v>
          </cell>
          <cell r="G27" t="str">
            <v>Total</v>
          </cell>
          <cell r="I27" t="str">
            <v>Fuel Type</v>
          </cell>
          <cell r="J27" t="str">
            <v>Process</v>
          </cell>
          <cell r="K27" t="str">
            <v>Transport</v>
          </cell>
          <cell r="L27" t="str">
            <v>Total</v>
          </cell>
          <cell r="M27" t="str">
            <v>Roof Plant</v>
          </cell>
          <cell r="N27" t="str">
            <v>Total</v>
          </cell>
          <cell r="P27" t="str">
            <v>Fuel Type</v>
          </cell>
          <cell r="Q27" t="str">
            <v>Process Total</v>
          </cell>
          <cell r="R27" t="str">
            <v>Transport</v>
          </cell>
          <cell r="S27" t="str">
            <v>Total</v>
          </cell>
          <cell r="U27" t="str">
            <v>Process</v>
          </cell>
          <cell r="V27" t="str">
            <v>Transport</v>
          </cell>
          <cell r="X27" t="str">
            <v>Process</v>
          </cell>
          <cell r="Y27" t="str">
            <v>Transport</v>
          </cell>
        </row>
        <row r="28">
          <cell r="B28" t="str">
            <v>Coal</v>
          </cell>
          <cell r="C28">
            <v>0</v>
          </cell>
          <cell r="E28">
            <v>0</v>
          </cell>
          <cell r="G28">
            <v>0</v>
          </cell>
          <cell r="I28" t="str">
            <v>Coal</v>
          </cell>
          <cell r="J28">
            <v>0</v>
          </cell>
          <cell r="K28">
            <v>0</v>
          </cell>
          <cell r="L28">
            <v>0</v>
          </cell>
          <cell r="M28">
            <v>0</v>
          </cell>
          <cell r="N28">
            <v>0</v>
          </cell>
          <cell r="P28" t="str">
            <v>Coal</v>
          </cell>
          <cell r="Q28">
            <v>0</v>
          </cell>
          <cell r="R28">
            <v>0</v>
          </cell>
          <cell r="S28">
            <v>0</v>
          </cell>
          <cell r="U28">
            <v>0</v>
          </cell>
          <cell r="V28">
            <v>0</v>
          </cell>
          <cell r="X28">
            <v>0</v>
          </cell>
          <cell r="Y28">
            <v>0</v>
          </cell>
        </row>
        <row r="29">
          <cell r="B29" t="str">
            <v>Gasoline</v>
          </cell>
          <cell r="C29">
            <v>4.7999999999999996E-3</v>
          </cell>
          <cell r="E29">
            <v>4.7999999999999996E-3</v>
          </cell>
          <cell r="G29">
            <v>4.7999999999999996E-3</v>
          </cell>
          <cell r="I29" t="str">
            <v>Gasoline</v>
          </cell>
          <cell r="J29">
            <v>4.5495221888016638E-3</v>
          </cell>
          <cell r="K29">
            <v>0</v>
          </cell>
          <cell r="L29">
            <v>4.5495221888016638E-3</v>
          </cell>
          <cell r="M29">
            <v>0</v>
          </cell>
          <cell r="N29">
            <v>4.5495221888016638E-3</v>
          </cell>
          <cell r="P29" t="str">
            <v>Gasoline</v>
          </cell>
          <cell r="Q29">
            <v>4.5495221888016638E-3</v>
          </cell>
          <cell r="R29">
            <v>0</v>
          </cell>
          <cell r="S29">
            <v>4.5495221888016638E-3</v>
          </cell>
          <cell r="U29">
            <v>6.2237463542806767E-4</v>
          </cell>
          <cell r="V29">
            <v>0</v>
          </cell>
          <cell r="X29">
            <v>5.1718968242297318E-3</v>
          </cell>
          <cell r="Y29">
            <v>0</v>
          </cell>
        </row>
        <row r="30">
          <cell r="B30" t="str">
            <v>LPG</v>
          </cell>
          <cell r="C30">
            <v>1.01E-2</v>
          </cell>
          <cell r="E30">
            <v>1.01E-2</v>
          </cell>
          <cell r="G30">
            <v>1.01E-2</v>
          </cell>
          <cell r="I30" t="str">
            <v>LPG</v>
          </cell>
          <cell r="J30">
            <v>9.5729529389368354E-3</v>
          </cell>
          <cell r="K30">
            <v>0</v>
          </cell>
          <cell r="L30">
            <v>9.5729529389368354E-3</v>
          </cell>
          <cell r="M30">
            <v>0</v>
          </cell>
          <cell r="N30">
            <v>9.5729529389368354E-3</v>
          </cell>
          <cell r="P30" t="str">
            <v>LPG</v>
          </cell>
          <cell r="Q30">
            <v>9.5729529389368354E-3</v>
          </cell>
          <cell r="R30">
            <v>0</v>
          </cell>
          <cell r="S30">
            <v>9.5729529389368354E-3</v>
          </cell>
          <cell r="U30">
            <v>1.2630283458702001E-3</v>
          </cell>
          <cell r="V30">
            <v>0</v>
          </cell>
          <cell r="X30">
            <v>1.0835981284807035E-2</v>
          </cell>
          <cell r="Y30">
            <v>0</v>
          </cell>
        </row>
        <row r="31">
          <cell r="B31" t="str">
            <v>Diesel road</v>
          </cell>
          <cell r="C31">
            <v>5.5199999999999999E-2</v>
          </cell>
          <cell r="D31">
            <v>0.30020000000000002</v>
          </cell>
          <cell r="E31">
            <v>0.35540000000000005</v>
          </cell>
          <cell r="G31">
            <v>0.35540000000000005</v>
          </cell>
          <cell r="I31" t="str">
            <v>Diesel road</v>
          </cell>
          <cell r="J31">
            <v>5.2319505171219131E-2</v>
          </cell>
          <cell r="K31">
            <v>0.28453470022463745</v>
          </cell>
          <cell r="L31">
            <v>0.33685420539585659</v>
          </cell>
          <cell r="M31">
            <v>0</v>
          </cell>
          <cell r="N31">
            <v>0.33685420539585659</v>
          </cell>
          <cell r="P31" t="str">
            <v>Diesel road</v>
          </cell>
          <cell r="Q31" t="str">
            <v>-</v>
          </cell>
          <cell r="R31">
            <v>0.33685420539585659</v>
          </cell>
          <cell r="S31">
            <v>0.33685420539585659</v>
          </cell>
          <cell r="U31" t="str">
            <v>-</v>
          </cell>
          <cell r="V31">
            <v>4.8710572147170637E-2</v>
          </cell>
          <cell r="X31">
            <v>0</v>
          </cell>
          <cell r="Y31">
            <v>0.3855647775430272</v>
          </cell>
        </row>
        <row r="32">
          <cell r="B32" t="str">
            <v>Diesel rail</v>
          </cell>
          <cell r="C32">
            <v>0</v>
          </cell>
          <cell r="D32">
            <v>0.22900000000000001</v>
          </cell>
          <cell r="E32">
            <v>0.22900000000000001</v>
          </cell>
          <cell r="G32">
            <v>0.22900000000000001</v>
          </cell>
          <cell r="I32" t="str">
            <v>Diesel rail</v>
          </cell>
          <cell r="J32">
            <v>0</v>
          </cell>
          <cell r="K32">
            <v>0.21705012109074606</v>
          </cell>
          <cell r="L32">
            <v>0.21705012109074606</v>
          </cell>
          <cell r="M32">
            <v>0</v>
          </cell>
          <cell r="N32">
            <v>0.21705012109074606</v>
          </cell>
          <cell r="P32" t="str">
            <v>Diesel rail</v>
          </cell>
          <cell r="Q32" t="str">
            <v>-</v>
          </cell>
          <cell r="R32">
            <v>0.21705012109074606</v>
          </cell>
          <cell r="S32">
            <v>0.21705012109074606</v>
          </cell>
          <cell r="U32" t="str">
            <v>-</v>
          </cell>
          <cell r="V32">
            <v>3.1386384416719405E-2</v>
          </cell>
          <cell r="X32">
            <v>0</v>
          </cell>
          <cell r="Y32">
            <v>0.24843650550746546</v>
          </cell>
        </row>
        <row r="33">
          <cell r="B33" t="str">
            <v>Natural Gas</v>
          </cell>
          <cell r="C33">
            <v>1.0282</v>
          </cell>
          <cell r="E33">
            <v>1.0282</v>
          </cell>
          <cell r="F33">
            <v>6.6799999999999998E-2</v>
          </cell>
          <cell r="G33">
            <v>1.0949</v>
          </cell>
          <cell r="I33" t="str">
            <v>Natural Gas</v>
          </cell>
          <cell r="J33">
            <v>0.97454556552622318</v>
          </cell>
          <cell r="K33">
            <v>0</v>
          </cell>
          <cell r="L33">
            <v>0.97454556552622318</v>
          </cell>
          <cell r="M33">
            <v>6.3314183794156487E-2</v>
          </cell>
          <cell r="N33">
            <v>1.0377649676081131</v>
          </cell>
          <cell r="P33" t="str">
            <v>Natural Gas</v>
          </cell>
          <cell r="Q33">
            <v>1.0378597493203796</v>
          </cell>
          <cell r="R33">
            <v>0</v>
          </cell>
          <cell r="S33">
            <v>1.0378597493203796</v>
          </cell>
          <cell r="U33">
            <v>8.9679143387877455E-2</v>
          </cell>
          <cell r="V33">
            <v>0</v>
          </cell>
          <cell r="X33">
            <v>1.127538892708257</v>
          </cell>
          <cell r="Y33">
            <v>0</v>
          </cell>
        </row>
        <row r="34">
          <cell r="B34" t="str">
            <v>Petroleum Coke</v>
          </cell>
          <cell r="C34">
            <v>0</v>
          </cell>
          <cell r="E34">
            <v>0</v>
          </cell>
          <cell r="G34">
            <v>0</v>
          </cell>
          <cell r="I34" t="str">
            <v>Petroleum Coke</v>
          </cell>
          <cell r="J34">
            <v>0</v>
          </cell>
          <cell r="K34">
            <v>0</v>
          </cell>
          <cell r="L34">
            <v>0</v>
          </cell>
          <cell r="M34">
            <v>0</v>
          </cell>
          <cell r="N34">
            <v>0</v>
          </cell>
          <cell r="P34" t="str">
            <v>Petroleum Coke</v>
          </cell>
          <cell r="Q34">
            <v>0</v>
          </cell>
          <cell r="R34">
            <v>0</v>
          </cell>
          <cell r="S34">
            <v>0</v>
          </cell>
          <cell r="U34">
            <v>0</v>
          </cell>
          <cell r="V34">
            <v>0</v>
          </cell>
          <cell r="X34">
            <v>0</v>
          </cell>
          <cell r="Y34">
            <v>0</v>
          </cell>
        </row>
        <row r="35">
          <cell r="B35" t="str">
            <v>Residual Oil</v>
          </cell>
          <cell r="C35">
            <v>0.36570000000000003</v>
          </cell>
          <cell r="E35">
            <v>0.36570000000000003</v>
          </cell>
          <cell r="G35">
            <v>0.36570000000000003</v>
          </cell>
          <cell r="I35" t="str">
            <v>Residual Oil</v>
          </cell>
          <cell r="J35">
            <v>0.34661672175932684</v>
          </cell>
          <cell r="K35">
            <v>0</v>
          </cell>
          <cell r="L35">
            <v>0.34661672175932684</v>
          </cell>
          <cell r="M35">
            <v>0</v>
          </cell>
          <cell r="N35">
            <v>0.34661672175932684</v>
          </cell>
          <cell r="P35" t="str">
            <v>Residual Oil</v>
          </cell>
          <cell r="Q35">
            <v>0.34661672175932684</v>
          </cell>
          <cell r="R35">
            <v>0</v>
          </cell>
          <cell r="S35">
            <v>0.34661672175932684</v>
          </cell>
          <cell r="U35">
            <v>5.0606041376861713E-2</v>
          </cell>
          <cell r="V35">
            <v>0</v>
          </cell>
          <cell r="X35">
            <v>0.39722276313618854</v>
          </cell>
          <cell r="Y35">
            <v>0</v>
          </cell>
        </row>
        <row r="36">
          <cell r="B36" t="str">
            <v>Other</v>
          </cell>
          <cell r="C36">
            <v>0</v>
          </cell>
          <cell r="E36">
            <v>0</v>
          </cell>
          <cell r="G36">
            <v>0</v>
          </cell>
          <cell r="I36" t="str">
            <v>Other</v>
          </cell>
          <cell r="J36">
            <v>0</v>
          </cell>
          <cell r="K36">
            <v>0</v>
          </cell>
          <cell r="L36">
            <v>0</v>
          </cell>
          <cell r="M36">
            <v>0</v>
          </cell>
          <cell r="N36">
            <v>0</v>
          </cell>
          <cell r="P36" t="str">
            <v>Other</v>
          </cell>
          <cell r="Q36">
            <v>0</v>
          </cell>
          <cell r="R36">
            <v>0</v>
          </cell>
          <cell r="S36">
            <v>0</v>
          </cell>
          <cell r="U36" t="str">
            <v>-</v>
          </cell>
          <cell r="V36" t="str">
            <v>-</v>
          </cell>
          <cell r="X36">
            <v>0</v>
          </cell>
          <cell r="Y36">
            <v>0</v>
          </cell>
        </row>
        <row r="37">
          <cell r="B37" t="str">
            <v>Fuel energy subtotal</v>
          </cell>
          <cell r="C37">
            <v>1.464</v>
          </cell>
          <cell r="D37">
            <v>0.52929999999999999</v>
          </cell>
          <cell r="E37">
            <v>1.9933000000000001</v>
          </cell>
          <cell r="G37">
            <v>1.9933000000000001</v>
          </cell>
          <cell r="I37" t="str">
            <v>Fuel energy subtotal</v>
          </cell>
          <cell r="J37">
            <v>1.3876042675845075</v>
          </cell>
          <cell r="K37">
            <v>0.50167960302765013</v>
          </cell>
          <cell r="L37">
            <v>1.889283870612158</v>
          </cell>
          <cell r="M37">
            <v>0</v>
          </cell>
          <cell r="N37">
            <v>1.889283870612158</v>
          </cell>
          <cell r="P37" t="str">
            <v>Fuel energy subtotal</v>
          </cell>
          <cell r="Q37">
            <v>1.3985989462074448</v>
          </cell>
          <cell r="R37">
            <v>0.55390432648660259</v>
          </cell>
          <cell r="S37">
            <v>1.9525032726940477</v>
          </cell>
          <cell r="U37">
            <v>0.14217058774603744</v>
          </cell>
          <cell r="V37">
            <v>8.0096956563890043E-2</v>
          </cell>
          <cell r="X37">
            <v>1.5407695339534824</v>
          </cell>
          <cell r="Y37">
            <v>0.63400128305049264</v>
          </cell>
        </row>
        <row r="38">
          <cell r="B38" t="str">
            <v>Electricity</v>
          </cell>
          <cell r="C38">
            <v>0.2162</v>
          </cell>
          <cell r="E38">
            <v>0.2162</v>
          </cell>
          <cell r="F38">
            <v>7.1999999999999995E-2</v>
          </cell>
          <cell r="G38">
            <v>0.28820000000000001</v>
          </cell>
          <cell r="I38" t="str">
            <v>Electricity</v>
          </cell>
          <cell r="J38">
            <v>0.2049180619206083</v>
          </cell>
          <cell r="K38">
            <v>0</v>
          </cell>
          <cell r="L38">
            <v>0.2049180619206083</v>
          </cell>
          <cell r="M38">
            <v>6.8242832832024966E-2</v>
          </cell>
          <cell r="N38">
            <v>0.27316089475263322</v>
          </cell>
          <cell r="P38" t="str">
            <v>Electricity</v>
          </cell>
          <cell r="Q38">
            <v>0.27316089475263328</v>
          </cell>
          <cell r="R38">
            <v>0</v>
          </cell>
          <cell r="S38">
            <v>0.27316089475263328</v>
          </cell>
          <cell r="U38">
            <v>0</v>
          </cell>
          <cell r="V38">
            <v>0</v>
          </cell>
          <cell r="X38">
            <v>0.84851963819339327</v>
          </cell>
          <cell r="Y38">
            <v>0</v>
          </cell>
        </row>
        <row r="39">
          <cell r="B39" t="str">
            <v>Total process energy</v>
          </cell>
          <cell r="C39">
            <v>1.6801999999999999</v>
          </cell>
          <cell r="D39">
            <v>0.52929999999999999</v>
          </cell>
          <cell r="E39">
            <v>2.2094</v>
          </cell>
          <cell r="F39">
            <v>0.13880000000000001</v>
          </cell>
          <cell r="G39">
            <v>2.3841999999999999</v>
          </cell>
          <cell r="I39" t="str">
            <v>Total process energy</v>
          </cell>
          <cell r="J39">
            <v>1.5925223295051156</v>
          </cell>
          <cell r="K39">
            <v>0.50167960302765013</v>
          </cell>
          <cell r="L39">
            <v>2.0941071508204994</v>
          </cell>
          <cell r="M39">
            <v>0.13155701662618147</v>
          </cell>
          <cell r="N39">
            <v>2.2597855838626932</v>
          </cell>
          <cell r="P39" t="str">
            <v>Total process energy</v>
          </cell>
          <cell r="Q39">
            <v>1.6717598409600782</v>
          </cell>
          <cell r="R39">
            <v>0.55390432648660259</v>
          </cell>
          <cell r="S39">
            <v>2.2256641674466811</v>
          </cell>
          <cell r="U39">
            <v>0.14217058774603744</v>
          </cell>
          <cell r="V39">
            <v>8.0096956563890043E-2</v>
          </cell>
          <cell r="X39">
            <v>2.3892891721468756</v>
          </cell>
          <cell r="Y39">
            <v>0.63400128305049264</v>
          </cell>
        </row>
        <row r="40">
          <cell r="B40" t="str">
            <v>Feedstock energy</v>
          </cell>
          <cell r="C40">
            <v>7.8807</v>
          </cell>
          <cell r="E40">
            <v>7.8807</v>
          </cell>
          <cell r="G40">
            <v>7.8807</v>
          </cell>
          <cell r="I40" t="str">
            <v>Feedstock energy</v>
          </cell>
          <cell r="J40">
            <v>7.469462398601932</v>
          </cell>
          <cell r="K40">
            <v>0</v>
          </cell>
          <cell r="L40">
            <v>7.469462398601932</v>
          </cell>
          <cell r="M40">
            <v>0</v>
          </cell>
          <cell r="N40">
            <v>7.469462398601932</v>
          </cell>
          <cell r="P40" t="str">
            <v>Feedstock energy</v>
          </cell>
          <cell r="Q40">
            <v>7.469462398601932</v>
          </cell>
          <cell r="R40">
            <v>0</v>
          </cell>
          <cell r="S40">
            <v>7.469462398601932</v>
          </cell>
        </row>
        <row r="41">
          <cell r="B41" t="str">
            <v>Total, including feedstock energy</v>
          </cell>
          <cell r="C41">
            <v>9.5609000000000002</v>
          </cell>
          <cell r="D41">
            <v>0.52929999999999999</v>
          </cell>
          <cell r="E41">
            <v>10.090199999999999</v>
          </cell>
          <cell r="F41">
            <v>0.13880000000000001</v>
          </cell>
          <cell r="G41">
            <v>10.228899999999999</v>
          </cell>
          <cell r="I41" t="str">
            <v>Total, including feedstock energy</v>
          </cell>
          <cell r="J41">
            <v>9.0619847281070474</v>
          </cell>
          <cell r="K41">
            <v>0.50167960302765013</v>
          </cell>
          <cell r="L41">
            <v>9.5636643311346976</v>
          </cell>
          <cell r="M41">
            <v>0.13155701662618147</v>
          </cell>
          <cell r="N41">
            <v>9.6951265660486126</v>
          </cell>
          <cell r="P41" t="str">
            <v>Total, including feedstock energy</v>
          </cell>
          <cell r="Q41">
            <v>9.1412222395620102</v>
          </cell>
          <cell r="R41">
            <v>0.55390432648660259</v>
          </cell>
          <cell r="S41">
            <v>9.6951265660486126</v>
          </cell>
        </row>
        <row r="42">
          <cell r="B42" t="str">
            <v>*Numbers in table do not sum entirely accurately. Numbers here are as shown in the paper, not as calculated by summing columns/rows.</v>
          </cell>
          <cell r="I42" t="str">
            <v>*Numbers in table do not sum entirely accurately. Numbers here are as shown in the paper, not as calculated by summing columns/rows.</v>
          </cell>
          <cell r="P42" t="str">
            <v>*Numbers in table do not sum entirely accurately. Numbers here are as shown in the paper, not as calculated by summing columns/rows.</v>
          </cell>
        </row>
        <row r="44">
          <cell r="B44" t="str">
            <v>#15 felt energy input, GJ/tonne</v>
          </cell>
          <cell r="I44" t="str">
            <v>#15 felt energy input, MMBTU/tonne</v>
          </cell>
          <cell r="P44" t="str">
            <v>#15 felt energy input, MMBTU/tonne</v>
          </cell>
          <cell r="U44" t="str">
            <v>Precombustion MMBTU / tonne</v>
          </cell>
          <cell r="X44" t="str">
            <v>Total
MMBTU/tonne</v>
          </cell>
        </row>
        <row r="45">
          <cell r="B45" t="str">
            <v>Fuel Type</v>
          </cell>
          <cell r="C45" t="str">
            <v>Process</v>
          </cell>
          <cell r="D45" t="str">
            <v>Transport</v>
          </cell>
          <cell r="E45" t="str">
            <v>Total</v>
          </cell>
          <cell r="F45" t="str">
            <v>Roof Plant</v>
          </cell>
          <cell r="G45" t="str">
            <v>Total</v>
          </cell>
          <cell r="I45" t="str">
            <v>Fuel Type</v>
          </cell>
          <cell r="J45" t="str">
            <v>Process</v>
          </cell>
          <cell r="K45" t="str">
            <v>Transport</v>
          </cell>
          <cell r="L45" t="str">
            <v>Total</v>
          </cell>
          <cell r="M45" t="str">
            <v>Roof Plant</v>
          </cell>
          <cell r="N45" t="str">
            <v>Total</v>
          </cell>
          <cell r="P45" t="str">
            <v>Fuel Type</v>
          </cell>
          <cell r="Q45" t="str">
            <v>Process Total</v>
          </cell>
          <cell r="R45" t="str">
            <v>Transport</v>
          </cell>
          <cell r="S45" t="str">
            <v>Total</v>
          </cell>
          <cell r="U45" t="str">
            <v>Process</v>
          </cell>
          <cell r="V45" t="str">
            <v>Transport</v>
          </cell>
          <cell r="X45" t="str">
            <v>Process</v>
          </cell>
          <cell r="Y45" t="str">
            <v>Transport</v>
          </cell>
        </row>
        <row r="46">
          <cell r="B46" t="str">
            <v>Coal</v>
          </cell>
          <cell r="C46">
            <v>0</v>
          </cell>
          <cell r="E46">
            <v>0</v>
          </cell>
          <cell r="G46">
            <v>0</v>
          </cell>
          <cell r="I46" t="str">
            <v>Coal</v>
          </cell>
          <cell r="J46">
            <v>0</v>
          </cell>
          <cell r="K46">
            <v>0</v>
          </cell>
          <cell r="L46">
            <v>0</v>
          </cell>
          <cell r="M46">
            <v>0</v>
          </cell>
          <cell r="N46">
            <v>0</v>
          </cell>
          <cell r="P46" t="str">
            <v>Coal</v>
          </cell>
          <cell r="Q46">
            <v>0</v>
          </cell>
          <cell r="R46">
            <v>0</v>
          </cell>
          <cell r="S46">
            <v>0</v>
          </cell>
          <cell r="U46">
            <v>0</v>
          </cell>
          <cell r="V46">
            <v>0</v>
          </cell>
          <cell r="X46">
            <v>0</v>
          </cell>
          <cell r="Y46">
            <v>0</v>
          </cell>
        </row>
        <row r="47">
          <cell r="B47" t="str">
            <v>Gasoline</v>
          </cell>
          <cell r="C47">
            <v>2.7699999999999999E-2</v>
          </cell>
          <cell r="E47">
            <v>2.7699999999999999E-2</v>
          </cell>
          <cell r="G47">
            <v>2.7699999999999999E-2</v>
          </cell>
          <cell r="I47" t="str">
            <v>Gasoline</v>
          </cell>
          <cell r="J47">
            <v>2.6254534297876268E-2</v>
          </cell>
          <cell r="K47">
            <v>0</v>
          </cell>
          <cell r="L47">
            <v>2.6254534297876268E-2</v>
          </cell>
          <cell r="M47">
            <v>0</v>
          </cell>
          <cell r="N47">
            <v>2.6254534297876268E-2</v>
          </cell>
          <cell r="P47" t="str">
            <v>Gasoline</v>
          </cell>
          <cell r="Q47">
            <v>2.6254534297876268E-2</v>
          </cell>
          <cell r="R47">
            <v>0</v>
          </cell>
          <cell r="S47">
            <v>2.6254534297876268E-2</v>
          </cell>
          <cell r="U47">
            <v>3.5916202919494739E-3</v>
          </cell>
          <cell r="V47">
            <v>0</v>
          </cell>
          <cell r="X47">
            <v>2.9846154589825744E-2</v>
          </cell>
          <cell r="Y47">
            <v>0</v>
          </cell>
        </row>
        <row r="48">
          <cell r="B48" t="str">
            <v>LPG</v>
          </cell>
          <cell r="C48">
            <v>3.4200000000000001E-2</v>
          </cell>
          <cell r="E48">
            <v>3.4200000000000001E-2</v>
          </cell>
          <cell r="G48">
            <v>3.4200000000000001E-2</v>
          </cell>
          <cell r="I48" t="str">
            <v>LPG</v>
          </cell>
          <cell r="J48">
            <v>3.2415345595211857E-2</v>
          </cell>
          <cell r="K48">
            <v>0</v>
          </cell>
          <cell r="L48">
            <v>3.2415345595211857E-2</v>
          </cell>
          <cell r="M48">
            <v>0</v>
          </cell>
          <cell r="N48">
            <v>3.2415345595211857E-2</v>
          </cell>
          <cell r="P48" t="str">
            <v>LPG</v>
          </cell>
          <cell r="Q48">
            <v>3.2415345595211857E-2</v>
          </cell>
          <cell r="R48">
            <v>0</v>
          </cell>
          <cell r="S48">
            <v>3.2415345595211857E-2</v>
          </cell>
          <cell r="U48">
            <v>4.2767890523525594E-3</v>
          </cell>
          <cell r="V48">
            <v>0</v>
          </cell>
          <cell r="X48">
            <v>3.669213464756442E-2</v>
          </cell>
          <cell r="Y48">
            <v>0</v>
          </cell>
        </row>
        <row r="49">
          <cell r="B49" t="str">
            <v>Diesel road</v>
          </cell>
          <cell r="C49">
            <v>0.13100000000000001</v>
          </cell>
          <cell r="D49">
            <v>0.1045</v>
          </cell>
          <cell r="E49">
            <v>0.23549999999999999</v>
          </cell>
          <cell r="G49">
            <v>0.23549999999999999</v>
          </cell>
          <cell r="I49" t="str">
            <v>Diesel road</v>
          </cell>
          <cell r="J49">
            <v>0.12416404306937875</v>
          </cell>
          <cell r="K49">
            <v>9.9046889318702896E-2</v>
          </cell>
          <cell r="L49">
            <v>0.22321093238808165</v>
          </cell>
          <cell r="M49">
            <v>0</v>
          </cell>
          <cell r="N49">
            <v>0.22321093238808165</v>
          </cell>
          <cell r="P49" t="str">
            <v>Diesel road</v>
          </cell>
          <cell r="Q49" t="str">
            <v>-</v>
          </cell>
          <cell r="R49">
            <v>0.22321093238808165</v>
          </cell>
          <cell r="S49">
            <v>0.22321093238808165</v>
          </cell>
          <cell r="U49" t="str">
            <v>-</v>
          </cell>
          <cell r="V49">
            <v>3.2277264323744191E-2</v>
          </cell>
          <cell r="X49">
            <v>0</v>
          </cell>
          <cell r="Y49">
            <v>0.25548819671182582</v>
          </cell>
        </row>
        <row r="50">
          <cell r="B50" t="str">
            <v>Diesel rail</v>
          </cell>
          <cell r="C50">
            <v>4.5199999999999997E-2</v>
          </cell>
          <cell r="D50">
            <v>4.5199999999999997E-2</v>
          </cell>
          <cell r="E50">
            <v>9.0300000000000005E-2</v>
          </cell>
          <cell r="G50">
            <v>9.0300000000000005E-2</v>
          </cell>
          <cell r="I50" t="str">
            <v>Diesel rail</v>
          </cell>
          <cell r="J50">
            <v>4.2841333944548997E-2</v>
          </cell>
          <cell r="K50">
            <v>4.2841333944548997E-2</v>
          </cell>
          <cell r="L50">
            <v>8.5587886176831315E-2</v>
          </cell>
          <cell r="M50">
            <v>0</v>
          </cell>
          <cell r="N50">
            <v>8.5587886176831315E-2</v>
          </cell>
          <cell r="P50" t="str">
            <v>Diesel rail</v>
          </cell>
          <cell r="Q50" t="str">
            <v>-</v>
          </cell>
          <cell r="R50">
            <v>8.5682667889097994E-2</v>
          </cell>
          <cell r="S50">
            <v>8.5682667889097994E-2</v>
          </cell>
          <cell r="U50" t="str">
            <v>-</v>
          </cell>
          <cell r="V50">
            <v>1.239008363000626E-2</v>
          </cell>
          <cell r="X50">
            <v>0</v>
          </cell>
          <cell r="Y50">
            <v>9.8072751519104259E-2</v>
          </cell>
        </row>
        <row r="51">
          <cell r="B51" t="str">
            <v>Natural Gas</v>
          </cell>
          <cell r="C51">
            <v>6.7568000000000001</v>
          </cell>
          <cell r="E51">
            <v>6.7568000000000001</v>
          </cell>
          <cell r="F51">
            <v>0.1484</v>
          </cell>
          <cell r="G51">
            <v>6.9051999999999998</v>
          </cell>
          <cell r="I51" t="str">
            <v>Natural Gas</v>
          </cell>
          <cell r="J51">
            <v>6.404210734436476</v>
          </cell>
          <cell r="K51">
            <v>0</v>
          </cell>
          <cell r="L51">
            <v>6.404210734436476</v>
          </cell>
          <cell r="M51">
            <v>0.14065606100378478</v>
          </cell>
          <cell r="N51">
            <v>6.5448667954402602</v>
          </cell>
          <cell r="P51" t="str">
            <v>Natural Gas</v>
          </cell>
          <cell r="Q51">
            <v>6.5448667954402611</v>
          </cell>
          <cell r="R51">
            <v>0</v>
          </cell>
          <cell r="S51">
            <v>6.5448667954402611</v>
          </cell>
          <cell r="U51">
            <v>0.56552732504289627</v>
          </cell>
          <cell r="V51">
            <v>0</v>
          </cell>
          <cell r="X51">
            <v>7.1103941204831571</v>
          </cell>
          <cell r="Y51">
            <v>0</v>
          </cell>
        </row>
        <row r="52">
          <cell r="B52" t="str">
            <v>Petroleum Coke</v>
          </cell>
          <cell r="C52">
            <v>0</v>
          </cell>
          <cell r="E52">
            <v>0</v>
          </cell>
          <cell r="G52">
            <v>0</v>
          </cell>
          <cell r="I52" t="str">
            <v>Petroleum Coke</v>
          </cell>
          <cell r="J52">
            <v>0</v>
          </cell>
          <cell r="K52">
            <v>0</v>
          </cell>
          <cell r="L52">
            <v>0</v>
          </cell>
          <cell r="M52">
            <v>0</v>
          </cell>
          <cell r="N52">
            <v>0</v>
          </cell>
          <cell r="P52" t="str">
            <v>Petroleum Coke</v>
          </cell>
          <cell r="Q52">
            <v>0</v>
          </cell>
          <cell r="R52">
            <v>0</v>
          </cell>
          <cell r="S52">
            <v>0</v>
          </cell>
          <cell r="U52">
            <v>0</v>
          </cell>
          <cell r="V52">
            <v>0</v>
          </cell>
          <cell r="X52">
            <v>0</v>
          </cell>
          <cell r="Y52">
            <v>0</v>
          </cell>
        </row>
        <row r="53">
          <cell r="B53" t="str">
            <v>Residual Oil</v>
          </cell>
          <cell r="C53">
            <v>1.4551000000000001</v>
          </cell>
          <cell r="E53">
            <v>1.4551000000000001</v>
          </cell>
          <cell r="G53">
            <v>1.4551000000000001</v>
          </cell>
          <cell r="I53" t="str">
            <v>Residual Oil</v>
          </cell>
          <cell r="J53">
            <v>1.3791686951927713</v>
          </cell>
          <cell r="K53">
            <v>0</v>
          </cell>
          <cell r="L53">
            <v>1.3791686951927713</v>
          </cell>
          <cell r="M53">
            <v>0</v>
          </cell>
          <cell r="N53">
            <v>1.3791686951927713</v>
          </cell>
          <cell r="P53" t="str">
            <v>Residual Oil</v>
          </cell>
          <cell r="Q53">
            <v>1.3791686951927713</v>
          </cell>
          <cell r="R53">
            <v>0</v>
          </cell>
          <cell r="S53">
            <v>1.3791686951927713</v>
          </cell>
          <cell r="U53">
            <v>0.20135862949814459</v>
          </cell>
          <cell r="V53">
            <v>0</v>
          </cell>
          <cell r="X53">
            <v>1.5805273246909159</v>
          </cell>
          <cell r="Y53">
            <v>0</v>
          </cell>
        </row>
        <row r="54">
          <cell r="B54" t="str">
            <v>Other</v>
          </cell>
          <cell r="C54">
            <v>0</v>
          </cell>
          <cell r="E54">
            <v>0</v>
          </cell>
          <cell r="G54">
            <v>0</v>
          </cell>
          <cell r="I54" t="str">
            <v>Other</v>
          </cell>
          <cell r="J54">
            <v>0</v>
          </cell>
          <cell r="K54">
            <v>0</v>
          </cell>
          <cell r="L54">
            <v>0</v>
          </cell>
          <cell r="M54">
            <v>0</v>
          </cell>
          <cell r="N54">
            <v>0</v>
          </cell>
          <cell r="P54" t="str">
            <v>Other</v>
          </cell>
          <cell r="Q54">
            <v>0</v>
          </cell>
          <cell r="R54">
            <v>0</v>
          </cell>
          <cell r="S54">
            <v>0</v>
          </cell>
          <cell r="U54" t="str">
            <v>-</v>
          </cell>
          <cell r="V54" t="str">
            <v>-</v>
          </cell>
          <cell r="X54">
            <v>0</v>
          </cell>
          <cell r="Y54">
            <v>0</v>
          </cell>
        </row>
        <row r="55">
          <cell r="B55" t="str">
            <v>Fuel energy subtotal</v>
          </cell>
          <cell r="C55">
            <v>8.4501000000000008</v>
          </cell>
          <cell r="D55">
            <v>0.1497</v>
          </cell>
          <cell r="E55">
            <v>8.5998000000000001</v>
          </cell>
          <cell r="G55">
            <v>8.5998000000000001</v>
          </cell>
          <cell r="I55" t="str">
            <v>Fuel energy subtotal</v>
          </cell>
          <cell r="J55">
            <v>8.0091494682485305</v>
          </cell>
          <cell r="K55">
            <v>0.1418882232632519</v>
          </cell>
          <cell r="L55">
            <v>8.1510376915117817</v>
          </cell>
          <cell r="M55">
            <v>0</v>
          </cell>
          <cell r="N55">
            <v>8.1510376915117817</v>
          </cell>
          <cell r="P55" t="str">
            <v>Fuel energy subtotal</v>
          </cell>
          <cell r="Q55">
            <v>7.9827053705261211</v>
          </cell>
          <cell r="R55">
            <v>0.30889360027717966</v>
          </cell>
          <cell r="S55">
            <v>8.2915989708032996</v>
          </cell>
          <cell r="U55">
            <v>0.77475436388534291</v>
          </cell>
          <cell r="V55">
            <v>4.466734795375045E-2</v>
          </cell>
          <cell r="X55">
            <v>8.7574597344114622</v>
          </cell>
          <cell r="Y55">
            <v>0.35356094823093009</v>
          </cell>
        </row>
        <row r="56">
          <cell r="B56" t="str">
            <v>Electricity</v>
          </cell>
          <cell r="C56">
            <v>1.3399000000000001</v>
          </cell>
          <cell r="E56">
            <v>1.3399000000000001</v>
          </cell>
          <cell r="F56">
            <v>7.1999999999999995E-2</v>
          </cell>
          <cell r="G56">
            <v>1.4119000000000002</v>
          </cell>
          <cell r="I56" t="str">
            <v>Electricity</v>
          </cell>
          <cell r="J56">
            <v>1.2699801626615312</v>
          </cell>
          <cell r="K56">
            <v>0</v>
          </cell>
          <cell r="L56">
            <v>1.2699801626615312</v>
          </cell>
          <cell r="M56">
            <v>6.8242832832024966E-2</v>
          </cell>
          <cell r="N56">
            <v>1.3382229954935563</v>
          </cell>
          <cell r="P56" t="str">
            <v>Electricity</v>
          </cell>
          <cell r="Q56">
            <v>1.3382229954935563</v>
          </cell>
          <cell r="R56">
            <v>0</v>
          </cell>
          <cell r="S56">
            <v>1.3382229954935563</v>
          </cell>
          <cell r="U56">
            <v>0</v>
          </cell>
          <cell r="V56">
            <v>0</v>
          </cell>
          <cell r="X56">
            <v>4.156921849983525</v>
          </cell>
          <cell r="Y56">
            <v>0</v>
          </cell>
        </row>
        <row r="57">
          <cell r="B57" t="str">
            <v>Total process energy</v>
          </cell>
          <cell r="C57">
            <v>9.7900000000000009</v>
          </cell>
          <cell r="D57">
            <v>0.1497</v>
          </cell>
          <cell r="E57">
            <v>9.9396000000000004</v>
          </cell>
          <cell r="F57">
            <v>0.22040000000000001</v>
          </cell>
          <cell r="G57">
            <v>10.16</v>
          </cell>
          <cell r="I57" t="str">
            <v>Total process energy</v>
          </cell>
          <cell r="J57">
            <v>9.279129630910063</v>
          </cell>
          <cell r="K57">
            <v>0.1418882232632519</v>
          </cell>
          <cell r="L57">
            <v>9.4209230724610471</v>
          </cell>
          <cell r="M57">
            <v>0.20889889383580976</v>
          </cell>
          <cell r="N57">
            <v>9.6298219662968556</v>
          </cell>
          <cell r="P57" t="str">
            <v>Total process energy</v>
          </cell>
          <cell r="Q57">
            <v>9.3209283660196771</v>
          </cell>
          <cell r="R57">
            <v>0.30889360027717966</v>
          </cell>
          <cell r="S57">
            <v>9.6298219662968556</v>
          </cell>
          <cell r="U57">
            <v>0.77475436388534291</v>
          </cell>
          <cell r="V57">
            <v>4.466734795375045E-2</v>
          </cell>
          <cell r="X57">
            <v>12.914381584394988</v>
          </cell>
          <cell r="Y57">
            <v>0.35356094823093009</v>
          </cell>
        </row>
        <row r="58">
          <cell r="B58" t="str">
            <v>Feedstock energy</v>
          </cell>
          <cell r="C58">
            <v>26.3721</v>
          </cell>
          <cell r="E58">
            <v>26.3721</v>
          </cell>
          <cell r="G58">
            <v>26.3721</v>
          </cell>
          <cell r="I58" t="str">
            <v>Feedstock energy</v>
          </cell>
          <cell r="J58">
            <v>24.995927940686741</v>
          </cell>
          <cell r="K58">
            <v>0</v>
          </cell>
          <cell r="L58">
            <v>24.995927940686741</v>
          </cell>
          <cell r="M58">
            <v>0</v>
          </cell>
          <cell r="N58">
            <v>24.995927940686741</v>
          </cell>
          <cell r="P58" t="str">
            <v>Feedstock energy</v>
          </cell>
          <cell r="Q58">
            <v>24.995927940686741</v>
          </cell>
          <cell r="R58">
            <v>0</v>
          </cell>
          <cell r="S58">
            <v>24.995927940686741</v>
          </cell>
        </row>
        <row r="59">
          <cell r="B59" t="str">
            <v>Total, including feedstock energy</v>
          </cell>
          <cell r="C59">
            <v>36.162100000000002</v>
          </cell>
          <cell r="D59">
            <v>0.1497</v>
          </cell>
          <cell r="E59">
            <v>36.311700000000002</v>
          </cell>
          <cell r="F59">
            <v>0.22040000000000001</v>
          </cell>
          <cell r="G59">
            <v>36.5321</v>
          </cell>
          <cell r="I59" t="str">
            <v>Total, including feedstock energy</v>
          </cell>
          <cell r="J59">
            <v>34.275057571596811</v>
          </cell>
          <cell r="K59">
            <v>0.1418882232632519</v>
          </cell>
          <cell r="L59">
            <v>34.416851013147792</v>
          </cell>
          <cell r="M59">
            <v>0.20889889383580976</v>
          </cell>
          <cell r="N59">
            <v>34.6257499069836</v>
          </cell>
          <cell r="P59" t="str">
            <v>Total, including feedstock energy</v>
          </cell>
          <cell r="Q59">
            <v>34.31685630670642</v>
          </cell>
          <cell r="R59">
            <v>0.30889360027717966</v>
          </cell>
          <cell r="S59">
            <v>34.6257499069836</v>
          </cell>
        </row>
        <row r="60">
          <cell r="B60" t="str">
            <v>*Numbers in table do not sum entirely accurately. Numbers here are as shown in the paper, not as calculated by summing columns/rows.</v>
          </cell>
          <cell r="I60" t="str">
            <v>*Numbers in table do not sum entirely accurately. Numbers here are as shown in the paper, not as calculated by summing columns/rows.</v>
          </cell>
          <cell r="P60" t="str">
            <v>*Numbers in table do not sum entirely accurately. Numbers here are as shown in the paper, not as calculated by summing columns/rows.</v>
          </cell>
        </row>
        <row r="62">
          <cell r="B62" t="str">
            <v>#30 felt energy input, GJ/tonne</v>
          </cell>
          <cell r="I62" t="str">
            <v>#30 felt energy input, MMBTU/tonne</v>
          </cell>
          <cell r="P62" t="str">
            <v>#30 felt energy input, MMBTU/tonne</v>
          </cell>
          <cell r="U62" t="str">
            <v>Precombustion MMBTU / tonne</v>
          </cell>
          <cell r="X62" t="str">
            <v>Total
MMBTU/tonne</v>
          </cell>
        </row>
        <row r="63">
          <cell r="B63" t="str">
            <v>Fuel Type</v>
          </cell>
          <cell r="C63" t="str">
            <v>Process</v>
          </cell>
          <cell r="D63" t="str">
            <v>Transport</v>
          </cell>
          <cell r="E63" t="str">
            <v>Total</v>
          </cell>
          <cell r="F63" t="str">
            <v>Roof Plant</v>
          </cell>
          <cell r="G63" t="str">
            <v>Total</v>
          </cell>
          <cell r="I63" t="str">
            <v>Fuel Type</v>
          </cell>
          <cell r="J63" t="str">
            <v>Process</v>
          </cell>
          <cell r="K63" t="str">
            <v>Transport</v>
          </cell>
          <cell r="L63" t="str">
            <v>Total</v>
          </cell>
          <cell r="M63" t="str">
            <v>Roof Plant</v>
          </cell>
          <cell r="N63" t="str">
            <v>Total</v>
          </cell>
          <cell r="P63" t="str">
            <v>Fuel Type</v>
          </cell>
          <cell r="Q63" t="str">
            <v>Process Total</v>
          </cell>
          <cell r="R63" t="str">
            <v>Transport</v>
          </cell>
          <cell r="S63" t="str">
            <v>Total</v>
          </cell>
          <cell r="U63" t="str">
            <v>Process</v>
          </cell>
          <cell r="V63" t="str">
            <v>Transport</v>
          </cell>
          <cell r="X63" t="str">
            <v>Process</v>
          </cell>
          <cell r="Y63" t="str">
            <v>Transport</v>
          </cell>
        </row>
        <row r="64">
          <cell r="B64" t="str">
            <v>Coal</v>
          </cell>
          <cell r="C64">
            <v>0</v>
          </cell>
          <cell r="E64">
            <v>0</v>
          </cell>
          <cell r="G64">
            <v>0</v>
          </cell>
          <cell r="I64" t="str">
            <v>Coal</v>
          </cell>
          <cell r="J64">
            <v>0</v>
          </cell>
          <cell r="K64">
            <v>0</v>
          </cell>
          <cell r="L64">
            <v>0</v>
          </cell>
          <cell r="M64">
            <v>0</v>
          </cell>
          <cell r="N64">
            <v>0</v>
          </cell>
          <cell r="P64" t="str">
            <v>Coal</v>
          </cell>
          <cell r="Q64">
            <v>0</v>
          </cell>
          <cell r="R64">
            <v>0</v>
          </cell>
          <cell r="S64">
            <v>0</v>
          </cell>
          <cell r="U64">
            <v>0</v>
          </cell>
          <cell r="V64">
            <v>0</v>
          </cell>
          <cell r="X64">
            <v>0</v>
          </cell>
          <cell r="Y64">
            <v>0</v>
          </cell>
        </row>
        <row r="65">
          <cell r="B65" t="str">
            <v>Gasoline</v>
          </cell>
          <cell r="C65">
            <v>2.7699999999999999E-2</v>
          </cell>
          <cell r="E65">
            <v>2.7699999999999999E-2</v>
          </cell>
          <cell r="G65">
            <v>2.7699999999999999E-2</v>
          </cell>
          <cell r="I65" t="str">
            <v>Gasoline</v>
          </cell>
          <cell r="J65">
            <v>2.6254534297876268E-2</v>
          </cell>
          <cell r="K65">
            <v>0</v>
          </cell>
          <cell r="L65">
            <v>2.6254534297876268E-2</v>
          </cell>
          <cell r="M65">
            <v>0</v>
          </cell>
          <cell r="N65">
            <v>2.6254534297876268E-2</v>
          </cell>
          <cell r="P65" t="str">
            <v>Gasoline</v>
          </cell>
          <cell r="Q65">
            <v>2.6254534297876268E-2</v>
          </cell>
          <cell r="R65">
            <v>0</v>
          </cell>
          <cell r="S65">
            <v>2.6254534297876268E-2</v>
          </cell>
          <cell r="U65">
            <v>3.5916202919494739E-3</v>
          </cell>
          <cell r="V65">
            <v>0</v>
          </cell>
          <cell r="X65">
            <v>2.9846154589825744E-2</v>
          </cell>
          <cell r="Y65">
            <v>0</v>
          </cell>
        </row>
        <row r="66">
          <cell r="B66" t="str">
            <v>LPG</v>
          </cell>
          <cell r="C66">
            <v>3.49E-2</v>
          </cell>
          <cell r="E66">
            <v>3.49E-2</v>
          </cell>
          <cell r="G66">
            <v>3.49E-2</v>
          </cell>
          <cell r="I66" t="str">
            <v>LPG</v>
          </cell>
          <cell r="J66">
            <v>3.3078817581078765E-2</v>
          </cell>
          <cell r="K66">
            <v>0</v>
          </cell>
          <cell r="L66">
            <v>3.3078817581078765E-2</v>
          </cell>
          <cell r="M66">
            <v>0</v>
          </cell>
          <cell r="N66">
            <v>3.3078817581078765E-2</v>
          </cell>
          <cell r="P66" t="str">
            <v>LPG</v>
          </cell>
          <cell r="Q66">
            <v>3.3078817581078765E-2</v>
          </cell>
          <cell r="R66">
            <v>0</v>
          </cell>
          <cell r="S66">
            <v>3.3078817581078765E-2</v>
          </cell>
          <cell r="U66">
            <v>4.364325670383167E-3</v>
          </cell>
          <cell r="V66">
            <v>0</v>
          </cell>
          <cell r="X66">
            <v>3.7443143251461933E-2</v>
          </cell>
          <cell r="Y66">
            <v>0</v>
          </cell>
        </row>
        <row r="67">
          <cell r="B67" t="str">
            <v>Diesel road</v>
          </cell>
          <cell r="C67">
            <v>0.13200000000000001</v>
          </cell>
          <cell r="D67">
            <v>0.10489999999999999</v>
          </cell>
          <cell r="E67">
            <v>0.2369</v>
          </cell>
          <cell r="G67">
            <v>0.2369</v>
          </cell>
          <cell r="I67" t="str">
            <v>Diesel road</v>
          </cell>
          <cell r="J67">
            <v>0.12511186019204576</v>
          </cell>
          <cell r="K67">
            <v>9.9426016167769693E-2</v>
          </cell>
          <cell r="L67">
            <v>0.22453787635981548</v>
          </cell>
          <cell r="M67">
            <v>0</v>
          </cell>
          <cell r="N67">
            <v>0.22453787635981548</v>
          </cell>
          <cell r="P67" t="str">
            <v>Diesel road</v>
          </cell>
          <cell r="Q67" t="str">
            <v>-</v>
          </cell>
          <cell r="R67">
            <v>0.22453787635981545</v>
          </cell>
          <cell r="S67">
            <v>0.22453787635981545</v>
          </cell>
          <cell r="U67" t="str">
            <v>-</v>
          </cell>
          <cell r="V67">
            <v>3.2469146149872605E-2</v>
          </cell>
          <cell r="X67">
            <v>0</v>
          </cell>
          <cell r="Y67">
            <v>0.25700702250968804</v>
          </cell>
        </row>
        <row r="68">
          <cell r="B68" t="str">
            <v>Diesel rail</v>
          </cell>
          <cell r="C68">
            <v>4.3799999999999999E-2</v>
          </cell>
          <cell r="D68">
            <v>4.3799999999999999E-2</v>
          </cell>
          <cell r="E68">
            <v>8.7599999999999997E-2</v>
          </cell>
          <cell r="G68">
            <v>8.7599999999999997E-2</v>
          </cell>
          <cell r="I68" t="str">
            <v>Diesel rail</v>
          </cell>
          <cell r="J68">
            <v>4.1514389972815181E-2</v>
          </cell>
          <cell r="K68">
            <v>4.1514389972815181E-2</v>
          </cell>
          <cell r="L68">
            <v>8.3028779945630363E-2</v>
          </cell>
          <cell r="M68">
            <v>0</v>
          </cell>
          <cell r="N68">
            <v>8.3028779945630363E-2</v>
          </cell>
          <cell r="P68" t="str">
            <v>Diesel rail</v>
          </cell>
          <cell r="Q68" t="str">
            <v>-</v>
          </cell>
          <cell r="R68">
            <v>8.3028779945630363E-2</v>
          </cell>
          <cell r="S68">
            <v>8.3028779945630363E-2</v>
          </cell>
          <cell r="U68" t="str">
            <v>-</v>
          </cell>
          <cell r="V68">
            <v>1.2006319977749428E-2</v>
          </cell>
          <cell r="X68">
            <v>0</v>
          </cell>
          <cell r="Y68">
            <v>9.5035099923379787E-2</v>
          </cell>
        </row>
        <row r="69">
          <cell r="B69" t="str">
            <v>Natural Gas</v>
          </cell>
          <cell r="C69">
            <v>6.6559999999999997</v>
          </cell>
          <cell r="E69">
            <v>6.6559999999999997</v>
          </cell>
          <cell r="F69">
            <v>0.1484</v>
          </cell>
          <cell r="G69">
            <v>6.8043999999999993</v>
          </cell>
          <cell r="I69" t="str">
            <v>Natural Gas</v>
          </cell>
          <cell r="J69">
            <v>6.3086707684716412</v>
          </cell>
          <cell r="K69">
            <v>0</v>
          </cell>
          <cell r="L69">
            <v>6.3086707684716412</v>
          </cell>
          <cell r="M69">
            <v>0.14065606100378478</v>
          </cell>
          <cell r="N69">
            <v>6.4493268294754253</v>
          </cell>
          <cell r="P69" t="str">
            <v>Natural Gas</v>
          </cell>
          <cell r="Q69">
            <v>6.4493268294754262</v>
          </cell>
          <cell r="R69">
            <v>0</v>
          </cell>
          <cell r="S69">
            <v>6.4493268294754262</v>
          </cell>
          <cell r="U69">
            <v>0.55727192992554653</v>
          </cell>
          <cell r="V69">
            <v>0</v>
          </cell>
          <cell r="X69">
            <v>7.0065987594009727</v>
          </cell>
          <cell r="Y69">
            <v>0</v>
          </cell>
        </row>
        <row r="70">
          <cell r="B70" t="str">
            <v>Petroleum Coke</v>
          </cell>
          <cell r="C70">
            <v>0</v>
          </cell>
          <cell r="E70">
            <v>0</v>
          </cell>
          <cell r="G70">
            <v>0</v>
          </cell>
          <cell r="I70" t="str">
            <v>Petroleum Coke</v>
          </cell>
          <cell r="J70">
            <v>0</v>
          </cell>
          <cell r="K70">
            <v>0</v>
          </cell>
          <cell r="L70">
            <v>0</v>
          </cell>
          <cell r="M70">
            <v>0</v>
          </cell>
          <cell r="N70">
            <v>0</v>
          </cell>
          <cell r="P70" t="str">
            <v>Petroleum Coke</v>
          </cell>
          <cell r="Q70">
            <v>0</v>
          </cell>
          <cell r="R70">
            <v>0</v>
          </cell>
          <cell r="S70">
            <v>0</v>
          </cell>
          <cell r="U70">
            <v>0</v>
          </cell>
          <cell r="V70">
            <v>0</v>
          </cell>
          <cell r="X70">
            <v>0</v>
          </cell>
          <cell r="Y70">
            <v>0</v>
          </cell>
        </row>
        <row r="71">
          <cell r="B71" t="str">
            <v>Residual Oil</v>
          </cell>
          <cell r="C71">
            <v>1.4726999999999999</v>
          </cell>
          <cell r="E71">
            <v>1.4726999999999999</v>
          </cell>
          <cell r="G71">
            <v>1.4726999999999999</v>
          </cell>
          <cell r="I71" t="str">
            <v>Residual Oil</v>
          </cell>
          <cell r="J71">
            <v>1.3958502765517105</v>
          </cell>
          <cell r="K71">
            <v>0</v>
          </cell>
          <cell r="L71">
            <v>1.3958502765517105</v>
          </cell>
          <cell r="M71">
            <v>0</v>
          </cell>
          <cell r="N71">
            <v>1.3958502765517105</v>
          </cell>
          <cell r="P71" t="str">
            <v>Residual Oil</v>
          </cell>
          <cell r="Q71">
            <v>1.3958502765517105</v>
          </cell>
          <cell r="R71">
            <v>0</v>
          </cell>
          <cell r="S71">
            <v>1.3958502765517105</v>
          </cell>
          <cell r="U71">
            <v>0.20379414037654975</v>
          </cell>
          <cell r="V71">
            <v>0</v>
          </cell>
          <cell r="X71">
            <v>1.5996444169282602</v>
          </cell>
          <cell r="Y71">
            <v>0</v>
          </cell>
        </row>
        <row r="72">
          <cell r="B72" t="str">
            <v>Other</v>
          </cell>
          <cell r="C72">
            <v>0</v>
          </cell>
          <cell r="E72">
            <v>0</v>
          </cell>
          <cell r="G72">
            <v>0</v>
          </cell>
          <cell r="I72" t="str">
            <v>Other</v>
          </cell>
          <cell r="J72">
            <v>0</v>
          </cell>
          <cell r="K72">
            <v>0</v>
          </cell>
          <cell r="L72">
            <v>0</v>
          </cell>
          <cell r="M72">
            <v>0</v>
          </cell>
          <cell r="N72">
            <v>0</v>
          </cell>
          <cell r="P72" t="str">
            <v>Other</v>
          </cell>
          <cell r="Q72">
            <v>0</v>
          </cell>
          <cell r="R72">
            <v>0</v>
          </cell>
          <cell r="S72">
            <v>0</v>
          </cell>
          <cell r="U72" t="str">
            <v>-</v>
          </cell>
          <cell r="V72" t="str">
            <v>-</v>
          </cell>
          <cell r="X72">
            <v>0</v>
          </cell>
          <cell r="Y72">
            <v>0</v>
          </cell>
        </row>
        <row r="73">
          <cell r="B73" t="str">
            <v>Fuel energy subtotal</v>
          </cell>
          <cell r="C73">
            <v>8.3671000000000006</v>
          </cell>
          <cell r="D73">
            <v>0.1487</v>
          </cell>
          <cell r="E73">
            <v>8.5158000000000005</v>
          </cell>
          <cell r="G73">
            <v>8.5158000000000005</v>
          </cell>
          <cell r="I73" t="str">
            <v>Fuel energy subtotal</v>
          </cell>
          <cell r="J73">
            <v>7.930480647067168</v>
          </cell>
          <cell r="K73">
            <v>0.14094040614058487</v>
          </cell>
          <cell r="L73">
            <v>8.0714210532077537</v>
          </cell>
          <cell r="M73">
            <v>0</v>
          </cell>
          <cell r="N73">
            <v>8.0714210532077537</v>
          </cell>
          <cell r="P73" t="str">
            <v>Fuel energy subtotal</v>
          </cell>
          <cell r="Q73">
            <v>7.9045104579060919</v>
          </cell>
          <cell r="R73">
            <v>0.30756665630544583</v>
          </cell>
          <cell r="S73">
            <v>8.212077114211537</v>
          </cell>
          <cell r="U73">
            <v>0.7690220162644289</v>
          </cell>
          <cell r="V73">
            <v>4.4475466127622029E-2</v>
          </cell>
          <cell r="X73">
            <v>8.6735324741705195</v>
          </cell>
          <cell r="Y73">
            <v>0.35204212243306782</v>
          </cell>
        </row>
        <row r="74">
          <cell r="B74" t="str">
            <v>Electricity</v>
          </cell>
          <cell r="C74">
            <v>1.3065</v>
          </cell>
          <cell r="E74">
            <v>1.3065</v>
          </cell>
          <cell r="F74">
            <v>7.1999999999999995E-2</v>
          </cell>
          <cell r="G74">
            <v>1.3785000000000001</v>
          </cell>
          <cell r="I74" t="str">
            <v>Electricity</v>
          </cell>
          <cell r="J74">
            <v>1.238323070764453</v>
          </cell>
          <cell r="K74">
            <v>0</v>
          </cell>
          <cell r="L74">
            <v>1.238323070764453</v>
          </cell>
          <cell r="M74">
            <v>6.8242832832024966E-2</v>
          </cell>
          <cell r="N74">
            <v>1.3065659035964778</v>
          </cell>
          <cell r="P74" t="str">
            <v>Electricity</v>
          </cell>
          <cell r="Q74">
            <v>1.3065659035964781</v>
          </cell>
          <cell r="R74">
            <v>0</v>
          </cell>
          <cell r="S74">
            <v>1.3065659035964781</v>
          </cell>
          <cell r="U74">
            <v>0</v>
          </cell>
          <cell r="V74">
            <v>0</v>
          </cell>
          <cell r="X74">
            <v>4.0585854311228058</v>
          </cell>
          <cell r="Y74">
            <v>0</v>
          </cell>
        </row>
        <row r="75">
          <cell r="B75" t="str">
            <v>Total process energy</v>
          </cell>
          <cell r="C75">
            <v>9.6736000000000004</v>
          </cell>
          <cell r="D75">
            <v>0.1487</v>
          </cell>
          <cell r="E75">
            <v>9.8223000000000003</v>
          </cell>
          <cell r="F75">
            <v>0.22040000000000001</v>
          </cell>
          <cell r="G75">
            <v>10.0428</v>
          </cell>
          <cell r="I75" t="str">
            <v>Total process energy</v>
          </cell>
          <cell r="J75">
            <v>9.1688037178316204</v>
          </cell>
          <cell r="K75">
            <v>0.14094040614058487</v>
          </cell>
          <cell r="L75">
            <v>9.309744123972207</v>
          </cell>
          <cell r="M75">
            <v>0.20889889383580976</v>
          </cell>
          <cell r="N75">
            <v>9.5187377995202809</v>
          </cell>
          <cell r="P75" t="str">
            <v>Total process energy</v>
          </cell>
          <cell r="Q75">
            <v>9.2110763615025704</v>
          </cell>
          <cell r="R75">
            <v>0.30756665630544583</v>
          </cell>
          <cell r="S75">
            <v>9.5186430178080155</v>
          </cell>
          <cell r="U75">
            <v>0.7690220162644289</v>
          </cell>
          <cell r="V75">
            <v>4.4475466127622029E-2</v>
          </cell>
          <cell r="X75">
            <v>12.732117905293325</v>
          </cell>
          <cell r="Y75">
            <v>0.35204212243306782</v>
          </cell>
        </row>
        <row r="76">
          <cell r="B76" t="str">
            <v>Feedstock energy</v>
          </cell>
          <cell r="C76">
            <v>26.9206</v>
          </cell>
          <cell r="E76">
            <v>26.9206</v>
          </cell>
          <cell r="G76">
            <v>26.9206</v>
          </cell>
          <cell r="I76" t="str">
            <v>Feedstock energy</v>
          </cell>
          <cell r="J76">
            <v>25.515805632469597</v>
          </cell>
          <cell r="K76">
            <v>0</v>
          </cell>
          <cell r="L76">
            <v>25.515805632469597</v>
          </cell>
          <cell r="M76">
            <v>0</v>
          </cell>
          <cell r="N76">
            <v>25.515805632469597</v>
          </cell>
          <cell r="P76" t="str">
            <v>Feedstock energy</v>
          </cell>
          <cell r="Q76">
            <v>25.515805632469597</v>
          </cell>
          <cell r="R76">
            <v>0</v>
          </cell>
          <cell r="S76">
            <v>25.515805632469597</v>
          </cell>
        </row>
        <row r="77">
          <cell r="B77" t="str">
            <v>Total, including feedstock energy</v>
          </cell>
          <cell r="C77">
            <v>36.594299999999997</v>
          </cell>
          <cell r="D77">
            <v>0.1487</v>
          </cell>
          <cell r="E77">
            <v>36.743000000000002</v>
          </cell>
          <cell r="F77">
            <v>0.22040000000000001</v>
          </cell>
          <cell r="G77">
            <v>36.9634</v>
          </cell>
          <cell r="I77" t="str">
            <v>Total, including feedstock energy</v>
          </cell>
          <cell r="J77">
            <v>34.684704132013486</v>
          </cell>
          <cell r="K77">
            <v>0.14094040614058487</v>
          </cell>
          <cell r="L77">
            <v>34.825644538154073</v>
          </cell>
          <cell r="M77">
            <v>0.20889889383580976</v>
          </cell>
          <cell r="N77">
            <v>35.034543431989881</v>
          </cell>
          <cell r="P77" t="str">
            <v>Total, including feedstock energy</v>
          </cell>
          <cell r="Q77">
            <v>34.726881993972171</v>
          </cell>
          <cell r="R77">
            <v>0.30756665630544583</v>
          </cell>
          <cell r="S77">
            <v>35.034448650277618</v>
          </cell>
        </row>
        <row r="78">
          <cell r="B78" t="str">
            <v>*Numbers in table do not sum entirely accurately. Numbers here are as shown in the paper, not as calculated by summing columns/rows.</v>
          </cell>
          <cell r="I78" t="str">
            <v>*Numbers in table do not sum entirely accurately. Numbers here are as shown in the paper, not as calculated by summing columns/rows.</v>
          </cell>
          <cell r="P78" t="str">
            <v>*Numbers in table do not sum entirely accurately. Numbers here are as shown in the paper, not as calculated by summing columns/rows.</v>
          </cell>
        </row>
        <row r="80">
          <cell r="B80" t="str">
            <v>Mineral surface roll energy input, GJ/tonne</v>
          </cell>
          <cell r="I80" t="str">
            <v>Mineral surface roll energy input, MMBTU/tonne</v>
          </cell>
          <cell r="P80" t="str">
            <v>Mineral surface roll energy input, MMBTU/tonne</v>
          </cell>
          <cell r="U80" t="str">
            <v>Precombustion MMBTU / tonne</v>
          </cell>
          <cell r="X80" t="str">
            <v>Total
MMBTU/tonne</v>
          </cell>
        </row>
        <row r="81">
          <cell r="B81" t="str">
            <v>Fuel Type</v>
          </cell>
          <cell r="C81" t="str">
            <v>Process</v>
          </cell>
          <cell r="D81" t="str">
            <v>Transport</v>
          </cell>
          <cell r="E81" t="str">
            <v>Total</v>
          </cell>
          <cell r="F81" t="str">
            <v>Roof Plant</v>
          </cell>
          <cell r="G81" t="str">
            <v>Total</v>
          </cell>
          <cell r="I81" t="str">
            <v>Fuel Type</v>
          </cell>
          <cell r="J81" t="str">
            <v>Process</v>
          </cell>
          <cell r="K81" t="str">
            <v>Transport</v>
          </cell>
          <cell r="L81" t="str">
            <v>Total</v>
          </cell>
          <cell r="M81" t="str">
            <v>Roof Plant</v>
          </cell>
          <cell r="N81" t="str">
            <v>Total</v>
          </cell>
          <cell r="P81" t="str">
            <v>Fuel Type</v>
          </cell>
          <cell r="Q81" t="str">
            <v>Process Total</v>
          </cell>
          <cell r="R81" t="str">
            <v>Transport</v>
          </cell>
          <cell r="S81" t="str">
            <v>Total</v>
          </cell>
          <cell r="U81" t="str">
            <v>Process</v>
          </cell>
          <cell r="V81" t="str">
            <v>Transport</v>
          </cell>
          <cell r="X81" t="str">
            <v>Process</v>
          </cell>
          <cell r="Y81" t="str">
            <v>Transport</v>
          </cell>
        </row>
        <row r="82">
          <cell r="B82" t="str">
            <v>Coal</v>
          </cell>
          <cell r="C82">
            <v>0</v>
          </cell>
          <cell r="E82">
            <v>0</v>
          </cell>
          <cell r="G82">
            <v>0</v>
          </cell>
          <cell r="I82" t="str">
            <v>Coal</v>
          </cell>
          <cell r="J82">
            <v>0</v>
          </cell>
          <cell r="K82">
            <v>0</v>
          </cell>
          <cell r="L82">
            <v>0</v>
          </cell>
          <cell r="M82">
            <v>0</v>
          </cell>
          <cell r="N82">
            <v>0</v>
          </cell>
          <cell r="P82" t="str">
            <v>Coal</v>
          </cell>
          <cell r="Q82">
            <v>0</v>
          </cell>
          <cell r="R82">
            <v>0</v>
          </cell>
          <cell r="S82">
            <v>0</v>
          </cell>
          <cell r="U82">
            <v>0</v>
          </cell>
          <cell r="V82">
            <v>0</v>
          </cell>
          <cell r="X82">
            <v>0</v>
          </cell>
          <cell r="Y82">
            <v>0</v>
          </cell>
        </row>
        <row r="83">
          <cell r="B83" t="str">
            <v>Gasoline</v>
          </cell>
          <cell r="C83">
            <v>8.6999999999999994E-3</v>
          </cell>
          <cell r="E83">
            <v>8.6999999999999994E-3</v>
          </cell>
          <cell r="G83">
            <v>8.6999999999999994E-3</v>
          </cell>
          <cell r="I83" t="str">
            <v>Gasoline</v>
          </cell>
          <cell r="J83">
            <v>8.2460089672030164E-3</v>
          </cell>
          <cell r="K83">
            <v>0</v>
          </cell>
          <cell r="L83">
            <v>8.2460089672030164E-3</v>
          </cell>
          <cell r="M83">
            <v>0</v>
          </cell>
          <cell r="N83">
            <v>8.2460089672030164E-3</v>
          </cell>
          <cell r="P83" t="str">
            <v>Gasoline</v>
          </cell>
          <cell r="Q83">
            <v>8.2460089672030164E-3</v>
          </cell>
          <cell r="R83">
            <v>0</v>
          </cell>
          <cell r="S83">
            <v>8.2460089672030164E-3</v>
          </cell>
          <cell r="U83">
            <v>1.1280540267133729E-3</v>
          </cell>
          <cell r="V83">
            <v>0</v>
          </cell>
          <cell r="X83">
            <v>9.3740629939163891E-3</v>
          </cell>
          <cell r="Y83">
            <v>0</v>
          </cell>
        </row>
        <row r="84">
          <cell r="B84" t="str">
            <v>LPG</v>
          </cell>
          <cell r="C84">
            <v>1.34E-2</v>
          </cell>
          <cell r="E84">
            <v>1.34E-2</v>
          </cell>
          <cell r="G84">
            <v>1.34E-2</v>
          </cell>
          <cell r="I84" t="str">
            <v>LPG</v>
          </cell>
          <cell r="J84">
            <v>1.2700749443737979E-2</v>
          </cell>
          <cell r="K84">
            <v>0</v>
          </cell>
          <cell r="L84">
            <v>1.2700749443737979E-2</v>
          </cell>
          <cell r="M84">
            <v>0</v>
          </cell>
          <cell r="N84">
            <v>1.2700749443737979E-2</v>
          </cell>
          <cell r="P84" t="str">
            <v>LPG</v>
          </cell>
          <cell r="Q84">
            <v>1.2700749443737979E-2</v>
          </cell>
          <cell r="R84">
            <v>0</v>
          </cell>
          <cell r="S84">
            <v>1.2700749443737979E-2</v>
          </cell>
          <cell r="U84">
            <v>1.6757009737287806E-3</v>
          </cell>
          <cell r="V84">
            <v>0</v>
          </cell>
          <cell r="X84">
            <v>1.437645041746676E-2</v>
          </cell>
          <cell r="Y84">
            <v>0</v>
          </cell>
        </row>
        <row r="85">
          <cell r="B85" t="str">
            <v>Diesel road</v>
          </cell>
          <cell r="C85">
            <v>6.3399999999999998E-2</v>
          </cell>
          <cell r="D85">
            <v>0.12839999999999999</v>
          </cell>
          <cell r="E85">
            <v>0.19170000000000001</v>
          </cell>
          <cell r="G85">
            <v>0.19170000000000001</v>
          </cell>
          <cell r="I85" t="str">
            <v>Diesel road</v>
          </cell>
          <cell r="J85">
            <v>6.0091605577088647E-2</v>
          </cell>
          <cell r="K85">
            <v>0.12169971855044449</v>
          </cell>
          <cell r="L85">
            <v>0.18169654241526648</v>
          </cell>
          <cell r="M85">
            <v>0</v>
          </cell>
          <cell r="N85">
            <v>0.18169654241526648</v>
          </cell>
          <cell r="P85" t="str">
            <v>Diesel road</v>
          </cell>
          <cell r="Q85" t="str">
            <v>-</v>
          </cell>
          <cell r="R85">
            <v>0.18179132412753313</v>
          </cell>
          <cell r="S85">
            <v>0.18179132412753313</v>
          </cell>
          <cell r="U85" t="str">
            <v>-</v>
          </cell>
          <cell r="V85">
            <v>2.6287810179592926E-2</v>
          </cell>
          <cell r="X85">
            <v>0</v>
          </cell>
          <cell r="Y85">
            <v>0.20807913430712605</v>
          </cell>
        </row>
        <row r="86">
          <cell r="B86" t="str">
            <v>Diesel rail</v>
          </cell>
          <cell r="C86">
            <v>9.4000000000000004E-3</v>
          </cell>
          <cell r="D86">
            <v>0.28050000000000003</v>
          </cell>
          <cell r="E86">
            <v>0.28990000000000005</v>
          </cell>
          <cell r="G86">
            <v>0.28990000000000005</v>
          </cell>
          <cell r="I86" t="str">
            <v>Diesel rail</v>
          </cell>
          <cell r="J86">
            <v>8.9094809530699259E-3</v>
          </cell>
          <cell r="K86">
            <v>0.26586270290809727</v>
          </cell>
          <cell r="L86">
            <v>0.2747721838611672</v>
          </cell>
          <cell r="M86">
            <v>0</v>
          </cell>
          <cell r="N86">
            <v>0.2747721838611672</v>
          </cell>
          <cell r="P86" t="str">
            <v>Diesel rail</v>
          </cell>
          <cell r="Q86" t="str">
            <v>-</v>
          </cell>
          <cell r="R86">
            <v>0.2747721838611672</v>
          </cell>
          <cell r="S86">
            <v>0.2747721838611672</v>
          </cell>
          <cell r="U86" t="str">
            <v>-</v>
          </cell>
          <cell r="V86">
            <v>3.9733243853305483E-2</v>
          </cell>
          <cell r="X86">
            <v>0</v>
          </cell>
          <cell r="Y86">
            <v>0.31450542771447265</v>
          </cell>
        </row>
        <row r="87">
          <cell r="B87" t="str">
            <v>Natural Gas</v>
          </cell>
          <cell r="C87">
            <v>1.7905</v>
          </cell>
          <cell r="E87">
            <v>1.7905</v>
          </cell>
          <cell r="F87">
            <v>6.3200000000000006E-2</v>
          </cell>
          <cell r="G87">
            <v>1.8536999999999999</v>
          </cell>
          <cell r="I87" t="str">
            <v>Natural Gas</v>
          </cell>
          <cell r="J87">
            <v>1.6970665581352875</v>
          </cell>
          <cell r="K87">
            <v>0</v>
          </cell>
          <cell r="L87">
            <v>1.6970665581352875</v>
          </cell>
          <cell r="M87">
            <v>5.9902042152555249E-2</v>
          </cell>
          <cell r="N87">
            <v>1.7569686002878424</v>
          </cell>
          <cell r="P87" t="str">
            <v>Natural Gas</v>
          </cell>
          <cell r="Q87">
            <v>1.7569686002878429</v>
          </cell>
          <cell r="R87">
            <v>0</v>
          </cell>
          <cell r="S87">
            <v>1.7569686002878429</v>
          </cell>
          <cell r="U87">
            <v>0.15181573342293009</v>
          </cell>
          <cell r="V87">
            <v>0</v>
          </cell>
          <cell r="X87">
            <v>1.9087843337107731</v>
          </cell>
          <cell r="Y87">
            <v>0</v>
          </cell>
        </row>
        <row r="88">
          <cell r="B88" t="str">
            <v>Petroleum Coke</v>
          </cell>
          <cell r="C88">
            <v>0</v>
          </cell>
          <cell r="E88">
            <v>0</v>
          </cell>
          <cell r="G88">
            <v>0</v>
          </cell>
          <cell r="I88" t="str">
            <v>Petroleum Coke</v>
          </cell>
          <cell r="J88">
            <v>0</v>
          </cell>
          <cell r="K88">
            <v>0</v>
          </cell>
          <cell r="L88">
            <v>0</v>
          </cell>
          <cell r="M88">
            <v>0</v>
          </cell>
          <cell r="N88">
            <v>0</v>
          </cell>
          <cell r="P88" t="str">
            <v>Petroleum Coke</v>
          </cell>
          <cell r="Q88">
            <v>0</v>
          </cell>
          <cell r="R88">
            <v>0</v>
          </cell>
          <cell r="S88">
            <v>0</v>
          </cell>
          <cell r="U88">
            <v>0</v>
          </cell>
          <cell r="V88">
            <v>0</v>
          </cell>
          <cell r="X88">
            <v>0</v>
          </cell>
          <cell r="Y88">
            <v>0</v>
          </cell>
        </row>
        <row r="89">
          <cell r="B89" t="str">
            <v>Residual Oil</v>
          </cell>
          <cell r="C89">
            <v>0.52329999999999999</v>
          </cell>
          <cell r="E89">
            <v>0.52329999999999999</v>
          </cell>
          <cell r="G89">
            <v>0.52329999999999999</v>
          </cell>
          <cell r="I89" t="str">
            <v>Residual Oil</v>
          </cell>
          <cell r="J89">
            <v>0.49599270029164805</v>
          </cell>
          <cell r="K89">
            <v>0</v>
          </cell>
          <cell r="L89">
            <v>0.49599270029164805</v>
          </cell>
          <cell r="M89">
            <v>0</v>
          </cell>
          <cell r="N89">
            <v>0.49599270029164805</v>
          </cell>
          <cell r="P89" t="str">
            <v>Residual Oil</v>
          </cell>
          <cell r="Q89">
            <v>0.49599270029164805</v>
          </cell>
          <cell r="R89">
            <v>0</v>
          </cell>
          <cell r="S89">
            <v>0.49599270029164805</v>
          </cell>
          <cell r="U89">
            <v>7.2414934242580623E-2</v>
          </cell>
          <cell r="V89">
            <v>0</v>
          </cell>
          <cell r="X89">
            <v>0.56840763453422871</v>
          </cell>
          <cell r="Y89">
            <v>0</v>
          </cell>
        </row>
        <row r="90">
          <cell r="B90" t="str">
            <v>Other</v>
          </cell>
          <cell r="C90">
            <v>0</v>
          </cell>
          <cell r="E90">
            <v>0</v>
          </cell>
          <cell r="G90">
            <v>0</v>
          </cell>
          <cell r="I90" t="str">
            <v>Other</v>
          </cell>
          <cell r="J90">
            <v>0</v>
          </cell>
          <cell r="K90">
            <v>0</v>
          </cell>
          <cell r="L90">
            <v>0</v>
          </cell>
          <cell r="M90">
            <v>0</v>
          </cell>
          <cell r="N90">
            <v>0</v>
          </cell>
          <cell r="P90" t="str">
            <v>Other</v>
          </cell>
          <cell r="Q90">
            <v>0</v>
          </cell>
          <cell r="R90">
            <v>0</v>
          </cell>
          <cell r="S90">
            <v>0</v>
          </cell>
          <cell r="U90" t="str">
            <v>-</v>
          </cell>
          <cell r="V90" t="str">
            <v>-</v>
          </cell>
          <cell r="X90">
            <v>0</v>
          </cell>
          <cell r="Y90">
            <v>0</v>
          </cell>
        </row>
        <row r="91">
          <cell r="B91" t="str">
            <v>Fuel energy subtotal</v>
          </cell>
          <cell r="C91">
            <v>2.4085999999999999</v>
          </cell>
          <cell r="D91">
            <v>0.40890000000000004</v>
          </cell>
          <cell r="E91">
            <v>2.8174999999999999</v>
          </cell>
          <cell r="G91">
            <v>2.8174999999999999</v>
          </cell>
          <cell r="I91" t="str">
            <v>Fuel energy subtotal</v>
          </cell>
          <cell r="J91">
            <v>2.2829123216557683</v>
          </cell>
          <cell r="K91">
            <v>0.38756242145854181</v>
          </cell>
          <cell r="L91">
            <v>2.6704747431143101</v>
          </cell>
          <cell r="M91">
            <v>0</v>
          </cell>
          <cell r="N91">
            <v>2.6704747431143101</v>
          </cell>
          <cell r="P91" t="str">
            <v>Fuel energy subtotal</v>
          </cell>
          <cell r="Q91">
            <v>2.2739080589904321</v>
          </cell>
          <cell r="R91">
            <v>0.45656350798870032</v>
          </cell>
          <cell r="S91">
            <v>2.7304715669791322</v>
          </cell>
          <cell r="U91">
            <v>0.22703442266595286</v>
          </cell>
          <cell r="V91">
            <v>6.6021054032898402E-2</v>
          </cell>
          <cell r="X91">
            <v>2.5009424816563848</v>
          </cell>
          <cell r="Y91">
            <v>0.52258456202159875</v>
          </cell>
        </row>
        <row r="92">
          <cell r="B92" t="str">
            <v>Electricity</v>
          </cell>
          <cell r="C92">
            <v>0.3342</v>
          </cell>
          <cell r="E92">
            <v>0.3342</v>
          </cell>
          <cell r="F92">
            <v>7.1999999999999995E-2</v>
          </cell>
          <cell r="G92">
            <v>0.40620000000000001</v>
          </cell>
          <cell r="I92" t="str">
            <v>Electricity</v>
          </cell>
          <cell r="J92">
            <v>0.31676048239531585</v>
          </cell>
          <cell r="K92">
            <v>0</v>
          </cell>
          <cell r="L92">
            <v>0.31676048239531585</v>
          </cell>
          <cell r="M92">
            <v>6.8242832832024966E-2</v>
          </cell>
          <cell r="N92">
            <v>0.38500331522734083</v>
          </cell>
          <cell r="P92" t="str">
            <v>Electricity</v>
          </cell>
          <cell r="Q92">
            <v>0.38500331522734083</v>
          </cell>
          <cell r="R92">
            <v>0</v>
          </cell>
          <cell r="S92">
            <v>0.38500331522734083</v>
          </cell>
          <cell r="U92">
            <v>0</v>
          </cell>
          <cell r="V92">
            <v>0</v>
          </cell>
          <cell r="X92">
            <v>1.1959357287791683</v>
          </cell>
          <cell r="Y92">
            <v>0</v>
          </cell>
        </row>
        <row r="93">
          <cell r="B93" t="str">
            <v>Total process energy</v>
          </cell>
          <cell r="C93">
            <v>2.7427999999999999</v>
          </cell>
          <cell r="D93">
            <v>0.40890000000000004</v>
          </cell>
          <cell r="E93">
            <v>3.1516999999999999</v>
          </cell>
          <cell r="F93">
            <v>0.13519999999999999</v>
          </cell>
          <cell r="G93">
            <v>3.2869999999999999</v>
          </cell>
          <cell r="I93" t="str">
            <v>Total process energy</v>
          </cell>
          <cell r="J93">
            <v>2.5996728040510839</v>
          </cell>
          <cell r="K93">
            <v>0.38756242145854181</v>
          </cell>
          <cell r="L93">
            <v>2.9872352255096257</v>
          </cell>
          <cell r="M93">
            <v>0.12814487498458019</v>
          </cell>
          <cell r="N93">
            <v>3.1154748822064731</v>
          </cell>
          <cell r="P93" t="str">
            <v>Total process energy</v>
          </cell>
          <cell r="Q93">
            <v>2.658911374217773</v>
          </cell>
          <cell r="R93">
            <v>0.45656350798870032</v>
          </cell>
          <cell r="S93">
            <v>3.1154748822064731</v>
          </cell>
          <cell r="U93">
            <v>0.22703442266595286</v>
          </cell>
          <cell r="V93">
            <v>6.6021054032898402E-2</v>
          </cell>
          <cell r="X93">
            <v>3.6968782104355533</v>
          </cell>
          <cell r="Y93">
            <v>0.52258456202159875</v>
          </cell>
        </row>
        <row r="94">
          <cell r="B94" t="str">
            <v>Feedstock energy</v>
          </cell>
          <cell r="C94">
            <v>10.302300000000001</v>
          </cell>
          <cell r="E94">
            <v>10.302300000000001</v>
          </cell>
          <cell r="G94">
            <v>10.302300000000001</v>
          </cell>
          <cell r="I94" t="str">
            <v>Feedstock energy</v>
          </cell>
          <cell r="J94">
            <v>9.764696342852373</v>
          </cell>
          <cell r="K94">
            <v>0</v>
          </cell>
          <cell r="L94">
            <v>9.764696342852373</v>
          </cell>
          <cell r="M94">
            <v>0</v>
          </cell>
          <cell r="N94">
            <v>9.764696342852373</v>
          </cell>
          <cell r="P94" t="str">
            <v>Feedstock energy</v>
          </cell>
          <cell r="Q94">
            <v>9.764696342852373</v>
          </cell>
          <cell r="R94">
            <v>0</v>
          </cell>
          <cell r="S94">
            <v>9.764696342852373</v>
          </cell>
        </row>
        <row r="95">
          <cell r="B95" t="str">
            <v>Total, including feedstock energy</v>
          </cell>
          <cell r="C95">
            <v>13.045199999999999</v>
          </cell>
          <cell r="D95">
            <v>0.40890000000000004</v>
          </cell>
          <cell r="E95">
            <v>13.4541</v>
          </cell>
          <cell r="F95">
            <v>0.13519999999999999</v>
          </cell>
          <cell r="G95">
            <v>13.589300000000001</v>
          </cell>
          <cell r="I95" t="str">
            <v>Total, including feedstock energy</v>
          </cell>
          <cell r="J95">
            <v>12.364463928615722</v>
          </cell>
          <cell r="K95">
            <v>0.38756242145854181</v>
          </cell>
          <cell r="L95">
            <v>12.752026350074265</v>
          </cell>
          <cell r="M95">
            <v>0.12814487498458019</v>
          </cell>
          <cell r="N95">
            <v>12.880171225058845</v>
          </cell>
          <cell r="P95" t="str">
            <v>Total, including feedstock energy</v>
          </cell>
          <cell r="Q95">
            <v>12.423607717070146</v>
          </cell>
          <cell r="R95">
            <v>0.45656350798870032</v>
          </cell>
          <cell r="S95">
            <v>12.880171225058847</v>
          </cell>
        </row>
        <row r="96">
          <cell r="B96" t="str">
            <v>*Numbers in table do not sum entirely accurately. Numbers here are as shown in the paper, not as calculated by summing columns/rows.</v>
          </cell>
          <cell r="I96" t="str">
            <v>*Numbers in table do not sum entirely accurately. Numbers here are as shown in the paper, not as calculated by summing columns/rows.</v>
          </cell>
          <cell r="P96" t="str">
            <v>*Numbers in table do not sum entirely accurately. Numbers here are as shown in the paper, not as calculated by summing columns/rows.</v>
          </cell>
        </row>
        <row r="99">
          <cell r="B99" t="str">
            <v>Typical Composition of Asphalt Shingles</v>
          </cell>
        </row>
        <row r="101">
          <cell r="B101" t="str">
            <v>Component</v>
          </cell>
          <cell r="C101" t="str">
            <v>Organic Shingles</v>
          </cell>
          <cell r="D101" t="str">
            <v>Fiberglass Shingles</v>
          </cell>
        </row>
        <row r="102">
          <cell r="B102" t="str">
            <v>Asphalt Cement</v>
          </cell>
          <cell r="C102">
            <v>0.36</v>
          </cell>
          <cell r="D102">
            <v>0.22</v>
          </cell>
          <cell r="I102" t="str">
            <v>Energy content</v>
          </cell>
          <cell r="J102" t="str">
            <v>BTU/lb</v>
          </cell>
          <cell r="K102" t="str">
            <v>BTU/ton</v>
          </cell>
          <cell r="L102" t="str">
            <v>mmBTU/ton</v>
          </cell>
          <cell r="O102" t="str">
            <v>Energy Emissions (MTCO2E/Ton)</v>
          </cell>
          <cell r="P102" t="str">
            <v>Transportation Emissions (MTCO2E/ton)</v>
          </cell>
        </row>
        <row r="103">
          <cell r="B103" t="str">
            <v>Felt</v>
          </cell>
          <cell r="C103">
            <v>0.15</v>
          </cell>
          <cell r="D103">
            <v>0.15</v>
          </cell>
          <cell r="I103" t="str">
            <v>asphalt cement</v>
          </cell>
          <cell r="J103">
            <v>20000</v>
          </cell>
          <cell r="K103">
            <v>40000000</v>
          </cell>
          <cell r="L103">
            <v>40</v>
          </cell>
          <cell r="N103" t="str">
            <v>Aggregate</v>
          </cell>
          <cell r="O103">
            <v>3.2991777980361874E-3</v>
          </cell>
          <cell r="P103">
            <v>1.3817981639587919E-2</v>
          </cell>
        </row>
        <row r="104">
          <cell r="B104" t="str">
            <v>Aggregate</v>
          </cell>
          <cell r="C104">
            <v>0.38</v>
          </cell>
          <cell r="D104">
            <v>0.38</v>
          </cell>
          <cell r="I104" t="str">
            <v>organic shingles</v>
          </cell>
          <cell r="J104">
            <v>7200</v>
          </cell>
          <cell r="K104">
            <v>14400000</v>
          </cell>
          <cell r="L104">
            <v>14.399999999999999</v>
          </cell>
        </row>
        <row r="105">
          <cell r="B105" t="str">
            <v>Stabilizer/Filler</v>
          </cell>
          <cell r="C105">
            <v>0.11</v>
          </cell>
          <cell r="D105">
            <v>0.25</v>
          </cell>
          <cell r="I105" t="str">
            <v>fiberglass shingles</v>
          </cell>
          <cell r="J105">
            <v>4400</v>
          </cell>
          <cell r="K105">
            <v>8800000</v>
          </cell>
          <cell r="L105">
            <v>8.7999999999999989</v>
          </cell>
        </row>
        <row r="106">
          <cell r="B106" t="str">
            <v>Total</v>
          </cell>
          <cell r="C106">
            <v>1</v>
          </cell>
          <cell r="D106">
            <v>1</v>
          </cell>
        </row>
        <row r="107">
          <cell r="B107" t="str">
            <v>source: CMRA, 2007 "Environmental Issues Associated with Asphalt Shingle Recycling</v>
          </cell>
        </row>
        <row r="110">
          <cell r="B110" t="str">
            <v>Combustion</v>
          </cell>
        </row>
        <row r="112">
          <cell r="C112" t="str">
            <v>MMBtu/short ton</v>
          </cell>
          <cell r="D112" t="str">
            <v>short tons of shingles required / short ton of refinery fuel gas</v>
          </cell>
          <cell r="E112" t="str">
            <v>Btu/pound</v>
          </cell>
        </row>
        <row r="113">
          <cell r="B113" t="str">
            <v>Refinery fuel gas</v>
          </cell>
          <cell r="C113">
            <v>37.5</v>
          </cell>
          <cell r="D113" t="str">
            <v>--</v>
          </cell>
          <cell r="E113">
            <v>18750</v>
          </cell>
        </row>
        <row r="114">
          <cell r="B114" t="str">
            <v>Organic shingles</v>
          </cell>
          <cell r="C114">
            <v>14.399999999999999</v>
          </cell>
          <cell r="D114">
            <v>2.604166666666667</v>
          </cell>
          <cell r="E114">
            <v>7199.9999999999991</v>
          </cell>
        </row>
        <row r="115">
          <cell r="B115" t="str">
            <v>Fiberglass shingles</v>
          </cell>
          <cell r="C115">
            <v>8.7999999999999989</v>
          </cell>
          <cell r="D115">
            <v>4.2613636363636367</v>
          </cell>
          <cell r="E115">
            <v>4399.9999999999991</v>
          </cell>
        </row>
        <row r="117">
          <cell r="B117" t="str">
            <v>Combustion emissions</v>
          </cell>
          <cell r="F117" t="str">
            <v>Offset emissions</v>
          </cell>
          <cell r="J117" t="str">
            <v>Avoided emissions based on shingle energy content</v>
          </cell>
          <cell r="N117" t="str">
            <v>Total emissions (Combustion emissions - Offset Emissions)</v>
          </cell>
        </row>
        <row r="118">
          <cell r="C118" t="str">
            <v>kg CE Emitted Per Million Btu Consumed</v>
          </cell>
          <cell r="D118" t="str">
            <v>MTCO2E/short ton shingles</v>
          </cell>
          <cell r="G118" t="str">
            <v>kg CE Emitted Per Million Btu Consumed</v>
          </cell>
          <cell r="H118" t="str">
            <v>MTCO2E/ton refinery fuel gas</v>
          </cell>
          <cell r="J118" t="str">
            <v>MTCO2E/short ton asphalt shingles</v>
          </cell>
          <cell r="N118" t="str">
            <v>MTCO2E/ short ton shingles</v>
          </cell>
        </row>
        <row r="119">
          <cell r="B119" t="str">
            <v>Post-consumer organic shingles</v>
          </cell>
          <cell r="C119">
            <v>20.239999999999998</v>
          </cell>
          <cell r="D119">
            <v>1.0686719999999996</v>
          </cell>
          <cell r="F119" t="str">
            <v>Refinery fuel gas</v>
          </cell>
          <cell r="G119">
            <v>32.645454545454541</v>
          </cell>
          <cell r="H119">
            <v>4.4887499999999987</v>
          </cell>
          <cell r="J119">
            <v>1.7236799999999992</v>
          </cell>
          <cell r="N119">
            <v>-0.65500799999999959</v>
          </cell>
        </row>
        <row r="120">
          <cell r="H120">
            <v>4.4887499999999987</v>
          </cell>
          <cell r="J120">
            <v>1.0533599999999996</v>
          </cell>
          <cell r="N120">
            <v>-0.40028266666666645</v>
          </cell>
        </row>
        <row r="124">
          <cell r="J124">
            <v>-0.65500799999999959</v>
          </cell>
        </row>
        <row r="137">
          <cell r="B137" t="str">
            <v>Processing of tear-off shingles</v>
          </cell>
        </row>
        <row r="138">
          <cell r="F138" t="str">
            <v>Transportation distance of recovered asphalt shingles</v>
          </cell>
          <cell r="I138" t="str">
            <v>Transportation of recovered asphalt shingles</v>
          </cell>
        </row>
        <row r="139">
          <cell r="C139" t="str">
            <v>Diesel (MJ/metric ton)</v>
          </cell>
          <cell r="I139" t="str">
            <v>Transportation</v>
          </cell>
          <cell r="J139" t="str">
            <v>Distance</v>
          </cell>
          <cell r="K139" t="str">
            <v>Units</v>
          </cell>
        </row>
        <row r="140">
          <cell r="B140" t="str">
            <v>Shredder for asphalt shingles</v>
          </cell>
          <cell r="C140">
            <v>23</v>
          </cell>
          <cell r="F140">
            <v>40</v>
          </cell>
          <cell r="G140" t="str">
            <v xml:space="preserve"> miles for manufacturing.</v>
          </cell>
          <cell r="I140" t="str">
            <v>Transport, combination truck, diesel-powered</v>
          </cell>
          <cell r="J140">
            <v>6.4373760000000002E-2</v>
          </cell>
          <cell r="K140" t="str">
            <v>metric ton - kilometers / kg asphalt shingles</v>
          </cell>
        </row>
        <row r="141">
          <cell r="B141" t="str">
            <v>Excavator</v>
          </cell>
          <cell r="C141">
            <v>6</v>
          </cell>
          <cell r="F141" t="str">
            <v>Source: Assumed.</v>
          </cell>
          <cell r="I141" t="str">
            <v>Source: Assumed.</v>
          </cell>
        </row>
        <row r="142">
          <cell r="B142" t="str">
            <v>Loader</v>
          </cell>
          <cell r="C142">
            <v>12</v>
          </cell>
        </row>
        <row r="143">
          <cell r="B143" t="str">
            <v xml:space="preserve">Total </v>
          </cell>
          <cell r="C143">
            <v>41</v>
          </cell>
        </row>
        <row r="144">
          <cell r="B144" t="str">
            <v>Source: Cochran, K. "CONSTRUCTION AND DEMOLITION DEBRIS RECYCLING:</v>
          </cell>
        </row>
        <row r="145">
          <cell r="B145" t="str">
            <v xml:space="preserve">METHODS, MARKETS, AND POLICY" page 61. </v>
          </cell>
        </row>
        <row r="149">
          <cell r="B149" t="str">
            <v>Process Energy Consumption for shredding, loading, and excavating 1 kg of shingles recovered (MMBTU/kg)</v>
          </cell>
          <cell r="I149" t="str">
            <v xml:space="preserve">Transportation Energy Inputs for recovered asphalt shingles (MMBTU/kg) </v>
          </cell>
        </row>
        <row r="150">
          <cell r="D150" t="str">
            <v>Diesel</v>
          </cell>
          <cell r="K150" t="str">
            <v>Diesel</v>
          </cell>
        </row>
        <row r="151">
          <cell r="B151" t="str">
            <v>Combustion Energy</v>
          </cell>
          <cell r="D151">
            <v>3.395103571388629E-5</v>
          </cell>
          <cell r="I151" t="str">
            <v>Combustion Energy</v>
          </cell>
          <cell r="K151">
            <v>8.2023825848610862E-5</v>
          </cell>
        </row>
        <row r="152">
          <cell r="B152" t="str">
            <v>Pre-Combustion Energy</v>
          </cell>
          <cell r="D152">
            <v>4.9094663154612561E-6</v>
          </cell>
          <cell r="I152" t="str">
            <v>Pre-Combustion Energy</v>
          </cell>
          <cell r="K152">
            <v>1.1860999277389053E-5</v>
          </cell>
        </row>
        <row r="153">
          <cell r="B153" t="str">
            <v>Total</v>
          </cell>
          <cell r="D153">
            <v>3.8860502029347547E-5</v>
          </cell>
          <cell r="I153" t="str">
            <v>Total</v>
          </cell>
          <cell r="K153">
            <v>9.3884825125999913E-5</v>
          </cell>
        </row>
      </sheetData>
      <sheetData sheetId="27" refreshError="1">
        <row r="6">
          <cell r="D6">
            <v>9357</v>
          </cell>
          <cell r="E6" t="str">
            <v>thousand tonnes (sales)</v>
          </cell>
          <cell r="H6">
            <v>5.8475543208651649E-2</v>
          </cell>
          <cell r="I6" t="str">
            <v>tonne facing paper used per tonne wallboard</v>
          </cell>
          <cell r="L6">
            <v>0.94781712266701335</v>
          </cell>
          <cell r="M6" t="str">
            <v>million btu/GJ</v>
          </cell>
          <cell r="O6" t="str">
            <v>Distillate</v>
          </cell>
          <cell r="P6">
            <v>0.14460431654676262</v>
          </cell>
        </row>
        <row r="7">
          <cell r="D7">
            <v>9357000</v>
          </cell>
          <cell r="E7" t="str">
            <v>tonnes</v>
          </cell>
          <cell r="H7">
            <v>1.1000000000000001</v>
          </cell>
          <cell r="I7" t="str">
            <v>tonne waste paper used per tonne facing paper</v>
          </cell>
          <cell r="L7">
            <v>1.05505585</v>
          </cell>
          <cell r="M7" t="str">
            <v>GJ/million btu</v>
          </cell>
          <cell r="O7" t="str">
            <v>Residual</v>
          </cell>
          <cell r="P7">
            <v>0.14599999999999999</v>
          </cell>
        </row>
        <row r="8">
          <cell r="D8">
            <v>8.4741415752144778E-3</v>
          </cell>
          <cell r="E8" t="str">
            <v>tonnes / square meter of 1/2" regular gypsum board</v>
          </cell>
          <cell r="L8">
            <v>9.2903040000000006E-2</v>
          </cell>
          <cell r="M8" t="str">
            <v>sq meters per sq foot</v>
          </cell>
          <cell r="O8" t="str">
            <v>Electricity</v>
          </cell>
          <cell r="P8">
            <v>0</v>
          </cell>
        </row>
        <row r="9">
          <cell r="H9" t="str">
            <v>Destination of recycled wallboard</v>
          </cell>
        </row>
        <row r="10">
          <cell r="H10">
            <v>0.80645161290322576</v>
          </cell>
          <cell r="I10" t="str">
            <v>Agriculture Uses</v>
          </cell>
        </row>
        <row r="11">
          <cell r="H11">
            <v>0.19354838709677419</v>
          </cell>
          <cell r="I11" t="str">
            <v>New Wallboard</v>
          </cell>
        </row>
        <row r="14">
          <cell r="B14" t="str">
            <v>100% Virgin Drywall</v>
          </cell>
          <cell r="H14" t="str">
            <v>100% Recycled Wallboard</v>
          </cell>
        </row>
        <row r="15">
          <cell r="B15" t="str">
            <v>Process Energy
(million Btu per metric tonne wallboard)</v>
          </cell>
          <cell r="E15" t="str">
            <v>Transportation Energy
(million Btu per metric tonne wallboard)</v>
          </cell>
          <cell r="H15" t="str">
            <v>Process Energy
(million Btu per metric tonne wallboard)</v>
          </cell>
          <cell r="K15" t="str">
            <v>Transportation Energy
(million Btu per metric tonne wallboard)</v>
          </cell>
        </row>
        <row r="16">
          <cell r="B16" t="str">
            <v>Combustion</v>
          </cell>
          <cell r="C16" t="str">
            <v>Precombustion</v>
          </cell>
          <cell r="D16" t="str">
            <v>Total</v>
          </cell>
          <cell r="E16" t="str">
            <v>Combustion</v>
          </cell>
          <cell r="F16" t="str">
            <v>Precombustion</v>
          </cell>
          <cell r="G16" t="str">
            <v>Total</v>
          </cell>
          <cell r="H16" t="str">
            <v>Combustion</v>
          </cell>
          <cell r="I16" t="str">
            <v>Precombustion</v>
          </cell>
          <cell r="J16" t="str">
            <v>Total</v>
          </cell>
          <cell r="K16" t="str">
            <v>Combustion</v>
          </cell>
          <cell r="L16" t="str">
            <v>Precombustion</v>
          </cell>
          <cell r="M16" t="str">
            <v>Total</v>
          </cell>
        </row>
        <row r="17">
          <cell r="B17">
            <v>0.10247296032853399</v>
          </cell>
          <cell r="C17">
            <v>1.4818032392831177E-2</v>
          </cell>
          <cell r="D17">
            <v>0.11729099272136517</v>
          </cell>
          <cell r="E17">
            <v>2.936888577932175E-2</v>
          </cell>
          <cell r="F17">
            <v>4.2468676558587576E-3</v>
          </cell>
          <cell r="G17">
            <v>3.3615753435180508E-2</v>
          </cell>
          <cell r="H17">
            <v>0.10281039235804526</v>
          </cell>
          <cell r="I17">
            <v>1.4866826520839642E-2</v>
          </cell>
          <cell r="J17">
            <v>0.11767721887888491</v>
          </cell>
          <cell r="K17">
            <v>2.2652965430765122E-2</v>
          </cell>
          <cell r="L17">
            <v>3.2757165838732307E-3</v>
          </cell>
          <cell r="M17">
            <v>2.5928682014638355E-2</v>
          </cell>
        </row>
        <row r="18">
          <cell r="B18">
            <v>3.9806007064855888E-4</v>
          </cell>
          <cell r="C18">
            <v>1.9716994153620211E-5</v>
          </cell>
          <cell r="D18">
            <v>4.1777706480217907E-4</v>
          </cell>
          <cell r="F18">
            <v>0</v>
          </cell>
          <cell r="I18">
            <v>0</v>
          </cell>
          <cell r="L18">
            <v>0</v>
          </cell>
        </row>
        <row r="19">
          <cell r="B19">
            <v>2.1763757199897578</v>
          </cell>
          <cell r="C19">
            <v>0.18805576609620234</v>
          </cell>
          <cell r="D19">
            <v>2.3644314860859601</v>
          </cell>
          <cell r="H19">
            <v>2.1763757199897578</v>
          </cell>
          <cell r="I19">
            <v>0.18805576609620234</v>
          </cell>
          <cell r="J19">
            <v>2.3644314860859601</v>
          </cell>
          <cell r="L19">
            <v>0</v>
          </cell>
          <cell r="M19">
            <v>0</v>
          </cell>
        </row>
        <row r="20">
          <cell r="B20">
            <v>0.56639308774547026</v>
          </cell>
          <cell r="C20">
            <v>8.1902885350244273E-2</v>
          </cell>
          <cell r="D20">
            <v>0.64829597309571452</v>
          </cell>
          <cell r="E20">
            <v>5.5873267228718389E-2</v>
          </cell>
          <cell r="F20">
            <v>8.079515620843452E-3</v>
          </cell>
          <cell r="G20">
            <v>6.3952782849561837E-2</v>
          </cell>
          <cell r="H20">
            <v>0.5660455278330383</v>
          </cell>
          <cell r="I20">
            <v>8.1852626686648E-2</v>
          </cell>
          <cell r="J20">
            <v>0.64789815451968624</v>
          </cell>
          <cell r="L20">
            <v>0</v>
          </cell>
          <cell r="M20">
            <v>0</v>
          </cell>
        </row>
        <row r="21">
          <cell r="C21">
            <v>0</v>
          </cell>
          <cell r="D21">
            <v>0</v>
          </cell>
          <cell r="E21">
            <v>6.7578469919598594E-3</v>
          </cell>
          <cell r="F21">
            <v>9.8664566082613944E-4</v>
          </cell>
          <cell r="G21">
            <v>7.7444926527859993E-3</v>
          </cell>
          <cell r="I21">
            <v>0</v>
          </cell>
          <cell r="J21">
            <v>0</v>
          </cell>
          <cell r="K21">
            <v>4.192664340322991E-5</v>
          </cell>
          <cell r="L21">
            <v>6.1212899368715665E-6</v>
          </cell>
          <cell r="M21">
            <v>4.8047933340101477E-5</v>
          </cell>
        </row>
        <row r="22">
          <cell r="B22">
            <v>0.26276959885637396</v>
          </cell>
          <cell r="C22">
            <v>0</v>
          </cell>
          <cell r="D22">
            <v>0.26276959885637396</v>
          </cell>
          <cell r="F22">
            <v>0</v>
          </cell>
          <cell r="G22">
            <v>0</v>
          </cell>
          <cell r="H22">
            <v>0.38233867602450228</v>
          </cell>
          <cell r="I22">
            <v>0</v>
          </cell>
          <cell r="J22">
            <v>0.38233867602450228</v>
          </cell>
          <cell r="L22">
            <v>0</v>
          </cell>
          <cell r="M22">
            <v>0</v>
          </cell>
        </row>
        <row r="23">
          <cell r="B23">
            <v>3.1084094269907845</v>
          </cell>
          <cell r="C23">
            <v>0.28479640083343138</v>
          </cell>
          <cell r="D23">
            <v>3.3932058278242154</v>
          </cell>
          <cell r="E23">
            <v>9.1999999999999998E-2</v>
          </cell>
          <cell r="F23">
            <v>1.3313028937528349E-2</v>
          </cell>
          <cell r="G23">
            <v>0.10531302893752835</v>
          </cell>
          <cell r="H23">
            <v>3.2275703162053442</v>
          </cell>
          <cell r="I23">
            <v>0.28477521930368999</v>
          </cell>
          <cell r="J23">
            <v>3.5123455355090338</v>
          </cell>
          <cell r="K23">
            <v>2.2694892074168353E-2</v>
          </cell>
          <cell r="L23">
            <v>3.2818378738101021E-3</v>
          </cell>
          <cell r="M23">
            <v>2.5976729947978457E-2</v>
          </cell>
        </row>
        <row r="24">
          <cell r="G24">
            <v>3.4985188567617436</v>
          </cell>
          <cell r="M24">
            <v>3.5383222654570123</v>
          </cell>
        </row>
        <row r="25">
          <cell r="B25" t="str">
            <v>100% Virgin Ag Gypsum</v>
          </cell>
          <cell r="H25" t="str">
            <v>100% Recycled Gypsum for Ag Uses</v>
          </cell>
        </row>
        <row r="26">
          <cell r="B26" t="str">
            <v>Process Energy
(million Btu per metric tonne gypsum)</v>
          </cell>
          <cell r="E26" t="str">
            <v>Transportation Energy
(million Btu per metric tonne gypsum</v>
          </cell>
          <cell r="H26" t="str">
            <v>Process Energy
(million Btu per metric tonne wallboard)</v>
          </cell>
          <cell r="K26" t="str">
            <v>Transportation Energy
(million Btu per metric tonne wallboard)</v>
          </cell>
        </row>
        <row r="27">
          <cell r="B27" t="str">
            <v>Combustion</v>
          </cell>
          <cell r="C27" t="str">
            <v>Precombustion</v>
          </cell>
          <cell r="D27" t="str">
            <v>Total</v>
          </cell>
          <cell r="E27" t="str">
            <v>Combustion</v>
          </cell>
          <cell r="F27" t="str">
            <v>Precombustion</v>
          </cell>
          <cell r="G27" t="str">
            <v>Total</v>
          </cell>
          <cell r="H27" t="str">
            <v>Combustion</v>
          </cell>
          <cell r="I27" t="str">
            <v>Precombustion</v>
          </cell>
          <cell r="J27" t="str">
            <v>Total</v>
          </cell>
          <cell r="K27" t="str">
            <v>Combustion</v>
          </cell>
          <cell r="L27" t="str">
            <v>Precombustion</v>
          </cell>
          <cell r="M27" t="str">
            <v>Total</v>
          </cell>
        </row>
        <row r="28">
          <cell r="B28">
            <v>3.5786265678085438E-3</v>
          </cell>
          <cell r="C28">
            <v>5.1748484901404128E-4</v>
          </cell>
          <cell r="D28">
            <v>4.0961114168225846E-3</v>
          </cell>
          <cell r="E28">
            <v>3.0899720279369231E-2</v>
          </cell>
          <cell r="F28">
            <v>4.4682329324843284E-3</v>
          </cell>
          <cell r="G28">
            <v>3.5367953211853556E-2</v>
          </cell>
          <cell r="H28">
            <v>3.5535401919274956E-3</v>
          </cell>
          <cell r="I28">
            <v>5.1385725077512717E-4</v>
          </cell>
          <cell r="J28">
            <v>4.0673974427026232E-3</v>
          </cell>
          <cell r="K28">
            <v>0</v>
          </cell>
          <cell r="L28">
            <v>0</v>
          </cell>
          <cell r="M28">
            <v>0</v>
          </cell>
        </row>
        <row r="29">
          <cell r="B29">
            <v>4.1880869876536665E-4</v>
          </cell>
          <cell r="C29">
            <v>2.0744729938845268E-5</v>
          </cell>
          <cell r="D29">
            <v>4.3955342870421191E-4</v>
          </cell>
          <cell r="E29">
            <v>0</v>
          </cell>
          <cell r="F29">
            <v>0</v>
          </cell>
          <cell r="I29">
            <v>0</v>
          </cell>
          <cell r="J29">
            <v>0</v>
          </cell>
          <cell r="L29">
            <v>0</v>
          </cell>
        </row>
        <row r="30">
          <cell r="C30">
            <v>0</v>
          </cell>
          <cell r="D30">
            <v>0</v>
          </cell>
          <cell r="E30">
            <v>0</v>
          </cell>
          <cell r="F30">
            <v>0</v>
          </cell>
          <cell r="G30">
            <v>0</v>
          </cell>
          <cell r="I30">
            <v>0</v>
          </cell>
          <cell r="J30">
            <v>0</v>
          </cell>
          <cell r="L30">
            <v>0</v>
          </cell>
          <cell r="M30">
            <v>0</v>
          </cell>
        </row>
        <row r="31">
          <cell r="B31">
            <v>3.6567625190707392E-4</v>
          </cell>
          <cell r="C31">
            <v>5.2878364484404224E-5</v>
          </cell>
          <cell r="D31">
            <v>4.1855461639147813E-4</v>
          </cell>
          <cell r="E31">
            <v>5.8785625761717857E-2</v>
          </cell>
          <cell r="F31">
            <v>8.500655236046973E-3</v>
          </cell>
          <cell r="G31">
            <v>6.7286280997764833E-2</v>
          </cell>
          <cell r="I31">
            <v>0</v>
          </cell>
          <cell r="J31">
            <v>0</v>
          </cell>
          <cell r="L31">
            <v>0</v>
          </cell>
          <cell r="M31">
            <v>0</v>
          </cell>
        </row>
        <row r="32">
          <cell r="C32">
            <v>0</v>
          </cell>
          <cell r="D32">
            <v>0</v>
          </cell>
          <cell r="E32">
            <v>7.1100954701305268E-3</v>
          </cell>
          <cell r="F32">
            <v>1.0380739386390569E-3</v>
          </cell>
          <cell r="G32">
            <v>8.1481694087695844E-3</v>
          </cell>
          <cell r="I32">
            <v>0</v>
          </cell>
          <cell r="J32">
            <v>0</v>
          </cell>
          <cell r="K32">
            <v>0</v>
          </cell>
          <cell r="L32">
            <v>0</v>
          </cell>
          <cell r="M32">
            <v>0</v>
          </cell>
        </row>
        <row r="33">
          <cell r="B33">
            <v>7.1582597042991131E-3</v>
          </cell>
          <cell r="C33">
            <v>0</v>
          </cell>
          <cell r="D33">
            <v>7.1582597042991131E-3</v>
          </cell>
          <cell r="E33">
            <v>0</v>
          </cell>
          <cell r="F33">
            <v>0</v>
          </cell>
          <cell r="G33">
            <v>0</v>
          </cell>
          <cell r="H33">
            <v>0.12011194354452359</v>
          </cell>
          <cell r="I33">
            <v>0</v>
          </cell>
          <cell r="J33">
            <v>0.12011194354452359</v>
          </cell>
          <cell r="L33">
            <v>0</v>
          </cell>
          <cell r="M33">
            <v>0</v>
          </cell>
        </row>
        <row r="34">
          <cell r="B34">
            <v>1.1521371222780097E-2</v>
          </cell>
          <cell r="C34">
            <v>5.9110794343729086E-4</v>
          </cell>
          <cell r="D34">
            <v>1.2112479166217388E-2</v>
          </cell>
          <cell r="E34">
            <v>9.679544151121762E-2</v>
          </cell>
          <cell r="F34">
            <v>1.4006962107170359E-2</v>
          </cell>
          <cell r="G34">
            <v>0.11080240361838797</v>
          </cell>
          <cell r="H34">
            <v>0.12366548373645109</v>
          </cell>
          <cell r="I34">
            <v>5.1385725077512717E-4</v>
          </cell>
          <cell r="J34">
            <v>0.12417934098722622</v>
          </cell>
          <cell r="K34">
            <v>0</v>
          </cell>
          <cell r="L34">
            <v>0</v>
          </cell>
          <cell r="M34">
            <v>0</v>
          </cell>
        </row>
        <row r="35">
          <cell r="G35">
            <v>0.12291488278460536</v>
          </cell>
          <cell r="M35">
            <v>0.12417934098722622</v>
          </cell>
        </row>
        <row r="38">
          <cell r="B38">
            <v>0.1145</v>
          </cell>
          <cell r="C38" t="str">
            <v>MJ per sq. meter of 1/2" regular board</v>
          </cell>
        </row>
        <row r="39">
          <cell r="B39">
            <v>1.34E-2</v>
          </cell>
          <cell r="C39" t="str">
            <v>MJ per sq. meter of 1/2" regular board</v>
          </cell>
        </row>
        <row r="40">
          <cell r="B40">
            <v>1.17E-2</v>
          </cell>
          <cell r="C40" t="str">
            <v>MJ per sq. meter of 1/2" regular board</v>
          </cell>
        </row>
        <row r="41">
          <cell r="B41">
            <v>0.2152</v>
          </cell>
          <cell r="C41" t="str">
            <v>MJ per sq. meter of 1/2" regular board</v>
          </cell>
        </row>
        <row r="43">
          <cell r="L43" t="str">
            <v>USG estimates</v>
          </cell>
          <cell r="M43" t="str">
            <v>USG Estimates</v>
          </cell>
          <cell r="N43" t="str">
            <v>ICF initial estimates</v>
          </cell>
          <cell r="P43" t="str">
            <v>multiplier</v>
          </cell>
          <cell r="Q43" t="str">
            <v>ICF revised estimates</v>
          </cell>
        </row>
        <row r="44">
          <cell r="B44">
            <v>13.511693070469152</v>
          </cell>
          <cell r="C44" t="str">
            <v>MJ per metric tonne board</v>
          </cell>
          <cell r="F44" t="str">
            <v>Energy Adjustments based on comments from USG</v>
          </cell>
          <cell r="L44" t="str">
            <v>%</v>
          </cell>
          <cell r="M44" t="str">
            <v>mmBtu/tonne wallboard</v>
          </cell>
          <cell r="N44" t="str">
            <v>%</v>
          </cell>
          <cell r="O44" t="str">
            <v>mmBtu/tonne wallboard</v>
          </cell>
          <cell r="Q44" t="str">
            <v>%</v>
          </cell>
          <cell r="R44" t="str">
            <v>mmBtu/tonne wallboard</v>
          </cell>
        </row>
        <row r="45">
          <cell r="B45">
            <v>1.5812811104304509</v>
          </cell>
          <cell r="C45" t="str">
            <v>MJ per metric tonne board</v>
          </cell>
          <cell r="K45" t="str">
            <v>Raw Material Creation (includes all raw materials: gypsum, paper and additives)</v>
          </cell>
          <cell r="L45">
            <v>0.12658227848101267</v>
          </cell>
          <cell r="M45">
            <v>0.46</v>
          </cell>
          <cell r="N45">
            <v>0.29097426359248874</v>
          </cell>
          <cell r="O45">
            <v>1.73197990568614</v>
          </cell>
          <cell r="P45">
            <v>0.26559199589429805</v>
          </cell>
          <cell r="Q45">
            <v>0.12658227848101264</v>
          </cell>
          <cell r="R45">
            <v>0.45999999999999996</v>
          </cell>
        </row>
        <row r="46">
          <cell r="B46">
            <v>1.3806708203012146</v>
          </cell>
          <cell r="C46" t="str">
            <v>MJ per metric tonne board</v>
          </cell>
          <cell r="K46" t="str">
            <v>Raw Material Transportation (includes all raw materials gypsum, paper and additives)</v>
          </cell>
          <cell r="L46">
            <v>2.5316455696202531E-2</v>
          </cell>
          <cell r="M46">
            <v>9.1999999999999998E-2</v>
          </cell>
          <cell r="N46">
            <v>4.1232369781892028E-2</v>
          </cell>
          <cell r="O46">
            <v>0.24542938967988126</v>
          </cell>
          <cell r="P46">
            <v>0.37485323220661365</v>
          </cell>
          <cell r="Q46">
            <v>2.5316455696202528E-2</v>
          </cell>
          <cell r="R46">
            <v>9.1999999999999998E-2</v>
          </cell>
        </row>
        <row r="47">
          <cell r="B47">
            <v>25.394902609300974</v>
          </cell>
          <cell r="C47" t="str">
            <v>MJ per metric tonne board</v>
          </cell>
          <cell r="K47" t="str">
            <v>Wallboard Manufacturing</v>
          </cell>
          <cell r="L47">
            <v>0.84810126582278478</v>
          </cell>
          <cell r="M47">
            <v>3.0819999999999999</v>
          </cell>
          <cell r="N47">
            <v>0.66779336662561928</v>
          </cell>
          <cell r="O47">
            <v>3.9749381194960325</v>
          </cell>
          <cell r="P47">
            <v>0.77535798227489261</v>
          </cell>
          <cell r="Q47">
            <v>0.84810126582278478</v>
          </cell>
          <cell r="R47">
            <v>3.0820000000000003</v>
          </cell>
        </row>
        <row r="49">
          <cell r="B49">
            <v>1.2806614048411893E-2</v>
          </cell>
          <cell r="C49" t="str">
            <v>million btu per tonne wallboard</v>
          </cell>
          <cell r="K49" t="str">
            <v>TOTAL</v>
          </cell>
          <cell r="L49">
            <v>1</v>
          </cell>
          <cell r="M49">
            <v>3.6339999999999999</v>
          </cell>
          <cell r="N49">
            <v>1</v>
          </cell>
          <cell r="O49">
            <v>5.9523474148620537</v>
          </cell>
          <cell r="Q49">
            <v>1</v>
          </cell>
          <cell r="R49">
            <v>3.6340000000000003</v>
          </cell>
        </row>
        <row r="50">
          <cell r="B50">
            <v>1.4987653122158896E-3</v>
          </cell>
          <cell r="C50" t="str">
            <v>million btu per tonne wallboard</v>
          </cell>
          <cell r="K50" t="str">
            <v>Gypsum Acquisition (includes mining and  transportation)</v>
          </cell>
          <cell r="L50">
            <v>0.02</v>
          </cell>
          <cell r="M50">
            <v>7.2679999999999995E-2</v>
          </cell>
          <cell r="N50">
            <v>3.7727923561977454E-2</v>
          </cell>
          <cell r="O50">
            <v>0.22456970828224965</v>
          </cell>
          <cell r="P50">
            <v>0.53011133695563839</v>
          </cell>
          <cell r="Q50">
            <v>2.1971598240339021E-2</v>
          </cell>
          <cell r="R50">
            <v>7.9844788005392006E-2</v>
          </cell>
        </row>
        <row r="51">
          <cell r="B51">
            <v>1.3086234442482023E-3</v>
          </cell>
          <cell r="C51" t="str">
            <v>million btu per tonne wallboard</v>
          </cell>
          <cell r="K51" t="str">
            <v xml:space="preserve"> Paper Acquisition and Manufacturing  (includes manufacturing and transportation)</v>
          </cell>
          <cell r="L51">
            <v>0.06</v>
          </cell>
          <cell r="M51">
            <v>0.21803999999999998</v>
          </cell>
          <cell r="N51">
            <v>0.29447870981240332</v>
          </cell>
          <cell r="O51">
            <v>1.7528395870837716</v>
          </cell>
          <cell r="P51">
            <v>0.20374987393222008</v>
          </cell>
          <cell r="Q51">
            <v>0.12992713593687616</v>
          </cell>
          <cell r="R51">
            <v>0.47215521199460797</v>
          </cell>
        </row>
        <row r="52">
          <cell r="B52">
            <v>2.4069723521556681E-2</v>
          </cell>
          <cell r="C52" t="str">
            <v>million btu per tonne wallboard</v>
          </cell>
          <cell r="L52" t="str">
            <v>Note: Initial energy estimates were taken from Athena Institute report.  Rik Master at USG noted in his 2/2010 email that the total energy estimates for raw material creation and transportation, plus wallboard manufacturing and distribution, are about equ</v>
          </cell>
        </row>
        <row r="53">
          <cell r="A53" t="str">
            <v>Total</v>
          </cell>
          <cell r="B53">
            <v>3.9683726326432668E-2</v>
          </cell>
          <cell r="C53" t="str">
            <v>million btu per tonne wallboard</v>
          </cell>
        </row>
        <row r="55">
          <cell r="A55" t="str">
            <v>Diesel</v>
          </cell>
          <cell r="B55">
            <v>3.4013341857656713E-3</v>
          </cell>
          <cell r="C55" t="str">
            <v>million btu per tonne wallboard (with USG adjustment)</v>
          </cell>
        </row>
        <row r="56">
          <cell r="A56" t="str">
            <v>Coal</v>
          </cell>
          <cell r="B56">
            <v>3.9806007064855888E-4</v>
          </cell>
          <cell r="C56" t="str">
            <v>million btu per tonne wallboard (with USG adjustment)</v>
          </cell>
        </row>
        <row r="57">
          <cell r="A57" t="str">
            <v>Distillate</v>
          </cell>
          <cell r="B57">
            <v>3.4755991243195074E-4</v>
          </cell>
          <cell r="C57" t="str">
            <v>million btu per tonne wallboard (with USG adjustment)</v>
          </cell>
        </row>
        <row r="58">
          <cell r="A58" t="str">
            <v>Electricity</v>
          </cell>
          <cell r="B58">
            <v>6.3927259107141709E-3</v>
          </cell>
          <cell r="C58" t="str">
            <v>million btu per tonne wallboard (with USG adjustment)</v>
          </cell>
        </row>
        <row r="59">
          <cell r="A59" t="str">
            <v>Total</v>
          </cell>
          <cell r="B59">
            <v>1.0539680079560352E-2</v>
          </cell>
          <cell r="C59" t="str">
            <v>million btu per tonne wallboard (with USG adjustment)</v>
          </cell>
        </row>
        <row r="61">
          <cell r="A61" t="str">
            <v>Manufacturing (includes stucco prep, paper production, and board production)</v>
          </cell>
          <cell r="L61" t="str">
            <v>Paper Production Only</v>
          </cell>
        </row>
        <row r="62">
          <cell r="A62" t="str">
            <v>Diesel</v>
          </cell>
          <cell r="B62">
            <v>1.1424000000000001</v>
          </cell>
          <cell r="C62" t="str">
            <v>MJ per sq. meter of 1/2" regular board</v>
          </cell>
          <cell r="L62" t="str">
            <v>Diesel</v>
          </cell>
          <cell r="M62">
            <v>0</v>
          </cell>
          <cell r="N62" t="str">
            <v>MJ per sq. meter of 1/2" regular board</v>
          </cell>
        </row>
        <row r="63">
          <cell r="A63" t="str">
            <v>Natural Gas</v>
          </cell>
          <cell r="B63">
            <v>25.0959</v>
          </cell>
          <cell r="C63" t="str">
            <v>MJ per sq. meter of 1/2" regular board</v>
          </cell>
          <cell r="L63" t="str">
            <v>Natural Gas</v>
          </cell>
          <cell r="M63">
            <v>11.604699999999999</v>
          </cell>
          <cell r="N63" t="str">
            <v>MJ per sq. meter of 1/2" regular board</v>
          </cell>
        </row>
        <row r="64">
          <cell r="A64" t="str">
            <v>Fuel Oil</v>
          </cell>
          <cell r="B64">
            <v>6.5270999999999999</v>
          </cell>
          <cell r="C64" t="str">
            <v>MJ per sq. meter of 1/2" regular board</v>
          </cell>
          <cell r="L64" t="str">
            <v>Fuel Oil</v>
          </cell>
          <cell r="M64">
            <v>0.61080000000000001</v>
          </cell>
          <cell r="N64" t="str">
            <v>MJ per sq. meter of 1/2" regular board</v>
          </cell>
        </row>
        <row r="65">
          <cell r="A65" t="str">
            <v>Electricity</v>
          </cell>
          <cell r="B65">
            <v>2.7732999999999999</v>
          </cell>
          <cell r="C65" t="str">
            <v>MJ per sq. meter of 1/2" regular board</v>
          </cell>
          <cell r="L65" t="str">
            <v>Electricity</v>
          </cell>
          <cell r="M65">
            <v>2.9148000000000001</v>
          </cell>
          <cell r="N65" t="str">
            <v>MJ per sq. meter of 1/2" regular board</v>
          </cell>
        </row>
        <row r="66">
          <cell r="A66" t="str">
            <v>Source: Athena Institute (1997), Table 4.14</v>
          </cell>
          <cell r="L66" t="str">
            <v>Source: Athena Institute (1997), Table 4.11</v>
          </cell>
        </row>
        <row r="68">
          <cell r="A68" t="str">
            <v>Diesel</v>
          </cell>
          <cell r="B68">
            <v>134.81011496684681</v>
          </cell>
          <cell r="C68" t="str">
            <v>MJ per tonne wallboard</v>
          </cell>
          <cell r="L68" t="str">
            <v>Diesel</v>
          </cell>
          <cell r="M68">
            <v>0</v>
          </cell>
          <cell r="N68" t="str">
            <v>MJ per tonne wallboard</v>
          </cell>
        </row>
        <row r="69">
          <cell r="A69" t="str">
            <v>Natural Gas</v>
          </cell>
          <cell r="B69">
            <v>2961.4681059142949</v>
          </cell>
          <cell r="C69" t="str">
            <v>MJ per tonne wallboard</v>
          </cell>
          <cell r="L69" t="str">
            <v>Natural Gas</v>
          </cell>
          <cell r="M69">
            <v>1369.4248434486756</v>
          </cell>
          <cell r="N69" t="str">
            <v>MJ per tonne wallboard</v>
          </cell>
        </row>
        <row r="70">
          <cell r="A70" t="str">
            <v>Distillate</v>
          </cell>
          <cell r="B70">
            <v>770.2373086485519</v>
          </cell>
          <cell r="C70" t="str">
            <v>MJ per tonne wallboard</v>
          </cell>
          <cell r="L70" t="str">
            <v>Distillate</v>
          </cell>
          <cell r="M70">
            <v>72.078097182904429</v>
          </cell>
          <cell r="N70" t="str">
            <v>MJ per tonne wallboard</v>
          </cell>
        </row>
        <row r="71">
          <cell r="A71" t="str">
            <v>Electricity</v>
          </cell>
          <cell r="B71">
            <v>327.26618683259471</v>
          </cell>
          <cell r="C71" t="str">
            <v>MJ per tonne wallboard</v>
          </cell>
          <cell r="L71" t="str">
            <v>Electricity</v>
          </cell>
          <cell r="M71">
            <v>343.96404333452824</v>
          </cell>
          <cell r="N71" t="str">
            <v>MJ per tonne wallboard</v>
          </cell>
        </row>
        <row r="73">
          <cell r="A73" t="str">
            <v>Diesel</v>
          </cell>
          <cell r="B73">
            <v>0.12777533527428603</v>
          </cell>
          <cell r="C73" t="str">
            <v>million btu per tonne wallboard</v>
          </cell>
          <cell r="L73" t="str">
            <v>Diesel</v>
          </cell>
          <cell r="M73">
            <v>0</v>
          </cell>
          <cell r="N73" t="str">
            <v>million btu per tonne wallboard</v>
          </cell>
        </row>
        <row r="74">
          <cell r="A74" t="str">
            <v>Natural Gas</v>
          </cell>
          <cell r="B74">
            <v>2.8069301790178169</v>
          </cell>
          <cell r="C74" t="str">
            <v>million btu per tonne wallboard</v>
          </cell>
          <cell r="L74" t="str">
            <v>Natural Gas</v>
          </cell>
          <cell r="M74">
            <v>1.297964314826249</v>
          </cell>
          <cell r="N74" t="str">
            <v>million btu per tonne wallboard</v>
          </cell>
        </row>
        <row r="75">
          <cell r="A75" t="str">
            <v>Distillate</v>
          </cell>
          <cell r="B75">
            <v>0.73004410965405475</v>
          </cell>
          <cell r="C75" t="str">
            <v>million btu per tonne wallboard</v>
          </cell>
          <cell r="L75" t="str">
            <v>Distillate</v>
          </cell>
          <cell r="M75">
            <v>6.8316854679213834E-2</v>
          </cell>
          <cell r="N75" t="str">
            <v>million btu per tonne wallboard</v>
          </cell>
        </row>
        <row r="76">
          <cell r="A76" t="str">
            <v>Electricity</v>
          </cell>
          <cell r="B76">
            <v>0.31018849554987515</v>
          </cell>
          <cell r="C76" t="str">
            <v>million btu per tonne wallboard</v>
          </cell>
          <cell r="L76" t="str">
            <v>Electricity</v>
          </cell>
          <cell r="M76">
            <v>0.32601500985424448</v>
          </cell>
          <cell r="N76" t="str">
            <v>million btu per tonne wallboard</v>
          </cell>
        </row>
        <row r="77">
          <cell r="A77" t="str">
            <v>Total</v>
          </cell>
          <cell r="B77">
            <v>3.9749381194960325</v>
          </cell>
          <cell r="C77" t="str">
            <v>million btu per tonne wallboard</v>
          </cell>
          <cell r="L77" t="str">
            <v>Total</v>
          </cell>
          <cell r="M77">
            <v>1.6922961793597073</v>
          </cell>
          <cell r="N77" t="str">
            <v>million btu per tonne wallboard</v>
          </cell>
        </row>
        <row r="79">
          <cell r="A79" t="str">
            <v>Diesel</v>
          </cell>
          <cell r="B79">
            <v>9.9071626142768321E-2</v>
          </cell>
          <cell r="C79" t="str">
            <v>million btu per tonne wallboard (with USG adjustment)</v>
          </cell>
          <cell r="L79" t="str">
            <v>Diesel</v>
          </cell>
          <cell r="M79">
            <v>0</v>
          </cell>
          <cell r="N79" t="str">
            <v>million btu per tonne wallboard (adjusted with USG estimates)</v>
          </cell>
        </row>
        <row r="80">
          <cell r="A80" t="str">
            <v>Natural Gas</v>
          </cell>
          <cell r="B80">
            <v>2.1763757199897578</v>
          </cell>
          <cell r="C80" t="str">
            <v>million btu per tonne wallboard (with USG adjustment)</v>
          </cell>
          <cell r="L80" t="str">
            <v>Natural Gas</v>
          </cell>
          <cell r="M80">
            <v>0.34472893297427848</v>
          </cell>
          <cell r="N80" t="str">
            <v>million btu per tonne wallboard (adjusted with USG estimates)</v>
          </cell>
        </row>
        <row r="81">
          <cell r="A81" t="str">
            <v>Distillate</v>
          </cell>
          <cell r="B81">
            <v>0.5660455278330383</v>
          </cell>
          <cell r="C81" t="str">
            <v>million btu per tonne wallboard (with USG adjustment)</v>
          </cell>
          <cell r="L81" t="str">
            <v>Distillate</v>
          </cell>
          <cell r="M81">
            <v>1.8144409787473118E-2</v>
          </cell>
          <cell r="N81" t="str">
            <v>million btu per tonne wallboard (adjusted with USG estimates)</v>
          </cell>
        </row>
        <row r="82">
          <cell r="B82">
            <v>0.24050712603443569</v>
          </cell>
          <cell r="C82" t="str">
            <v>million btu per tonne wallboard (with USG adjustment)</v>
          </cell>
          <cell r="L82" t="str">
            <v>Electricity</v>
          </cell>
          <cell r="M82">
            <v>8.658697715868803E-2</v>
          </cell>
          <cell r="N82" t="str">
            <v>million btu per tonne wallboard (adjusted with USG estimates)</v>
          </cell>
        </row>
        <row r="83">
          <cell r="B83">
            <v>3.0820000000000003</v>
          </cell>
          <cell r="C83" t="str">
            <v>million btu per tonne wallboard (with USG adjustment)</v>
          </cell>
          <cell r="L83" t="str">
            <v>Total</v>
          </cell>
          <cell r="M83">
            <v>0.44946031992043961</v>
          </cell>
          <cell r="N83" t="str">
            <v>million btu per tonne wallboard (adjusted with USG estimates)</v>
          </cell>
        </row>
        <row r="87">
          <cell r="B87">
            <v>0.09</v>
          </cell>
          <cell r="C87" t="str">
            <v>liters per tonne waste drywall</v>
          </cell>
        </row>
        <row r="88">
          <cell r="B88">
            <v>9.9</v>
          </cell>
          <cell r="C88" t="str">
            <v>kWh per tonne waste drywall</v>
          </cell>
        </row>
        <row r="91">
          <cell r="A91" t="str">
            <v>Diesel</v>
          </cell>
          <cell r="B91">
            <v>3.304792378492571E-3</v>
          </cell>
          <cell r="C91" t="str">
            <v>million btu per  metric tonne waste drywall that is recycled</v>
          </cell>
        </row>
        <row r="92">
          <cell r="A92" t="str">
            <v>Electricity</v>
          </cell>
          <cell r="B92">
            <v>0.1049578327270753</v>
          </cell>
          <cell r="C92" t="str">
            <v>million btu per  metric tonne waste drywall that is recycled</v>
          </cell>
        </row>
        <row r="94">
          <cell r="A94" t="str">
            <v>Diesel</v>
          </cell>
          <cell r="B94">
            <v>3.5535401919274956E-3</v>
          </cell>
          <cell r="C94" t="str">
            <v>million btu per metric tonne recycled gypsum availble for use</v>
          </cell>
        </row>
        <row r="95">
          <cell r="A95" t="str">
            <v>Electricity</v>
          </cell>
          <cell r="B95">
            <v>0.11285788465276914</v>
          </cell>
          <cell r="C95" t="str">
            <v>million btu per metric tonne recycled gypsum availble for use</v>
          </cell>
        </row>
        <row r="96">
          <cell r="A96" t="str">
            <v>Total</v>
          </cell>
          <cell r="B96">
            <v>0.11641142484469663</v>
          </cell>
        </row>
        <row r="97">
          <cell r="A97" t="str">
            <v>Outputs</v>
          </cell>
        </row>
        <row r="98">
          <cell r="B98">
            <v>0.93</v>
          </cell>
          <cell r="C98" t="str">
            <v>tonne recycled gypsum</v>
          </cell>
        </row>
        <row r="99">
          <cell r="B99">
            <v>6.8000000000000005E-2</v>
          </cell>
          <cell r="C99" t="str">
            <v>tonne reclaimed paper</v>
          </cell>
        </row>
        <row r="100">
          <cell r="B100">
            <v>2E-3</v>
          </cell>
          <cell r="C100" t="str">
            <v>tonne waste to landfill</v>
          </cell>
        </row>
        <row r="101">
          <cell r="A101" t="str">
            <v>Source: WRAP report, table 6.11</v>
          </cell>
        </row>
        <row r="103">
          <cell r="A103" t="str">
            <v>Transportation</v>
          </cell>
        </row>
        <row r="104">
          <cell r="A104" t="str">
            <v>Summary</v>
          </cell>
          <cell r="B104" t="str">
            <v>100% Virgin</v>
          </cell>
          <cell r="E104" t="str">
            <v>100% Recycled Wallboard</v>
          </cell>
          <cell r="H104" t="str">
            <v>100% Recycled (Ag)</v>
          </cell>
        </row>
        <row r="105">
          <cell r="B105" t="str">
            <v>Combustion</v>
          </cell>
          <cell r="E105" t="str">
            <v>Combustion</v>
          </cell>
          <cell r="H105" t="str">
            <v>Combustion</v>
          </cell>
        </row>
        <row r="106">
          <cell r="B106" t="str">
            <v>(million btu per tonne wallboard)</v>
          </cell>
          <cell r="E106" t="str">
            <v>(million btu per tonne wallboard produced)</v>
          </cell>
          <cell r="H106" t="str">
            <v>(million btu per tonne recycled gypsum available)</v>
          </cell>
        </row>
        <row r="107">
          <cell r="A107" t="str">
            <v>Diesel</v>
          </cell>
          <cell r="B107">
            <v>2.936888577932175E-2</v>
          </cell>
          <cell r="E107">
            <v>2.2652965430765122E-2</v>
          </cell>
        </row>
        <row r="108">
          <cell r="A108" t="str">
            <v>Residual</v>
          </cell>
          <cell r="B108">
            <v>6.7578469919598594E-3</v>
          </cell>
          <cell r="E108">
            <v>4.192664340322991E-5</v>
          </cell>
        </row>
        <row r="109">
          <cell r="A109" t="str">
            <v>Distillate</v>
          </cell>
          <cell r="B109">
            <v>5.5873267228718389E-2</v>
          </cell>
        </row>
        <row r="110">
          <cell r="E110" t="str">
            <v>Energy for transporting wallboard to recycling facility is accounted for on Emission Factors spreadsheet, using Retail Transport values.</v>
          </cell>
          <cell r="H110" t="str">
            <v>Energy for transporting wallboard to recycling facility, and recycled gypsum to ag site are accounted for on Emission Factors spreadsheet, using Retail Transport values.</v>
          </cell>
        </row>
        <row r="116">
          <cell r="A116" t="str">
            <v>Transportation of Gypsum from Mine to Manufacturing Site</v>
          </cell>
        </row>
        <row r="117">
          <cell r="A117" t="str">
            <v>Diesel</v>
          </cell>
          <cell r="B117">
            <v>1.8849999999999999E-2</v>
          </cell>
          <cell r="C117" t="str">
            <v>MJ per tonne wallboard</v>
          </cell>
        </row>
        <row r="118">
          <cell r="A118" t="str">
            <v>Residual</v>
          </cell>
          <cell r="B118">
            <v>1.8849999999999999E-2</v>
          </cell>
          <cell r="C118" t="str">
            <v>MJ per tonne wallboard</v>
          </cell>
        </row>
        <row r="119">
          <cell r="A119" t="str">
            <v>Distillate</v>
          </cell>
          <cell r="B119">
            <v>0.15682304622443824</v>
          </cell>
          <cell r="C119" t="str">
            <v>MJ per tonne wallboard</v>
          </cell>
        </row>
        <row r="129">
          <cell r="A129" t="str">
            <v>Total</v>
          </cell>
          <cell r="B129">
            <v>6.9305107925831652E-2</v>
          </cell>
          <cell r="C129" t="str">
            <v>million btu per tonne wallboard</v>
          </cell>
        </row>
        <row r="131">
          <cell r="A131" t="str">
            <v>Transportation of Paper to Mill and to Wallboard Manufacturing Site</v>
          </cell>
        </row>
        <row r="132">
          <cell r="A132" t="str">
            <v>Diesel (waste paper to mill)</v>
          </cell>
          <cell r="B132">
            <v>0.18360000000000001</v>
          </cell>
          <cell r="C132" t="str">
            <v>MJ per sq. meter of 1/2" regular board</v>
          </cell>
        </row>
        <row r="133">
          <cell r="A133" t="str">
            <v>Diesel (finished paper to wallboard manufacturing)</v>
          </cell>
          <cell r="B133">
            <v>0.35670000000000002</v>
          </cell>
          <cell r="C133" t="str">
            <v>MJ per sq. meter of 1/2" regular board</v>
          </cell>
        </row>
        <row r="134">
          <cell r="A134" t="str">
            <v>Heavy Fuel Oil, Marine</v>
          </cell>
          <cell r="B134">
            <v>1E-3</v>
          </cell>
          <cell r="C134" t="str">
            <v>MJ per sq. meter of 1/2" regular board</v>
          </cell>
        </row>
        <row r="135">
          <cell r="A135" t="str">
            <v>Source: Athena Institute (1997), Table 4.6</v>
          </cell>
        </row>
        <row r="137">
          <cell r="A137" t="str">
            <v>Diesel (waste paper to mill)</v>
          </cell>
          <cell r="B137">
            <v>21.665911333957524</v>
          </cell>
          <cell r="C137" t="str">
            <v>MJ per tonne wallboard</v>
          </cell>
        </row>
        <row r="138">
          <cell r="A138" t="str">
            <v>Diesel (finished paper to wallboard manufacturing)</v>
          </cell>
          <cell r="B138">
            <v>42.092759111234471</v>
          </cell>
          <cell r="C138" t="str">
            <v>MJ per tonne wallboard</v>
          </cell>
        </row>
        <row r="139">
          <cell r="A139" t="str">
            <v>Residual</v>
          </cell>
          <cell r="B139">
            <v>0.11800605301719784</v>
          </cell>
          <cell r="C139" t="str">
            <v>MJ per tonne wallboard</v>
          </cell>
        </row>
        <row r="141">
          <cell r="A141" t="str">
            <v>Diesel (waste paper to mill)</v>
          </cell>
          <cell r="B141">
            <v>2.0535321740510253E-2</v>
          </cell>
          <cell r="C141" t="str">
            <v>million btu per tonne wallboard</v>
          </cell>
        </row>
        <row r="142">
          <cell r="A142" t="str">
            <v>Diesel (finished paper to wallboard manufacturing)</v>
          </cell>
          <cell r="B142">
            <v>3.9896237825925968E-2</v>
          </cell>
          <cell r="C142" t="str">
            <v>million btu per tonne wallboard</v>
          </cell>
        </row>
        <row r="143">
          <cell r="A143" t="str">
            <v>Residual</v>
          </cell>
          <cell r="B143">
            <v>1.1184815762805148E-4</v>
          </cell>
          <cell r="C143" t="str">
            <v>million btu per tonne wallboard</v>
          </cell>
        </row>
        <row r="144">
          <cell r="B144">
            <v>6.0543407724064274E-2</v>
          </cell>
        </row>
        <row r="146">
          <cell r="A146" t="str">
            <v>Diesel (waste paper to mill)</v>
          </cell>
          <cell r="B146">
            <v>7.6977317288330115E-3</v>
          </cell>
          <cell r="C146" t="str">
            <v>million btu per tonne wallboard (with USG adjustment)</v>
          </cell>
        </row>
        <row r="147">
          <cell r="A147" t="str">
            <v>Diesel (finished paper to wallboard manufacturing)</v>
          </cell>
          <cell r="B147">
            <v>1.495523370193211E-2</v>
          </cell>
          <cell r="C147" t="str">
            <v>million btu per tonne wallboard (with USG adjustment)</v>
          </cell>
        </row>
        <row r="148">
          <cell r="A148" t="str">
            <v>Residual</v>
          </cell>
          <cell r="B148">
            <v>4.192664340322991E-5</v>
          </cell>
          <cell r="C148" t="str">
            <v>million btu per tonne wallboard (with USG adjustment)</v>
          </cell>
        </row>
        <row r="149">
          <cell r="B149">
            <v>2.2694892074168353E-2</v>
          </cell>
          <cell r="C149" t="str">
            <v>million btu per tonne wallboard</v>
          </cell>
        </row>
        <row r="153">
          <cell r="A153" t="str">
            <v>Transport of Mined Gypsum (feeds into calcs above)</v>
          </cell>
        </row>
        <row r="155">
          <cell r="A155" t="str">
            <v>Type of Product (in Solid Waste Management and Greenhouse Gases)</v>
          </cell>
          <cell r="B155" t="str">
            <v>Commodity Type (in Commodity Flow Survey)</v>
          </cell>
          <cell r="C155" t="str">
            <v>Average Miles per Shipment</v>
          </cell>
          <cell r="D155" t="str">
            <v>Miles Traveled Truck</v>
          </cell>
          <cell r="E155" t="str">
            <v>Miles Traveled Rail</v>
          </cell>
          <cell r="F155" t="str">
            <v>Miles Traveled Water</v>
          </cell>
          <cell r="G155" t="str">
            <v>Miles Other Modes</v>
          </cell>
          <cell r="H155" t="str">
            <v>Gal/ton Used Truck</v>
          </cell>
          <cell r="I155" t="str">
            <v>Gal/ton Used Rail</v>
          </cell>
          <cell r="J155" t="str">
            <v>Gal/ton Used Water</v>
          </cell>
          <cell r="K155" t="str">
            <v>Gal/ton Used Other</v>
          </cell>
          <cell r="L155" t="str">
            <v>MMBtus/Ton Truck</v>
          </cell>
          <cell r="M155" t="str">
            <v>MMBtus/Ton Rail</v>
          </cell>
          <cell r="N155" t="str">
            <v>MMBtus/Ton Water</v>
          </cell>
          <cell r="O155" t="str">
            <v>MMBtus/Ton Other</v>
          </cell>
          <cell r="P155" t="str">
            <v>Total MMBtus/Ton</v>
          </cell>
          <cell r="Q155" t="str">
            <v>Transport EF</v>
          </cell>
          <cell r="R155" t="str">
            <v>Emission Factor Truck (MTCO2E per Ton)</v>
          </cell>
          <cell r="S155" t="str">
            <v>Emission Factor Rail (MTCO2E per Ton)</v>
          </cell>
        </row>
        <row r="156">
          <cell r="A156" t="str">
            <v>Mined Gypsum</v>
          </cell>
          <cell r="D156">
            <v>20</v>
          </cell>
          <cell r="E156">
            <v>275</v>
          </cell>
          <cell r="F156">
            <v>260</v>
          </cell>
          <cell r="G156">
            <v>0</v>
          </cell>
          <cell r="H156">
            <v>0.26766461588884466</v>
          </cell>
          <cell r="I156">
            <v>0.85249999999999992</v>
          </cell>
          <cell r="J156">
            <v>0.26</v>
          </cell>
          <cell r="K156">
            <v>0</v>
          </cell>
          <cell r="L156">
            <v>3.7473046224438249E-2</v>
          </cell>
          <cell r="M156">
            <v>0.11934999999999998</v>
          </cell>
          <cell r="N156">
            <v>3.7699999999999997E-2</v>
          </cell>
          <cell r="O156">
            <v>0</v>
          </cell>
          <cell r="P156">
            <v>0.19452304622443822</v>
          </cell>
          <cell r="Q156">
            <v>0.23026475977595934</v>
          </cell>
          <cell r="R156">
            <v>2.7713815886053713E-3</v>
          </cell>
          <cell r="S156">
            <v>8.8267281666666673E-3</v>
          </cell>
        </row>
      </sheetData>
      <sheetData sheetId="28" refreshError="1">
        <row r="6">
          <cell r="E6">
            <v>36.374106712856936</v>
          </cell>
          <cell r="F6" t="str">
            <v>million btu per 1000 cubic meters natural gas</v>
          </cell>
        </row>
        <row r="7">
          <cell r="E7">
            <v>33.021506579661988</v>
          </cell>
          <cell r="F7" t="str">
            <v>million btu per 1000 liters gasoline</v>
          </cell>
        </row>
        <row r="8">
          <cell r="E8">
            <v>2.9299736302373279E-4</v>
          </cell>
          <cell r="F8" t="str">
            <v>kwh per btu</v>
          </cell>
        </row>
        <row r="9">
          <cell r="E9">
            <v>0.27770791757017677</v>
          </cell>
          <cell r="F9" t="str">
            <v>kwh to MJ</v>
          </cell>
        </row>
        <row r="10">
          <cell r="E10">
            <v>0.4536</v>
          </cell>
          <cell r="F10" t="str">
            <v>pounds per kg</v>
          </cell>
        </row>
        <row r="11">
          <cell r="E11">
            <v>3.78541178</v>
          </cell>
          <cell r="F11" t="str">
            <v>liters per gallon</v>
          </cell>
        </row>
        <row r="12">
          <cell r="E12">
            <v>947.81712266701334</v>
          </cell>
          <cell r="F12" t="str">
            <v>btu per MJ</v>
          </cell>
        </row>
        <row r="13">
          <cell r="E13">
            <v>9.1667702200000003E-3</v>
          </cell>
          <cell r="F13" t="str">
            <v>gallons diesel per ton-mile</v>
          </cell>
        </row>
        <row r="14">
          <cell r="E14">
            <v>0.62137119223733395</v>
          </cell>
          <cell r="F14" t="str">
            <v>miles per km</v>
          </cell>
        </row>
        <row r="17">
          <cell r="B17" t="str">
            <v xml:space="preserve">Process Energy
(million btu per metric tonne fiberglass produced) </v>
          </cell>
          <cell r="E17" t="str">
            <v>Transportation 
(million btu per metric tonne fiberglass produced)</v>
          </cell>
          <cell r="H17" t="str">
            <v>100% Virgin</v>
          </cell>
          <cell r="I17" t="str">
            <v xml:space="preserve">Process Energy
(million btu per metric tonne fiberglass produced) </v>
          </cell>
          <cell r="L17" t="str">
            <v>Transportation 
(million btu per metric tonne fiberglass produced)</v>
          </cell>
          <cell r="O17" t="str">
            <v>100% Recycled</v>
          </cell>
          <cell r="P17" t="str">
            <v xml:space="preserve">Process Energy
(million btu per metric tonne fiberglass produced) </v>
          </cell>
          <cell r="S17" t="str">
            <v>Transportation 
(million btu per metric tonne fiberglass produced)</v>
          </cell>
        </row>
        <row r="18">
          <cell r="B18" t="str">
            <v>Combustion</v>
          </cell>
          <cell r="C18" t="str">
            <v>Precombustion</v>
          </cell>
          <cell r="D18" t="str">
            <v>Total</v>
          </cell>
          <cell r="E18" t="str">
            <v>Combustion</v>
          </cell>
          <cell r="F18" t="str">
            <v>Precombustion</v>
          </cell>
          <cell r="G18" t="str">
            <v>Total</v>
          </cell>
          <cell r="I18" t="str">
            <v>Combustion</v>
          </cell>
          <cell r="J18" t="str">
            <v>Precombustion</v>
          </cell>
          <cell r="K18" t="str">
            <v>Total</v>
          </cell>
          <cell r="L18" t="str">
            <v>Combustion</v>
          </cell>
          <cell r="M18" t="str">
            <v>Precombustion</v>
          </cell>
          <cell r="N18" t="str">
            <v>Total</v>
          </cell>
          <cell r="P18" t="str">
            <v>Combustion</v>
          </cell>
          <cell r="Q18" t="str">
            <v>Precombustion</v>
          </cell>
          <cell r="R18" t="str">
            <v>Total</v>
          </cell>
          <cell r="S18" t="str">
            <v>Combustion</v>
          </cell>
          <cell r="T18" t="str">
            <v>Precombustion</v>
          </cell>
          <cell r="U18" t="str">
            <v>Total</v>
          </cell>
        </row>
        <row r="19">
          <cell r="B19">
            <v>0.35736017348991966</v>
          </cell>
          <cell r="C19">
            <v>1.7701017939220322E-2</v>
          </cell>
          <cell r="D19">
            <v>0.37506119142913996</v>
          </cell>
          <cell r="H19" t="str">
            <v>Coal (bituminous)</v>
          </cell>
          <cell r="I19">
            <v>0.54145480831806014</v>
          </cell>
          <cell r="J19">
            <v>2.6819724150333825E-2</v>
          </cell>
          <cell r="K19">
            <v>0.56827453246839399</v>
          </cell>
          <cell r="O19" t="str">
            <v>Coal (bituminous)</v>
          </cell>
          <cell r="R19">
            <v>0</v>
          </cell>
        </row>
        <row r="20">
          <cell r="B20">
            <v>8.6343324704700533E-3</v>
          </cell>
          <cell r="C20">
            <v>1.2606125406886277E-3</v>
          </cell>
          <cell r="D20">
            <v>9.8949450111586804E-3</v>
          </cell>
          <cell r="H20" t="str">
            <v>Residual</v>
          </cell>
          <cell r="I20">
            <v>1.3082321924954628E-2</v>
          </cell>
          <cell r="J20">
            <v>1.9100190010433755E-3</v>
          </cell>
          <cell r="K20">
            <v>1.4992340925998004E-2</v>
          </cell>
          <cell r="O20" t="str">
            <v>Residual</v>
          </cell>
          <cell r="R20">
            <v>0</v>
          </cell>
        </row>
        <row r="21">
          <cell r="B21">
            <v>1.4480569039698306E-2</v>
          </cell>
          <cell r="C21">
            <v>2.0939527891937842E-3</v>
          </cell>
          <cell r="D21">
            <v>1.6574521828892089E-2</v>
          </cell>
          <cell r="E21">
            <v>0.36731324796834286</v>
          </cell>
          <cell r="F21">
            <v>5.3115081181033759E-2</v>
          </cell>
          <cell r="G21">
            <v>0.42042832914937661</v>
          </cell>
          <cell r="H21" t="str">
            <v>Diesel</v>
          </cell>
          <cell r="I21">
            <v>2.1940256120755012E-2</v>
          </cell>
          <cell r="J21">
            <v>3.1726557412027037E-3</v>
          </cell>
          <cell r="K21">
            <v>2.5112911861957715E-2</v>
          </cell>
          <cell r="L21">
            <v>0.42460864679942134</v>
          </cell>
          <cell r="M21">
            <v>6.140024317027605E-2</v>
          </cell>
          <cell r="N21">
            <v>0.48600888996969738</v>
          </cell>
          <cell r="O21" t="str">
            <v>Diesel</v>
          </cell>
          <cell r="R21">
            <v>0</v>
          </cell>
          <cell r="S21">
            <v>0.25609276788448471</v>
          </cell>
          <cell r="T21">
            <v>3.7032119672504631E-2</v>
          </cell>
          <cell r="U21">
            <v>0.29312488755698934</v>
          </cell>
        </row>
        <row r="22">
          <cell r="B22">
            <v>2.1442737490233266</v>
          </cell>
          <cell r="C22">
            <v>0.18528190646900589</v>
          </cell>
          <cell r="D22">
            <v>2.3295556554923325</v>
          </cell>
          <cell r="H22" t="str">
            <v>Natural Gas</v>
          </cell>
          <cell r="I22">
            <v>2.5579105336053116</v>
          </cell>
          <cell r="J22">
            <v>0.22102333736977936</v>
          </cell>
          <cell r="K22">
            <v>2.778933870975091</v>
          </cell>
          <cell r="O22" t="str">
            <v>Natural Gas</v>
          </cell>
          <cell r="P22">
            <v>1.4658839898551388</v>
          </cell>
          <cell r="Q22">
            <v>0.12666376223020129</v>
          </cell>
          <cell r="R22">
            <v>1.5925477520853402</v>
          </cell>
        </row>
        <row r="23">
          <cell r="B23">
            <v>1.7820617391326447E-4</v>
          </cell>
          <cell r="C23">
            <v>2.437860459133458E-5</v>
          </cell>
          <cell r="D23">
            <v>2.0258477850459904E-4</v>
          </cell>
          <cell r="H23" t="str">
            <v>Gasoline</v>
          </cell>
          <cell r="I23">
            <v>2.7000935441403705E-4</v>
          </cell>
          <cell r="J23">
            <v>3.6937279683840272E-5</v>
          </cell>
          <cell r="K23">
            <v>3.0694663409787734E-4</v>
          </cell>
          <cell r="O23" t="str">
            <v>Gasoline</v>
          </cell>
          <cell r="R23">
            <v>0</v>
          </cell>
        </row>
        <row r="24">
          <cell r="B24">
            <v>1.5612274365941143</v>
          </cell>
          <cell r="C24">
            <v>0</v>
          </cell>
          <cell r="D24">
            <v>1.5612274365941143</v>
          </cell>
          <cell r="H24" t="str">
            <v>Electricity</v>
          </cell>
          <cell r="I24">
            <v>1.832696785997614</v>
          </cell>
          <cell r="J24">
            <v>0</v>
          </cell>
          <cell r="K24">
            <v>1.832696785997614</v>
          </cell>
          <cell r="O24" t="str">
            <v>Electricity</v>
          </cell>
          <cell r="P24">
            <v>1.1261619638507399</v>
          </cell>
          <cell r="Q24">
            <v>0</v>
          </cell>
          <cell r="R24">
            <v>1.1261619638507399</v>
          </cell>
        </row>
        <row r="25">
          <cell r="D25">
            <v>4.2925163351341418</v>
          </cell>
          <cell r="G25">
            <v>0.42042832914937661</v>
          </cell>
          <cell r="K25">
            <v>5.2203173888631529</v>
          </cell>
          <cell r="N25">
            <v>0.48600888996969738</v>
          </cell>
          <cell r="R25">
            <v>2.7187097159360798</v>
          </cell>
          <cell r="U25">
            <v>0.29312488755698934</v>
          </cell>
        </row>
        <row r="26">
          <cell r="U26">
            <v>9.966246176937639E-2</v>
          </cell>
        </row>
        <row r="32">
          <cell r="B32" t="str">
            <v>Curent Mix (million Btu per metric tonne fiberglass)</v>
          </cell>
          <cell r="E32" t="str">
            <v>100% Virgin (million Btu per metric tonne fiberglass)</v>
          </cell>
          <cell r="H32" t="str">
            <v>100% Recycled (million Btu per metric tonne fiberglass)</v>
          </cell>
        </row>
        <row r="33">
          <cell r="B33" t="str">
            <v>Combustion</v>
          </cell>
          <cell r="C33" t="str">
            <v>Precombustion</v>
          </cell>
          <cell r="D33" t="str">
            <v>Total</v>
          </cell>
          <cell r="E33" t="str">
            <v>Combustion</v>
          </cell>
          <cell r="F33" t="str">
            <v>Precombustion</v>
          </cell>
          <cell r="G33" t="str">
            <v>Total</v>
          </cell>
          <cell r="H33" t="str">
            <v>Combustion</v>
          </cell>
          <cell r="I33" t="str">
            <v>Precombustion</v>
          </cell>
          <cell r="J33" t="str">
            <v>Total</v>
          </cell>
        </row>
        <row r="34">
          <cell r="B34">
            <v>0.36731324796834286</v>
          </cell>
          <cell r="C34">
            <v>5.3115081181033759E-2</v>
          </cell>
          <cell r="D34">
            <v>0.42042832914937661</v>
          </cell>
          <cell r="E34">
            <v>0.42460864679942134</v>
          </cell>
          <cell r="F34">
            <v>6.140024317027605E-2</v>
          </cell>
          <cell r="G34">
            <v>0.48600888996969738</v>
          </cell>
          <cell r="H34">
            <v>0.25609276788448471</v>
          </cell>
          <cell r="I34">
            <v>3.7032119672504631E-2</v>
          </cell>
          <cell r="J34">
            <v>0.29312488755698934</v>
          </cell>
        </row>
        <row r="38">
          <cell r="B38" t="str">
            <v>distance to plant (miles)</v>
          </cell>
          <cell r="C38" t="str">
            <v>batt mass fraction (current mix)</v>
          </cell>
          <cell r="D38" t="str">
            <v>adjusted distance to plant (miles)</v>
          </cell>
          <cell r="E38" t="str">
            <v>Adjusted batt mass fraction (current mix)</v>
          </cell>
          <cell r="F38" t="str">
            <v>weighted distance (miles) 
(current mix)</v>
          </cell>
          <cell r="G38" t="str">
            <v>batt mass fraction 100% virgin</v>
          </cell>
          <cell r="H38" t="str">
            <v>weighted distance (miles) 
(100% virgin)</v>
          </cell>
          <cell r="I38" t="str">
            <v>batt mass fraction 100% recycled</v>
          </cell>
          <cell r="J38" t="str">
            <v>weighted distance (miles) 
(100% recycled)</v>
          </cell>
        </row>
        <row r="39">
          <cell r="B39">
            <v>500</v>
          </cell>
          <cell r="C39">
            <v>0.09</v>
          </cell>
          <cell r="E39">
            <v>0</v>
          </cell>
          <cell r="F39">
            <v>0</v>
          </cell>
          <cell r="G39">
            <v>0</v>
          </cell>
          <cell r="H39">
            <v>0</v>
          </cell>
          <cell r="I39">
            <v>0</v>
          </cell>
        </row>
        <row r="40">
          <cell r="B40">
            <v>500</v>
          </cell>
          <cell r="C40">
            <v>0.12</v>
          </cell>
          <cell r="D40">
            <v>500</v>
          </cell>
          <cell r="E40">
            <v>0.14076923076923076</v>
          </cell>
          <cell r="F40">
            <v>70.384615384615373</v>
          </cell>
          <cell r="G40">
            <v>0.21328671328671328</v>
          </cell>
          <cell r="H40">
            <v>106.64335664335664</v>
          </cell>
          <cell r="I40">
            <v>0</v>
          </cell>
        </row>
        <row r="41">
          <cell r="B41">
            <v>100</v>
          </cell>
          <cell r="C41">
            <v>0.34</v>
          </cell>
          <cell r="D41">
            <v>99.999999999999986</v>
          </cell>
          <cell r="E41">
            <v>0.34</v>
          </cell>
          <cell r="F41">
            <v>34</v>
          </cell>
          <cell r="G41">
            <v>0</v>
          </cell>
          <cell r="H41">
            <v>0</v>
          </cell>
          <cell r="I41">
            <v>1</v>
          </cell>
          <cell r="J41">
            <v>99.999999999999986</v>
          </cell>
        </row>
        <row r="42">
          <cell r="B42">
            <v>100</v>
          </cell>
          <cell r="C42">
            <v>0.09</v>
          </cell>
          <cell r="D42">
            <v>159.01639344262293</v>
          </cell>
          <cell r="E42">
            <v>0.10557692307692307</v>
          </cell>
          <cell r="F42">
            <v>16.788461538461533</v>
          </cell>
          <cell r="G42">
            <v>0.15996503496503495</v>
          </cell>
          <cell r="H42">
            <v>25.43706293706293</v>
          </cell>
          <cell r="I42">
            <v>0</v>
          </cell>
        </row>
        <row r="43">
          <cell r="B43">
            <v>200</v>
          </cell>
          <cell r="C43">
            <v>0.05</v>
          </cell>
          <cell r="D43">
            <v>200</v>
          </cell>
          <cell r="E43">
            <v>0.05</v>
          </cell>
          <cell r="F43">
            <v>10</v>
          </cell>
          <cell r="G43">
            <v>7.5757575757575774E-2</v>
          </cell>
          <cell r="H43">
            <v>15.151515151515154</v>
          </cell>
          <cell r="I43">
            <v>0</v>
          </cell>
        </row>
        <row r="44">
          <cell r="B44">
            <v>100</v>
          </cell>
          <cell r="C44">
            <v>0.31</v>
          </cell>
          <cell r="D44">
            <v>159.01639344262298</v>
          </cell>
          <cell r="E44">
            <v>0.36365384615384616</v>
          </cell>
          <cell r="F44">
            <v>57.826923076923087</v>
          </cell>
          <cell r="G44">
            <v>0.55099067599067608</v>
          </cell>
          <cell r="H44">
            <v>87.616550116550144</v>
          </cell>
          <cell r="I44">
            <v>0</v>
          </cell>
        </row>
        <row r="45">
          <cell r="C45">
            <v>1</v>
          </cell>
          <cell r="E45">
            <v>1</v>
          </cell>
          <cell r="F45">
            <v>189</v>
          </cell>
          <cell r="G45">
            <v>1</v>
          </cell>
          <cell r="H45">
            <v>234.84848484848487</v>
          </cell>
          <cell r="I45">
            <v>1</v>
          </cell>
          <cell r="J45">
            <v>99.999999999999986</v>
          </cell>
        </row>
        <row r="48">
          <cell r="B48" t="str">
            <v>million btu per ton-mile (truck)</v>
          </cell>
        </row>
        <row r="51">
          <cell r="B51" t="str">
            <v>100% virgin</v>
          </cell>
          <cell r="C51" t="str">
            <v>100% recycled</v>
          </cell>
        </row>
        <row r="52">
          <cell r="B52">
            <v>0.29923949149984852</v>
          </cell>
          <cell r="C52">
            <v>0.127418106058</v>
          </cell>
          <cell r="D52" t="str">
            <v>million btu diesel per ton fiberglass transported</v>
          </cell>
        </row>
        <row r="53">
          <cell r="A53">
            <v>0.34171408130167619</v>
          </cell>
          <cell r="B53">
            <v>0.42460864679942134</v>
          </cell>
          <cell r="C53">
            <v>0.18080110121781806</v>
          </cell>
          <cell r="D53" t="str">
            <v>million btu diesel per metric tonne fiberglass produced</v>
          </cell>
        </row>
        <row r="56">
          <cell r="A56" t="str">
            <v>Transportation related to collecting glass cullet</v>
          </cell>
        </row>
        <row r="57">
          <cell r="A57" t="str">
            <v>collection of glass</v>
          </cell>
          <cell r="B57" t="str">
            <v>glass to reprocessor</v>
          </cell>
          <cell r="F57" t="str">
            <v>loss rates</v>
          </cell>
        </row>
        <row r="58">
          <cell r="A58">
            <v>1.5</v>
          </cell>
          <cell r="B58">
            <v>3</v>
          </cell>
          <cell r="C58" t="str">
            <v>miles traveled per metric tonne glass recycled</v>
          </cell>
          <cell r="F58">
            <v>0.9</v>
          </cell>
          <cell r="G58" t="str">
            <v>percent recovered materials retained</v>
          </cell>
        </row>
        <row r="59">
          <cell r="A59">
            <v>12</v>
          </cell>
          <cell r="B59">
            <v>8</v>
          </cell>
          <cell r="C59" t="str">
            <v>mpg of truck</v>
          </cell>
        </row>
        <row r="60">
          <cell r="A60">
            <v>0.125</v>
          </cell>
          <cell r="B60">
            <v>0.41666666666666663</v>
          </cell>
          <cell r="C60" t="str">
            <v>gallons diesel per metric tonne</v>
          </cell>
        </row>
        <row r="61">
          <cell r="A61" t="str">
            <v>Source: Enviros (2003).  "Glass recycling--Life Cycle Carbon Dioxide Emissions"</v>
          </cell>
        </row>
        <row r="62">
          <cell r="A62" t="str">
            <v>Total diesel</v>
          </cell>
          <cell r="B62">
            <v>0.54166666666666663</v>
          </cell>
          <cell r="C62" t="str">
            <v>gallons per metric tonne glass cullet sent to manufacturer</v>
          </cell>
        </row>
        <row r="63">
          <cell r="B63">
            <v>7.529166666666666E-2</v>
          </cell>
          <cell r="C63" t="str">
            <v>million btu per tonne glass cullet sent to manufacturer</v>
          </cell>
        </row>
        <row r="66">
          <cell r="A66" t="str">
            <v>Transportation to Construction Site</v>
          </cell>
        </row>
        <row r="68">
          <cell r="A68" t="str">
            <v>Accounted for on Emission Factors tab using estimates from Retail Energy</v>
          </cell>
        </row>
        <row r="71">
          <cell r="A71" t="str">
            <v>Transportation to Landfill</v>
          </cell>
        </row>
        <row r="73">
          <cell r="A73" t="str">
            <v>Acounted for on Emission Factors tab using standard landfilling transportation factor.</v>
          </cell>
        </row>
        <row r="76">
          <cell r="A76" t="str">
            <v>Fiberglass Production</v>
          </cell>
        </row>
        <row r="77">
          <cell r="A77" t="str">
            <v>Summary</v>
          </cell>
        </row>
        <row r="78">
          <cell r="B78" t="str">
            <v>Curent Mix (million Btu per metric tonne fiberglass)</v>
          </cell>
          <cell r="E78" t="str">
            <v>100% Virgin (million Btu per tonne fiberglass)</v>
          </cell>
          <cell r="H78" t="str">
            <v>100% Recycled (million Btu per tonne fiberglass)</v>
          </cell>
        </row>
        <row r="79">
          <cell r="B79" t="str">
            <v>Combustion</v>
          </cell>
          <cell r="C79" t="str">
            <v>Precombustion</v>
          </cell>
          <cell r="D79" t="str">
            <v>Total</v>
          </cell>
          <cell r="E79" t="str">
            <v>Combustion</v>
          </cell>
          <cell r="F79" t="str">
            <v>Precombustion</v>
          </cell>
          <cell r="G79" t="str">
            <v>Total</v>
          </cell>
          <cell r="H79" t="str">
            <v>Combustion</v>
          </cell>
          <cell r="I79" t="str">
            <v>Precombustion</v>
          </cell>
          <cell r="J79" t="str">
            <v>Total</v>
          </cell>
        </row>
        <row r="80">
          <cell r="A80" t="str">
            <v>Natural Gas</v>
          </cell>
          <cell r="B80">
            <v>1.8893615869244009</v>
          </cell>
          <cell r="C80">
            <v>0.16325551576337055</v>
          </cell>
          <cell r="D80">
            <v>2.0526171026877713</v>
          </cell>
          <cell r="E80">
            <v>2.1716799849705759</v>
          </cell>
          <cell r="F80">
            <v>0.18765001811881674</v>
          </cell>
          <cell r="G80">
            <v>2.3593300030893927</v>
          </cell>
          <cell r="H80">
            <v>1.4658839898551388</v>
          </cell>
          <cell r="I80">
            <v>0.12666376223020129</v>
          </cell>
          <cell r="J80">
            <v>1.5925477520853402</v>
          </cell>
        </row>
        <row r="81">
          <cell r="A81" t="str">
            <v>Electricity</v>
          </cell>
          <cell r="B81">
            <v>1.3941196712820163</v>
          </cell>
          <cell r="D81">
            <v>1.3941196712820163</v>
          </cell>
          <cell r="E81">
            <v>1.6024364037724326</v>
          </cell>
          <cell r="F81">
            <v>0</v>
          </cell>
          <cell r="G81">
            <v>1.6024364037724326</v>
          </cell>
          <cell r="H81">
            <v>1.0816445725463921</v>
          </cell>
          <cell r="I81">
            <v>0</v>
          </cell>
          <cell r="J81">
            <v>1.0816445725463921</v>
          </cell>
        </row>
        <row r="82">
          <cell r="D82">
            <v>3.4467367739697874</v>
          </cell>
          <cell r="G82">
            <v>3.961766406861825</v>
          </cell>
          <cell r="J82">
            <v>2.6741923246317323</v>
          </cell>
        </row>
        <row r="84">
          <cell r="B84" t="str">
            <v>Btu/lb</v>
          </cell>
          <cell r="C84" t="str">
            <v>Btu/tonnne</v>
          </cell>
          <cell r="E84">
            <v>0.4</v>
          </cell>
          <cell r="F84" t="str">
            <v>recycled content of current mix</v>
          </cell>
        </row>
        <row r="85">
          <cell r="B85">
            <v>857</v>
          </cell>
          <cell r="C85">
            <v>1889361.5869244009</v>
          </cell>
          <cell r="D85">
            <v>28.434513680010401</v>
          </cell>
          <cell r="E85" t="str">
            <v>source: BEES background doc</v>
          </cell>
        </row>
        <row r="86">
          <cell r="B86">
            <v>628.98714479025716</v>
          </cell>
          <cell r="C86">
            <v>1394119.6712820162</v>
          </cell>
          <cell r="E86">
            <v>3.2500000000000001E-2</v>
          </cell>
          <cell r="F86" t="str">
            <v>energy savings per every 10% recycled content</v>
          </cell>
        </row>
        <row r="87">
          <cell r="B87">
            <v>1485.9871447902572</v>
          </cell>
          <cell r="C87">
            <v>3283481.2582064169</v>
          </cell>
          <cell r="E87" t="str">
            <v>source: British Glass report, Appendix 2</v>
          </cell>
        </row>
        <row r="91">
          <cell r="A91" t="str">
            <v>Summary</v>
          </cell>
        </row>
        <row r="92">
          <cell r="B92" t="str">
            <v>Curent Mix (million Btu per metric tonne fiberglass)</v>
          </cell>
          <cell r="E92" t="str">
            <v>100% Virgin (million Btu per metric tonne fiberglass)</v>
          </cell>
          <cell r="H92" t="str">
            <v>100% Virgin (million Btu per metric tonne fiberglass)</v>
          </cell>
        </row>
        <row r="93">
          <cell r="B93" t="str">
            <v>Combustion</v>
          </cell>
          <cell r="C93" t="str">
            <v>Precombustion</v>
          </cell>
          <cell r="D93" t="str">
            <v>Total</v>
          </cell>
          <cell r="E93" t="str">
            <v>Combustion</v>
          </cell>
          <cell r="F93" t="str">
            <v>Precombustion</v>
          </cell>
          <cell r="G93" t="str">
            <v>Total</v>
          </cell>
          <cell r="H93" t="str">
            <v>Combustion</v>
          </cell>
          <cell r="I93" t="str">
            <v>Precombustion</v>
          </cell>
          <cell r="J93" t="str">
            <v>Total</v>
          </cell>
        </row>
        <row r="94">
          <cell r="A94" t="str">
            <v>Coal (bituminous)</v>
          </cell>
          <cell r="B94">
            <v>0.35736017348991966</v>
          </cell>
          <cell r="C94">
            <v>1.7701017939220322E-2</v>
          </cell>
          <cell r="D94">
            <v>0.37506119142913996</v>
          </cell>
          <cell r="E94">
            <v>0.54145480831806014</v>
          </cell>
          <cell r="F94">
            <v>2.6819724150333825E-2</v>
          </cell>
          <cell r="G94">
            <v>0.56827453246839399</v>
          </cell>
          <cell r="J94">
            <v>0</v>
          </cell>
        </row>
        <row r="95">
          <cell r="A95" t="str">
            <v>Diesel</v>
          </cell>
          <cell r="B95">
            <v>1.4480569039698306E-2</v>
          </cell>
          <cell r="C95">
            <v>2.0939527891937842E-3</v>
          </cell>
          <cell r="D95">
            <v>1.6574521828892089E-2</v>
          </cell>
          <cell r="E95">
            <v>2.1940256120755012E-2</v>
          </cell>
          <cell r="F95">
            <v>3.1726557412027037E-3</v>
          </cell>
          <cell r="G95">
            <v>2.5112911861957715E-2</v>
          </cell>
          <cell r="J95">
            <v>0</v>
          </cell>
        </row>
        <row r="96">
          <cell r="A96" t="str">
            <v>Residual Oil</v>
          </cell>
          <cell r="B96">
            <v>8.6343324704700533E-3</v>
          </cell>
          <cell r="C96">
            <v>1.2606125406886277E-3</v>
          </cell>
          <cell r="D96">
            <v>9.8949450111586804E-3</v>
          </cell>
          <cell r="E96">
            <v>1.3082321924954628E-2</v>
          </cell>
          <cell r="F96">
            <v>1.9100190010433755E-3</v>
          </cell>
          <cell r="G96">
            <v>1.4992340925998004E-2</v>
          </cell>
          <cell r="J96">
            <v>0</v>
          </cell>
        </row>
        <row r="97">
          <cell r="A97" t="str">
            <v>Natural Gas</v>
          </cell>
          <cell r="B97">
            <v>0.2549121620989257</v>
          </cell>
          <cell r="C97">
            <v>2.2026390705635324E-2</v>
          </cell>
          <cell r="D97">
            <v>0.27693855280456103</v>
          </cell>
          <cell r="E97">
            <v>0.38623054863473588</v>
          </cell>
          <cell r="F97">
            <v>3.337331925096261E-2</v>
          </cell>
          <cell r="G97">
            <v>0.41960386788569848</v>
          </cell>
          <cell r="I97">
            <v>0</v>
          </cell>
          <cell r="J97">
            <v>0</v>
          </cell>
        </row>
        <row r="98">
          <cell r="A98" t="str">
            <v>Gasoline</v>
          </cell>
          <cell r="B98">
            <v>1.7820617391326447E-4</v>
          </cell>
          <cell r="C98">
            <v>2.437860459133458E-5</v>
          </cell>
          <cell r="D98">
            <v>2.0258477850459904E-4</v>
          </cell>
          <cell r="E98">
            <v>2.7000935441403705E-4</v>
          </cell>
          <cell r="F98">
            <v>3.6937279683840272E-5</v>
          </cell>
          <cell r="G98">
            <v>3.0694663409787734E-4</v>
          </cell>
          <cell r="J98">
            <v>0</v>
          </cell>
        </row>
        <row r="99">
          <cell r="A99" t="str">
            <v>Electricity</v>
          </cell>
          <cell r="B99">
            <v>0.16710776531209801</v>
          </cell>
          <cell r="D99">
            <v>0.16710776531209801</v>
          </cell>
          <cell r="E99">
            <v>0.23026038222518147</v>
          </cell>
          <cell r="G99">
            <v>0.23026038222518147</v>
          </cell>
          <cell r="H99">
            <v>4.4517391304347821E-2</v>
          </cell>
          <cell r="J99">
            <v>4.4517391304347821E-2</v>
          </cell>
        </row>
        <row r="100">
          <cell r="G100">
            <v>1.2585509820013276</v>
          </cell>
        </row>
        <row r="102">
          <cell r="A102" t="str">
            <v>Glass Cullet</v>
          </cell>
        </row>
        <row r="104">
          <cell r="A104">
            <v>6</v>
          </cell>
          <cell r="B104" t="str">
            <v>kg CO2 per tonned glass fiber produced using 100% recycled glass containers</v>
          </cell>
        </row>
        <row r="105">
          <cell r="A105">
            <v>0.46</v>
          </cell>
          <cell r="B105" t="str">
            <v>kg CO2 per kWh</v>
          </cell>
        </row>
        <row r="106">
          <cell r="A106">
            <v>13.043478260869565</v>
          </cell>
          <cell r="B106" t="str">
            <v>kWh per tonne glass fiber produced (assumes losses already accounted for)</v>
          </cell>
        </row>
        <row r="107">
          <cell r="A107">
            <v>4.4517391304347821E-2</v>
          </cell>
          <cell r="B107" t="str">
            <v>million btu per tonne glass fiber produced (100% recycled)</v>
          </cell>
        </row>
        <row r="110">
          <cell r="A110" t="str">
            <v>Soda</v>
          </cell>
        </row>
        <row r="111">
          <cell r="A111" t="str">
            <v>Raw Data</v>
          </cell>
        </row>
        <row r="112">
          <cell r="A112" t="str">
            <v>Coal (bituminous)</v>
          </cell>
          <cell r="B112">
            <v>0.10759000000000002</v>
          </cell>
          <cell r="C112" t="str">
            <v>kg per kg soda powder at plant</v>
          </cell>
        </row>
        <row r="113">
          <cell r="A113" t="str">
            <v>Diesel</v>
          </cell>
          <cell r="B113">
            <v>5.6287999999999998E-4</v>
          </cell>
          <cell r="C113" t="str">
            <v>liters per kg soda powder at plant</v>
          </cell>
        </row>
        <row r="114">
          <cell r="A114" t="str">
            <v>Residual Oil</v>
          </cell>
          <cell r="B114">
            <v>1.5479000000000001E-3</v>
          </cell>
          <cell r="C114" t="str">
            <v>liters per kg soda powder at plant</v>
          </cell>
        </row>
        <row r="115">
          <cell r="A115" t="str">
            <v>Natural Gas</v>
          </cell>
          <cell r="B115">
            <v>4.9783999999999995E-2</v>
          </cell>
          <cell r="C115" t="str">
            <v>cubic meters per kg soda powder at plant</v>
          </cell>
        </row>
        <row r="116">
          <cell r="A116" t="str">
            <v>Electricity</v>
          </cell>
          <cell r="B116">
            <v>9.0697E-2</v>
          </cell>
          <cell r="C116" t="str">
            <v>kWh per kg soda powder at plant</v>
          </cell>
        </row>
        <row r="117">
          <cell r="A117" t="str">
            <v>Source: NREL LCI database</v>
          </cell>
        </row>
        <row r="119">
          <cell r="A119" t="str">
            <v>Conversions</v>
          </cell>
        </row>
        <row r="129">
          <cell r="A129" t="str">
            <v>Natural Gas</v>
          </cell>
          <cell r="B129">
            <v>1.8108485285928695</v>
          </cell>
          <cell r="C129" t="str">
            <v>million btu per metric tonne soda powder at plant</v>
          </cell>
        </row>
        <row r="130">
          <cell r="A130" t="str">
            <v>Electricity</v>
          </cell>
          <cell r="B130">
            <v>0.96155157119672219</v>
          </cell>
          <cell r="C130" t="str">
            <v>million btu per metric tonne soda powder at plant</v>
          </cell>
        </row>
        <row r="132">
          <cell r="A132" t="str">
            <v>Converted data for summary box (adjusted for % of material in fiberglass)</v>
          </cell>
        </row>
        <row r="133">
          <cell r="B133" t="str">
            <v>Current Mix</v>
          </cell>
          <cell r="C133" t="str">
            <v>100% virgin</v>
          </cell>
          <cell r="D133" t="str">
            <v>100% recycled</v>
          </cell>
        </row>
        <row r="134">
          <cell r="A134" t="str">
            <v>Coal (bituminous)</v>
          </cell>
          <cell r="B134">
            <v>0.35727093130234633</v>
          </cell>
          <cell r="C134">
            <v>0.54131959288234288</v>
          </cell>
          <cell r="D134">
            <v>0</v>
          </cell>
          <cell r="E134" t="str">
            <v>million btu per metric tonne fiberglass</v>
          </cell>
        </row>
        <row r="135">
          <cell r="A135" t="str">
            <v>Diesel</v>
          </cell>
          <cell r="B135">
            <v>2.9095459890861488E-3</v>
          </cell>
          <cell r="C135">
            <v>4.4084030137668921E-3</v>
          </cell>
          <cell r="D135">
            <v>0</v>
          </cell>
          <cell r="E135" t="str">
            <v>million btu per metric tonne fiberglass</v>
          </cell>
        </row>
        <row r="136">
          <cell r="A136" t="str">
            <v>Residual Oil</v>
          </cell>
          <cell r="B136">
            <v>8.6343324704700533E-3</v>
          </cell>
          <cell r="C136">
            <v>1.3082321924954628E-2</v>
          </cell>
          <cell r="D136">
            <v>0</v>
          </cell>
          <cell r="E136" t="str">
            <v>million btu per metric tonne fiberglass</v>
          </cell>
        </row>
        <row r="137">
          <cell r="A137" t="str">
            <v>Natural Gas</v>
          </cell>
          <cell r="B137">
            <v>0.25491175440961161</v>
          </cell>
          <cell r="C137">
            <v>0.38622993092365399</v>
          </cell>
          <cell r="D137">
            <v>0</v>
          </cell>
          <cell r="E137" t="str">
            <v>million btu per metric tonne fiberglass</v>
          </cell>
        </row>
        <row r="138">
          <cell r="A138" t="str">
            <v>Electricity</v>
          </cell>
          <cell r="B138">
            <v>0.13535687502230781</v>
          </cell>
          <cell r="C138">
            <v>0.20508617427622397</v>
          </cell>
          <cell r="D138">
            <v>0</v>
          </cell>
          <cell r="E138" t="str">
            <v>million btu per metric tonne fiberglass</v>
          </cell>
        </row>
        <row r="141">
          <cell r="A141" t="str">
            <v>Limestone</v>
          </cell>
        </row>
        <row r="142">
          <cell r="A142" t="str">
            <v>Raw Data</v>
          </cell>
        </row>
        <row r="143">
          <cell r="A143" t="str">
            <v>Coal (bituminous)</v>
          </cell>
          <cell r="B143">
            <v>3.5833000000000001E-5</v>
          </cell>
          <cell r="C143" t="str">
            <v>kg per kg limestone at plant</v>
          </cell>
        </row>
        <row r="144">
          <cell r="A144" t="str">
            <v>Diesel</v>
          </cell>
          <cell r="B144">
            <v>5.8418000000000001E-4</v>
          </cell>
          <cell r="C144" t="str">
            <v>liters per kg limestone at plant</v>
          </cell>
        </row>
        <row r="145">
          <cell r="A145" t="str">
            <v>Natural Gas</v>
          </cell>
          <cell r="B145">
            <v>1.4046000000000002E-4</v>
          </cell>
          <cell r="C145" t="str">
            <v>cubic meters per kg limestone at plant</v>
          </cell>
        </row>
        <row r="146">
          <cell r="A146" t="str">
            <v>Gasoline</v>
          </cell>
          <cell r="B146">
            <v>5.1116000000000003E-5</v>
          </cell>
          <cell r="C146" t="str">
            <v>liters per kg limestone at plant</v>
          </cell>
        </row>
        <row r="147">
          <cell r="A147" t="str">
            <v>Electricity</v>
          </cell>
          <cell r="B147">
            <v>4.2255000000000001E-3</v>
          </cell>
          <cell r="C147" t="str">
            <v>kWh per kg limestone at plant</v>
          </cell>
        </row>
        <row r="148">
          <cell r="A148" t="str">
            <v>Source: NREL LCI database</v>
          </cell>
        </row>
        <row r="150">
          <cell r="A150" t="str">
            <v>Conversions</v>
          </cell>
        </row>
        <row r="151">
          <cell r="A151" t="str">
            <v>Coal (bituminous)</v>
          </cell>
          <cell r="B151">
            <v>3.5833000000000004E-2</v>
          </cell>
          <cell r="C151" t="str">
            <v>kg per metric tonne limestone at plant</v>
          </cell>
        </row>
        <row r="152">
          <cell r="A152" t="str">
            <v>Diesel</v>
          </cell>
          <cell r="B152">
            <v>0.58418000000000003</v>
          </cell>
          <cell r="C152" t="str">
            <v>liters per metric tonne limestone at plant</v>
          </cell>
        </row>
        <row r="153">
          <cell r="A153" t="str">
            <v>Natural Gas</v>
          </cell>
          <cell r="B153">
            <v>0.14046000000000003</v>
          </cell>
          <cell r="C153" t="str">
            <v>cubic meters per metric tonne limestone at plant</v>
          </cell>
        </row>
        <row r="154">
          <cell r="A154" t="str">
            <v>Gasoline</v>
          </cell>
          <cell r="B154">
            <v>5.1116000000000002E-2</v>
          </cell>
          <cell r="C154" t="str">
            <v>liters per metric tonne limestone at plant</v>
          </cell>
        </row>
        <row r="155">
          <cell r="A155" t="str">
            <v>Electricity</v>
          </cell>
          <cell r="B155">
            <v>4.2255000000000003</v>
          </cell>
          <cell r="C155" t="str">
            <v>kWh per metric tonne limestone at plant</v>
          </cell>
        </row>
        <row r="157">
          <cell r="A157" t="str">
            <v>Coal (bituminous)</v>
          </cell>
          <cell r="B157">
            <v>8.452811937731667E-4</v>
          </cell>
          <cell r="C157" t="str">
            <v>million btu per metric tonne limestone at plant</v>
          </cell>
        </row>
        <row r="164">
          <cell r="D164" t="str">
            <v>100% recycled</v>
          </cell>
        </row>
        <row r="165">
          <cell r="E165" t="str">
            <v>million btu per metric tonne fiberglass</v>
          </cell>
        </row>
        <row r="166">
          <cell r="E166" t="str">
            <v>million btu per metric tonne fiberglass</v>
          </cell>
        </row>
        <row r="167">
          <cell r="A167" t="str">
            <v>Natural Gas</v>
          </cell>
          <cell r="B167">
            <v>4.0768931406205455E-7</v>
          </cell>
          <cell r="C167">
            <v>6.1771108191220387E-7</v>
          </cell>
          <cell r="E167" t="str">
            <v>million btu per metric tonne fiberglass</v>
          </cell>
        </row>
        <row r="168">
          <cell r="A168" t="str">
            <v>Gasoline</v>
          </cell>
          <cell r="B168">
            <v>1.7820617391326447E-4</v>
          </cell>
          <cell r="C168">
            <v>2.7000935441403705E-4</v>
          </cell>
          <cell r="E168" t="str">
            <v>million btu per metric tonne fiberglass</v>
          </cell>
        </row>
        <row r="169">
          <cell r="A169" t="str">
            <v>Electricity</v>
          </cell>
          <cell r="B169">
            <v>4.7296256387209194E-3</v>
          </cell>
          <cell r="C169">
            <v>7.1660994526074537E-3</v>
          </cell>
          <cell r="E169" t="str">
            <v>million btu per metric tonne fiberglass</v>
          </cell>
        </row>
        <row r="171">
          <cell r="A171" t="str">
            <v>Sand</v>
          </cell>
        </row>
        <row r="172">
          <cell r="A172" t="str">
            <v>Raw Data</v>
          </cell>
        </row>
        <row r="173">
          <cell r="A173" t="str">
            <v>Diesel</v>
          </cell>
          <cell r="B173">
            <v>2.7E-2</v>
          </cell>
          <cell r="C173" t="str">
            <v>GJ per metric tonne sand</v>
          </cell>
        </row>
        <row r="174">
          <cell r="A174" t="str">
            <v>Electricity</v>
          </cell>
          <cell r="B174">
            <v>3.4482543978349121E-2</v>
          </cell>
          <cell r="C174" t="str">
            <v>GJ per metric tonne sand</v>
          </cell>
        </row>
        <row r="175">
          <cell r="A175" t="str">
            <v>Source: Athena Institute, Residential Roofing report, Table 4.19</v>
          </cell>
        </row>
        <row r="177">
          <cell r="A177" t="str">
            <v>Conversions</v>
          </cell>
        </row>
        <row r="178">
          <cell r="A178" t="str">
            <v>Diesel</v>
          </cell>
          <cell r="B178">
            <v>2.5591062312009357E-2</v>
          </cell>
          <cell r="C178" t="str">
            <v>million btu per metric tonne sand</v>
          </cell>
        </row>
        <row r="179">
          <cell r="A179" t="str">
            <v>Electricity</v>
          </cell>
          <cell r="B179">
            <v>3.2683145615797611E-2</v>
          </cell>
          <cell r="C179" t="str">
            <v>million btu per metric tonne sand</v>
          </cell>
        </row>
        <row r="181">
          <cell r="A181" t="str">
            <v>Converted data for summary box</v>
          </cell>
        </row>
        <row r="182">
          <cell r="B182" t="str">
            <v>current mix</v>
          </cell>
          <cell r="C182" t="str">
            <v>100% virgin</v>
          </cell>
          <cell r="D182" t="str">
            <v>100% recycled</v>
          </cell>
        </row>
        <row r="183">
          <cell r="A183" t="str">
            <v>Diesel</v>
          </cell>
          <cell r="B183">
            <v>9.3062882369249408E-3</v>
          </cell>
          <cell r="C183">
            <v>1.410043672261355E-2</v>
          </cell>
          <cell r="E183" t="str">
            <v>million btu per metric tonne fiberglass</v>
          </cell>
        </row>
        <row r="184">
          <cell r="A184" t="str">
            <v>Electricity</v>
          </cell>
          <cell r="B184">
            <v>1.1885351607591016E-2</v>
          </cell>
          <cell r="C184">
            <v>1.8008108496350025E-2</v>
          </cell>
          <cell r="E184" t="str">
            <v>million btu per metric tonne fiberglass</v>
          </cell>
        </row>
        <row r="187">
          <cell r="A187" t="str">
            <v>Borax</v>
          </cell>
        </row>
        <row r="188">
          <cell r="A188" t="str">
            <v>Raw Data</v>
          </cell>
        </row>
        <row r="189">
          <cell r="A189" t="str">
            <v>Natural Gas</v>
          </cell>
          <cell r="B189">
            <v>13600</v>
          </cell>
          <cell r="C189" t="str">
            <v>MJ per metric tonne Borax at plant</v>
          </cell>
          <cell r="F189">
            <v>8.5300000000000001E-2</v>
          </cell>
          <cell r="G189" t="str">
            <v>ton-km (truck) per kg Borax at plant</v>
          </cell>
        </row>
        <row r="190">
          <cell r="A190" t="str">
            <v>Electricity</v>
          </cell>
          <cell r="B190">
            <v>1004.6765899864683</v>
          </cell>
          <cell r="C190" t="str">
            <v>kWh per metric tonne Borax at plant</v>
          </cell>
          <cell r="F190">
            <v>5.3002962697844588E-2</v>
          </cell>
          <cell r="G190" t="str">
            <v>ton-mi (truck) per kg Borax at plant</v>
          </cell>
        </row>
        <row r="191">
          <cell r="A191" t="str">
            <v>Diesel</v>
          </cell>
          <cell r="B191">
            <v>0.48586598003037262</v>
          </cell>
          <cell r="C191" t="str">
            <v>gallons per tonne Borax at plant</v>
          </cell>
          <cell r="F191" t="str">
            <v>Source: EcoInvent</v>
          </cell>
        </row>
        <row r="192">
          <cell r="A192" t="str">
            <v>Source: EcoInvent</v>
          </cell>
        </row>
        <row r="194">
          <cell r="A194" t="str">
            <v>Conversions</v>
          </cell>
        </row>
        <row r="195">
          <cell r="A195" t="str">
            <v>Natural Gas</v>
          </cell>
          <cell r="B195">
            <v>12.89031286827138</v>
          </cell>
          <cell r="C195" t="str">
            <v>million Btu per metric tonne Borax</v>
          </cell>
        </row>
      </sheetData>
      <sheetData sheetId="29" refreshError="1">
        <row r="3">
          <cell r="C3">
            <v>657</v>
          </cell>
        </row>
        <row r="4">
          <cell r="C4">
            <v>1.76</v>
          </cell>
        </row>
        <row r="6">
          <cell r="B6" t="str">
            <v>Wood energy content</v>
          </cell>
          <cell r="C6">
            <v>20.9</v>
          </cell>
          <cell r="D6" t="str">
            <v>MJ / kg on an oven-dry basis</v>
          </cell>
          <cell r="F6" t="str">
            <v>Source: Bergman and  Bowe (2008) Table 3, p. 454.</v>
          </cell>
        </row>
        <row r="9">
          <cell r="B9" t="str">
            <v>Power sawing fuel use</v>
          </cell>
          <cell r="C9">
            <v>1.25</v>
          </cell>
          <cell r="D9" t="str">
            <v>kg gasoline / hr</v>
          </cell>
          <cell r="E9" t="str">
            <v>Source: Ecoinvent, v.2.1. Power sawing, with catalytic converter, European average.</v>
          </cell>
        </row>
        <row r="10">
          <cell r="C10">
            <v>3.4722222222222224E-4</v>
          </cell>
          <cell r="D10" t="str">
            <v>kg gasoline / s</v>
          </cell>
        </row>
        <row r="12">
          <cell r="B12" t="str">
            <v>Constants</v>
          </cell>
          <cell r="C12">
            <v>3.6009056160499999</v>
          </cell>
          <cell r="D12" t="str">
            <v>MJ/kWh</v>
          </cell>
        </row>
        <row r="14">
          <cell r="B14" t="str">
            <v>Retail transportation:</v>
          </cell>
          <cell r="C14">
            <v>0.31798322435765308</v>
          </cell>
          <cell r="D14" t="str">
            <v>Million Btu / short ton of hardwood flooring (includes precombustion and combustion energy)</v>
          </cell>
        </row>
        <row r="15">
          <cell r="C15">
            <v>6.4142086310145421E-3</v>
          </cell>
          <cell r="D15" t="str">
            <v>MTCO2E / short ton of hardwood flooring (includes precombustion and combustion GHG emissions)</v>
          </cell>
        </row>
        <row r="19">
          <cell r="B19" t="str">
            <v>MANUFACTURING HARDWOOD FLOORING</v>
          </cell>
        </row>
        <row r="21">
          <cell r="B21" t="str">
            <v>Material. Inputs / output</v>
          </cell>
          <cell r="C21" t="str">
            <v>Material type</v>
          </cell>
          <cell r="D21" t="str">
            <v>Value</v>
          </cell>
        </row>
        <row r="22">
          <cell r="D22" t="str">
            <v>kg / m^3 of hardwood flooring</v>
          </cell>
          <cell r="E22" t="str">
            <v>kg / kg of hardwood flooring</v>
          </cell>
        </row>
        <row r="23">
          <cell r="B23" t="str">
            <v>Inputs</v>
          </cell>
          <cell r="C23" t="str">
            <v>Rough kiln dry hardwood lumber</v>
          </cell>
          <cell r="D23">
            <v>686</v>
          </cell>
          <cell r="E23">
            <v>1.0441400304414004</v>
          </cell>
        </row>
        <row r="24">
          <cell r="B24" t="str">
            <v>Outputs</v>
          </cell>
          <cell r="C24" t="str">
            <v>Solid hardwood flooring</v>
          </cell>
          <cell r="D24">
            <v>657</v>
          </cell>
          <cell r="E24">
            <v>1</v>
          </cell>
        </row>
        <row r="25">
          <cell r="C25" t="str">
            <v>Wood residue, used for process heat to make wood flooring</v>
          </cell>
          <cell r="D25">
            <v>29</v>
          </cell>
          <cell r="E25">
            <v>4.4140030441400302E-2</v>
          </cell>
        </row>
        <row r="26">
          <cell r="C26" t="str">
            <v>Wood residue, sold off-site</v>
          </cell>
          <cell r="D26">
            <v>0</v>
          </cell>
          <cell r="E26">
            <v>0</v>
          </cell>
        </row>
        <row r="27">
          <cell r="B27" t="str">
            <v xml:space="preserve">Source: Hubbard and Bowe (2008) </v>
          </cell>
        </row>
        <row r="28">
          <cell r="B28" t="str">
            <v>Note: Wood residue includes planer shavings, sawdust edgings, trimmings, and wood flour.</v>
          </cell>
        </row>
        <row r="29">
          <cell r="B29" t="str">
            <v>Energy inputs were allocated to hardwood flooring and wood residue on a mass basis. We have included energy inputs for the wood flooring and wood</v>
          </cell>
        </row>
        <row r="30">
          <cell r="B30" t="str">
            <v>resiude that is used for process heat to make wood flooring. We have excluded any energy inputs for wood residue that is sold off-site for other uses.</v>
          </cell>
        </row>
        <row r="32">
          <cell r="B32" t="str">
            <v>Table 6: Electric Power Requirements Allocated to 1.0 m3 of Solid Hardwood Flooring</v>
          </cell>
        </row>
        <row r="33">
          <cell r="D33" t="str">
            <v>On-Site Hardwood Flooring Manufacturing Only (does not include upstream production of lumber)</v>
          </cell>
          <cell r="F33" t="str">
            <v>Flooring Manfuacturing Process with Northeast / North Central (NE/NC) Lumber Production</v>
          </cell>
          <cell r="H33" t="str">
            <v>NE / NC Lumber Production Only</v>
          </cell>
          <cell r="J33" t="str">
            <v>On-Site Hardwood Flooring Only</v>
          </cell>
        </row>
        <row r="34">
          <cell r="B34" t="str">
            <v>Fuel Source</v>
          </cell>
          <cell r="C34" t="str">
            <v>Percent of Total Electricity Production 2006</v>
          </cell>
          <cell r="D34" t="str">
            <v>MJ/m3</v>
          </cell>
          <cell r="E34" t="str">
            <v>kWh/MBF</v>
          </cell>
          <cell r="F34" t="str">
            <v>MJ/m3</v>
          </cell>
          <cell r="G34" t="str">
            <v>kWh/MBF</v>
          </cell>
          <cell r="H34" t="str">
            <v>MJ/m3</v>
          </cell>
          <cell r="I34" t="str">
            <v>kWh/MBF</v>
          </cell>
          <cell r="J34" t="str">
            <v>kWh/kg</v>
          </cell>
        </row>
        <row r="35">
          <cell r="B35" t="str">
            <v>Coal</v>
          </cell>
          <cell r="C35">
            <v>0.51800000000000002</v>
          </cell>
          <cell r="D35">
            <v>25.1</v>
          </cell>
          <cell r="E35">
            <v>12.2</v>
          </cell>
          <cell r="F35">
            <v>340</v>
          </cell>
          <cell r="G35">
            <v>166</v>
          </cell>
          <cell r="H35">
            <v>314.89999999999998</v>
          </cell>
          <cell r="I35">
            <v>153.80000000000001</v>
          </cell>
          <cell r="J35">
            <v>1.0550712605507126E-2</v>
          </cell>
        </row>
        <row r="36">
          <cell r="B36" t="str">
            <v>Petroleum</v>
          </cell>
          <cell r="C36">
            <v>3.9E-2</v>
          </cell>
          <cell r="D36">
            <v>1.89</v>
          </cell>
          <cell r="E36">
            <v>0.92</v>
          </cell>
          <cell r="F36">
            <v>25.6</v>
          </cell>
          <cell r="G36">
            <v>12.5</v>
          </cell>
          <cell r="H36">
            <v>23.71</v>
          </cell>
          <cell r="I36">
            <v>11.58</v>
          </cell>
          <cell r="J36">
            <v>7.9562750795627506E-4</v>
          </cell>
        </row>
        <row r="37">
          <cell r="B37" t="str">
            <v>Natural Gas</v>
          </cell>
          <cell r="C37">
            <v>0.16400000000000001</v>
          </cell>
          <cell r="D37">
            <v>7.95</v>
          </cell>
          <cell r="E37">
            <v>3.88</v>
          </cell>
          <cell r="F37">
            <v>107</v>
          </cell>
          <cell r="G37">
            <v>52.6</v>
          </cell>
          <cell r="H37">
            <v>99.05</v>
          </cell>
          <cell r="I37">
            <v>48.72</v>
          </cell>
          <cell r="J37">
            <v>3.3554725335547255E-3</v>
          </cell>
        </row>
        <row r="38">
          <cell r="B38" t="str">
            <v>Hydro</v>
          </cell>
          <cell r="C38">
            <v>2.3E-2</v>
          </cell>
          <cell r="D38">
            <v>1.1100000000000001</v>
          </cell>
          <cell r="E38">
            <v>0.54</v>
          </cell>
          <cell r="F38">
            <v>15.09</v>
          </cell>
          <cell r="G38">
            <v>7.37</v>
          </cell>
          <cell r="H38">
            <v>13.98</v>
          </cell>
          <cell r="I38">
            <v>6.83</v>
          </cell>
          <cell r="J38">
            <v>4.6699875466998757E-4</v>
          </cell>
        </row>
        <row r="39">
          <cell r="B39" t="str">
            <v>Nuclear</v>
          </cell>
          <cell r="C39">
            <v>0.22800000000000001</v>
          </cell>
          <cell r="D39">
            <v>11.05</v>
          </cell>
          <cell r="E39">
            <v>5.4</v>
          </cell>
          <cell r="F39">
            <v>149</v>
          </cell>
          <cell r="G39">
            <v>73.099999999999994</v>
          </cell>
          <cell r="H39">
            <v>137.94999999999999</v>
          </cell>
          <cell r="I39">
            <v>67.699999999999989</v>
          </cell>
          <cell r="J39">
            <v>4.6699875466998759E-3</v>
          </cell>
        </row>
        <row r="40">
          <cell r="B40" t="str">
            <v>Other Renewables</v>
          </cell>
          <cell r="C40">
            <v>2.8000000000000001E-2</v>
          </cell>
          <cell r="D40">
            <v>1.35</v>
          </cell>
          <cell r="E40">
            <v>0.66</v>
          </cell>
          <cell r="F40">
            <v>18.3</v>
          </cell>
          <cell r="G40">
            <v>8.98</v>
          </cell>
          <cell r="H40">
            <v>16.95</v>
          </cell>
          <cell r="I40">
            <v>8.32</v>
          </cell>
          <cell r="J40">
            <v>5.7077625570776253E-4</v>
          </cell>
        </row>
        <row r="41">
          <cell r="B41" t="str">
            <v>Total</v>
          </cell>
          <cell r="C41">
            <v>1</v>
          </cell>
          <cell r="D41">
            <v>48.45000000000001</v>
          </cell>
          <cell r="E41">
            <v>23.599999999999998</v>
          </cell>
          <cell r="F41">
            <v>654.99</v>
          </cell>
          <cell r="G41">
            <v>320.55</v>
          </cell>
          <cell r="H41">
            <v>606.54</v>
          </cell>
          <cell r="I41">
            <v>296.95</v>
          </cell>
          <cell r="J41">
            <v>2.040957520409575E-2</v>
          </cell>
        </row>
        <row r="42">
          <cell r="B42" t="str">
            <v>Source: Hubbard and Bowe (2008) Table 6, p. 20</v>
          </cell>
        </row>
        <row r="44">
          <cell r="B44" t="str">
            <v>Thermal Usage from Wood Residue Used as Fuel for Flooring Manufacturing</v>
          </cell>
          <cell r="F44" t="str">
            <v>Energy Inputs Required to Produce Wood Residue Used as fuel for Flooring Manufacturing</v>
          </cell>
        </row>
        <row r="45">
          <cell r="B45" t="str">
            <v>Fuel Source</v>
          </cell>
          <cell r="C45" t="str">
            <v>kg/m3</v>
          </cell>
          <cell r="D45" t="str">
            <v>kg/kg</v>
          </cell>
          <cell r="F45" t="str">
            <v>Fuel soure</v>
          </cell>
          <cell r="G45" t="str">
            <v>Value</v>
          </cell>
          <cell r="H45" t="str">
            <v>Unit</v>
          </cell>
        </row>
        <row r="46">
          <cell r="B46" t="str">
            <v>Wood residue</v>
          </cell>
          <cell r="C46">
            <v>29</v>
          </cell>
          <cell r="D46">
            <v>4.4140030441400302E-2</v>
          </cell>
          <cell r="F46" t="str">
            <v>Electricity</v>
          </cell>
          <cell r="G46">
            <v>9.008792708048352E-4</v>
          </cell>
          <cell r="H46" t="str">
            <v>kWh / kg hardwood flooring</v>
          </cell>
        </row>
        <row r="47">
          <cell r="B47" t="str">
            <v>Source: Hubbard and Bowe (2008) Table 7, p. 21</v>
          </cell>
          <cell r="F47" t="str">
            <v>Natural gas</v>
          </cell>
          <cell r="G47">
            <v>5.9793952957148049E-5</v>
          </cell>
          <cell r="H47" t="str">
            <v>m3 / kg hardwoodflooring</v>
          </cell>
        </row>
        <row r="48">
          <cell r="F48" t="str">
            <v>Residual fuel oil</v>
          </cell>
          <cell r="G48">
            <v>6.7184216805784329E-7</v>
          </cell>
          <cell r="H48" t="str">
            <v>L / kg hardwood flooring</v>
          </cell>
        </row>
        <row r="49">
          <cell r="B49" t="str">
            <v>On-Site Transportation Fuel Use</v>
          </cell>
          <cell r="F49" t="str">
            <v>Propane, used for on-site transportation</v>
          </cell>
          <cell r="G49">
            <v>8.0621060166941199E-6</v>
          </cell>
          <cell r="H49" t="str">
            <v>L / kg hardwood flooring</v>
          </cell>
        </row>
        <row r="50">
          <cell r="B50" t="str">
            <v>Fuel Source</v>
          </cell>
          <cell r="C50" t="str">
            <v>l/m3</v>
          </cell>
          <cell r="D50" t="str">
            <v>l/kg</v>
          </cell>
          <cell r="F50" t="str">
            <v>Motor gasoline, used for on-site transportation</v>
          </cell>
          <cell r="G50">
            <v>1.3436843361156866E-6</v>
          </cell>
          <cell r="H50" t="str">
            <v>L / kg hardwood flooring</v>
          </cell>
        </row>
        <row r="51">
          <cell r="B51" t="str">
            <v>Propane</v>
          </cell>
          <cell r="C51">
            <v>0.12</v>
          </cell>
          <cell r="D51">
            <v>1.8264840182648402E-4</v>
          </cell>
          <cell r="F51" t="str">
            <v>Off-road diesel fuel, used for on-site transportation</v>
          </cell>
          <cell r="G51">
            <v>1.8139738537561768E-5</v>
          </cell>
          <cell r="H51" t="str">
            <v>L / kg hardwood flooring</v>
          </cell>
        </row>
        <row r="52">
          <cell r="B52" t="str">
            <v>Motor Gasoline</v>
          </cell>
          <cell r="C52">
            <v>0.02</v>
          </cell>
          <cell r="D52">
            <v>3.0441400304414005E-5</v>
          </cell>
        </row>
        <row r="53">
          <cell r="B53" t="str">
            <v>Off-Road Diesel Fuel</v>
          </cell>
          <cell r="C53">
            <v>0.27</v>
          </cell>
          <cell r="D53">
            <v>4.1095890410958907E-4</v>
          </cell>
        </row>
        <row r="54">
          <cell r="B54" t="str">
            <v>Total</v>
          </cell>
          <cell r="C54">
            <v>0.41000000000000003</v>
          </cell>
          <cell r="D54">
            <v>6.2404870624048708E-4</v>
          </cell>
        </row>
        <row r="56">
          <cell r="B56" t="str">
            <v>Transportation Fuel Use: Lumber from Sawmills to Flooring Mills</v>
          </cell>
        </row>
        <row r="57">
          <cell r="B57" t="str">
            <v>Type</v>
          </cell>
          <cell r="C57" t="str">
            <v>Proxy</v>
          </cell>
          <cell r="D57" t="str">
            <v xml:space="preserve">Distance Hauled </v>
          </cell>
          <cell r="E57" t="str">
            <v>Unit</v>
          </cell>
          <cell r="F57" t="str">
            <v>Empty backhaul?</v>
          </cell>
          <cell r="G57" t="str">
            <v>Fuel Use</v>
          </cell>
          <cell r="H57" t="str">
            <v>Unit</v>
          </cell>
          <cell r="I57" t="str">
            <v>Fuel Use</v>
          </cell>
          <cell r="J57" t="str">
            <v>Unit</v>
          </cell>
        </row>
        <row r="58">
          <cell r="B58" t="str">
            <v>Truck</v>
          </cell>
          <cell r="C58" t="str">
            <v>truck fuel use</v>
          </cell>
          <cell r="D58">
            <v>283</v>
          </cell>
          <cell r="E58" t="str">
            <v>km</v>
          </cell>
          <cell r="F58" t="str">
            <v>Yes</v>
          </cell>
          <cell r="G58">
            <v>19.6402</v>
          </cell>
          <cell r="H58" t="str">
            <v>L/metric ton</v>
          </cell>
          <cell r="I58">
            <v>1.96402E-2</v>
          </cell>
          <cell r="J58" t="str">
            <v>L/kg</v>
          </cell>
        </row>
        <row r="59">
          <cell r="B59" t="str">
            <v>Source: Transportation distance and empty backhaul information supplied by personal communication with Steven Hubbard, UW-Madison, October 9, 2009.</v>
          </cell>
        </row>
        <row r="61">
          <cell r="B61" t="str">
            <v>Fossil Fuels During Production of Hardwood Flooring (does not include upstream production of lumber)</v>
          </cell>
        </row>
        <row r="62">
          <cell r="B62" t="str">
            <v>Fuel Source</v>
          </cell>
          <cell r="C62" t="str">
            <v>Quantity</v>
          </cell>
          <cell r="D62" t="str">
            <v>Unit</v>
          </cell>
          <cell r="E62" t="str">
            <v>Quantity</v>
          </cell>
          <cell r="F62" t="str">
            <v>Unit</v>
          </cell>
        </row>
        <row r="63">
          <cell r="B63" t="str">
            <v>Natural Gas</v>
          </cell>
          <cell r="C63">
            <v>0.89</v>
          </cell>
          <cell r="D63" t="str">
            <v>m3/m3</v>
          </cell>
          <cell r="E63">
            <v>1.3546423135464231E-3</v>
          </cell>
          <cell r="F63" t="str">
            <v>m3/kg</v>
          </cell>
        </row>
        <row r="64">
          <cell r="B64" t="str">
            <v>Residual Fuel Oil</v>
          </cell>
          <cell r="C64">
            <v>0.01</v>
          </cell>
          <cell r="D64" t="str">
            <v>l/m3</v>
          </cell>
          <cell r="E64">
            <v>1.5220700152207003E-5</v>
          </cell>
          <cell r="F64" t="str">
            <v>l/kg</v>
          </cell>
        </row>
        <row r="65">
          <cell r="B65" t="str">
            <v>Source: Hubbard and Bowe (2008) Table 7, p. 21</v>
          </cell>
        </row>
        <row r="68">
          <cell r="B68" t="str">
            <v>MANUFACTURING ROUGH KILN DRY LUMBER</v>
          </cell>
        </row>
        <row r="70">
          <cell r="B70" t="str">
            <v>Material. Inputs / output</v>
          </cell>
          <cell r="C70" t="str">
            <v>Material type</v>
          </cell>
          <cell r="D70" t="str">
            <v>Value</v>
          </cell>
        </row>
        <row r="71">
          <cell r="D71" t="str">
            <v>kg</v>
          </cell>
          <cell r="E71" t="str">
            <v>kg / kg rough dry lumber</v>
          </cell>
        </row>
        <row r="72">
          <cell r="B72" t="str">
            <v>Inputs</v>
          </cell>
          <cell r="C72" t="str">
            <v>Green logs</v>
          </cell>
          <cell r="D72">
            <v>960.76912660798916</v>
          </cell>
          <cell r="E72">
            <v>1.4005380854343865</v>
          </cell>
        </row>
        <row r="73">
          <cell r="B73" t="str">
            <v>Outputs</v>
          </cell>
          <cell r="C73" t="str">
            <v>Rough dry lumber</v>
          </cell>
          <cell r="D73">
            <v>686</v>
          </cell>
          <cell r="E73">
            <v>1</v>
          </cell>
        </row>
        <row r="74">
          <cell r="C74" t="str">
            <v>Wood residue</v>
          </cell>
          <cell r="D74">
            <v>274.76912660798916</v>
          </cell>
          <cell r="E74">
            <v>0.40053808543438651</v>
          </cell>
        </row>
        <row r="75">
          <cell r="B75" t="str">
            <v>Source: Bergman and Bowe (2008) Table 2, p. 453</v>
          </cell>
        </row>
        <row r="76">
          <cell r="B76" t="str">
            <v>Note: We have assumed Bergman and Bowe did not allocate energy inputs to rough dry lumber or wood residue, since there is no mention of allocation in their article Since most of the wood resiude</v>
          </cell>
        </row>
        <row r="77">
          <cell r="B77" t="str">
            <v>is consumed on-site to generate electricity and dry the lumber, we have assumed that the energy inputs include energy required to produce the wood resiude that is used to generate on-site electricity and</v>
          </cell>
        </row>
        <row r="78">
          <cell r="B78" t="str">
            <v>for process heat.</v>
          </cell>
        </row>
        <row r="80">
          <cell r="B80" t="str">
            <v>Material and energy consumed on-site to produce a cubic meter of planed dry lumber</v>
          </cell>
        </row>
        <row r="81">
          <cell r="B81" t="str">
            <v>Note: These inputs INCLUDE planed dry lumber, which is already accounted for in the manufacturing of hardwood flooring.</v>
          </cell>
        </row>
        <row r="82">
          <cell r="B82" t="str">
            <v>To avoid double-counting, we subtract the electricity consumed by planining the dry lumber to get the total energy requirements for rough (i.e., not planed) dry lumber.</v>
          </cell>
        </row>
        <row r="84">
          <cell r="B84" t="str">
            <v>Fossil Fuel</v>
          </cell>
        </row>
        <row r="85">
          <cell r="B85" t="str">
            <v>Fuel type</v>
          </cell>
          <cell r="C85" t="str">
            <v>Quantity</v>
          </cell>
          <cell r="D85" t="str">
            <v>Unit</v>
          </cell>
          <cell r="E85" t="str">
            <v>Quantity</v>
          </cell>
          <cell r="F85" t="str">
            <v>Unit</v>
          </cell>
        </row>
        <row r="86">
          <cell r="B86" t="str">
            <v>Natural gas</v>
          </cell>
          <cell r="C86">
            <v>16.399999999999999</v>
          </cell>
          <cell r="D86" t="str">
            <v>m3/m3</v>
          </cell>
          <cell r="E86">
            <v>2.4961948249619479E-2</v>
          </cell>
          <cell r="F86" t="str">
            <v>m3/kg</v>
          </cell>
        </row>
        <row r="87">
          <cell r="B87" t="str">
            <v>Diesel</v>
          </cell>
          <cell r="C87">
            <v>2.08</v>
          </cell>
          <cell r="D87" t="str">
            <v>L/m3</v>
          </cell>
          <cell r="E87">
            <v>3.1659056316590563E-3</v>
          </cell>
          <cell r="F87" t="str">
            <v>L/kg</v>
          </cell>
        </row>
        <row r="88">
          <cell r="B88" t="str">
            <v>Propane</v>
          </cell>
          <cell r="C88">
            <v>1.21</v>
          </cell>
          <cell r="D88" t="str">
            <v>L/m3</v>
          </cell>
          <cell r="E88">
            <v>1.8417047184170472E-3</v>
          </cell>
          <cell r="F88" t="str">
            <v>L/kg</v>
          </cell>
        </row>
        <row r="89">
          <cell r="B89" t="str">
            <v>Source: Bergman and Bowe (2008) Table 3, p. 454</v>
          </cell>
        </row>
        <row r="91">
          <cell r="B91" t="str">
            <v>Electricity</v>
          </cell>
        </row>
        <row r="92">
          <cell r="B92" t="str">
            <v>Fuel type</v>
          </cell>
          <cell r="C92" t="str">
            <v>MJ/m3</v>
          </cell>
          <cell r="D92" t="str">
            <v>kWh/kg</v>
          </cell>
        </row>
        <row r="93">
          <cell r="B93" t="str">
            <v>Off-site generation</v>
          </cell>
          <cell r="C93">
            <v>597</v>
          </cell>
          <cell r="D93">
            <v>0.2523464639107999</v>
          </cell>
        </row>
        <row r="94">
          <cell r="B94" t="str">
            <v>On-site generation</v>
          </cell>
          <cell r="C94">
            <v>10.199999999999999</v>
          </cell>
          <cell r="D94">
            <v>4.3114471220940679E-3</v>
          </cell>
        </row>
        <row r="95">
          <cell r="B95" t="str">
            <v>Total electricity consumption to produce planed dry lumber</v>
          </cell>
          <cell r="C95">
            <v>607.20000000000005</v>
          </cell>
          <cell r="D95">
            <v>0.25665791103289398</v>
          </cell>
        </row>
        <row r="96">
          <cell r="B96" t="str">
            <v>Percent of electricity consumed by planing rough kiln dry lumber</v>
          </cell>
          <cell r="C96">
            <v>0.25</v>
          </cell>
        </row>
        <row r="97">
          <cell r="B97" t="str">
            <v>Total electricity consumption to produce rough kiln dry lumber</v>
          </cell>
          <cell r="C97">
            <v>455.40000000000003</v>
          </cell>
          <cell r="D97">
            <v>0.1924934332746705</v>
          </cell>
        </row>
        <row r="98">
          <cell r="B98" t="str">
            <v>Source: Bergman and Bowe (2008) Table 3, p. 454</v>
          </cell>
        </row>
        <row r="99">
          <cell r="B99" t="str">
            <v>Electricity consumption for planing process is given by Hubbard and Bergman (2008) on p. 453.</v>
          </cell>
        </row>
        <row r="101">
          <cell r="B101" t="str">
            <v>On-site transportation fuel</v>
          </cell>
        </row>
        <row r="102">
          <cell r="B102" t="str">
            <v>Fuel type</v>
          </cell>
          <cell r="C102" t="str">
            <v>L/m3</v>
          </cell>
          <cell r="D102" t="str">
            <v>L/kg</v>
          </cell>
        </row>
        <row r="103">
          <cell r="B103" t="str">
            <v>Off-road diesel</v>
          </cell>
          <cell r="C103">
            <v>6.57</v>
          </cell>
          <cell r="D103">
            <v>0.01</v>
          </cell>
        </row>
        <row r="104">
          <cell r="B104" t="str">
            <v>Propane</v>
          </cell>
          <cell r="C104">
            <v>0.26700000000000002</v>
          </cell>
          <cell r="D104">
            <v>4.0639269406392699E-4</v>
          </cell>
        </row>
        <row r="105">
          <cell r="B105" t="str">
            <v>Gasoline</v>
          </cell>
          <cell r="C105">
            <v>0.57099999999999995</v>
          </cell>
          <cell r="D105">
            <v>8.6910197869101966E-4</v>
          </cell>
        </row>
        <row r="106">
          <cell r="B106" t="str">
            <v>Total</v>
          </cell>
          <cell r="C106">
            <v>7.4080000000000004</v>
          </cell>
          <cell r="D106">
            <v>1.1275494672754946E-2</v>
          </cell>
        </row>
        <row r="107">
          <cell r="B107" t="str">
            <v>Source: Bergman and Bowe (2008) Table 3, p. 454</v>
          </cell>
        </row>
        <row r="109">
          <cell r="B109" t="str">
            <v>Renewable fuel</v>
          </cell>
        </row>
        <row r="110">
          <cell r="B110" t="str">
            <v>Fuel type</v>
          </cell>
          <cell r="C110" t="str">
            <v>kg/m3</v>
          </cell>
          <cell r="D110" t="str">
            <v>kg/kg</v>
          </cell>
        </row>
        <row r="111">
          <cell r="B111" t="str">
            <v>On-site wood fuel</v>
          </cell>
          <cell r="C111">
            <v>217</v>
          </cell>
          <cell r="D111">
            <v>0.33028919330289191</v>
          </cell>
        </row>
        <row r="112">
          <cell r="B112" t="str">
            <v>Purchased wood fuel</v>
          </cell>
          <cell r="C112">
            <v>35.4</v>
          </cell>
          <cell r="D112">
            <v>5.3881278538812784E-2</v>
          </cell>
        </row>
        <row r="113">
          <cell r="B113" t="str">
            <v>Total</v>
          </cell>
          <cell r="C113">
            <v>252.4</v>
          </cell>
          <cell r="D113">
            <v>0.38417047184170472</v>
          </cell>
        </row>
        <row r="114">
          <cell r="B114" t="str">
            <v>Source: Bergman and Bowe (2008) Table 3, p. 454</v>
          </cell>
        </row>
        <row r="116">
          <cell r="B116" t="str">
            <v>Water use</v>
          </cell>
        </row>
        <row r="117">
          <cell r="B117" t="str">
            <v>Water type</v>
          </cell>
          <cell r="C117" t="str">
            <v>L/m3</v>
          </cell>
          <cell r="D117" t="str">
            <v>L/kg</v>
          </cell>
        </row>
        <row r="118">
          <cell r="B118" t="str">
            <v>Municipal water</v>
          </cell>
          <cell r="C118">
            <v>0</v>
          </cell>
          <cell r="D118">
            <v>0</v>
          </cell>
        </row>
        <row r="119">
          <cell r="B119" t="str">
            <v>Ground water</v>
          </cell>
          <cell r="C119">
            <v>244</v>
          </cell>
          <cell r="D119">
            <v>0.37138508371385082</v>
          </cell>
        </row>
        <row r="127">
          <cell r="H127" t="str">
            <v>Units</v>
          </cell>
          <cell r="I127" t="str">
            <v>Transportation energy</v>
          </cell>
          <cell r="J127" t="str">
            <v>Units</v>
          </cell>
        </row>
        <row r="129">
          <cell r="B129" t="str">
            <v>Diesel</v>
          </cell>
          <cell r="C129">
            <v>0.155</v>
          </cell>
          <cell r="D129">
            <v>0.35599999999999998</v>
          </cell>
          <cell r="E129">
            <v>0.41099999999999998</v>
          </cell>
          <cell r="F129">
            <v>0.92199999999999993</v>
          </cell>
          <cell r="G129">
            <v>1.3189969135470738E-2</v>
          </cell>
          <cell r="H129" t="str">
            <v>L / kg</v>
          </cell>
          <cell r="I129">
            <v>0.30572800773070108</v>
          </cell>
          <cell r="J129" t="str">
            <v>metric ton km / kg</v>
          </cell>
        </row>
        <row r="130">
          <cell r="B130" t="str">
            <v>Gasoline</v>
          </cell>
          <cell r="C130">
            <v>0</v>
          </cell>
          <cell r="D130">
            <v>7.8E-2</v>
          </cell>
          <cell r="E130">
            <v>0</v>
          </cell>
          <cell r="F130">
            <v>7.8E-2</v>
          </cell>
          <cell r="G130">
            <v>2.2388359352919561E-3</v>
          </cell>
          <cell r="H130" t="str">
            <v>L / kg</v>
          </cell>
          <cell r="I130">
            <v>0</v>
          </cell>
          <cell r="J130" t="str">
            <v>metric ton km / kg</v>
          </cell>
        </row>
        <row r="131">
          <cell r="B131" t="str">
            <v>Electricity</v>
          </cell>
          <cell r="C131">
            <v>7.6999999999999999E-2</v>
          </cell>
          <cell r="D131">
            <v>0</v>
          </cell>
          <cell r="E131">
            <v>0</v>
          </cell>
          <cell r="F131">
            <v>7.6999999999999999E-2</v>
          </cell>
          <cell r="G131">
            <v>2.1383509652903612E-2</v>
          </cell>
          <cell r="H131" t="str">
            <v>kWh / kg</v>
          </cell>
          <cell r="I131" t="str">
            <v>--</v>
          </cell>
          <cell r="J131" t="str">
            <v>--</v>
          </cell>
        </row>
        <row r="132">
          <cell r="B132" t="str">
            <v>Total</v>
          </cell>
          <cell r="C132">
            <v>0.23199999999999998</v>
          </cell>
          <cell r="D132">
            <v>0.434</v>
          </cell>
          <cell r="E132">
            <v>0.41099999999999998</v>
          </cell>
          <cell r="F132">
            <v>1.077</v>
          </cell>
          <cell r="G132" t="str">
            <v>--</v>
          </cell>
          <cell r="H132" t="str">
            <v>--</v>
          </cell>
          <cell r="I132" t="str">
            <v>--</v>
          </cell>
          <cell r="J132" t="str">
            <v>--</v>
          </cell>
        </row>
        <row r="133">
          <cell r="B133" t="str">
            <v>Source: Athena (2000) Life Cycle Analysis of Residential Roofing Products, Table 4.2, p. 26.</v>
          </cell>
        </row>
        <row r="136">
          <cell r="B136" t="str">
            <v>FINAL RESULTS</v>
          </cell>
        </row>
        <row r="138">
          <cell r="B138" t="str">
            <v>Process and transportation energy inputs required to harvest and produce 1 kg of wood flooring</v>
          </cell>
        </row>
        <row r="140">
          <cell r="B140" t="str">
            <v>Unit process</v>
          </cell>
          <cell r="C140" t="str">
            <v>Composition of wood flooring</v>
          </cell>
          <cell r="E140" t="str">
            <v>Process Energy</v>
          </cell>
          <cell r="M140" t="str">
            <v>Transportation</v>
          </cell>
        </row>
        <row r="141">
          <cell r="D141" t="str">
            <v>Electricity, at grid, US</v>
          </cell>
          <cell r="E141" t="str">
            <v>Electricity, at cogenerating unit</v>
          </cell>
          <cell r="F141" t="str">
            <v>Natural gas, combusted in industrial boiler</v>
          </cell>
          <cell r="G141" t="str">
            <v>Diesel, combusted in industrial boiler</v>
          </cell>
          <cell r="H141" t="str">
            <v>Residual fuel oil, combusted in industrial boiler</v>
          </cell>
          <cell r="I141" t="str">
            <v>Gasoline, combusted in equipment</v>
          </cell>
          <cell r="J141" t="str">
            <v>Liquefied petroleum gas, combusted in industrial boiler</v>
          </cell>
          <cell r="K141" t="str">
            <v>Bituminous coal, combusted in industrial boiler</v>
          </cell>
          <cell r="L141" t="str">
            <v>Wood fuel, combusted in industrial boiler</v>
          </cell>
          <cell r="M141" t="str">
            <v>Transportation, rail, diesel-fueled</v>
          </cell>
          <cell r="N141" t="str">
            <v>Transportation, truck, diesel-fueled</v>
          </cell>
          <cell r="O141" t="str">
            <v>On-site transportation fuel use, diesel</v>
          </cell>
          <cell r="P141" t="str">
            <v>On-site transportation fuel use, gasoline</v>
          </cell>
          <cell r="Q141" t="str">
            <v>On-site transportation fuel use, propane</v>
          </cell>
        </row>
        <row r="142">
          <cell r="C142" t="str">
            <v>kg of material / kg wood flooring</v>
          </cell>
          <cell r="D142" t="str">
            <v>kWh / kg</v>
          </cell>
          <cell r="E142" t="str">
            <v>kWh / kg</v>
          </cell>
          <cell r="F142" t="str">
            <v>m3 / kg</v>
          </cell>
          <cell r="G142" t="str">
            <v>L / kg</v>
          </cell>
          <cell r="H142" t="str">
            <v>L / kg</v>
          </cell>
          <cell r="I142" t="str">
            <v>L / kg</v>
          </cell>
          <cell r="J142" t="str">
            <v>L / kg</v>
          </cell>
          <cell r="K142" t="str">
            <v>kg / kg</v>
          </cell>
          <cell r="L142" t="str">
            <v>kg / kg</v>
          </cell>
          <cell r="M142" t="str">
            <v>metric ton km / kg</v>
          </cell>
          <cell r="N142" t="str">
            <v>metric ton km / kg</v>
          </cell>
          <cell r="O142" t="str">
            <v>L / kg</v>
          </cell>
          <cell r="P142" t="str">
            <v>L / kg</v>
          </cell>
          <cell r="Q142" t="str">
            <v>L / kg</v>
          </cell>
        </row>
        <row r="143">
          <cell r="B143" t="str">
            <v>Wood harvesting and transportation to lumber yard</v>
          </cell>
          <cell r="C143">
            <v>1.4623578791598009</v>
          </cell>
          <cell r="D143">
            <v>2.1383509652903612E-2</v>
          </cell>
          <cell r="G143">
            <v>1.3189969135470738E-2</v>
          </cell>
          <cell r="I143">
            <v>2.2388359352919561E-3</v>
          </cell>
          <cell r="N143">
            <v>0.30572800773070108</v>
          </cell>
        </row>
        <row r="144">
          <cell r="B144" t="str">
            <v>Rough kiln dry lumber (sourced from NE / NC USA) and transportation to flooring facility</v>
          </cell>
          <cell r="C144">
            <v>1.0441400304414004</v>
          </cell>
          <cell r="D144">
            <v>0.2523464639107999</v>
          </cell>
          <cell r="E144">
            <v>0</v>
          </cell>
          <cell r="F144">
            <v>2.4961948249619479E-2</v>
          </cell>
          <cell r="G144">
            <v>3.1659056316590563E-3</v>
          </cell>
          <cell r="J144">
            <v>1.8417047184170472E-3</v>
          </cell>
          <cell r="L144">
            <v>0.38417047184170472</v>
          </cell>
          <cell r="N144">
            <v>1.96402E-2</v>
          </cell>
          <cell r="O144">
            <v>0.01</v>
          </cell>
          <cell r="P144">
            <v>8.6910197869101966E-4</v>
          </cell>
          <cell r="Q144">
            <v>4.0639269406392699E-4</v>
          </cell>
        </row>
        <row r="145">
          <cell r="B145" t="str">
            <v>Flooring manufacturing</v>
          </cell>
          <cell r="C145">
            <v>1</v>
          </cell>
          <cell r="D145">
            <v>2.1310454474900584E-2</v>
          </cell>
          <cell r="E145">
            <v>0</v>
          </cell>
          <cell r="F145">
            <v>1.4144362665035712E-3</v>
          </cell>
          <cell r="H145">
            <v>1.5892542320264847E-5</v>
          </cell>
          <cell r="L145">
            <v>4.4140030441400302E-2</v>
          </cell>
          <cell r="O145">
            <v>4.2909864264715082E-4</v>
          </cell>
          <cell r="P145">
            <v>3.1785084640529694E-5</v>
          </cell>
          <cell r="Q145">
            <v>1.9071050784317815E-4</v>
          </cell>
        </row>
        <row r="146">
          <cell r="B146" t="str">
            <v>Total</v>
          </cell>
          <cell r="D146">
            <v>0.31606584280951622</v>
          </cell>
          <cell r="E146">
            <v>0</v>
          </cell>
          <cell r="F146">
            <v>2.7478205671737914E-2</v>
          </cell>
          <cell r="G146">
            <v>2.2594104093745307E-2</v>
          </cell>
          <cell r="H146">
            <v>1.5892542320264847E-5</v>
          </cell>
          <cell r="I146">
            <v>3.273979370120294E-3</v>
          </cell>
          <cell r="J146">
            <v>1.9229976207520464E-3</v>
          </cell>
          <cell r="K146">
            <v>0</v>
          </cell>
          <cell r="L146">
            <v>0.44526779860488502</v>
          </cell>
          <cell r="M146">
            <v>0</v>
          </cell>
          <cell r="N146">
            <v>0.46759088001069443</v>
          </cell>
          <cell r="O146">
            <v>1.0870498947061154E-2</v>
          </cell>
          <cell r="P146">
            <v>9.3924925112765228E-4</v>
          </cell>
          <cell r="Q146">
            <v>6.150413877942496E-4</v>
          </cell>
        </row>
        <row r="149">
          <cell r="B149" t="str">
            <v>Total energy inputs required to manufacture 1 kg of wood flooring, in terms of pre-combustion and combustion life-cycle stages</v>
          </cell>
        </row>
        <row r="151">
          <cell r="B151" t="str">
            <v>Unit process</v>
          </cell>
          <cell r="D151" t="str">
            <v>Process Energy</v>
          </cell>
          <cell r="M151" t="str">
            <v>Transportation</v>
          </cell>
        </row>
        <row r="152">
          <cell r="D152" t="str">
            <v>Electricity, at grid, US</v>
          </cell>
          <cell r="E152" t="str">
            <v>Electricity, at cogenerating unit</v>
          </cell>
          <cell r="F152" t="str">
            <v>Natural gas, combusted in industrial boiler</v>
          </cell>
          <cell r="G152" t="str">
            <v>Diesel, combusted in industrial boiler</v>
          </cell>
          <cell r="H152" t="str">
            <v>Residual fuel oil, combusted in industrial boiler</v>
          </cell>
          <cell r="I152" t="str">
            <v>Gasoline, combusted in equipment</v>
          </cell>
          <cell r="J152" t="str">
            <v>Liquefied petroleum gas, combusted in industrial boiler</v>
          </cell>
          <cell r="K152" t="str">
            <v>Bituminous coal, combusted in industrial boiler</v>
          </cell>
          <cell r="L152" t="str">
            <v>Wood fuel, combusted in industrial boiler</v>
          </cell>
          <cell r="M152" t="str">
            <v>Transport, freight, rail, diesel-fueled</v>
          </cell>
          <cell r="N152" t="str">
            <v>Transport, lorry &gt; 16t, fleet average, diesel-fueld</v>
          </cell>
          <cell r="O152" t="str">
            <v>On-site transportation fuel use, diesel</v>
          </cell>
          <cell r="P152" t="str">
            <v>On-site transportation fuel use, gasoline</v>
          </cell>
          <cell r="Q152" t="str">
            <v>On-site transportation fuel use, propane</v>
          </cell>
        </row>
        <row r="153">
          <cell r="D153" t="str">
            <v>mmBtu / kg</v>
          </cell>
          <cell r="E153" t="str">
            <v>mmBtu / kg</v>
          </cell>
          <cell r="F153" t="str">
            <v>mmBtu / kg</v>
          </cell>
          <cell r="G153" t="str">
            <v>mmBtu / kg</v>
          </cell>
          <cell r="H153" t="str">
            <v>mmBtu / kg</v>
          </cell>
          <cell r="I153" t="str">
            <v>mmBtu / kg</v>
          </cell>
          <cell r="J153" t="str">
            <v>mmBtu / kg</v>
          </cell>
          <cell r="K153" t="str">
            <v>mmBtu / kg</v>
          </cell>
          <cell r="L153" t="str">
            <v>mmBtu / kg</v>
          </cell>
          <cell r="M153" t="str">
            <v>mmBtu / kg</v>
          </cell>
          <cell r="N153" t="str">
            <v>mmBtu / kg</v>
          </cell>
          <cell r="O153" t="str">
            <v>mmBtu / kg</v>
          </cell>
          <cell r="P153" t="str">
            <v>mmBtu / kg</v>
          </cell>
          <cell r="Q153" t="str">
            <v>mmBtu / kg</v>
          </cell>
        </row>
        <row r="154">
          <cell r="B154" t="str">
            <v>Pre-combustion energy</v>
          </cell>
          <cell r="D154">
            <v>0</v>
          </cell>
          <cell r="E154">
            <v>0</v>
          </cell>
          <cell r="F154">
            <v>8.6364147086373465E-5</v>
          </cell>
          <cell r="G154">
            <v>1.1997149020450312E-4</v>
          </cell>
          <cell r="H154">
            <v>9.1944205027491124E-8</v>
          </cell>
          <cell r="I154">
            <v>1.4789684843495952E-5</v>
          </cell>
          <cell r="J154">
            <v>6.4008280815028753E-6</v>
          </cell>
          <cell r="K154">
            <v>0</v>
          </cell>
          <cell r="L154">
            <v>0</v>
          </cell>
          <cell r="M154">
            <v>0</v>
          </cell>
          <cell r="N154">
            <v>8.6154592957139026E-5</v>
          </cell>
          <cell r="O154">
            <v>5.7720808602737857E-5</v>
          </cell>
          <cell r="P154">
            <v>4.242910184604237E-6</v>
          </cell>
          <cell r="Q154">
            <v>2.0472069979682751E-6</v>
          </cell>
        </row>
        <row r="155">
          <cell r="B155" t="str">
            <v>Combustion energy</v>
          </cell>
          <cell r="D155">
            <v>3.3508672586205334E-3</v>
          </cell>
          <cell r="E155">
            <v>0</v>
          </cell>
          <cell r="F155">
            <v>9.9949518538162562E-4</v>
          </cell>
          <cell r="G155">
            <v>8.2965358897641448E-4</v>
          </cell>
          <cell r="H155">
            <v>6.2975482895541868E-7</v>
          </cell>
          <cell r="I155">
            <v>1.081117313121049E-4</v>
          </cell>
          <cell r="J155">
            <v>4.8514212839962265E-5</v>
          </cell>
          <cell r="K155">
            <v>0</v>
          </cell>
          <cell r="L155">
            <v>8.8204780731201068E-3</v>
          </cell>
          <cell r="M155">
            <v>0</v>
          </cell>
          <cell r="N155">
            <v>5.9579544383295128E-4</v>
          </cell>
          <cell r="O155">
            <v>3.9916380078510252E-4</v>
          </cell>
          <cell r="P155">
            <v>3.1015425326054365E-5</v>
          </cell>
          <cell r="Q155">
            <v>1.5516529230632562E-5</v>
          </cell>
        </row>
        <row r="156">
          <cell r="B156" t="str">
            <v>Total</v>
          </cell>
          <cell r="D156">
            <v>3.3508672586205334E-3</v>
          </cell>
          <cell r="E156">
            <v>0</v>
          </cell>
          <cell r="F156">
            <v>1.0858593324679991E-3</v>
          </cell>
          <cell r="G156">
            <v>9.4962507918091763E-4</v>
          </cell>
          <cell r="H156">
            <v>7.2169903398290984E-7</v>
          </cell>
          <cell r="I156">
            <v>1.2290141615560086E-4</v>
          </cell>
          <cell r="J156">
            <v>5.4915040921465142E-5</v>
          </cell>
          <cell r="K156">
            <v>0</v>
          </cell>
          <cell r="L156">
            <v>8.8204780731201068E-3</v>
          </cell>
          <cell r="M156">
            <v>0</v>
          </cell>
          <cell r="N156">
            <v>6.8195003679009025E-4</v>
          </cell>
          <cell r="O156">
            <v>4.5688460938784039E-4</v>
          </cell>
          <cell r="P156">
            <v>3.5258335510658603E-5</v>
          </cell>
          <cell r="Q156">
            <v>1.7563736228600838E-5</v>
          </cell>
        </row>
        <row r="170">
          <cell r="B170" t="str">
            <v>FOREST CARBON STORAGE FROM SOURCE REDUCTION</v>
          </cell>
        </row>
        <row r="172">
          <cell r="B172" t="str">
            <v>Source:</v>
          </cell>
          <cell r="C172" t="str">
            <v>EPA (2006). Taken from GHG MSTR, "Forest C Analysis for Wood" tab.</v>
          </cell>
        </row>
        <row r="174">
          <cell r="B174" t="str">
            <v>Input</v>
          </cell>
          <cell r="C174" t="str">
            <v>Reference</v>
          </cell>
          <cell r="D174" t="str">
            <v>Value</v>
          </cell>
          <cell r="E174" t="str">
            <v>Units</v>
          </cell>
        </row>
        <row r="175">
          <cell r="B175" t="str">
            <v>Release of forest carbon / short ton of wood flooring source reduced</v>
          </cell>
          <cell r="C175" t="str">
            <v>Calculated
negative = increase in carbon sequestration</v>
          </cell>
          <cell r="D175">
            <v>-4.8374262396114833</v>
          </cell>
          <cell r="E175" t="str">
            <v>MTCO2E / short ton of hardwood flooring</v>
          </cell>
        </row>
        <row r="176">
          <cell r="B176" t="str">
            <v>Release of carbon stored in forest products / short ton of wood flooring source reduced</v>
          </cell>
          <cell r="C176" t="str">
            <v>Calculated
negative = increase in carbon sequestration</v>
          </cell>
          <cell r="D176">
            <v>1.1776015317707529</v>
          </cell>
          <cell r="E176" t="str">
            <v>MTCO2E / short ton of hardwood flooring</v>
          </cell>
        </row>
        <row r="177">
          <cell r="B177" t="str">
            <v>Net release of forest carbon</v>
          </cell>
          <cell r="C177" t="str">
            <v>Calculated
negative = increase in carbon sequestration</v>
          </cell>
          <cell r="D177">
            <v>-3.6598247078407318</v>
          </cell>
          <cell r="E177" t="str">
            <v>MTCO2E / short ton of hardwood flooring</v>
          </cell>
        </row>
        <row r="181">
          <cell r="B181" t="str">
            <v>COMPOSTING HARDWOOD FLOORING</v>
          </cell>
        </row>
        <row r="182">
          <cell r="B182" t="str">
            <v>Note: There is no composting for lumber or MDF in WARM right now. We should note this in the memo and ask if EPA wants to proceed with modeling this.</v>
          </cell>
        </row>
        <row r="184">
          <cell r="B184" t="str">
            <v>Energy required to chip hardwood flooring into wood chips for composting:</v>
          </cell>
          <cell r="F184">
            <v>1.7</v>
          </cell>
          <cell r="G184" t="str">
            <v>gallons of diesel / short ton of hardwood flooring</v>
          </cell>
        </row>
        <row r="185">
          <cell r="B185" t="str">
            <v>Source: Levis (2008), p. 231</v>
          </cell>
        </row>
        <row r="187">
          <cell r="B187" t="str">
            <v>Flow</v>
          </cell>
          <cell r="C187" t="str">
            <v>Units</v>
          </cell>
          <cell r="D187" t="str">
            <v>Process</v>
          </cell>
          <cell r="E187" t="str">
            <v>Transportation</v>
          </cell>
          <cell r="F187" t="str">
            <v>Compost CO2</v>
          </cell>
          <cell r="G187" t="str">
            <v>Compost CH4</v>
          </cell>
          <cell r="H187" t="str">
            <v>Soil carbon sequestration</v>
          </cell>
          <cell r="K187" t="str">
            <v>Total</v>
          </cell>
        </row>
        <row r="188">
          <cell r="H188" t="str">
            <v>Soil carbon restoration</v>
          </cell>
          <cell r="I188" t="str">
            <v>Increased humus formation</v>
          </cell>
          <cell r="J188" t="str">
            <v>Total</v>
          </cell>
        </row>
        <row r="189">
          <cell r="B189" t="str">
            <v>Energy use</v>
          </cell>
          <cell r="C189" t="str">
            <v>MMBtu / short ton</v>
          </cell>
          <cell r="D189">
            <v>0.27046999999999999</v>
          </cell>
          <cell r="E189">
            <v>0.58399999999999996</v>
          </cell>
          <cell r="F189" t="str">
            <v>--</v>
          </cell>
          <cell r="G189" t="str">
            <v>--</v>
          </cell>
          <cell r="H189" t="str">
            <v>--</v>
          </cell>
          <cell r="I189" t="str">
            <v>--</v>
          </cell>
          <cell r="J189" t="str">
            <v>--</v>
          </cell>
          <cell r="K189">
            <v>0.85446999999999995</v>
          </cell>
        </row>
        <row r="190">
          <cell r="B190" t="str">
            <v>GHG emissions</v>
          </cell>
          <cell r="C190" t="str">
            <v>MTCO2E / short ton</v>
          </cell>
          <cell r="D190">
            <v>2.0003059633333334E-2</v>
          </cell>
          <cell r="E190">
            <v>0.25847304622443823</v>
          </cell>
          <cell r="F190">
            <v>0</v>
          </cell>
          <cell r="G190">
            <v>0</v>
          </cell>
          <cell r="H190">
            <v>-7.0320065267558726E-2</v>
          </cell>
          <cell r="I190">
            <v>-0.17032589186969804</v>
          </cell>
          <cell r="J190">
            <v>-0.24064595713725678</v>
          </cell>
          <cell r="K190">
            <v>-0.20281580841674202</v>
          </cell>
        </row>
        <row r="195">
          <cell r="B195" t="str">
            <v>COMBUSTION OF WOOD FLOORING</v>
          </cell>
        </row>
        <row r="207">
          <cell r="B207" t="str">
            <v>Summary</v>
          </cell>
        </row>
        <row r="208">
          <cell r="B208" t="str">
            <v>Flow</v>
          </cell>
          <cell r="C208" t="str">
            <v>Units</v>
          </cell>
          <cell r="D208" t="str">
            <v>Process</v>
          </cell>
          <cell r="E208" t="str">
            <v>Transportation</v>
          </cell>
          <cell r="F208" t="str">
            <v>CO2 Emissions</v>
          </cell>
          <cell r="G208" t="str">
            <v>N2O Emissions</v>
          </cell>
          <cell r="H208" t="str">
            <v>Avoided Utility</v>
          </cell>
          <cell r="I208" t="str">
            <v>Steel Recovery</v>
          </cell>
          <cell r="J208" t="str">
            <v>Total</v>
          </cell>
        </row>
        <row r="210">
          <cell r="B210" t="str">
            <v>Energy use</v>
          </cell>
          <cell r="C210" t="str">
            <v>MMBtu / short ton</v>
          </cell>
          <cell r="D210">
            <v>0.27046999999999999</v>
          </cell>
          <cell r="E210">
            <v>0.36738353668955931</v>
          </cell>
          <cell r="F210" t="str">
            <v>--</v>
          </cell>
          <cell r="G210" t="str">
            <v>--</v>
          </cell>
          <cell r="H210">
            <v>3.8730373597850507</v>
          </cell>
          <cell r="I210" t="str">
            <v>--</v>
          </cell>
          <cell r="J210">
            <v>4.5108908964746099</v>
          </cell>
        </row>
        <row r="211">
          <cell r="B211" t="str">
            <v>GHG emissions</v>
          </cell>
          <cell r="C211" t="str">
            <v>MTCO2E / short ton</v>
          </cell>
          <cell r="D211">
            <v>2.0003059633333334E-2</v>
          </cell>
          <cell r="E211">
            <v>2.7170461761770841E-2</v>
          </cell>
          <cell r="F211">
            <v>0</v>
          </cell>
          <cell r="G211">
            <v>3.6666666666666667E-2</v>
          </cell>
          <cell r="H211">
            <v>-0.85613434563468405</v>
          </cell>
          <cell r="I211">
            <v>0</v>
          </cell>
          <cell r="J211">
            <v>-0.7722941575729132</v>
          </cell>
        </row>
        <row r="221">
          <cell r="B221" t="str">
            <v>MASS BALANCE AND ALLOCATION FOR HARDWOOD FLOORING PRODUCTION</v>
          </cell>
        </row>
        <row r="223">
          <cell r="B223" t="str">
            <v>Life-cycle stage</v>
          </cell>
          <cell r="C223" t="str">
            <v>Inputs and outputs</v>
          </cell>
          <cell r="D223" t="str">
            <v>Description</v>
          </cell>
          <cell r="E223" t="str">
            <v>Is output allocated to hardwood flooring?</v>
          </cell>
          <cell r="F223" t="str">
            <v>Location of wood harvest and functional unit</v>
          </cell>
        </row>
        <row r="224">
          <cell r="F224" t="str">
            <v>Northeast/ North Central hardwood lumber</v>
          </cell>
          <cell r="G224" t="str">
            <v>Southeast hardwood lumber</v>
          </cell>
          <cell r="H224" t="str">
            <v>Eastern US hardwood lumber (average)</v>
          </cell>
          <cell r="I224" t="str">
            <v>Eastern US hardwood flooring (average)</v>
          </cell>
          <cell r="J224" t="str">
            <v>Eastern US hardwood (average), allocated to flooring (i.e., not including co-products)</v>
          </cell>
        </row>
        <row r="225">
          <cell r="F225" t="str">
            <v>kg/m3 plane dry lumber</v>
          </cell>
          <cell r="G225" t="str">
            <v>kg/m3 plane dry lumber</v>
          </cell>
          <cell r="H225" t="str">
            <v>kg/m3 plane dry lumber</v>
          </cell>
          <cell r="I225" t="str">
            <v>kg/m3 hardwood flooring</v>
          </cell>
          <cell r="J225" t="str">
            <v>kg/m3 hardwood flooring</v>
          </cell>
          <cell r="K225" t="str">
            <v>kg/kg hardwood flooring</v>
          </cell>
        </row>
        <row r="226">
          <cell r="B226" t="str">
            <v>Logs to lumber</v>
          </cell>
          <cell r="C226" t="str">
            <v>Input</v>
          </cell>
          <cell r="D226" t="str">
            <v>Log, white wood and bark</v>
          </cell>
          <cell r="E226" t="str">
            <v>Not applicable</v>
          </cell>
          <cell r="F226">
            <v>1309</v>
          </cell>
          <cell r="G226">
            <v>1343</v>
          </cell>
          <cell r="H226">
            <v>1326</v>
          </cell>
          <cell r="I226">
            <v>2518.0765064319567</v>
          </cell>
          <cell r="J226">
            <v>960.76912660798916</v>
          </cell>
          <cell r="K226">
            <v>1.4623578791598009</v>
          </cell>
        </row>
        <row r="227">
          <cell r="C227" t="str">
            <v>Outputs</v>
          </cell>
          <cell r="D227" t="str">
            <v>Green chips, sold</v>
          </cell>
          <cell r="E227" t="str">
            <v>No</v>
          </cell>
          <cell r="F227">
            <v>196</v>
          </cell>
          <cell r="G227">
            <v>251</v>
          </cell>
          <cell r="H227">
            <v>223.5</v>
          </cell>
          <cell r="I227">
            <v>429.44685172647257</v>
          </cell>
          <cell r="J227">
            <v>0</v>
          </cell>
          <cell r="K227">
            <v>0</v>
          </cell>
        </row>
        <row r="228">
          <cell r="D228" t="str">
            <v>Green sawdust, sold</v>
          </cell>
          <cell r="E228" t="str">
            <v>No</v>
          </cell>
          <cell r="F228">
            <v>49</v>
          </cell>
          <cell r="G228">
            <v>42</v>
          </cell>
          <cell r="H228">
            <v>45.5</v>
          </cell>
          <cell r="I228">
            <v>87.426540284360186</v>
          </cell>
          <cell r="J228">
            <v>0</v>
          </cell>
          <cell r="K228">
            <v>0</v>
          </cell>
        </row>
        <row r="229">
          <cell r="D229" t="str">
            <v>Green hog fuel, sold</v>
          </cell>
          <cell r="E229" t="str">
            <v>No</v>
          </cell>
          <cell r="F229">
            <v>26</v>
          </cell>
          <cell r="G229">
            <v>128</v>
          </cell>
          <cell r="H229">
            <v>77</v>
          </cell>
          <cell r="I229">
            <v>147.95260663507108</v>
          </cell>
          <cell r="J229">
            <v>0</v>
          </cell>
          <cell r="K229">
            <v>0</v>
          </cell>
        </row>
        <row r="230">
          <cell r="D230" t="str">
            <v>Wood fuel, burned</v>
          </cell>
          <cell r="E230" t="str">
            <v>Yes</v>
          </cell>
          <cell r="F230">
            <v>189</v>
          </cell>
          <cell r="G230">
            <v>97</v>
          </cell>
          <cell r="H230">
            <v>143</v>
          </cell>
          <cell r="I230">
            <v>274.76912660798916</v>
          </cell>
          <cell r="J230">
            <v>274.76912660798916</v>
          </cell>
          <cell r="K230">
            <v>0.41821784871840056</v>
          </cell>
        </row>
        <row r="231">
          <cell r="D231" t="str">
            <v>Green chips, internal use</v>
          </cell>
          <cell r="E231" t="str">
            <v>No</v>
          </cell>
          <cell r="F231">
            <v>0</v>
          </cell>
          <cell r="G231">
            <v>33</v>
          </cell>
          <cell r="H231">
            <v>16.5</v>
          </cell>
        </row>
        <row r="232">
          <cell r="D232" t="str">
            <v>Green back, sold</v>
          </cell>
          <cell r="E232" t="str">
            <v>No</v>
          </cell>
          <cell r="F232">
            <v>139</v>
          </cell>
          <cell r="G232">
            <v>27</v>
          </cell>
          <cell r="H232">
            <v>83</v>
          </cell>
          <cell r="I232">
            <v>159.48138117806363</v>
          </cell>
          <cell r="J232">
            <v>0</v>
          </cell>
          <cell r="K232">
            <v>0</v>
          </cell>
        </row>
        <row r="233">
          <cell r="D233" t="str">
            <v>Rough green lumber</v>
          </cell>
          <cell r="E233" t="str">
            <v>Yes</v>
          </cell>
          <cell r="F233">
            <v>712</v>
          </cell>
          <cell r="G233">
            <v>765</v>
          </cell>
          <cell r="H233">
            <v>738.5</v>
          </cell>
          <cell r="I233">
            <v>1419</v>
          </cell>
          <cell r="J233">
            <v>686</v>
          </cell>
          <cell r="K233">
            <v>1.0441400304414004</v>
          </cell>
        </row>
        <row r="235">
          <cell r="I235">
            <v>1419</v>
          </cell>
          <cell r="J235">
            <v>686</v>
          </cell>
          <cell r="K235">
            <v>1.0441400304414004</v>
          </cell>
        </row>
        <row r="236">
          <cell r="I236">
            <v>733</v>
          </cell>
          <cell r="J236">
            <v>0</v>
          </cell>
          <cell r="K236">
            <v>0</v>
          </cell>
        </row>
        <row r="237">
          <cell r="I237">
            <v>29</v>
          </cell>
          <cell r="J237">
            <v>29</v>
          </cell>
          <cell r="K237">
            <v>4.4140030441400302E-2</v>
          </cell>
        </row>
        <row r="238">
          <cell r="I238">
            <v>657</v>
          </cell>
          <cell r="J238">
            <v>657</v>
          </cell>
          <cell r="K238">
            <v>1</v>
          </cell>
        </row>
      </sheetData>
      <sheetData sheetId="30" refreshError="1">
        <row r="6">
          <cell r="C6" t="str">
            <v>4 = 2050</v>
          </cell>
          <cell r="F6" t="str">
            <v>Include methane from temp storage?</v>
          </cell>
          <cell r="G6">
            <v>1</v>
          </cell>
          <cell r="H6" t="str">
            <v>1 = Yes</v>
          </cell>
        </row>
        <row r="7">
          <cell r="H7" t="str">
            <v>2 = No</v>
          </cell>
        </row>
        <row r="8">
          <cell r="B8" t="str">
            <v>Category</v>
          </cell>
          <cell r="C8" t="str">
            <v>Parameter</v>
          </cell>
          <cell r="D8" t="str">
            <v>Units</v>
          </cell>
          <cell r="E8" t="str">
            <v>Value</v>
          </cell>
          <cell r="F8" t="str">
            <v>Source</v>
          </cell>
          <cell r="G8" t="str">
            <v>Notes</v>
          </cell>
        </row>
        <row r="9">
          <cell r="B9" t="str">
            <v>Forest carbon storage</v>
          </cell>
          <cell r="C9" t="str">
            <v>Change in hardwood forest withdrawals per unit of hardwood flooring source reduced</v>
          </cell>
          <cell r="D9" t="str">
            <v>short tons of logs / short ton of flooring</v>
          </cell>
          <cell r="E9">
            <v>1.4623578791598009</v>
          </cell>
          <cell r="F9" t="str">
            <v>Calculated from mass balace</v>
          </cell>
          <cell r="G9" t="str">
            <v>Excludes mass of logs allocated to co-products</v>
          </cell>
        </row>
        <row r="10">
          <cell r="C10" t="str">
            <v>Change in non-soil forest carbon storage per unit of reduced hardwood forest withdrawals</v>
          </cell>
          <cell r="D10" t="str">
            <v>metric tons of carbon / short ton of logs</v>
          </cell>
          <cell r="E10">
            <v>0.84115536586539097</v>
          </cell>
          <cell r="F10" t="str">
            <v>Calculated from USDA Forest Service FORCAB II model results</v>
          </cell>
        </row>
        <row r="11">
          <cell r="B11" t="str">
            <v>Hardwood flooring in use</v>
          </cell>
          <cell r="C11" t="str">
            <v>Change in hardwood flooring carbon in use</v>
          </cell>
          <cell r="D11" t="str">
            <v>short tons of flooring / short ton flooring</v>
          </cell>
          <cell r="E11">
            <v>-0.57833583660099641</v>
          </cell>
          <cell r="F11" t="str">
            <v>Calculated from Ken Skog's harvested wood products fate model</v>
          </cell>
        </row>
        <row r="12">
          <cell r="D12" t="str">
            <v>metric tons carbon / short ton of flooring</v>
          </cell>
          <cell r="E12">
            <v>-0.24692058007545531</v>
          </cell>
        </row>
        <row r="13">
          <cell r="B13" t="str">
            <v>Hardwood flooring at end-of-life</v>
          </cell>
          <cell r="C13" t="str">
            <v>Change in hardwood flooring carbon combusted</v>
          </cell>
          <cell r="D13" t="str">
            <v>short tons of flooring / short ton of flooring</v>
          </cell>
          <cell r="E13">
            <v>-0.13914917392167117</v>
          </cell>
          <cell r="F13" t="str">
            <v>Calculated from Ken Skog's harvested wood products fate model</v>
          </cell>
        </row>
        <row r="14">
          <cell r="D14" t="str">
            <v>metric tons carbon / short ton of flooring</v>
          </cell>
          <cell r="E14">
            <v>0.1191303869610368</v>
          </cell>
          <cell r="G14" t="str">
            <v>Positive denotes an increase in GHG emissions. Zero emissions from combustion, since they are biogenic and excluded from analysis; includes change in waste-to-energy recovery assuming wood is combusted in a mass-burn facility.</v>
          </cell>
        </row>
        <row r="15">
          <cell r="C15" t="str">
            <v>Change in hardwood flooring carbon permanently stored in landfills</v>
          </cell>
          <cell r="D15" t="str">
            <v>short tons of flooring/ short ton of flooring</v>
          </cell>
          <cell r="E15">
            <v>-0.21753654189754598</v>
          </cell>
          <cell r="F15" t="str">
            <v>Calculated from Ken Skog's harvested wood products fate model</v>
          </cell>
        </row>
        <row r="16">
          <cell r="D16" t="str">
            <v>metric tons carbon / short ton of flooring</v>
          </cell>
          <cell r="E16">
            <v>-9.2877262160755564E-2</v>
          </cell>
        </row>
        <row r="17">
          <cell r="C17" t="str">
            <v>Change in hardwood flooring carbon temporarily stored in landfills</v>
          </cell>
          <cell r="D17" t="str">
            <v>short tons of flooring/ short ton of flooring</v>
          </cell>
          <cell r="E17">
            <v>-3.9760287915584926E-2</v>
          </cell>
          <cell r="F17" t="str">
            <v>Calculated from Ken Skog's harvested wood products fate model</v>
          </cell>
        </row>
        <row r="18">
          <cell r="D18" t="str">
            <v>metric tons carbon-equivalent methane emissions / short ton of flooring</v>
          </cell>
          <cell r="E18">
            <v>-7.7162097417807357E-2</v>
          </cell>
          <cell r="G18" t="str">
            <v>Converted to carbon-equivalent methane emissions; carbon temporarily stored in landfill will eventually be converted into landfill gas emissions</v>
          </cell>
        </row>
        <row r="19">
          <cell r="D19" t="str">
            <v>metric tons carbon-equivalent / short ton of flooring - average LF mix</v>
          </cell>
          <cell r="E19" t="e">
            <v>#REF!</v>
          </cell>
          <cell r="G19" t="str">
            <v>Converted to net GHG emissions and scaled by national average landfill gas capture and energy recovery for lumber.</v>
          </cell>
        </row>
        <row r="20">
          <cell r="C20" t="str">
            <v>Change in hardwood flooring carbon emitted from landfills</v>
          </cell>
          <cell r="D20" t="str">
            <v>short tons of flooring / short ton of flooring</v>
          </cell>
          <cell r="E20">
            <v>-2.5218159664201489E-2</v>
          </cell>
          <cell r="F20" t="str">
            <v>Calculated from Ken Skog's harvested wood products fate model</v>
          </cell>
        </row>
        <row r="21">
          <cell r="D21" t="str">
            <v>metric tons carbon-equivalent / short ton of flooring</v>
          </cell>
          <cell r="E21">
            <v>-4.8940442706004707E-2</v>
          </cell>
          <cell r="G21" t="str">
            <v>Converted to carbon-equivalent methane emissions</v>
          </cell>
        </row>
        <row r="22">
          <cell r="D22" t="str">
            <v>metric tons carbon-equivalent / short ton of flooring - average LF mix</v>
          </cell>
          <cell r="E22" t="e">
            <v>#REF!</v>
          </cell>
          <cell r="G22" t="str">
            <v>Converted to net GHG emissions and scaled by national average landfill gas capture and energy recovery for lumber.</v>
          </cell>
        </row>
        <row r="23">
          <cell r="B23" t="str">
            <v>Subtotals</v>
          </cell>
          <cell r="C23" t="str">
            <v>Change in non-soil forest carbon storage</v>
          </cell>
          <cell r="D23" t="str">
            <v>metric tons carbon-equivalent / short ton of flooring</v>
          </cell>
          <cell r="E23">
            <v>1.2300701768707996</v>
          </cell>
          <cell r="G23" t="str">
            <v>Positive denotes an increase in forest carbon storage</v>
          </cell>
        </row>
        <row r="24">
          <cell r="C24" t="str">
            <v>Change in carbon storage in products</v>
          </cell>
          <cell r="D24" t="str">
            <v>metric tons carbon-equivalent / short ton of flooring</v>
          </cell>
          <cell r="E24">
            <v>-0.24692058007545531</v>
          </cell>
          <cell r="G24" t="str">
            <v>Negative denotes a decrease in harvested wood product carbon storage</v>
          </cell>
        </row>
        <row r="25">
          <cell r="C25" t="str">
            <v>Net change in carbon storage between forest carbon storage and carbon storage in products</v>
          </cell>
          <cell r="E25">
            <v>0.9831495967953443</v>
          </cell>
          <cell r="G25" t="str">
            <v>Net carbon storage result, accounting for increase in forest carbon storage and reduction in carbon storage of in-use hardwood products.</v>
          </cell>
        </row>
        <row r="26">
          <cell r="C26" t="str">
            <v>Change in long-term carbon storage in landfills</v>
          </cell>
          <cell r="D26" t="str">
            <v>metric tons carbon-equivalent / short ton of flooring</v>
          </cell>
          <cell r="E26">
            <v>-9.2877262160755564E-2</v>
          </cell>
          <cell r="G26" t="str">
            <v>Negative denotes a reduction in long-term carbon storage in landfills. Not included in net carbon storage result, because landfill emissions will be taken into account in baseline waste management scenario in WARM.</v>
          </cell>
        </row>
        <row r="27">
          <cell r="C27" t="str">
            <v>Change in methane emissions from landfills</v>
          </cell>
          <cell r="D27" t="str">
            <v>metric tons carbon-equivalent / short ton of flooring</v>
          </cell>
          <cell r="E27" t="e">
            <v>#REF!</v>
          </cell>
          <cell r="G27" t="str">
            <v>Negative denotes a decrease in methane emissions. Not included in net carbon storage result, because landfill emissions will be taken into account in baseline waste management scenario in WARM.</v>
          </cell>
        </row>
        <row r="28">
          <cell r="C28" t="str">
            <v>Net change in long-term carbon storage and change in methane emissions from landfills</v>
          </cell>
          <cell r="D28" t="str">
            <v>metric tons carbon-equivalent / short ton of flooring</v>
          </cell>
          <cell r="E28" t="e">
            <v>#REF!</v>
          </cell>
          <cell r="G28" t="str">
            <v>Not included in net carbon storage result, because landfill emissions will be taken into account in baseline waste management scenario in WARM.</v>
          </cell>
        </row>
        <row r="29">
          <cell r="B29" t="str">
            <v>Total</v>
          </cell>
          <cell r="C29" t="str">
            <v>Net change in carbon-equivalent GHG sources and sinks, including end-of-life disposal pathways</v>
          </cell>
          <cell r="D29" t="str">
            <v>metric tons carbon-equivalent / short ton of flooring</v>
          </cell>
          <cell r="E29" t="e">
            <v>#REF!</v>
          </cell>
          <cell r="G29" t="str">
            <v>Positive denotes an increase in storage of carbon-equivalent GHG emissions</v>
          </cell>
        </row>
        <row r="32">
          <cell r="B32" t="str">
            <v>Results</v>
          </cell>
        </row>
        <row r="34">
          <cell r="B34" t="str">
            <v>Input</v>
          </cell>
          <cell r="C34" t="str">
            <v>Change in forest carbon storage (MTCO2E/short ton)</v>
          </cell>
          <cell r="D34" t="str">
            <v>Change in in-use product carbon storage (MTCO2E/short ton)</v>
          </cell>
          <cell r="E34" t="str">
            <v>Net carbon storage (MTCO2E/short ton)</v>
          </cell>
          <cell r="F34" t="str">
            <v>Year</v>
          </cell>
        </row>
        <row r="35">
          <cell r="B35">
            <v>4</v>
          </cell>
          <cell r="C35">
            <v>4.5102573151929315</v>
          </cell>
          <cell r="D35">
            <v>-0.90537546027666949</v>
          </cell>
          <cell r="E35">
            <v>3.6048818549162625</v>
          </cell>
        </row>
        <row r="36">
          <cell r="B36">
            <v>1</v>
          </cell>
          <cell r="C36">
            <v>5.0672234603341613</v>
          </cell>
          <cell r="D36">
            <v>-1.4872097366780297</v>
          </cell>
          <cell r="E36">
            <v>3.580013723656132</v>
          </cell>
          <cell r="F36">
            <v>2020</v>
          </cell>
        </row>
        <row r="37">
          <cell r="B37">
            <v>2</v>
          </cell>
          <cell r="C37">
            <v>5.0282747788556694</v>
          </cell>
          <cell r="D37">
            <v>-1.2545429481904407</v>
          </cell>
          <cell r="E37">
            <v>3.7737318306652292</v>
          </cell>
          <cell r="F37">
            <v>2030</v>
          </cell>
        </row>
        <row r="38">
          <cell r="B38">
            <v>3</v>
          </cell>
          <cell r="C38">
            <v>4.7439494040631738</v>
          </cell>
          <cell r="D38">
            <v>-1.0632779819378713</v>
          </cell>
          <cell r="E38">
            <v>3.6806714221253021</v>
          </cell>
          <cell r="F38">
            <v>2040</v>
          </cell>
        </row>
        <row r="39">
          <cell r="B39">
            <v>4</v>
          </cell>
          <cell r="C39">
            <v>4.5102573151929315</v>
          </cell>
          <cell r="D39">
            <v>-0.90537546027666949</v>
          </cell>
          <cell r="E39">
            <v>3.6048818549162625</v>
          </cell>
          <cell r="F39">
            <v>2050</v>
          </cell>
        </row>
        <row r="40">
          <cell r="B40" t="str">
            <v>Average</v>
          </cell>
          <cell r="C40">
            <v>4.8374262396114833</v>
          </cell>
          <cell r="D40">
            <v>-1.1776015317707529</v>
          </cell>
          <cell r="E40">
            <v>3.6598247078407318</v>
          </cell>
        </row>
        <row r="41">
          <cell r="B41" t="str">
            <v>Net carbon storage, taken as average, since result is relatively insensitive to year:</v>
          </cell>
          <cell r="E41">
            <v>3.6598247078407318</v>
          </cell>
          <cell r="F41" t="str">
            <v>MTCO2E/short ton of hardwood flooring source reduced</v>
          </cell>
        </row>
        <row r="49">
          <cell r="B49" t="str">
            <v xml:space="preserve">This analysis provided by Linda Heath, USDA Forest Service on May 19th, 2010 using the USDA's FORCARB II forest carbon model. </v>
          </cell>
        </row>
        <row r="50">
          <cell r="B50" t="str">
            <v>This analysis evaluates the increase in forest carbon storage resulting from a 1.3% annual reduction  in hardwood harvests starting in 2010 through 2020, relative to baseline harvest scenario.</v>
          </cell>
        </row>
        <row r="51">
          <cell r="B51" t="str">
            <v xml:space="preserve">From Linda Heath: "Eastern regions only.  Note the period labels are not meant to confuse even though the years are overlapping.  They are just labels for what is in the output. " </v>
          </cell>
        </row>
        <row r="54">
          <cell r="B54" t="str">
            <v>Constant</v>
          </cell>
          <cell r="C54" t="str">
            <v>Units</v>
          </cell>
          <cell r="D54" t="str">
            <v>Value</v>
          </cell>
          <cell r="E54" t="str">
            <v>Source</v>
          </cell>
        </row>
        <row r="55">
          <cell r="B55" t="str">
            <v>Carbon density of hardwood</v>
          </cell>
          <cell r="C55" t="str">
            <v>pounds carbon / cubic foot of hardwood</v>
          </cell>
          <cell r="D55">
            <v>15</v>
          </cell>
          <cell r="E55" t="str">
            <v>Personal communication from Ken Skog, USDA Forest Service, on May 20, 2010</v>
          </cell>
        </row>
        <row r="56">
          <cell r="C56" t="str">
            <v>metric tons carbon / short ton hardwood</v>
          </cell>
          <cell r="D56">
            <v>0.42695016363962579</v>
          </cell>
          <cell r="E56" t="str">
            <v>Calculated</v>
          </cell>
        </row>
        <row r="57">
          <cell r="B57" t="str">
            <v>Percent of hardwood that is carbon</v>
          </cell>
          <cell r="C57" t="str">
            <v>%</v>
          </cell>
          <cell r="D57">
            <v>0.47063185969744403</v>
          </cell>
          <cell r="E57" t="str">
            <v>Calculated</v>
          </cell>
        </row>
        <row r="58">
          <cell r="B58" t="str">
            <v>Specific gravity of hardwood logs</v>
          </cell>
          <cell r="C58" t="str">
            <v>Dimensionless</v>
          </cell>
          <cell r="D58">
            <v>0.51100000000000001</v>
          </cell>
          <cell r="E58" t="str">
            <v>Bergman and Bowe (2008), p. 453</v>
          </cell>
        </row>
        <row r="59">
          <cell r="B59" t="str">
            <v>Density of hardwood logs</v>
          </cell>
          <cell r="C59" t="str">
            <v>kg / cubic meter</v>
          </cell>
          <cell r="D59">
            <v>511</v>
          </cell>
          <cell r="E59" t="str">
            <v>Calculated</v>
          </cell>
        </row>
        <row r="60">
          <cell r="C60" t="str">
            <v>pounds / cubic feet</v>
          </cell>
          <cell r="D60">
            <v>31.872045402202641</v>
          </cell>
          <cell r="E60" t="str">
            <v>Calculated</v>
          </cell>
        </row>
        <row r="61">
          <cell r="B61" t="str">
            <v>Density of water</v>
          </cell>
          <cell r="C61" t="str">
            <v>kg / cubic meter</v>
          </cell>
          <cell r="D61">
            <v>1000</v>
          </cell>
          <cell r="E61" t="str">
            <v>Physical constant</v>
          </cell>
        </row>
        <row r="62">
          <cell r="B62" t="str">
            <v>Pounds per short ton</v>
          </cell>
          <cell r="C62" t="str">
            <v>pounds / short ton</v>
          </cell>
          <cell r="D62">
            <v>2000</v>
          </cell>
          <cell r="E62" t="str">
            <v>Physical constant</v>
          </cell>
        </row>
        <row r="63">
          <cell r="B63" t="str">
            <v>Metric tons per short ton</v>
          </cell>
          <cell r="C63" t="str">
            <v>metric tons / short ton</v>
          </cell>
          <cell r="D63">
            <v>0.90718500000000002</v>
          </cell>
          <cell r="E63" t="str">
            <v>Physical constant</v>
          </cell>
        </row>
        <row r="64">
          <cell r="B64" t="str">
            <v>Pounds per kilogram</v>
          </cell>
          <cell r="C64" t="str">
            <v>pounds / kg</v>
          </cell>
          <cell r="D64">
            <v>2.2026431718061672</v>
          </cell>
          <cell r="E64" t="str">
            <v>Physical constant</v>
          </cell>
        </row>
        <row r="65">
          <cell r="B65" t="str">
            <v>Cubic feet per cubic meter</v>
          </cell>
          <cell r="C65" t="str">
            <v>cubic feet / cubic meter</v>
          </cell>
          <cell r="D65">
            <v>35.314666711511585</v>
          </cell>
          <cell r="E65" t="str">
            <v>Physical constant</v>
          </cell>
        </row>
        <row r="67">
          <cell r="B67" t="str">
            <v>Parameter</v>
          </cell>
          <cell r="C67" t="str">
            <v>Units</v>
          </cell>
          <cell r="D67" t="str">
            <v>Period</v>
          </cell>
        </row>
        <row r="68">
          <cell r="D68" t="str">
            <v>2000-2010</v>
          </cell>
          <cell r="E68" t="str">
            <v>2010-2020</v>
          </cell>
          <cell r="F68" t="str">
            <v>2020-2030</v>
          </cell>
          <cell r="G68" t="str">
            <v>2030-2040</v>
          </cell>
          <cell r="H68" t="str">
            <v>2040-2050</v>
          </cell>
        </row>
        <row r="69">
          <cell r="B69" t="str">
            <v>Hardwood forests</v>
          </cell>
        </row>
        <row r="70">
          <cell r="B70" t="str">
            <v>Baseline hardwood removals</v>
          </cell>
          <cell r="C70" t="str">
            <v>million cubic feet wood / year</v>
          </cell>
          <cell r="D70">
            <v>6295.8507550731383</v>
          </cell>
          <cell r="E70">
            <v>6450.9725475251335</v>
          </cell>
          <cell r="F70">
            <v>6804.3816027088724</v>
          </cell>
          <cell r="G70">
            <v>6949.9260575461276</v>
          </cell>
          <cell r="H70">
            <v>7207.46885900904</v>
          </cell>
        </row>
        <row r="71">
          <cell r="B71" t="str">
            <v>Alternative scenario hardwood removals</v>
          </cell>
          <cell r="C71" t="str">
            <v>million cubic feet wood / year</v>
          </cell>
          <cell r="D71">
            <v>6295.8507550731383</v>
          </cell>
          <cell r="E71">
            <v>6364.5847503522227</v>
          </cell>
          <cell r="F71">
            <v>6804.1675958285387</v>
          </cell>
          <cell r="G71">
            <v>6949.915463146117</v>
          </cell>
          <cell r="H71">
            <v>7207.4649743957016</v>
          </cell>
        </row>
        <row r="72">
          <cell r="B72" t="str">
            <v>Baseline change in total nonsoil carbon pools</v>
          </cell>
          <cell r="C72" t="str">
            <v>million metric tons carbon / year</v>
          </cell>
          <cell r="D72">
            <v>-61.692999999999664</v>
          </cell>
          <cell r="E72">
            <v>-58.750000000000185</v>
          </cell>
          <cell r="F72">
            <v>-39.673999999999978</v>
          </cell>
          <cell r="G72">
            <v>-26.626000000000204</v>
          </cell>
          <cell r="H72">
            <v>-14.226999999999862</v>
          </cell>
        </row>
        <row r="73">
          <cell r="B73" t="str">
            <v>Alternative scenario change in total nonsoil C pools</v>
          </cell>
          <cell r="C73" t="str">
            <v>million metric tons carbon / year</v>
          </cell>
          <cell r="D73">
            <v>-61.692999999999664</v>
          </cell>
          <cell r="E73">
            <v>-60.051000000000386</v>
          </cell>
          <cell r="F73">
            <v>-39.663999999999945</v>
          </cell>
          <cell r="G73">
            <v>-26.553000000000065</v>
          </cell>
          <cell r="H73">
            <v>-14.166999999999826</v>
          </cell>
        </row>
        <row r="74">
          <cell r="B74" t="str">
            <v>Percent decrease in harvest for alternative scenario</v>
          </cell>
          <cell r="C74" t="str">
            <v>%</v>
          </cell>
          <cell r="D74">
            <v>0</v>
          </cell>
          <cell r="E74">
            <v>-1.3391437730742251E-2</v>
          </cell>
          <cell r="F74">
            <v>-3.1451334276844101E-5</v>
          </cell>
          <cell r="G74">
            <v>-1.5243903205286458E-6</v>
          </cell>
          <cell r="H74">
            <v>-5.3897053386986471E-7</v>
          </cell>
        </row>
        <row r="75">
          <cell r="B75" t="str">
            <v>Softwood forests</v>
          </cell>
        </row>
        <row r="76">
          <cell r="B76" t="str">
            <v>Baseline softwood removals</v>
          </cell>
          <cell r="C76" t="str">
            <v>million cubic feet wood / year</v>
          </cell>
          <cell r="D76">
            <v>6512.5193018331602</v>
          </cell>
          <cell r="E76">
            <v>7066.4729332454417</v>
          </cell>
          <cell r="F76">
            <v>7946.7464452931217</v>
          </cell>
          <cell r="G76">
            <v>8600.2175138185212</v>
          </cell>
          <cell r="H76">
            <v>9280.4980647318389</v>
          </cell>
        </row>
        <row r="77">
          <cell r="B77" t="str">
            <v>Alternative scenario softwood removals</v>
          </cell>
          <cell r="C77" t="str">
            <v>million cubic feet wood / year</v>
          </cell>
          <cell r="D77">
            <v>6512.5193018331602</v>
          </cell>
          <cell r="E77">
            <v>7065.2111402035061</v>
          </cell>
          <cell r="F77">
            <v>7946.7739907331634</v>
          </cell>
          <cell r="G77">
            <v>8600.2270487785318</v>
          </cell>
          <cell r="H77">
            <v>9280.5083059851786</v>
          </cell>
        </row>
        <row r="78">
          <cell r="B78" t="str">
            <v>Percent decrease in harvest for alternative scenario</v>
          </cell>
          <cell r="C78" t="str">
            <v>%</v>
          </cell>
          <cell r="D78">
            <v>0</v>
          </cell>
          <cell r="E78">
            <v>-1.7856051439735232E-4</v>
          </cell>
          <cell r="F78">
            <v>3.4662537973240148E-6</v>
          </cell>
          <cell r="G78">
            <v>1.1086882389932384E-6</v>
          </cell>
          <cell r="H78">
            <v>1.1035241069823343E-6</v>
          </cell>
        </row>
        <row r="81">
          <cell r="B81" t="str">
            <v>Parameter</v>
          </cell>
          <cell r="C81" t="str">
            <v>Units</v>
          </cell>
          <cell r="D81" t="str">
            <v>Year</v>
          </cell>
        </row>
        <row r="82">
          <cell r="D82">
            <v>2000</v>
          </cell>
          <cell r="E82">
            <v>2010</v>
          </cell>
          <cell r="F82">
            <v>2020</v>
          </cell>
          <cell r="G82">
            <v>2030</v>
          </cell>
          <cell r="H82">
            <v>2040</v>
          </cell>
          <cell r="I82">
            <v>2050</v>
          </cell>
        </row>
        <row r="83">
          <cell r="B83" t="str">
            <v>Change in hardwood harvest</v>
          </cell>
          <cell r="C83" t="str">
            <v>million cubic feet of hardwood</v>
          </cell>
          <cell r="D83">
            <v>0</v>
          </cell>
          <cell r="E83">
            <v>0</v>
          </cell>
          <cell r="F83">
            <v>-863.87797172910723</v>
          </cell>
          <cell r="G83">
            <v>-2.1400688033372717</v>
          </cell>
          <cell r="H83">
            <v>-0.10594400010631944</v>
          </cell>
          <cell r="I83">
            <v>-3.8846133384140558E-2</v>
          </cell>
        </row>
        <row r="84">
          <cell r="C84" t="str">
            <v>million short tons of hardwood</v>
          </cell>
          <cell r="D84">
            <v>0</v>
          </cell>
          <cell r="E84">
            <v>0</v>
          </cell>
          <cell r="F84">
            <v>-13.766778968456418</v>
          </cell>
          <cell r="G84">
            <v>-3.4104185031901504E-2</v>
          </cell>
          <cell r="H84">
            <v>-1.6883259907397872E-3</v>
          </cell>
          <cell r="I84">
            <v>-6.1905286345967381E-4</v>
          </cell>
        </row>
        <row r="86">
          <cell r="B86" t="str">
            <v>Baseline total carbon stocks</v>
          </cell>
          <cell r="C86" t="str">
            <v>million metric tons carbon</v>
          </cell>
          <cell r="D86">
            <v>25966.2</v>
          </cell>
          <cell r="E86">
            <v>26536.37</v>
          </cell>
          <cell r="F86">
            <v>27035.03</v>
          </cell>
          <cell r="G86">
            <v>27330.45</v>
          </cell>
          <cell r="H86">
            <v>27470.489999999998</v>
          </cell>
          <cell r="I86">
            <v>27508.25</v>
          </cell>
        </row>
        <row r="87">
          <cell r="B87" t="str">
            <v xml:space="preserve">Baseline non-soil carbon stocks </v>
          </cell>
          <cell r="C87" t="str">
            <v>million metric tons carbon</v>
          </cell>
          <cell r="D87">
            <v>14346.17</v>
          </cell>
          <cell r="E87">
            <v>14963.099999999997</v>
          </cell>
          <cell r="F87">
            <v>15550.599999999999</v>
          </cell>
          <cell r="G87">
            <v>15947.339999999998</v>
          </cell>
          <cell r="H87">
            <v>16213.6</v>
          </cell>
          <cell r="I87">
            <v>16355.869999999999</v>
          </cell>
        </row>
        <row r="88">
          <cell r="B88" t="str">
            <v>Alternative scenario non-soil carbon stocks</v>
          </cell>
          <cell r="C88" t="str">
            <v>million metric tons carbon</v>
          </cell>
          <cell r="D88">
            <v>14346.17</v>
          </cell>
          <cell r="E88">
            <v>14963.099999999997</v>
          </cell>
          <cell r="F88">
            <v>15563.61</v>
          </cell>
          <cell r="G88">
            <v>15960.25</v>
          </cell>
          <cell r="H88">
            <v>16225.78</v>
          </cell>
          <cell r="I88">
            <v>16367.449999999999</v>
          </cell>
        </row>
        <row r="89">
          <cell r="B89" t="str">
            <v>Cumulative change in non-soil forest carbon for alternative scenario relative to baseline</v>
          </cell>
          <cell r="C89" t="str">
            <v>million metric tons carbon</v>
          </cell>
          <cell r="D89">
            <v>0</v>
          </cell>
          <cell r="E89">
            <v>0</v>
          </cell>
          <cell r="F89">
            <v>13.010000000002037</v>
          </cell>
          <cell r="G89">
            <v>12.910000000001673</v>
          </cell>
          <cell r="H89">
            <v>12.180000000000291</v>
          </cell>
          <cell r="I89">
            <v>11.579999999999927</v>
          </cell>
        </row>
        <row r="90">
          <cell r="C90" t="str">
            <v>metric tons carbon / short ton of hardwood harvest reduced</v>
          </cell>
          <cell r="D90" t="str">
            <v>--</v>
          </cell>
          <cell r="E90" t="str">
            <v>--</v>
          </cell>
          <cell r="F90">
            <v>0.94502861052767861</v>
          </cell>
          <cell r="G90">
            <v>0.93776474726456582</v>
          </cell>
          <cell r="H90">
            <v>0.88473854544393526</v>
          </cell>
          <cell r="I90">
            <v>0.84115536586539097</v>
          </cell>
        </row>
        <row r="91">
          <cell r="B91" t="str">
            <v>Incremental change in non-soil forest carbon storage for alternative scenario relative to baseline</v>
          </cell>
          <cell r="C91" t="str">
            <v>million metric tons carbon</v>
          </cell>
          <cell r="D91">
            <v>0</v>
          </cell>
          <cell r="E91">
            <v>0</v>
          </cell>
          <cell r="F91">
            <v>13.010000000002037</v>
          </cell>
          <cell r="G91">
            <v>-0.1000000000003638</v>
          </cell>
          <cell r="H91">
            <v>-0.73000000000138243</v>
          </cell>
          <cell r="I91">
            <v>-0.6000000000003638</v>
          </cell>
        </row>
        <row r="92">
          <cell r="C92" t="str">
            <v>metric tons carbon / short ton of hardwood harvest reduced</v>
          </cell>
          <cell r="D92" t="str">
            <v>--</v>
          </cell>
          <cell r="E92" t="str">
            <v>--</v>
          </cell>
          <cell r="F92">
            <v>0.94502861052767861</v>
          </cell>
          <cell r="G92">
            <v>-7.2638632631127492E-3</v>
          </cell>
          <cell r="H92">
            <v>-5.3026201820630579E-2</v>
          </cell>
          <cell r="I92">
            <v>-4.3583179578544365E-2</v>
          </cell>
        </row>
        <row r="106">
          <cell r="A106" t="str">
            <v>Analysis of hardwood flooring in use and fates of hardwood flooring</v>
          </cell>
        </row>
        <row r="108">
          <cell r="A108" t="str">
            <v xml:space="preserve">Source: </v>
          </cell>
          <cell r="B108" t="str">
            <v>This analysis provided by Ken Skog, USDA Forest Service, on May 20, 2010</v>
          </cell>
        </row>
        <row r="109">
          <cell r="A109" t="str">
            <v xml:space="preserve">Purpose: </v>
          </cell>
          <cell r="B109" t="str">
            <v>This analysis evaluates the fate of hardwood flooring as a function of age. I.e., after X years after manufacture, how much hardwood flooring is in use? Combusted? Landfilled? Emitted as methane emissions?</v>
          </cell>
        </row>
        <row r="113">
          <cell r="B113" t="str">
            <v>Fate</v>
          </cell>
          <cell r="C113" t="str">
            <v>Fate of hardwood flooring as a function of age (in years)</v>
          </cell>
        </row>
        <row r="114">
          <cell r="C114">
            <v>0</v>
          </cell>
          <cell r="D114">
            <v>10</v>
          </cell>
          <cell r="E114">
            <v>20</v>
          </cell>
          <cell r="F114">
            <v>30</v>
          </cell>
          <cell r="G114">
            <v>40</v>
          </cell>
          <cell r="H114">
            <v>50</v>
          </cell>
        </row>
        <row r="115">
          <cell r="B115" t="str">
            <v>In use</v>
          </cell>
          <cell r="C115">
            <v>0.95</v>
          </cell>
          <cell r="D115">
            <v>0.80137708312955869</v>
          </cell>
          <cell r="E115">
            <v>0.67920082684320149</v>
          </cell>
          <cell r="F115">
            <v>0.57833583660099641</v>
          </cell>
          <cell r="G115">
            <v>0.4947042005627223</v>
          </cell>
          <cell r="H115">
            <v>0.42505853181725289</v>
          </cell>
        </row>
        <row r="116">
          <cell r="B116" t="str">
            <v>Combusted</v>
          </cell>
          <cell r="C116">
            <v>1.6500000000000011E-2</v>
          </cell>
          <cell r="D116">
            <v>6.5545562567245627E-2</v>
          </cell>
          <cell r="E116">
            <v>0.10586372714174348</v>
          </cell>
          <cell r="F116">
            <v>0.13914917392167117</v>
          </cell>
          <cell r="G116">
            <v>0.16674761381430159</v>
          </cell>
          <cell r="H116">
            <v>0.18973068450030653</v>
          </cell>
        </row>
        <row r="117">
          <cell r="B117" t="str">
            <v>Permanent landfill shortage</v>
          </cell>
          <cell r="C117">
            <v>2.5795000000000023E-2</v>
          </cell>
          <cell r="D117">
            <v>0.1024695628134607</v>
          </cell>
          <cell r="E117">
            <v>0.16550029343159237</v>
          </cell>
          <cell r="F117">
            <v>0.21753654189754598</v>
          </cell>
          <cell r="G117">
            <v>0.26068210292969163</v>
          </cell>
          <cell r="H117">
            <v>0.29661230343547934</v>
          </cell>
        </row>
        <row r="118">
          <cell r="B118" t="str">
            <v>Temporary landfill storage</v>
          </cell>
          <cell r="C118">
            <v>7.7050000000000061E-3</v>
          </cell>
          <cell r="D118">
            <v>2.567491374814895E-2</v>
          </cell>
          <cell r="E118">
            <v>3.5416482780172488E-2</v>
          </cell>
          <cell r="F118">
            <v>3.9760287915584926E-2</v>
          </cell>
          <cell r="G118">
            <v>4.065844110158582E-2</v>
          </cell>
          <cell r="H118">
            <v>3.9443621127388806E-2</v>
          </cell>
        </row>
        <row r="119">
          <cell r="B119" t="str">
            <v>Emitted from landfills</v>
          </cell>
          <cell r="C119">
            <v>0</v>
          </cell>
          <cell r="D119">
            <v>4.932877741586017E-3</v>
          </cell>
          <cell r="E119">
            <v>1.401866980329014E-2</v>
          </cell>
          <cell r="F119">
            <v>2.5218159664201489E-2</v>
          </cell>
          <cell r="G119">
            <v>3.7207641591698648E-2</v>
          </cell>
          <cell r="H119">
            <v>4.9154859119572403E-2</v>
          </cell>
        </row>
        <row r="120">
          <cell r="H120">
            <v>0.99999999999999989</v>
          </cell>
        </row>
        <row r="126">
          <cell r="I126" t="str">
            <v>Loss in placing flooring in use</v>
          </cell>
          <cell r="J126">
            <v>0.05</v>
          </cell>
        </row>
        <row r="127">
          <cell r="I127" t="str">
            <v xml:space="preserve">Percent going to landfills = </v>
          </cell>
          <cell r="J127">
            <v>0.67</v>
          </cell>
        </row>
        <row r="129">
          <cell r="B129" t="str">
            <v xml:space="preserve">Note: </v>
          </cell>
          <cell r="C129" t="str">
            <v>Assumes distribution of hardwood floor in use is the same as for all sawnwood</v>
          </cell>
          <cell r="I129" t="str">
            <v>Half life in landfills years=</v>
          </cell>
          <cell r="J129">
            <v>23</v>
          </cell>
        </row>
        <row r="130">
          <cell r="C130" t="str">
            <v>Parameters in cells in yellow are from Skog 2008. Forest Product Journal</v>
          </cell>
        </row>
        <row r="133">
          <cell r="B133">
            <v>1</v>
          </cell>
          <cell r="C133">
            <v>2</v>
          </cell>
          <cell r="D133">
            <v>3</v>
          </cell>
          <cell r="E133">
            <v>4</v>
          </cell>
          <cell r="F133">
            <v>5</v>
          </cell>
          <cell r="G133">
            <v>6</v>
          </cell>
          <cell r="H133">
            <v>7</v>
          </cell>
          <cell r="I133">
            <v>8</v>
          </cell>
          <cell r="J133">
            <v>9</v>
          </cell>
          <cell r="K133">
            <v>10</v>
          </cell>
          <cell r="L133">
            <v>11</v>
          </cell>
          <cell r="M133">
            <v>12</v>
          </cell>
          <cell r="N133">
            <v>13</v>
          </cell>
          <cell r="O133">
            <v>14</v>
          </cell>
          <cell r="P133">
            <v>15</v>
          </cell>
          <cell r="Q133">
            <v>16</v>
          </cell>
        </row>
        <row r="134">
          <cell r="B134" t="str">
            <v>Age</v>
          </cell>
          <cell r="C134" t="str">
            <v>In Use</v>
          </cell>
          <cell r="H134" t="str">
            <v>In Landfills</v>
          </cell>
          <cell r="P134" t="str">
            <v>Emitted</v>
          </cell>
          <cell r="Q134" t="str">
            <v>Combusted</v>
          </cell>
          <cell r="R134" t="str">
            <v>Vintage calculation to determine portion of temporarily-stored hardwood that is emitted as landfill gas</v>
          </cell>
        </row>
        <row r="135">
          <cell r="C135" t="str">
            <v>Single family housing</v>
          </cell>
          <cell r="D135" t="str">
            <v>Multifamily housing</v>
          </cell>
          <cell r="E135" t="str">
            <v>Residential upkeep</v>
          </cell>
          <cell r="F135" t="str">
            <v>Other</v>
          </cell>
          <cell r="G135" t="str">
            <v>In use</v>
          </cell>
          <cell r="H135" t="str">
            <v>Disposal</v>
          </cell>
          <cell r="I135" t="str">
            <v>Additions to landfill permanent stock</v>
          </cell>
          <cell r="J135" t="str">
            <v>Addition to Landfill temporary stock</v>
          </cell>
          <cell r="K135" t="str">
            <v>Total in landfills permanent stock</v>
          </cell>
          <cell r="L135" t="str">
            <v>total in landfill temporary stock</v>
          </cell>
          <cell r="M135" t="str">
            <v>Permanent Landfill Storage</v>
          </cell>
          <cell r="N135" t="str">
            <v>In use or permanent landfill storage</v>
          </cell>
          <cell r="O135" t="str">
            <v>Temporary Landfill Storage</v>
          </cell>
          <cell r="P135" t="str">
            <v>Emitted as Landfill Gas</v>
          </cell>
          <cell r="Q135" t="str">
            <v>Combusted</v>
          </cell>
          <cell r="R135">
            <v>0</v>
          </cell>
          <cell r="S135">
            <v>1</v>
          </cell>
        </row>
        <row r="136">
          <cell r="B136">
            <v>0</v>
          </cell>
          <cell r="C136">
            <v>0.27549999999999997</v>
          </cell>
          <cell r="D136">
            <v>2.8499999999999998E-2</v>
          </cell>
          <cell r="E136">
            <v>0.20899999999999999</v>
          </cell>
          <cell r="F136">
            <v>0.437</v>
          </cell>
          <cell r="G136">
            <v>0.95</v>
          </cell>
          <cell r="H136">
            <v>5.0000000000000044E-2</v>
          </cell>
          <cell r="I136">
            <v>2.5795000000000023E-2</v>
          </cell>
          <cell r="J136">
            <v>7.7050000000000061E-3</v>
          </cell>
          <cell r="K136">
            <v>2.5795000000000023E-2</v>
          </cell>
          <cell r="L136">
            <v>7.7050000000000061E-3</v>
          </cell>
          <cell r="M136">
            <v>2.5795000000000023E-2</v>
          </cell>
          <cell r="N136">
            <v>0.97579499999999997</v>
          </cell>
          <cell r="O136">
            <v>7.7050000000000061E-3</v>
          </cell>
          <cell r="P136">
            <v>0</v>
          </cell>
          <cell r="Q136">
            <v>1.6500000000000011E-2</v>
          </cell>
          <cell r="R136">
            <v>7.7050000000000061E-3</v>
          </cell>
        </row>
        <row r="137">
          <cell r="B137">
            <v>1</v>
          </cell>
          <cell r="C137">
            <v>0.27323357782446511</v>
          </cell>
          <cell r="D137">
            <v>2.8116655283778172E-2</v>
          </cell>
          <cell r="E137">
            <v>0.20332362253080208</v>
          </cell>
          <cell r="F137">
            <v>0.42910106752498339</v>
          </cell>
          <cell r="G137">
            <v>0.93377492316402866</v>
          </cell>
          <cell r="H137">
            <v>1.6225076835971297E-2</v>
          </cell>
          <cell r="I137">
            <v>8.3705171396775933E-3</v>
          </cell>
          <cell r="J137">
            <v>2.5002843404231768E-3</v>
          </cell>
          <cell r="K137">
            <v>3.4165517139677616E-2</v>
          </cell>
          <cell r="L137">
            <v>9.9765441003603766E-3</v>
          </cell>
          <cell r="M137">
            <v>3.4165517139677616E-2</v>
          </cell>
          <cell r="N137">
            <v>0.9679404403037063</v>
          </cell>
          <cell r="O137">
            <v>9.9765441003603766E-3</v>
          </cell>
          <cell r="P137">
            <v>2.28740240062697E-4</v>
          </cell>
          <cell r="Q137">
            <v>2.1854275355870537E-2</v>
          </cell>
          <cell r="R137">
            <v>7.4762597599372007E-3</v>
          </cell>
          <cell r="S137">
            <v>2.5002843404231768E-3</v>
          </cell>
        </row>
        <row r="138">
          <cell r="B138">
            <v>2</v>
          </cell>
          <cell r="C138">
            <v>0.27098580054721605</v>
          </cell>
          <cell r="D138">
            <v>2.7738466819186361E-2</v>
          </cell>
          <cell r="E138">
            <v>0.19780141377534971</v>
          </cell>
          <cell r="F138">
            <v>0.42134491110087036</v>
          </cell>
          <cell r="G138">
            <v>0.91787059224262246</v>
          </cell>
          <cell r="H138">
            <v>1.5904330921406196E-2</v>
          </cell>
          <cell r="I138">
            <v>8.2050443223534563E-3</v>
          </cell>
          <cell r="J138">
            <v>2.4508573949886948E-3</v>
          </cell>
          <cell r="K138">
            <v>4.2370561462031074E-2</v>
          </cell>
          <cell r="L138">
            <v>1.2131225363939131E-2</v>
          </cell>
          <cell r="M138">
            <v>4.2370561462031074E-2</v>
          </cell>
          <cell r="N138">
            <v>0.96024115370465357</v>
          </cell>
          <cell r="O138">
            <v>1.2131225363939131E-2</v>
          </cell>
          <cell r="P138">
            <v>5.2491637147267234E-4</v>
          </cell>
          <cell r="Q138">
            <v>2.7102704559934583E-2</v>
          </cell>
          <cell r="R138">
            <v>7.25431018793721E-3</v>
          </cell>
          <cell r="S138">
            <v>2.426057781013226E-3</v>
          </cell>
        </row>
        <row r="139">
          <cell r="B139">
            <v>3</v>
          </cell>
          <cell r="C139">
            <v>0.26875651478454715</v>
          </cell>
          <cell r="D139">
            <v>2.7365365251073043E-2</v>
          </cell>
          <cell r="E139">
            <v>0.19242918655750335</v>
          </cell>
          <cell r="F139">
            <v>0.41372894999909082</v>
          </cell>
          <cell r="G139">
            <v>0.90228001659221435</v>
          </cell>
          <cell r="H139">
            <v>1.5590575650408112E-2</v>
          </cell>
          <cell r="I139">
            <v>8.0431779780455459E-3</v>
          </cell>
          <cell r="J139">
            <v>2.4025077077278901E-3</v>
          </cell>
          <cell r="K139">
            <v>5.041373944007662E-2</v>
          </cell>
          <cell r="L139">
            <v>1.417359038483984E-2</v>
          </cell>
          <cell r="M139">
            <v>5.041373944007662E-2</v>
          </cell>
          <cell r="N139">
            <v>0.95269375603229101</v>
          </cell>
          <cell r="O139">
            <v>1.417359038483984E-2</v>
          </cell>
          <cell r="P139">
            <v>8.8505905829983078E-4</v>
          </cell>
          <cell r="Q139">
            <v>3.2247594524569261E-2</v>
          </cell>
          <cell r="R139">
            <v>7.0389496877582601E-3</v>
          </cell>
          <cell r="S139">
            <v>2.3540348038250105E-3</v>
          </cell>
        </row>
        <row r="140">
          <cell r="B140">
            <v>4</v>
          </cell>
          <cell r="C140">
            <v>0.26654556841457561</v>
          </cell>
          <cell r="D140">
            <v>2.6997282157161497E-2</v>
          </cell>
          <cell r="E140">
            <v>0.18720286742357467</v>
          </cell>
          <cell r="F140">
            <v>0.40625065013867356</v>
          </cell>
          <cell r="G140">
            <v>0.88699636813398541</v>
          </cell>
          <cell r="H140">
            <v>1.5283648458228938E-2</v>
          </cell>
          <cell r="I140">
            <v>7.8848342396003086E-3</v>
          </cell>
          <cell r="J140">
            <v>2.3552102274130792E-3</v>
          </cell>
          <cell r="K140">
            <v>5.8298573679676932E-2</v>
          </cell>
          <cell r="L140">
            <v>1.6108025730075096E-2</v>
          </cell>
          <cell r="M140">
            <v>5.8298573679676932E-2</v>
          </cell>
          <cell r="N140">
            <v>0.94529494181366236</v>
          </cell>
          <cell r="O140">
            <v>1.6108025730075096E-2</v>
          </cell>
          <cell r="P140">
            <v>1.3058339404777852E-3</v>
          </cell>
          <cell r="Q140">
            <v>3.7291198515784808E-2</v>
          </cell>
          <cell r="R140">
            <v>6.8299826479960501E-3</v>
          </cell>
          <cell r="S140">
            <v>2.2841499905682768E-3</v>
          </cell>
        </row>
        <row r="141">
          <cell r="B141">
            <v>5</v>
          </cell>
          <cell r="C141">
            <v>0.26435281056686111</v>
          </cell>
          <cell r="D141">
            <v>2.6634150035501934E-2</v>
          </cell>
          <cell r="E141">
            <v>0.18211849355365878</v>
          </cell>
          <cell r="F141">
            <v>0.39890752324307405</v>
          </cell>
          <cell r="G141">
            <v>0.87201297739909589</v>
          </cell>
          <cell r="H141">
            <v>1.4983390734889523E-2</v>
          </cell>
          <cell r="I141">
            <v>7.7299312801295062E-3</v>
          </cell>
          <cell r="J141">
            <v>2.3089405122464759E-3</v>
          </cell>
          <cell r="K141">
            <v>6.6028504959806444E-2</v>
          </cell>
          <cell r="L141">
            <v>1.793876329976022E-2</v>
          </cell>
          <cell r="M141">
            <v>6.6028504959806444E-2</v>
          </cell>
          <cell r="N141">
            <v>0.93804148235890228</v>
          </cell>
          <cell r="O141">
            <v>1.793876329976022E-2</v>
          </cell>
          <cell r="P141">
            <v>1.7840368830391862E-3</v>
          </cell>
          <cell r="Q141">
            <v>4.223571745829835E-2</v>
          </cell>
          <cell r="R141">
            <v>6.6272192644104026E-3</v>
          </cell>
          <cell r="S141">
            <v>2.2163398650417304E-3</v>
          </cell>
        </row>
        <row r="142">
          <cell r="B142">
            <v>6</v>
          </cell>
          <cell r="C142">
            <v>0.26217809161211081</v>
          </cell>
          <cell r="D142">
            <v>2.6275902292092496E-2</v>
          </cell>
          <cell r="E142">
            <v>0.17717220975685372</v>
          </cell>
          <cell r="F142">
            <v>0.39169712601224299</v>
          </cell>
          <cell r="G142">
            <v>0.85732332967330005</v>
          </cell>
          <cell r="H142">
            <v>1.468964772579584E-2</v>
          </cell>
          <cell r="I142">
            <v>7.5783892617380753E-3</v>
          </cell>
          <cell r="J142">
            <v>2.263674714545139E-3</v>
          </cell>
          <cell r="K142">
            <v>7.3606894221544525E-2</v>
          </cell>
          <cell r="L142">
            <v>1.9669885512862528E-2</v>
          </cell>
          <cell r="M142">
            <v>7.3606894221544525E-2</v>
          </cell>
          <cell r="N142">
            <v>0.93093022389484459</v>
          </cell>
          <cell r="O142">
            <v>1.9669885512862528E-2</v>
          </cell>
          <cell r="P142">
            <v>2.3165893844818708E-3</v>
          </cell>
          <cell r="Q142">
            <v>4.7083301207810978E-2</v>
          </cell>
          <cell r="R142">
            <v>6.4304753675265506E-3</v>
          </cell>
          <cell r="S142">
            <v>2.1505428354777574E-3</v>
          </cell>
        </row>
        <row r="143">
          <cell r="B143">
            <v>7</v>
          </cell>
          <cell r="C143">
            <v>0.26002126315196888</v>
          </cell>
          <cell r="D143">
            <v>2.5922473228666722E-2</v>
          </cell>
          <cell r="E143">
            <v>0.17236026554808909</v>
          </cell>
          <cell r="F143">
            <v>0.38461705930966</v>
          </cell>
          <cell r="G143">
            <v>0.84292106123838462</v>
          </cell>
          <cell r="H143">
            <v>1.4402268434915433E-2</v>
          </cell>
          <cell r="I143">
            <v>7.4301302855728718E-3</v>
          </cell>
          <cell r="J143">
            <v>2.2193895658204682E-3</v>
          </cell>
          <cell r="K143">
            <v>8.1037024507117403E-2</v>
          </cell>
          <cell r="L143">
            <v>2.1305330324079486E-2</v>
          </cell>
          <cell r="M143">
            <v>8.1037024507117403E-2</v>
          </cell>
          <cell r="N143">
            <v>0.92395808574550198</v>
          </cell>
          <cell r="O143">
            <v>2.1305330324079486E-2</v>
          </cell>
          <cell r="P143">
            <v>2.900534139085531E-3</v>
          </cell>
          <cell r="Q143">
            <v>5.1836049791333071E-2</v>
          </cell>
          <cell r="R143">
            <v>6.2395722553544577E-3</v>
          </cell>
          <cell r="S143">
            <v>2.0866991385987792E-3</v>
          </cell>
        </row>
        <row r="144">
          <cell r="B144">
            <v>8</v>
          </cell>
          <cell r="C144">
            <v>0.25788217800889007</v>
          </cell>
          <cell r="D144">
            <v>2.5573798030645283E-2</v>
          </cell>
          <cell r="E144">
            <v>0.16767901230434676</v>
          </cell>
          <cell r="F144">
            <v>0.37766496736406163</v>
          </cell>
          <cell r="G144">
            <v>0.82879995570794374</v>
          </cell>
          <cell r="H144">
            <v>1.4121105530440881E-2</v>
          </cell>
          <cell r="I144">
            <v>7.2850783431544514E-3</v>
          </cell>
          <cell r="J144">
            <v>2.1760623622409398E-3</v>
          </cell>
          <cell r="K144">
            <v>8.8322102850271852E-2</v>
          </cell>
          <cell r="L144">
            <v>2.2848896077242255E-2</v>
          </cell>
          <cell r="M144">
            <v>8.8322102850271852E-2</v>
          </cell>
          <cell r="N144">
            <v>0.9171220585582156</v>
          </cell>
          <cell r="O144">
            <v>2.2848896077242255E-2</v>
          </cell>
          <cell r="P144">
            <v>3.5330307481635792E-3</v>
          </cell>
          <cell r="Q144">
            <v>5.6496014616378563E-2</v>
          </cell>
          <cell r="R144">
            <v>6.0543365310742501E-3</v>
          </cell>
          <cell r="S144">
            <v>2.0247507853344143E-3</v>
          </cell>
        </row>
        <row r="145">
          <cell r="B145">
            <v>9</v>
          </cell>
          <cell r="C145">
            <v>0.25576069021609665</v>
          </cell>
          <cell r="D145">
            <v>2.5229812755249777E-2</v>
          </cell>
          <cell r="E145">
            <v>0.16312490049811829</v>
          </cell>
          <cell r="F145">
            <v>0.37083853698559927</v>
          </cell>
          <cell r="G145">
            <v>0.81495394045506397</v>
          </cell>
          <cell r="H145">
            <v>1.3846015252879762E-2</v>
          </cell>
          <cell r="I145">
            <v>7.1431592689606702E-3</v>
          </cell>
          <cell r="J145">
            <v>2.1336709504687712E-3</v>
          </cell>
          <cell r="K145">
            <v>9.5465262119232522E-2</v>
          </cell>
          <cell r="L145">
            <v>2.4304246200471766E-2</v>
          </cell>
          <cell r="M145">
            <v>9.5465262119232522E-2</v>
          </cell>
          <cell r="N145">
            <v>0.91041920257429654</v>
          </cell>
          <cell r="O145">
            <v>2.4304246200471766E-2</v>
          </cell>
          <cell r="P145">
            <v>4.2113515754027553E-3</v>
          </cell>
          <cell r="Q145">
            <v>6.1065199649828886E-2</v>
          </cell>
          <cell r="R145">
            <v>5.8745999455403191E-3</v>
          </cell>
          <cell r="S145">
            <v>1.9646415081501509E-3</v>
          </cell>
        </row>
        <row r="146">
          <cell r="B146">
            <v>10</v>
          </cell>
          <cell r="C146">
            <v>0.25365665500761803</v>
          </cell>
          <cell r="D146">
            <v>2.489045431977641E-2</v>
          </cell>
          <cell r="E146">
            <v>0.15869447700600026</v>
          </cell>
          <cell r="F146">
            <v>0.36413549679616397</v>
          </cell>
          <cell r="G146">
            <v>0.80137708312955869</v>
          </cell>
          <cell r="H146">
            <v>1.3576857325505287E-2</v>
          </cell>
          <cell r="I146">
            <v>7.0043006942281773E-3</v>
          </cell>
          <cell r="J146">
            <v>2.0921937138603645E-3</v>
          </cell>
          <cell r="K146">
            <v>0.1024695628134607</v>
          </cell>
          <cell r="L146">
            <v>2.567491374814895E-2</v>
          </cell>
          <cell r="M146">
            <v>0.1024695628134607</v>
          </cell>
          <cell r="N146">
            <v>0.90384664594301944</v>
          </cell>
          <cell r="O146">
            <v>2.567491374814895E-2</v>
          </cell>
          <cell r="P146">
            <v>4.932877741586017E-3</v>
          </cell>
          <cell r="Q146">
            <v>6.5545562567245627E-2</v>
          </cell>
          <cell r="R146">
            <v>5.7001992444610421E-3</v>
          </cell>
          <cell r="S146">
            <v>1.9063167099396879E-3</v>
          </cell>
        </row>
        <row r="147">
          <cell r="B147">
            <v>11</v>
          </cell>
          <cell r="C147">
            <v>0.251569928808412</v>
          </cell>
          <cell r="D147">
            <v>2.4555660490027394E-2</v>
          </cell>
          <cell r="E147">
            <v>0.15438438249038777</v>
          </cell>
          <cell r="F147">
            <v>0.35755361647362499</v>
          </cell>
          <cell r="G147">
            <v>0.78806358826245215</v>
          </cell>
          <cell r="H147">
            <v>1.3313494867106535E-2</v>
          </cell>
          <cell r="I147">
            <v>6.8684320019402612E-3</v>
          </cell>
          <cell r="J147">
            <v>2.051609559021117E-3</v>
          </cell>
          <cell r="K147">
            <v>0.10933799481540096</v>
          </cell>
          <cell r="L147">
            <v>2.6964305794601164E-2</v>
          </cell>
          <cell r="M147">
            <v>0.10933799481540096</v>
          </cell>
          <cell r="N147">
            <v>0.89740158307785312</v>
          </cell>
          <cell r="O147">
            <v>2.6964305794601164E-2</v>
          </cell>
          <cell r="P147">
            <v>5.6950952541549027E-3</v>
          </cell>
          <cell r="Q147">
            <v>6.9939015873390784E-2</v>
          </cell>
          <cell r="R147">
            <v>5.5309760201153139E-3</v>
          </cell>
          <cell r="S147">
            <v>1.8497234144345173E-3</v>
          </cell>
        </row>
        <row r="148">
          <cell r="B148">
            <v>12</v>
          </cell>
          <cell r="C148">
            <v>0.24950036922456764</v>
          </cell>
          <cell r="D148">
            <v>2.4225369868897954E-2</v>
          </cell>
          <cell r="E148">
            <v>0.15019134885228025</v>
          </cell>
          <cell r="F148">
            <v>0.35109070600972764</v>
          </cell>
          <cell r="G148">
            <v>0.77500779395547348</v>
          </cell>
          <cell r="H148">
            <v>1.3055794306978674E-2</v>
          </cell>
          <cell r="I148">
            <v>6.735484282970299E-3</v>
          </cell>
          <cell r="J148">
            <v>2.0118979027054138E-3</v>
          </cell>
          <cell r="K148">
            <v>0.11607347909837126</v>
          </cell>
          <cell r="L148">
            <v>2.8175707684252194E-2</v>
          </cell>
          <cell r="M148">
            <v>0.11607347909837126</v>
          </cell>
          <cell r="N148">
            <v>0.89108127305384477</v>
          </cell>
          <cell r="O148">
            <v>2.8175707684252194E-2</v>
          </cell>
          <cell r="P148">
            <v>6.495591267209333E-3</v>
          </cell>
          <cell r="Q148">
            <v>7.4247427994693749E-2</v>
          </cell>
          <cell r="R148">
            <v>5.3667765674712126E-3</v>
          </cell>
          <cell r="S148">
            <v>1.7948102180857122E-3</v>
          </cell>
        </row>
        <row r="149">
          <cell r="B149">
            <v>13</v>
          </cell>
          <cell r="C149">
            <v>0.24744783503358869</v>
          </cell>
          <cell r="D149">
            <v>2.3899521885116855E-2</v>
          </cell>
          <cell r="E149">
            <v>0.14611219675326817</v>
          </cell>
          <cell r="F149">
            <v>0.34474461498140557</v>
          </cell>
          <cell r="G149">
            <v>0.76220416865337937</v>
          </cell>
          <cell r="H149">
            <v>1.2803625302094113E-2</v>
          </cell>
          <cell r="I149">
            <v>6.6053902933503536E-3</v>
          </cell>
          <cell r="J149">
            <v>1.9730386590527029E-3</v>
          </cell>
          <cell r="K149">
            <v>0.12267886939172162</v>
          </cell>
          <cell r="L149">
            <v>2.9312287142833092E-2</v>
          </cell>
          <cell r="M149">
            <v>0.12267886939172162</v>
          </cell>
          <cell r="N149">
            <v>0.88488303804510093</v>
          </cell>
          <cell r="O149">
            <v>2.9312287142833092E-2</v>
          </cell>
          <cell r="P149">
            <v>7.3320504676811504E-3</v>
          </cell>
          <cell r="Q149">
            <v>7.8472624344384803E-2</v>
          </cell>
          <cell r="R149">
            <v>5.2074517445761049E-3</v>
          </cell>
          <cell r="S149">
            <v>1.741527243374213E-3</v>
          </cell>
        </row>
        <row r="150">
          <cell r="B150">
            <v>14</v>
          </cell>
          <cell r="C150">
            <v>0.24541218617475669</v>
          </cell>
          <cell r="D150">
            <v>2.3578056782138351E-2</v>
          </cell>
          <cell r="E150">
            <v>0.14214383320482193</v>
          </cell>
          <cell r="F150">
            <v>0.33851323183526427</v>
          </cell>
          <cell r="G150">
            <v>0.7496473079969812</v>
          </cell>
          <cell r="H150">
            <v>1.2556860656398161E-2</v>
          </cell>
          <cell r="I150">
            <v>6.4780844126358121E-3</v>
          </cell>
          <cell r="J150">
            <v>1.9350122271509567E-3</v>
          </cell>
          <cell r="K150">
            <v>0.12915695380435743</v>
          </cell>
          <cell r="L150">
            <v>3.0377098254105853E-2</v>
          </cell>
          <cell r="M150">
            <v>0.12915695380435743</v>
          </cell>
          <cell r="N150">
            <v>0.87880426180133864</v>
          </cell>
          <cell r="O150">
            <v>3.0377098254105853E-2</v>
          </cell>
          <cell r="P150">
            <v>8.2022515835593612E-3</v>
          </cell>
          <cell r="Q150">
            <v>8.261638836099619E-2</v>
          </cell>
          <cell r="R150">
            <v>5.0528568370913794E-3</v>
          </cell>
          <cell r="S150">
            <v>1.6898260935072002E-3</v>
          </cell>
        </row>
        <row r="151">
          <cell r="B151">
            <v>15</v>
          </cell>
          <cell r="C151">
            <v>0.2433932837395735</v>
          </cell>
          <cell r="D151">
            <v>2.3260915607183581E-2</v>
          </cell>
          <cell r="E151">
            <v>0.13828324922305504</v>
          </cell>
          <cell r="F151">
            <v>0.33239448318499792</v>
          </cell>
          <cell r="G151">
            <v>0.73733193175481015</v>
          </cell>
          <cell r="H151">
            <v>1.231537624217105E-2</v>
          </cell>
          <cell r="I151">
            <v>6.3535026033360456E-3</v>
          </cell>
          <cell r="J151">
            <v>1.8977994789185588E-3</v>
          </cell>
          <cell r="K151">
            <v>0.13551045640769349</v>
          </cell>
          <cell r="L151">
            <v>3.1373085306411093E-2</v>
          </cell>
          <cell r="M151">
            <v>0.13551045640769349</v>
          </cell>
          <cell r="N151">
            <v>0.87284238816250359</v>
          </cell>
          <cell r="O151">
            <v>3.1373085306411093E-2</v>
          </cell>
          <cell r="P151">
            <v>9.1040640101726078E-3</v>
          </cell>
          <cell r="Q151">
            <v>8.6680462520912632E-2</v>
          </cell>
          <cell r="R151">
            <v>4.9028514268487748E-3</v>
          </cell>
          <cell r="S151">
            <v>1.6396598084594091E-3</v>
          </cell>
        </row>
        <row r="152">
          <cell r="B152">
            <v>16</v>
          </cell>
          <cell r="C152">
            <v>0.24139098996228267</v>
          </cell>
          <cell r="D152">
            <v>2.2948040200429353E-2</v>
          </cell>
          <cell r="E152">
            <v>0.13452751754718315</v>
          </cell>
          <cell r="F152">
            <v>0.32638633312150511</v>
          </cell>
          <cell r="G152">
            <v>0.72525288083140027</v>
          </cell>
          <cell r="H152">
            <v>1.2079050923409884E-2</v>
          </cell>
          <cell r="I152">
            <v>6.2315823713871591E-3</v>
          </cell>
          <cell r="J152">
            <v>1.8613817472974629E-3</v>
          </cell>
          <cell r="K152">
            <v>0.14174203877908065</v>
          </cell>
          <cell r="L152">
            <v>3.2303086513215465E-2</v>
          </cell>
          <cell r="M152">
            <v>0.14174203877908065</v>
          </cell>
          <cell r="N152">
            <v>0.86699491961048092</v>
          </cell>
          <cell r="O152">
            <v>3.2303086513215465E-2</v>
          </cell>
          <cell r="P152">
            <v>1.003544455066574E-2</v>
          </cell>
          <cell r="Q152">
            <v>9.0666549325637891E-2</v>
          </cell>
          <cell r="R152">
            <v>4.7572992643089103E-3</v>
          </cell>
          <cell r="S152">
            <v>1.5909828223194564E-3</v>
          </cell>
        </row>
        <row r="153">
          <cell r="B153">
            <v>17</v>
          </cell>
          <cell r="C153">
            <v>0.23940516821046837</v>
          </cell>
          <cell r="D153">
            <v>2.2639373184342313E-2</v>
          </cell>
          <cell r="E153">
            <v>0.1308737904199489</v>
          </cell>
          <cell r="F153">
            <v>0.32048678253547525</v>
          </cell>
          <cell r="G153">
            <v>0.7134051143502349</v>
          </cell>
          <cell r="H153">
            <v>1.1847766481165367E-2</v>
          </cell>
          <cell r="I153">
            <v>6.1122627276332143E-3</v>
          </cell>
          <cell r="J153">
            <v>1.8257408147475832E-3</v>
          </cell>
          <cell r="K153">
            <v>0.14785430150671386</v>
          </cell>
          <cell r="L153">
            <v>3.3169837611700552E-2</v>
          </cell>
          <cell r="M153">
            <v>0.14785430150671386</v>
          </cell>
          <cell r="N153">
            <v>0.86125941585694876</v>
          </cell>
          <cell r="O153">
            <v>3.3169837611700552E-2</v>
          </cell>
          <cell r="P153">
            <v>1.0994434266928255E-2</v>
          </cell>
          <cell r="Q153">
            <v>9.4576312264422466E-2</v>
          </cell>
          <cell r="R153">
            <v>4.616068144806168E-3</v>
          </cell>
          <cell r="S153">
            <v>1.5437509219024346E-3</v>
          </cell>
        </row>
        <row r="154">
          <cell r="B154">
            <v>18</v>
          </cell>
          <cell r="C154">
            <v>0.23743568297573206</v>
          </cell>
          <cell r="D154">
            <v>2.2334857953156644E-2</v>
          </cell>
          <cell r="E154">
            <v>0.12731929742833012</v>
          </cell>
          <cell r="F154">
            <v>0.31469386845221886</v>
          </cell>
          <cell r="G154">
            <v>0.70178370680943769</v>
          </cell>
          <cell r="H154">
            <v>1.1621407540797213E-2</v>
          </cell>
          <cell r="I154">
            <v>5.9954841502972821E-3</v>
          </cell>
          <cell r="J154">
            <v>1.7908589020368504E-3</v>
          </cell>
          <cell r="K154">
            <v>0.15384978565701113</v>
          </cell>
          <cell r="L154">
            <v>3.3975975343309803E-2</v>
          </cell>
          <cell r="M154">
            <v>0.15384978565701113</v>
          </cell>
          <cell r="N154">
            <v>0.85563349246644882</v>
          </cell>
          <cell r="O154">
            <v>3.3975975343309803E-2</v>
          </cell>
          <cell r="P154">
            <v>1.1979155437355837E-2</v>
          </cell>
          <cell r="Q154">
            <v>9.841137675288554E-2</v>
          </cell>
          <cell r="R154">
            <v>4.4790297884675272E-3</v>
          </cell>
          <cell r="S154">
            <v>1.4979212065911898E-3</v>
          </cell>
        </row>
        <row r="155">
          <cell r="B155">
            <v>19</v>
          </cell>
          <cell r="C155">
            <v>0.23548239986444541</v>
          </cell>
          <cell r="D155">
            <v>2.203443866249322E-2</v>
          </cell>
          <cell r="E155">
            <v>0.12386134340289336</v>
          </cell>
          <cell r="F155">
            <v>0.30900566337852131</v>
          </cell>
          <cell r="G155">
            <v>0.69038384530835328</v>
          </cell>
          <cell r="H155">
            <v>1.1399861501084407E-2</v>
          </cell>
          <cell r="I155">
            <v>5.8811885484094462E-3</v>
          </cell>
          <cell r="J155">
            <v>1.756718657317107E-3</v>
          </cell>
          <cell r="K155">
            <v>0.15973097420542057</v>
          </cell>
          <cell r="L155">
            <v>3.4724040820043316E-2</v>
          </cell>
          <cell r="M155">
            <v>0.15973097420542057</v>
          </cell>
          <cell r="N155">
            <v>0.85011481951377388</v>
          </cell>
          <cell r="O155">
            <v>3.4724040820043316E-2</v>
          </cell>
          <cell r="P155">
            <v>1.2987808617939356E-2</v>
          </cell>
          <cell r="Q155">
            <v>0.10217333104824339</v>
          </cell>
          <cell r="R155">
            <v>4.3460597236962724E-3</v>
          </cell>
          <cell r="S155">
            <v>1.4534520493697967E-3</v>
          </cell>
        </row>
        <row r="156">
          <cell r="B156">
            <v>20</v>
          </cell>
          <cell r="C156">
            <v>0.2335451855885799</v>
          </cell>
          <cell r="D156">
            <v>2.1738060219118463E-2</v>
          </cell>
          <cell r="E156">
            <v>0.12049730637420068</v>
          </cell>
          <cell r="F156">
            <v>0.30342027466130239</v>
          </cell>
          <cell r="G156">
            <v>0.67920082684320149</v>
          </cell>
          <cell r="H156">
            <v>1.1183018465151795E-2</v>
          </cell>
          <cell r="I156">
            <v>5.7693192261718115E-3</v>
          </cell>
          <cell r="J156">
            <v>1.7233031454798916E-3</v>
          </cell>
          <cell r="K156">
            <v>0.16550029343159237</v>
          </cell>
          <cell r="L156">
            <v>3.5416482780172488E-2</v>
          </cell>
          <cell r="M156">
            <v>0.16550029343159237</v>
          </cell>
          <cell r="N156">
            <v>0.84470112027479383</v>
          </cell>
          <cell r="O156">
            <v>3.5416482780172488E-2</v>
          </cell>
          <cell r="P156">
            <v>1.401866980329014E-2</v>
          </cell>
          <cell r="Q156">
            <v>0.10586372714174348</v>
          </cell>
          <cell r="R156">
            <v>4.2170371741147572E-3</v>
          </cell>
          <cell r="S156">
            <v>1.4103030590138428E-3</v>
          </cell>
        </row>
        <row r="157">
          <cell r="B157">
            <v>21</v>
          </cell>
          <cell r="C157">
            <v>0.23162390795661125</v>
          </cell>
          <cell r="D157">
            <v>2.1445668270840889E-2</v>
          </cell>
          <cell r="E157">
            <v>0.11722463558471959</v>
          </cell>
          <cell r="F157">
            <v>0.29793584385786842</v>
          </cell>
          <cell r="G157">
            <v>0.66823005567004012</v>
          </cell>
          <cell r="H157">
            <v>1.0970771173161364E-2</v>
          </cell>
          <cell r="I157">
            <v>5.6598208482339487E-3</v>
          </cell>
          <cell r="J157">
            <v>1.6905958377841663E-3</v>
          </cell>
          <cell r="K157">
            <v>0.1711601142798263</v>
          </cell>
          <cell r="L157">
            <v>3.6055660736929146E-2</v>
          </cell>
          <cell r="M157">
            <v>0.1711601142798263</v>
          </cell>
          <cell r="N157">
            <v>0.83939016994986648</v>
          </cell>
          <cell r="O157">
            <v>3.6055660736929146E-2</v>
          </cell>
          <cell r="P157">
            <v>1.5070087684317723E-2</v>
          </cell>
          <cell r="Q157">
            <v>0.10948408162888673</v>
          </cell>
          <cell r="R157">
            <v>4.0918449488635206E-3</v>
          </cell>
          <cell r="S157">
            <v>1.3684350434031831E-3</v>
          </cell>
        </row>
        <row r="158">
          <cell r="H158">
            <v>1.0763014936721382E-2</v>
          </cell>
          <cell r="I158">
            <v>5.5526394058545616E-3</v>
          </cell>
          <cell r="J158">
            <v>1.658580601748765E-3</v>
          </cell>
          <cell r="K158">
            <v>0.17671275368568087</v>
          </cell>
          <cell r="L158">
            <v>3.66438480236113E-2</v>
          </cell>
          <cell r="M158">
            <v>0.17671275368568087</v>
          </cell>
          <cell r="N158">
            <v>0.83417979441899959</v>
          </cell>
          <cell r="O158">
            <v>3.66438480236113E-2</v>
          </cell>
          <cell r="P158">
            <v>1.6140480999384366E-2</v>
          </cell>
          <cell r="Q158">
            <v>0.11303587655800479</v>
          </cell>
          <cell r="R158">
            <v>3.9703693361571191E-3</v>
          </cell>
        </row>
        <row r="159">
          <cell r="H159">
            <v>1.0559647574973297E-2</v>
          </cell>
          <cell r="I159">
            <v>5.4477221839287241E-3</v>
          </cell>
          <cell r="J159">
            <v>1.627241691303385E-3</v>
          </cell>
          <cell r="K159">
            <v>0.18216047586960959</v>
          </cell>
          <cell r="L159">
            <v>3.7183234738438917E-2</v>
          </cell>
          <cell r="M159">
            <v>0.18216047586960959</v>
          </cell>
          <cell r="N159">
            <v>0.82906786902795504</v>
          </cell>
          <cell r="O159">
            <v>3.7183234738438917E-2</v>
          </cell>
          <cell r="P159">
            <v>1.7228335975860154E-2</v>
          </cell>
          <cell r="Q159">
            <v>0.11652056025774597</v>
          </cell>
          <cell r="R159">
            <v>3.8525000000000031E-3</v>
          </cell>
        </row>
        <row r="160">
          <cell r="H160">
            <v>1.0360569352306226E-2</v>
          </cell>
          <cell r="I160">
            <v>5.3450177288547826E-3</v>
          </cell>
          <cell r="J160">
            <v>1.5965637371903893E-3</v>
          </cell>
          <cell r="K160">
            <v>0.18750549359846438</v>
          </cell>
          <cell r="L160">
            <v>3.7675930592386976E-2</v>
          </cell>
          <cell r="M160">
            <v>0.18750549359846438</v>
          </cell>
          <cell r="N160">
            <v>0.82405231740450358</v>
          </cell>
          <cell r="O160">
            <v>3.7675930592386976E-2</v>
          </cell>
          <cell r="P160">
            <v>1.8332203859102503E-2</v>
          </cell>
          <cell r="Q160">
            <v>0.11993954814400702</v>
          </cell>
          <cell r="R160">
            <v>3.7381298799686003E-3</v>
          </cell>
        </row>
        <row r="161">
          <cell r="H161">
            <v>1.0165682917663732E-2</v>
          </cell>
          <cell r="I161">
            <v>5.2444758172227194E-3</v>
          </cell>
          <cell r="J161">
            <v>1.566531737611981E-3</v>
          </cell>
          <cell r="K161">
            <v>0.19274996941568712</v>
          </cell>
          <cell r="L161">
            <v>3.812396766312133E-2</v>
          </cell>
          <cell r="M161">
            <v>0.19274996941568712</v>
          </cell>
          <cell r="N161">
            <v>0.8191311103040626</v>
          </cell>
          <cell r="O161">
            <v>3.812396766312133E-2</v>
          </cell>
          <cell r="P161">
            <v>1.9450698525980026E-2</v>
          </cell>
          <cell r="Q161">
            <v>0.12329422350683605</v>
          </cell>
          <cell r="R161">
            <v>3.6271550939686054E-3</v>
          </cell>
        </row>
        <row r="162">
          <cell r="D162">
            <v>2.0041654257444898E-2</v>
          </cell>
          <cell r="E162">
            <v>0.10214724421084091</v>
          </cell>
          <cell r="F162">
            <v>0.27196533079788915</v>
          </cell>
          <cell r="G162">
            <v>0.61640624764298124</v>
          </cell>
          <cell r="H162">
            <v>9.9748932453942452E-3</v>
          </cell>
          <cell r="I162">
            <v>5.1460474252988915E-3</v>
          </cell>
          <cell r="J162">
            <v>1.5371310491152533E-3</v>
          </cell>
          <cell r="K162">
            <v>0.19789601684098601</v>
          </cell>
          <cell r="L162">
            <v>3.8529303058062778E-2</v>
          </cell>
          <cell r="M162">
            <v>0.19789601684098601</v>
          </cell>
          <cell r="N162">
            <v>0.81430226448396725</v>
          </cell>
          <cell r="O162">
            <v>3.8529303058062778E-2</v>
          </cell>
          <cell r="P162">
            <v>2.0582494180153788E-2</v>
          </cell>
          <cell r="Q162">
            <v>0.12658593827781617</v>
          </cell>
          <cell r="R162">
            <v>3.5194748438791301E-3</v>
          </cell>
        </row>
        <row r="163">
          <cell r="D163">
            <v>1.9772080142920822E-2</v>
          </cell>
          <cell r="E163">
            <v>9.9372955619553463E-2</v>
          </cell>
          <cell r="F163">
            <v>0.26704945943972414</v>
          </cell>
          <cell r="G163">
            <v>0.60661814006536918</v>
          </cell>
          <cell r="H163">
            <v>9.7881075776120596E-3</v>
          </cell>
          <cell r="I163">
            <v>5.0496846992900621E-3</v>
          </cell>
          <cell r="J163">
            <v>1.5083473777100184E-3</v>
          </cell>
          <cell r="K163">
            <v>0.20294570154027608</v>
          </cell>
          <cell r="L163">
            <v>3.8893821489510143E-2</v>
          </cell>
          <cell r="M163">
            <v>0.20294570154027608</v>
          </cell>
          <cell r="N163">
            <v>0.80956384160564521</v>
          </cell>
          <cell r="O163">
            <v>3.8893821489510143E-2</v>
          </cell>
          <cell r="P163">
            <v>2.1726323126416536E-2</v>
          </cell>
          <cell r="Q163">
            <v>0.12981601377842814</v>
          </cell>
          <cell r="R163">
            <v>3.4149913239980251E-3</v>
          </cell>
        </row>
        <row r="164">
          <cell r="D164">
            <v>1.950613198672773E-2</v>
          </cell>
          <cell r="E164">
            <v>9.6674015876364774E-2</v>
          </cell>
          <cell r="F164">
            <v>0.26222244422781554</v>
          </cell>
          <cell r="G164">
            <v>0.59701290469734514</v>
          </cell>
          <cell r="H164">
            <v>9.6052353680240454E-3</v>
          </cell>
          <cell r="I164">
            <v>4.9553409263636055E-3</v>
          </cell>
          <cell r="J164">
            <v>1.4801667702125055E-3</v>
          </cell>
          <cell r="K164">
            <v>0.20790104246663968</v>
          </cell>
          <cell r="L164">
            <v>3.9219337764658357E-2</v>
          </cell>
          <cell r="M164">
            <v>0.20790104246663968</v>
          </cell>
          <cell r="N164">
            <v>0.80491394716398479</v>
          </cell>
          <cell r="O164">
            <v>3.9219337764658357E-2</v>
          </cell>
          <cell r="P164">
            <v>2.2880973621480782E-2</v>
          </cell>
          <cell r="Q164">
            <v>0.13298574144987607</v>
          </cell>
          <cell r="R164">
            <v>3.3136096322052013E-3</v>
          </cell>
        </row>
        <row r="165">
          <cell r="D165">
            <v>1.9243761017217642E-2</v>
          </cell>
          <cell r="E165">
            <v>9.404837852910411E-2</v>
          </cell>
          <cell r="F165">
            <v>0.25748267905529987</v>
          </cell>
          <cell r="G165">
            <v>0.58758671647015737</v>
          </cell>
          <cell r="H165">
            <v>9.4261882271877706E-3</v>
          </cell>
          <cell r="I165">
            <v>4.8629705064061717E-3</v>
          </cell>
          <cell r="J165">
            <v>1.4525756058096355E-3</v>
          </cell>
          <cell r="K165">
            <v>0.21276401297304584</v>
          </cell>
          <cell r="L165">
            <v>3.9507599193259406E-2</v>
          </cell>
          <cell r="M165">
            <v>0.21276401297304584</v>
          </cell>
          <cell r="N165">
            <v>0.80035072944320318</v>
          </cell>
          <cell r="O165">
            <v>3.9507599193259406E-2</v>
          </cell>
          <cell r="P165">
            <v>2.4045287798689419E-2</v>
          </cell>
          <cell r="Q165">
            <v>0.13609638356484804</v>
          </cell>
          <cell r="R165">
            <v>3.2152376837632753E-3</v>
          </cell>
        </row>
        <row r="166">
          <cell r="D166">
            <v>1.8984919118754977E-2</v>
          </cell>
          <cell r="E166">
            <v>9.1494052706629456E-2</v>
          </cell>
          <cell r="F166">
            <v>0.25282858684627429</v>
          </cell>
          <cell r="G166">
            <v>0.57833583660099641</v>
          </cell>
          <cell r="H166">
            <v>9.2508798691609551E-3</v>
          </cell>
          <cell r="I166">
            <v>4.7725289245001369E-3</v>
          </cell>
          <cell r="J166">
            <v>1.4255605878377032E-3</v>
          </cell>
          <cell r="K166">
            <v>0.21753654189754598</v>
          </cell>
          <cell r="L166">
            <v>3.9760287915584926E-2</v>
          </cell>
          <cell r="M166">
            <v>0.21753654189754598</v>
          </cell>
          <cell r="N166">
            <v>0.79587237849854242</v>
          </cell>
          <cell r="O166">
            <v>3.9760287915584926E-2</v>
          </cell>
          <cell r="P166">
            <v>2.5218159664201489E-2</v>
          </cell>
          <cell r="Q166">
            <v>0.13914917392167117</v>
          </cell>
          <cell r="R166">
            <v>3.1197861276772289E-3</v>
          </cell>
        </row>
        <row r="167">
          <cell r="B167">
            <v>31</v>
          </cell>
          <cell r="C167">
            <v>0.21325933107828099</v>
          </cell>
          <cell r="D167">
            <v>1.8729558822892754E-2</v>
          </cell>
          <cell r="E167">
            <v>8.9009101609263341E-2</v>
          </cell>
          <cell r="F167">
            <v>0.24825861903105095</v>
          </cell>
          <cell r="G167">
            <v>0.56925661054148802</v>
          </cell>
          <cell r="H167">
            <v>9.079226059508394E-3</v>
          </cell>
          <cell r="I167">
            <v>4.6839727241003801E-3</v>
          </cell>
          <cell r="J167">
            <v>1.3991087357702434E-3</v>
          </cell>
          <cell r="K167">
            <v>0.22222051462164635</v>
          </cell>
          <cell r="L167">
            <v>3.9979023153265986E-2</v>
          </cell>
          <cell r="M167">
            <v>0.22222051462164635</v>
          </cell>
          <cell r="N167">
            <v>0.7914771251631344</v>
          </cell>
          <cell r="O167">
            <v>3.9979023153265986E-2</v>
          </cell>
          <cell r="P167">
            <v>2.6398533162290683E-2</v>
          </cell>
          <cell r="Q167">
            <v>0.14214531852130893</v>
          </cell>
          <cell r="R167">
            <v>3.0271682655371251E-3</v>
          </cell>
          <cell r="S167">
            <v>1.0123753926672072E-3</v>
          </cell>
        </row>
        <row r="168">
          <cell r="B168">
            <v>32</v>
          </cell>
          <cell r="C168">
            <v>0.21150493660606484</v>
          </cell>
          <cell r="D168">
            <v>1.847763329966743E-2</v>
          </cell>
          <cell r="E168">
            <v>8.6591641040228082E-2</v>
          </cell>
          <cell r="F168">
            <v>0.2437712550308973</v>
          </cell>
          <cell r="G168">
            <v>0.56034546597685764</v>
          </cell>
          <cell r="H168">
            <v>8.91114456463038E-3</v>
          </cell>
          <cell r="I168">
            <v>4.5972594808928137E-3</v>
          </cell>
          <cell r="J168">
            <v>1.3732073774095415E-3</v>
          </cell>
          <cell r="K168">
            <v>0.22681777410253917</v>
          </cell>
          <cell r="L168">
            <v>4.0165363385502986E-2</v>
          </cell>
          <cell r="M168">
            <v>0.22681777410253917</v>
          </cell>
          <cell r="N168">
            <v>0.78716324007939686</v>
          </cell>
          <cell r="O168">
            <v>4.0165363385502986E-2</v>
          </cell>
          <cell r="P168">
            <v>2.7585400307463148E-2</v>
          </cell>
          <cell r="Q168">
            <v>0.14508599622763696</v>
          </cell>
          <cell r="R168">
            <v>2.9372999727701595E-3</v>
          </cell>
          <cell r="S168">
            <v>9.8232075407507545E-4</v>
          </cell>
        </row>
        <row r="169">
          <cell r="B169">
            <v>33</v>
          </cell>
          <cell r="C169">
            <v>0.20976497479641298</v>
          </cell>
          <cell r="D169">
            <v>1.8229096349010872E-2</v>
          </cell>
          <cell r="E169">
            <v>8.4239837976966714E-2</v>
          </cell>
          <cell r="F169">
            <v>0.23936500175208925</v>
          </cell>
          <cell r="G169">
            <v>0.55159891087447988</v>
          </cell>
          <cell r="H169">
            <v>8.7465551023777621E-3</v>
          </cell>
          <cell r="I169">
            <v>4.5123477773166875E-3</v>
          </cell>
          <cell r="J169">
            <v>1.347844141276413E-3</v>
          </cell>
          <cell r="K169">
            <v>0.23133012187985585</v>
          </cell>
          <cell r="L169">
            <v>4.032080845305977E-2</v>
          </cell>
          <cell r="M169">
            <v>0.23133012187985585</v>
          </cell>
          <cell r="N169">
            <v>0.78292903275433567</v>
          </cell>
          <cell r="O169">
            <v>4.032080845305977E-2</v>
          </cell>
          <cell r="P169">
            <v>2.8777799381182967E-2</v>
          </cell>
          <cell r="Q169">
            <v>0.14797235941142162</v>
          </cell>
          <cell r="R169">
            <v>2.850099622230521E-3</v>
          </cell>
          <cell r="S169">
            <v>9.5315835496984395E-4</v>
          </cell>
        </row>
        <row r="170">
          <cell r="B170">
            <v>34</v>
          </cell>
          <cell r="C170">
            <v>0.20803932691790444</v>
          </cell>
          <cell r="D170">
            <v>1.7983902392277824E-2</v>
          </cell>
          <cell r="E170">
            <v>8.1951909181266547E-2</v>
          </cell>
          <cell r="F170">
            <v>0.2350383930891099</v>
          </cell>
          <cell r="G170">
            <v>0.54301353158055865</v>
          </cell>
          <cell r="H170">
            <v>8.5853792939212248E-3</v>
          </cell>
          <cell r="I170">
            <v>4.4291971777339605E-3</v>
          </cell>
          <cell r="J170">
            <v>1.3230069491932607E-3</v>
          </cell>
          <cell r="K170">
            <v>0.23575931905758982</v>
          </cell>
          <cell r="L170">
            <v>4.0446801592379004E-2</v>
          </cell>
          <cell r="M170">
            <v>0.23575931905758982</v>
          </cell>
          <cell r="N170">
            <v>0.77877285063814849</v>
          </cell>
          <cell r="O170">
            <v>4.0446801592379004E-2</v>
          </cell>
          <cell r="P170">
            <v>2.9974813191056882E-2</v>
          </cell>
          <cell r="Q170">
            <v>0.15080553457841561</v>
          </cell>
          <cell r="R170">
            <v>2.7654880100576565E-3</v>
          </cell>
          <cell r="S170">
            <v>9.2486170721725863E-4</v>
          </cell>
        </row>
        <row r="171">
          <cell r="B171">
            <v>35</v>
          </cell>
          <cell r="C171">
            <v>0.20632787521587145</v>
          </cell>
          <cell r="D171">
            <v>1.7742006463887343E-2</v>
          </cell>
          <cell r="E171">
            <v>7.9726119847131169E-2</v>
          </cell>
          <cell r="F171">
            <v>0.23078998943682774</v>
          </cell>
          <cell r="G171">
            <v>0.53458599096371773</v>
          </cell>
          <cell r="H171">
            <v>8.4275406168409228E-3</v>
          </cell>
          <cell r="I171">
            <v>4.3477682042282325E-3</v>
          </cell>
          <cell r="J171">
            <v>1.2986840090551861E-3</v>
          </cell>
          <cell r="K171">
            <v>0.24010708726181804</v>
          </cell>
          <cell r="L171">
            <v>4.0544731402081383E-2</v>
          </cell>
          <cell r="M171">
            <v>0.24010708726181804</v>
          </cell>
          <cell r="N171">
            <v>0.77469307822553579</v>
          </cell>
          <cell r="O171">
            <v>4.0544731402081383E-2</v>
          </cell>
          <cell r="P171">
            <v>3.117556739040972E-2</v>
          </cell>
          <cell r="Q171">
            <v>0.15358662298197312</v>
          </cell>
          <cell r="R171">
            <v>2.6833882837356063E-3</v>
          </cell>
          <cell r="S171">
            <v>8.9740510904285601E-4</v>
          </cell>
        </row>
        <row r="172">
          <cell r="B172">
            <v>36</v>
          </cell>
          <cell r="C172">
            <v>0.20463050290436424</v>
          </cell>
          <cell r="D172">
            <v>1.7503364203076653E-2</v>
          </cell>
          <cell r="E172">
            <v>7.7560782285376009E-2</v>
          </cell>
          <cell r="F172">
            <v>0.22661837721149297</v>
          </cell>
          <cell r="G172">
            <v>0.5263130266043099</v>
          </cell>
          <cell r="H172">
            <v>8.2729643594078306E-3</v>
          </cell>
          <cell r="I172">
            <v>4.2680223130185007E-3</v>
          </cell>
          <cell r="J172">
            <v>1.2748638077847466E-3</v>
          </cell>
          <cell r="K172">
            <v>0.24437510957483655</v>
          </cell>
          <cell r="L172">
            <v>4.0615933744039531E-2</v>
          </cell>
          <cell r="M172">
            <v>0.24437510957483655</v>
          </cell>
          <cell r="N172">
            <v>0.77068813617914644</v>
          </cell>
          <cell r="O172">
            <v>4.0615933744039531E-2</v>
          </cell>
          <cell r="P172">
            <v>3.2379228856236342E-2</v>
          </cell>
          <cell r="Q172">
            <v>0.1563167012205777</v>
          </cell>
          <cell r="R172">
            <v>2.6037258722880529E-3</v>
          </cell>
          <cell r="S172">
            <v>8.7076362168710651E-4</v>
          </cell>
        </row>
        <row r="173">
          <cell r="B173">
            <v>37</v>
          </cell>
          <cell r="C173">
            <v>0.2029470941581816</v>
          </cell>
          <cell r="D173">
            <v>1.726793184576593E-2</v>
          </cell>
          <cell r="E173">
            <v>7.5454254643949822E-2</v>
          </cell>
          <cell r="F173">
            <v>0.22252216838039129</v>
          </cell>
          <cell r="G173">
            <v>0.51819144902828862</v>
          </cell>
          <cell r="H173">
            <v>8.1215775760212772E-3</v>
          </cell>
          <cell r="I173">
            <v>4.1899218714693777E-3</v>
          </cell>
          <cell r="J173">
            <v>1.2515351044648788E-3</v>
          </cell>
          <cell r="K173">
            <v>0.24856503144630593</v>
          </cell>
          <cell r="L173">
            <v>4.0661693581147282E-2</v>
          </cell>
          <cell r="M173">
            <v>0.24856503144630593</v>
          </cell>
          <cell r="N173">
            <v>0.76675648047459455</v>
          </cell>
          <cell r="O173">
            <v>4.0661693581147282E-2</v>
          </cell>
          <cell r="P173">
            <v>3.3585004123593443E-2</v>
          </cell>
          <cell r="Q173">
            <v>0.15899682182066471</v>
          </cell>
          <cell r="R173">
            <v>2.5264284185456901E-3</v>
          </cell>
          <cell r="S173">
            <v>8.4491304675360021E-4</v>
          </cell>
        </row>
        <row r="174">
          <cell r="B174">
            <v>38</v>
          </cell>
          <cell r="C174">
            <v>0.20127753410496757</v>
          </cell>
          <cell r="D174">
            <v>1.7035666216532495E-2</v>
          </cell>
          <cell r="E174">
            <v>7.3404939663011828E-2</v>
          </cell>
          <cell r="F174">
            <v>0.2185</v>
          </cell>
          <cell r="G174">
            <v>0.51021813998451193</v>
          </cell>
          <cell r="H174">
            <v>7.9733090437766885E-3</v>
          </cell>
          <cell r="I174">
            <v>4.1134301356843938E-3</v>
          </cell>
          <cell r="J174">
            <v>1.2286869236459877E-3</v>
          </cell>
          <cell r="K174">
            <v>0.25267846158199031</v>
          </cell>
          <cell r="L174">
            <v>4.0683246753837797E-2</v>
          </cell>
          <cell r="M174">
            <v>0.25267846158199031</v>
          </cell>
          <cell r="N174">
            <v>0.76289660156650219</v>
          </cell>
          <cell r="O174">
            <v>4.0683246753837797E-2</v>
          </cell>
          <cell r="P174">
            <v>3.4792137874548934E-2</v>
          </cell>
          <cell r="Q174">
            <v>0.16162801380511102</v>
          </cell>
          <cell r="R174">
            <v>2.4514257134243874E-3</v>
          </cell>
          <cell r="S174">
            <v>8.1982990422970478E-4</v>
          </cell>
        </row>
        <row r="175">
          <cell r="B175">
            <v>39</v>
          </cell>
          <cell r="C175">
            <v>0.19962170881737237</v>
          </cell>
          <cell r="D175">
            <v>1.680652472069297E-2</v>
          </cell>
          <cell r="E175">
            <v>7.1411283463820668E-2</v>
          </cell>
          <cell r="F175">
            <v>0.2145505337624917</v>
          </cell>
          <cell r="G175">
            <v>0.5023900507643777</v>
          </cell>
          <cell r="H175">
            <v>7.8280892201342267E-3</v>
          </cell>
          <cell r="I175">
            <v>4.0385112286672482E-3</v>
          </cell>
          <cell r="J175">
            <v>1.2063085488226843E-3</v>
          </cell>
          <cell r="K175">
            <v>0.25671697281065758</v>
          </cell>
          <cell r="L175">
            <v>4.0681781697338333E-2</v>
          </cell>
          <cell r="M175">
            <v>0.25671697281065758</v>
          </cell>
          <cell r="N175">
            <v>0.75910702357503523</v>
          </cell>
          <cell r="O175">
            <v>4.0681781697338333E-2</v>
          </cell>
          <cell r="P175">
            <v>3.5999911479871027E-2</v>
          </cell>
          <cell r="Q175">
            <v>0.1642112832477553</v>
          </cell>
          <cell r="R175">
            <v>2.3786496321544551E-3</v>
          </cell>
          <cell r="S175">
            <v>7.9549141115972818E-4</v>
          </cell>
        </row>
        <row r="176">
          <cell r="B176">
            <v>40</v>
          </cell>
          <cell r="C176">
            <v>0.1979795053052785</v>
          </cell>
          <cell r="D176">
            <v>1.6580465336491951E-2</v>
          </cell>
          <cell r="E176">
            <v>6.9471774370516673E-2</v>
          </cell>
          <cell r="F176">
            <v>0.21067245555043518</v>
          </cell>
          <cell r="G176">
            <v>0.4947042005627223</v>
          </cell>
          <cell r="H176">
            <v>7.6858502016554087E-3</v>
          </cell>
          <cell r="I176">
            <v>3.9651301190340256E-3</v>
          </cell>
          <cell r="J176">
            <v>1.1843895160750986E-3</v>
          </cell>
          <cell r="K176">
            <v>0.26068210292969163</v>
          </cell>
          <cell r="L176">
            <v>4.065844110158582E-2</v>
          </cell>
          <cell r="M176">
            <v>0.26068210292969163</v>
          </cell>
          <cell r="N176">
            <v>0.75538630349241398</v>
          </cell>
          <cell r="O176">
            <v>4.065844110158582E-2</v>
          </cell>
          <cell r="P176">
            <v>3.7207641591698648E-2</v>
          </cell>
          <cell r="Q176">
            <v>0.16674761381430159</v>
          </cell>
          <cell r="R176">
            <v>2.3080340724030844E-3</v>
          </cell>
          <cell r="S176">
            <v>7.7187546095121729E-4</v>
          </cell>
        </row>
        <row r="177">
          <cell r="B177">
            <v>41</v>
          </cell>
          <cell r="C177">
            <v>0.19635081150809047</v>
          </cell>
          <cell r="D177">
            <v>1.6357446607395697E-2</v>
          </cell>
          <cell r="E177">
            <v>6.7584941763904213E-2</v>
          </cell>
          <cell r="F177">
            <v>0.20686447499954541</v>
          </cell>
          <cell r="G177">
            <v>0.4871576748789358</v>
          </cell>
          <cell r="H177">
            <v>7.546525683786498E-3</v>
          </cell>
          <cell r="I177">
            <v>3.8932526002654548E-3</v>
          </cell>
          <cell r="J177">
            <v>1.1629196078714993E-3</v>
          </cell>
          <cell r="K177">
            <v>0.26457535552995709</v>
          </cell>
          <cell r="L177">
            <v>4.0614323515666767E-2</v>
          </cell>
          <cell r="M177">
            <v>0.26457535552995709</v>
          </cell>
          <cell r="N177">
            <v>0.75173303040889294</v>
          </cell>
          <cell r="O177">
            <v>4.0614323515666767E-2</v>
          </cell>
          <cell r="P177">
            <v>3.8414678785489209E-2</v>
          </cell>
          <cell r="Q177">
            <v>0.16923796728995114</v>
          </cell>
          <cell r="R177">
            <v>2.2395148942337636E-3</v>
          </cell>
          <cell r="S177">
            <v>7.4896060329559513E-4</v>
          </cell>
        </row>
        <row r="178">
          <cell r="B178">
            <v>42</v>
          </cell>
          <cell r="C178">
            <v>0.19473551628708791</v>
          </cell>
          <cell r="D178">
            <v>1.613742763448953E-2</v>
          </cell>
          <cell r="E178">
            <v>6.5749354966365081E-2</v>
          </cell>
          <cell r="F178">
            <v>0.20312532506933678</v>
          </cell>
          <cell r="G178">
            <v>0.47974762395727932</v>
          </cell>
          <cell r="H178">
            <v>7.4100509216564747E-3</v>
          </cell>
          <cell r="I178">
            <v>3.8228452704825752E-3</v>
          </cell>
          <cell r="J178">
            <v>1.1418888470272625E-3</v>
          </cell>
          <cell r="K178">
            <v>0.26839820080043969</v>
          </cell>
          <cell r="L178">
            <v>4.0550484898584746E-2</v>
          </cell>
          <cell r="M178">
            <v>0.26839820080043969</v>
          </cell>
          <cell r="N178">
            <v>0.74814582475771907</v>
          </cell>
          <cell r="O178">
            <v>4.0550484898584746E-2</v>
          </cell>
          <cell r="P178">
            <v>3.9620406249598394E-2</v>
          </cell>
          <cell r="Q178">
            <v>0.17168328409409778</v>
          </cell>
          <cell r="R178">
            <v>2.1730298618481362E-3</v>
          </cell>
          <cell r="S178">
            <v>7.2672602468489835E-4</v>
          </cell>
        </row>
        <row r="179">
          <cell r="B179">
            <v>43</v>
          </cell>
          <cell r="C179">
            <v>0.19313350941784185</v>
          </cell>
          <cell r="D179">
            <v>1.5920368068977474E-2</v>
          </cell>
          <cell r="E179">
            <v>6.3963622157057087E-2</v>
          </cell>
          <cell r="F179">
            <v>0.19945376162153702</v>
          </cell>
          <cell r="G179">
            <v>0.4724712612654135</v>
          </cell>
          <cell r="H179">
            <v>7.2763626918658231E-3</v>
          </cell>
          <cell r="I179">
            <v>3.7538755127335785E-3</v>
          </cell>
          <cell r="J179">
            <v>1.1212874908165234E-3</v>
          </cell>
          <cell r="K179">
            <v>0.27215207631317329</v>
          </cell>
          <cell r="L179">
            <v>4.0467940118101411E-2</v>
          </cell>
          <cell r="M179">
            <v>0.27215207631317329</v>
          </cell>
          <cell r="N179">
            <v>0.74462333757858679</v>
          </cell>
          <cell r="O179">
            <v>4.0467940118101411E-2</v>
          </cell>
          <cell r="P179">
            <v>4.0824238520898337E-2</v>
          </cell>
          <cell r="Q179">
            <v>0.17408448378241351</v>
          </cell>
          <cell r="R179">
            <v>2.1085185870573786E-3</v>
          </cell>
          <cell r="S179">
            <v>7.0515152950692138E-4</v>
          </cell>
        </row>
        <row r="180">
          <cell r="B180">
            <v>44</v>
          </cell>
          <cell r="C180">
            <v>0.19154468158269311</v>
          </cell>
          <cell r="D180">
            <v>1.5706228104782768E-2</v>
          </cell>
          <cell r="E180">
            <v>6.2226389316575703E-2</v>
          </cell>
          <cell r="F180">
            <v>0.1958485630061215</v>
          </cell>
          <cell r="G180">
            <v>0.46532586201017312</v>
          </cell>
          <cell r="H180">
            <v>7.1453992552403811E-3</v>
          </cell>
          <cell r="I180">
            <v>3.6863114757785132E-3</v>
          </cell>
          <cell r="J180">
            <v>1.1011060252325428E-3</v>
          </cell>
          <cell r="K180">
            <v>0.27583838778895181</v>
          </cell>
          <cell r="L180">
            <v>4.0367664399341509E-2</v>
          </cell>
          <cell r="M180">
            <v>0.27583838778895181</v>
          </cell>
          <cell r="N180">
            <v>0.74116424979912487</v>
          </cell>
          <cell r="O180">
            <v>4.0367664399341509E-2</v>
          </cell>
          <cell r="P180">
            <v>4.2025620264890762E-2</v>
          </cell>
          <cell r="Q180">
            <v>0.17644246553664283</v>
          </cell>
          <cell r="R180">
            <v>2.0459224744317603E-3</v>
          </cell>
          <cell r="S180">
            <v>6.8421752170159153E-4</v>
          </cell>
        </row>
        <row r="181">
          <cell r="B181">
            <v>45</v>
          </cell>
          <cell r="C181">
            <v>0.18996892436329285</v>
          </cell>
          <cell r="D181">
            <v>1.5494968471247919E-2</v>
          </cell>
          <cell r="E181">
            <v>6.0536339200278358E-2</v>
          </cell>
          <cell r="F181">
            <v>0.19230852965483</v>
          </cell>
          <cell r="G181">
            <v>0.45830876168964918</v>
          </cell>
          <cell r="H181">
            <v>7.0171003205239391E-3</v>
          </cell>
          <cell r="I181">
            <v>3.6201220553583003E-3</v>
          </cell>
          <cell r="J181">
            <v>1.0813351593927389E-3</v>
          </cell>
          <cell r="K181">
            <v>0.27945850984431009</v>
          </cell>
          <cell r="L181">
            <v>4.0250594724797813E-2</v>
          </cell>
          <cell r="M181">
            <v>0.27945850984431009</v>
          </cell>
          <cell r="N181">
            <v>0.73776727153395927</v>
          </cell>
          <cell r="O181">
            <v>4.0250594724797813E-2</v>
          </cell>
          <cell r="P181">
            <v>4.3224025098827168E-2</v>
          </cell>
          <cell r="Q181">
            <v>0.17875810864241573</v>
          </cell>
          <cell r="R181">
            <v>1.9851846680785596E-3</v>
          </cell>
          <cell r="S181">
            <v>6.6390498696191605E-4</v>
          </cell>
        </row>
        <row r="182">
          <cell r="B182">
            <v>46</v>
          </cell>
          <cell r="C182">
            <v>0.18840613023320399</v>
          </cell>
          <cell r="D182">
            <v>1.528655042593295E-2</v>
          </cell>
          <cell r="E182">
            <v>5.8892190339492785E-2</v>
          </cell>
          <cell r="F182">
            <v>0.18883248368203082</v>
          </cell>
          <cell r="G182">
            <v>0.45141735468066052</v>
          </cell>
          <cell r="H182">
            <v>6.8914070089886592E-3</v>
          </cell>
          <cell r="I182">
            <v>3.5552768759372494E-3</v>
          </cell>
          <cell r="J182">
            <v>1.0619658200851523E-3</v>
          </cell>
          <cell r="K182">
            <v>0.28301378672024735</v>
          </cell>
          <cell r="L182">
            <v>4.0117631187320243E-2</v>
          </cell>
          <cell r="M182">
            <v>0.28301378672024735</v>
          </cell>
          <cell r="N182">
            <v>0.73443114140090793</v>
          </cell>
          <cell r="O182">
            <v>4.0117631187320243E-2</v>
          </cell>
          <cell r="P182">
            <v>4.441895445638977E-2</v>
          </cell>
          <cell r="Q182">
            <v>0.18103227295538199</v>
          </cell>
          <cell r="R182">
            <v>1.9262500000000015E-3</v>
          </cell>
          <cell r="S182">
            <v>6.4419547546333566E-4</v>
          </cell>
        </row>
        <row r="183">
          <cell r="B183">
            <v>47</v>
          </cell>
          <cell r="C183">
            <v>0.18685619255056427</v>
          </cell>
          <cell r="D183">
            <v>1.50809357475105E-2</v>
          </cell>
          <cell r="E183">
            <v>5.7292696069852551E-2</v>
          </cell>
          <cell r="F183">
            <v>0.18541926849279963</v>
          </cell>
          <cell r="G183">
            <v>0.44464909286072696</v>
          </cell>
          <cell r="H183">
            <v>6.7682618199335631E-3</v>
          </cell>
          <cell r="I183">
            <v>3.4917462729037257E-3</v>
          </cell>
          <cell r="J183">
            <v>1.042989146451762E-3</v>
          </cell>
          <cell r="K183">
            <v>0.28650553299315107</v>
          </cell>
          <cell r="L183">
            <v>3.9969638297621617E-2</v>
          </cell>
          <cell r="M183">
            <v>0.28650553299315107</v>
          </cell>
          <cell r="N183">
            <v>0.73115462585387803</v>
          </cell>
          <cell r="O183">
            <v>3.9969638297621617E-2</v>
          </cell>
          <cell r="P183">
            <v>4.5609936492540304E-2</v>
          </cell>
          <cell r="Q183">
            <v>0.18326579935596007</v>
          </cell>
          <cell r="R183">
            <v>1.8690649399843004E-3</v>
          </cell>
          <cell r="S183">
            <v>6.250710851057942E-4</v>
          </cell>
        </row>
        <row r="184">
          <cell r="B184">
            <v>48</v>
          </cell>
          <cell r="C184">
            <v>0.18531900555080885</v>
          </cell>
          <cell r="D184">
            <v>1.48780867287565E-2</v>
          </cell>
          <cell r="E184">
            <v>5.573664358602233E-2</v>
          </cell>
          <cell r="F184">
            <v>0.18206774839808201</v>
          </cell>
          <cell r="G184">
            <v>0.43800148426366969</v>
          </cell>
          <cell r="H184">
            <v>6.647608597057264E-3</v>
          </cell>
          <cell r="I184">
            <v>3.4295012752218433E-3</v>
          </cell>
          <cell r="J184">
            <v>1.0243964848065245E-3</v>
          </cell>
          <cell r="K184">
            <v>0.28993503426837292</v>
          </cell>
          <cell r="L184">
            <v>3.9807446247785511E-2</v>
          </cell>
          <cell r="M184">
            <v>0.28993503426837292</v>
          </cell>
          <cell r="N184">
            <v>0.72793651853204255</v>
          </cell>
          <cell r="O184">
            <v>3.9807446247785511E-2</v>
          </cell>
          <cell r="P184">
            <v>4.67965250271829E-2</v>
          </cell>
          <cell r="Q184">
            <v>0.18545951019298898</v>
          </cell>
          <cell r="R184">
            <v>1.8135775469843025E-3</v>
          </cell>
          <cell r="S184">
            <v>6.0651444525330661E-4</v>
          </cell>
        </row>
        <row r="185">
          <cell r="B185">
            <v>49</v>
          </cell>
          <cell r="C185">
            <v>0.18379446433945343</v>
          </cell>
          <cell r="D185">
            <v>1.4677966169635138E-2</v>
          </cell>
          <cell r="E185">
            <v>5.4222853022096909E-2</v>
          </cell>
          <cell r="F185">
            <v>0.17877680823681252</v>
          </cell>
          <cell r="G185">
            <v>0.431472091767998</v>
          </cell>
          <cell r="H185">
            <v>6.5293924956716931E-3</v>
          </cell>
          <cell r="I185">
            <v>3.3685135885170268E-3</v>
          </cell>
          <cell r="J185">
            <v>1.0061793835830079E-3</v>
          </cell>
          <cell r="K185">
            <v>0.29330354785688995</v>
          </cell>
          <cell r="L185">
            <v>3.9631852132211383E-2</v>
          </cell>
          <cell r="M185">
            <v>0.29330354785688995</v>
          </cell>
          <cell r="N185">
            <v>0.72477563962488789</v>
          </cell>
          <cell r="O185">
            <v>3.9631852132211383E-2</v>
          </cell>
          <cell r="P185">
            <v>4.7978298526340057E-2</v>
          </cell>
          <cell r="Q185">
            <v>0.18761420971656065</v>
          </cell>
          <cell r="R185">
            <v>1.759737421939565E-3</v>
          </cell>
          <cell r="S185">
            <v>5.8850870095625263E-4</v>
          </cell>
        </row>
        <row r="186">
          <cell r="B186">
            <v>50</v>
          </cell>
          <cell r="C186">
            <v>0.18228246488493621</v>
          </cell>
          <cell r="D186">
            <v>1.4480537370476812E-2</v>
          </cell>
          <cell r="E186">
            <v>5.2750176556976058E-2</v>
          </cell>
          <cell r="F186">
            <v>0.17554535300486382</v>
          </cell>
          <cell r="G186">
            <v>0.42505853181725289</v>
          </cell>
          <cell r="H186">
            <v>6.4135599507451069E-3</v>
          </cell>
          <cell r="I186">
            <v>3.3087555785894008E-3</v>
          </cell>
          <cell r="J186">
            <v>9.883295884098209E-4</v>
          </cell>
          <cell r="K186">
            <v>0.29661230343547934</v>
          </cell>
          <cell r="L186">
            <v>3.9443621127388806E-2</v>
          </cell>
          <cell r="M186">
            <v>0.29661230343547934</v>
          </cell>
          <cell r="N186">
            <v>0.72167083525273223</v>
          </cell>
          <cell r="O186">
            <v>3.9443621127388806E-2</v>
          </cell>
          <cell r="P186">
            <v>4.9154859119572403E-2</v>
          </cell>
          <cell r="Q186">
            <v>0.18973068450030653</v>
          </cell>
          <cell r="R186">
            <v>1.7074956619990125E-3</v>
          </cell>
          <cell r="S186">
            <v>5.710374976420692E-4</v>
          </cell>
        </row>
      </sheetData>
      <sheetData sheetId="31" refreshError="1">
        <row r="6">
          <cell r="B6" t="str">
            <v>Bituminious coal energy content:</v>
          </cell>
          <cell r="D6">
            <v>23.589462053781897</v>
          </cell>
          <cell r="E6" t="str">
            <v>mmBtu / 1000 kg</v>
          </cell>
          <cell r="F6" t="str">
            <v xml:space="preserve">Source: WARM, taken from FAL (2007) Final Appendices--Cradle-to-Gate Life Cycle Inventory of Nine Plastic Resins and Two Polyurethane Precursors.  </v>
          </cell>
        </row>
        <row r="7">
          <cell r="B7" t="str">
            <v>Bituminious coal carbon intensity:</v>
          </cell>
          <cell r="D7">
            <v>95.516666666666666</v>
          </cell>
          <cell r="E7" t="str">
            <v>kg CO2E / mmBtu coal</v>
          </cell>
          <cell r="F7" t="str">
            <v>Source: WARM, taken from EPA (2008) U.S. Inventory of GHG Emissions and Sinks for 2006.</v>
          </cell>
        </row>
        <row r="9">
          <cell r="B9" t="str">
            <v>2) Assume the amount of adhesive used is:</v>
          </cell>
          <cell r="D9">
            <v>1.3299999999999999E-2</v>
          </cell>
          <cell r="E9" t="str">
            <v>kg / sq-ft of VCT flooring</v>
          </cell>
          <cell r="F9" t="str">
            <v>Source: Lippiat (2007)</v>
          </cell>
        </row>
        <row r="10">
          <cell r="D10">
            <v>0.14317450000000001</v>
          </cell>
          <cell r="E10" t="str">
            <v>kg / m^2 of VCT flooring</v>
          </cell>
        </row>
        <row r="11">
          <cell r="B11" t="str">
            <v>PROCESSING OF RAW MATERIALS</v>
          </cell>
          <cell r="H11" t="str">
            <v>MANUFACTURING OF VINYL FLOORING FROM RAW MATERIALS</v>
          </cell>
          <cell r="M11" t="str">
            <v>COMBUSTION OF VINYL FLOORING ASSUMPTIONS</v>
          </cell>
        </row>
        <row r="13">
          <cell r="B13" t="str">
            <v>Energy Requirements to Process Raw Materials</v>
          </cell>
          <cell r="H13" t="str">
            <v>Types of Vinyl Flooring</v>
          </cell>
          <cell r="M13" t="str">
            <v>Carbon Content of Vinyl Flooring</v>
          </cell>
        </row>
        <row r="14">
          <cell r="B14" t="str">
            <v>Component</v>
          </cell>
          <cell r="C14" t="str">
            <v>MJ/kg</v>
          </cell>
          <cell r="H14" t="str">
            <v>Type</v>
          </cell>
          <cell r="I14" t="str">
            <v>Typical dimensions</v>
          </cell>
          <cell r="J14" t="str">
            <v>Mass (kg/m2)</v>
          </cell>
          <cell r="M14" t="str">
            <v xml:space="preserve">Component </v>
          </cell>
          <cell r="N14" t="str">
            <v>% Carbon in Component</v>
          </cell>
          <cell r="O14" t="str">
            <v>% Composition of PVC</v>
          </cell>
          <cell r="P14" t="str">
            <v>% Carbon in PVC</v>
          </cell>
        </row>
        <row r="15">
          <cell r="B15" t="str">
            <v>PVC</v>
          </cell>
          <cell r="C15" t="str">
            <v>From WARM</v>
          </cell>
          <cell r="H15" t="str">
            <v>Vinyl Composition Tile (VCT)</v>
          </cell>
          <cell r="I15" t="str">
            <v xml:space="preserve">30 cm x 30 cm </v>
          </cell>
          <cell r="J15">
            <v>6.61</v>
          </cell>
          <cell r="K15" t="str">
            <v>Lippiat (2007), p. 166,167</v>
          </cell>
          <cell r="M15" t="str">
            <v>PVC</v>
          </cell>
          <cell r="N15">
            <v>0.38</v>
          </cell>
          <cell r="O15">
            <v>0.11461550105964274</v>
          </cell>
          <cell r="P15">
            <v>4.355389040266424E-2</v>
          </cell>
        </row>
        <row r="16">
          <cell r="B16" t="str">
            <v>Filler (limestone)</v>
          </cell>
          <cell r="C16" t="str">
            <v>From LCI Database</v>
          </cell>
          <cell r="H16" t="str">
            <v>Sheet Flooring</v>
          </cell>
          <cell r="I16" t="str">
            <v>6' or 12' wide</v>
          </cell>
          <cell r="J16" t="str">
            <v xml:space="preserve">1.3 - 3 </v>
          </cell>
          <cell r="K16" t="str">
            <v>Baitz (2004), p. 71</v>
          </cell>
          <cell r="M16" t="str">
            <v>Vinyl acetate</v>
          </cell>
          <cell r="N16">
            <v>0.48640402470135075</v>
          </cell>
          <cell r="O16">
            <v>6.0000000000000053E-3</v>
          </cell>
          <cell r="P16">
            <v>2.918424148208107E-3</v>
          </cell>
        </row>
        <row r="17">
          <cell r="B17" t="str">
            <v>Plasticizer (DINP or BBP)</v>
          </cell>
          <cell r="C17">
            <v>71.09</v>
          </cell>
          <cell r="H17" t="str">
            <v>Note: Due to unavailability of LCI data for sheet flooring, energy and GHG emission factors were only developed for VCT.</v>
          </cell>
          <cell r="M17" t="str">
            <v>Filler (limestone)</v>
          </cell>
          <cell r="N17" t="str">
            <v>Doesn't Combust</v>
          </cell>
          <cell r="O17" t="str">
            <v>-</v>
          </cell>
          <cell r="P17" t="str">
            <v>-</v>
          </cell>
        </row>
        <row r="18">
          <cell r="B18" t="str">
            <v>Pigments and Stabilizers (zinc, calcium, or tin)</v>
          </cell>
          <cell r="H18" t="str">
            <v>Composition of Vinyl Flooring</v>
          </cell>
          <cell r="M18" t="str">
            <v>Plasticizer (DINP or BBP)</v>
          </cell>
          <cell r="N18">
            <v>0.74</v>
          </cell>
          <cell r="O18">
            <v>4.0720557069330914E-2</v>
          </cell>
          <cell r="P18">
            <v>3.0133212231304874E-2</v>
          </cell>
        </row>
        <row r="19">
          <cell r="B19" t="str">
            <v>Plasticizer Fuels and Feedstocks Data (per 1 kg of plasticizer)</v>
          </cell>
          <cell r="H19" t="str">
            <v>Component</v>
          </cell>
          <cell r="I19" t="str">
            <v>Mass 
(kg/m2)</v>
          </cell>
          <cell r="J19" t="str">
            <v>VCT 
(mass %)</v>
          </cell>
          <cell r="K19" t="str">
            <v>Average PVC Flooring (weight %)</v>
          </cell>
          <cell r="M19" t="str">
            <v>Total (MMTCO2E/ton)</v>
          </cell>
          <cell r="P19">
            <v>0.28088693153464978</v>
          </cell>
        </row>
        <row r="20">
          <cell r="B20" t="str">
            <v>Fuel Type</v>
          </cell>
          <cell r="C20" t="str">
            <v>Fuel Production and Delivery Energy (MJ)</v>
          </cell>
          <cell r="D20" t="str">
            <v>Energy content of delivered fuel (MJ)</v>
          </cell>
          <cell r="E20" t="str">
            <v>Energy use in transport (MJ)</v>
          </cell>
          <cell r="F20" t="str">
            <v>Feedstock energy (MJ)</v>
          </cell>
          <cell r="H20" t="str">
            <v>PVC</v>
          </cell>
          <cell r="I20">
            <v>0.75714999999999999</v>
          </cell>
          <cell r="J20">
            <v>0.11461550105964274</v>
          </cell>
          <cell r="K20">
            <v>0.25</v>
          </cell>
          <cell r="M20" t="str">
            <v>Energy Content of PVC</v>
          </cell>
        </row>
        <row r="21">
          <cell r="B21" t="str">
            <v>Coal</v>
          </cell>
          <cell r="C21">
            <v>0.63</v>
          </cell>
          <cell r="D21">
            <v>0.42</v>
          </cell>
          <cell r="E21">
            <v>5.0000000000000001E-4</v>
          </cell>
          <cell r="F21">
            <v>0</v>
          </cell>
          <cell r="H21" t="str">
            <v>Vinyl acetate</v>
          </cell>
          <cell r="I21">
            <v>3.9850000000000003E-2</v>
          </cell>
          <cell r="J21">
            <v>6.0323947926127766E-3</v>
          </cell>
          <cell r="K21">
            <v>0</v>
          </cell>
          <cell r="M21" t="str">
            <v>Material</v>
          </cell>
          <cell r="N21" t="str">
            <v>Unit</v>
          </cell>
        </row>
        <row r="22">
          <cell r="B22" t="str">
            <v>Oil</v>
          </cell>
          <cell r="C22">
            <v>0.84</v>
          </cell>
          <cell r="D22">
            <v>7.97</v>
          </cell>
          <cell r="E22">
            <v>0.2</v>
          </cell>
          <cell r="F22">
            <v>24.11</v>
          </cell>
          <cell r="H22" t="str">
            <v>Filler (limestone)</v>
          </cell>
          <cell r="I22">
            <v>5.54</v>
          </cell>
          <cell r="J22">
            <v>0.83863154707841359</v>
          </cell>
          <cell r="K22">
            <v>0.45</v>
          </cell>
          <cell r="M22">
            <v>7875</v>
          </cell>
          <cell r="N22" t="str">
            <v>Btu/lb</v>
          </cell>
        </row>
        <row r="23">
          <cell r="B23" t="str">
            <v>Gas</v>
          </cell>
          <cell r="C23">
            <v>2.81</v>
          </cell>
          <cell r="D23">
            <v>10.73</v>
          </cell>
          <cell r="E23">
            <v>0.05</v>
          </cell>
          <cell r="F23">
            <v>22.6</v>
          </cell>
          <cell r="H23" t="str">
            <v>Plasticizer (DINP or BBP)</v>
          </cell>
          <cell r="I23">
            <v>0.26900000000000002</v>
          </cell>
          <cell r="J23">
            <v>4.0720557069330914E-2</v>
          </cell>
          <cell r="K23">
            <v>0.28000000000000003</v>
          </cell>
          <cell r="M23">
            <v>18.3</v>
          </cell>
          <cell r="N23" t="str">
            <v>MJ/kg</v>
          </cell>
        </row>
        <row r="24">
          <cell r="B24" t="str">
            <v>Hydro</v>
          </cell>
          <cell r="C24">
            <v>0.06</v>
          </cell>
          <cell r="D24">
            <v>0.18</v>
          </cell>
          <cell r="E24">
            <v>1E-3</v>
          </cell>
          <cell r="F24" t="str">
            <v>NA</v>
          </cell>
          <cell r="H24" t="str">
            <v>Pigments and Stabilizers (zinc, calcium, or tin)</v>
          </cell>
          <cell r="I24" t="str">
            <v>-</v>
          </cell>
          <cell r="J24">
            <v>0</v>
          </cell>
          <cell r="K24">
            <v>0.02</v>
          </cell>
          <cell r="M24" t="str">
            <v>Source: FRANKLIN ASSOCIATES.  CRADLE-TO-GATE LIFE CYCLE INVENTORY OF NINE PLASTIC RESINS AND TWO POLYURETHANE PRECURSORS. Revised Final Report. December 2007</v>
          </cell>
        </row>
        <row r="25">
          <cell r="B25" t="str">
            <v>Nuclear</v>
          </cell>
          <cell r="C25">
            <v>0.9</v>
          </cell>
          <cell r="D25">
            <v>0.42</v>
          </cell>
          <cell r="E25">
            <v>2.0000000000000001E-4</v>
          </cell>
          <cell r="F25" t="str">
            <v>NA</v>
          </cell>
          <cell r="H25" t="str">
            <v>Adhesive (not a part of VCT, applied separately at installation site)</v>
          </cell>
          <cell r="I25">
            <v>0.14317450000000001</v>
          </cell>
          <cell r="J25">
            <v>2.16734029669997E-2</v>
          </cell>
          <cell r="K25" t="str">
            <v>--</v>
          </cell>
        </row>
        <row r="26">
          <cell r="B26" t="str">
            <v>Lignite</v>
          </cell>
          <cell r="C26">
            <v>0.34</v>
          </cell>
          <cell r="D26">
            <v>0.08</v>
          </cell>
          <cell r="E26">
            <v>2.0000000000000001E-4</v>
          </cell>
          <cell r="F26" t="str">
            <v>NA</v>
          </cell>
          <cell r="H26" t="str">
            <v>Source: Lippiat (2007), p. 167 for VCT; Baitz (2004) p. 71 for average PVC flooring</v>
          </cell>
        </row>
        <row r="27">
          <cell r="B27" t="str">
            <v>Wood</v>
          </cell>
          <cell r="C27">
            <v>0</v>
          </cell>
          <cell r="D27" t="str">
            <v>NA</v>
          </cell>
          <cell r="E27">
            <v>0</v>
          </cell>
          <cell r="F27">
            <v>1E-4</v>
          </cell>
          <cell r="H27" t="str">
            <v>Note: Due to unavailability of LCI data for average PVC flooring, energy and GHG emission factors were only developed for VCT.</v>
          </cell>
        </row>
        <row r="28">
          <cell r="B28" t="str">
            <v>Sulphur</v>
          </cell>
          <cell r="C28">
            <v>0</v>
          </cell>
          <cell r="D28">
            <v>2.0000000000000001E-4</v>
          </cell>
          <cell r="E28">
            <v>1E-4</v>
          </cell>
          <cell r="F28">
            <v>2.1999999999999999E-2</v>
          </cell>
          <cell r="H28" t="str">
            <v xml:space="preserve">Manufacturing Energy Requirements  </v>
          </cell>
        </row>
        <row r="29">
          <cell r="B29" t="str">
            <v>Biomass</v>
          </cell>
          <cell r="C29">
            <v>2E-3</v>
          </cell>
          <cell r="D29">
            <v>1E-3</v>
          </cell>
          <cell r="E29">
            <v>1E-4</v>
          </cell>
          <cell r="F29">
            <v>1E-4</v>
          </cell>
          <cell r="H29" t="str">
            <v>Energy Carrier</v>
          </cell>
          <cell r="I29" t="str">
            <v>Assumed Proxy</v>
          </cell>
          <cell r="J29" t="str">
            <v>VCT Manufacturing*</v>
          </cell>
          <cell r="L29" t="str">
            <v xml:space="preserve">Average PVC Flooring </v>
          </cell>
        </row>
        <row r="30">
          <cell r="B30" t="str">
            <v>Hydrogen</v>
          </cell>
          <cell r="C30">
            <v>1E-4</v>
          </cell>
          <cell r="D30">
            <v>0.05</v>
          </cell>
          <cell r="E30">
            <v>1E-4</v>
          </cell>
          <cell r="F30" t="str">
            <v>NA</v>
          </cell>
          <cell r="J30" t="str">
            <v>Value</v>
          </cell>
          <cell r="K30" t="str">
            <v>Units</v>
          </cell>
          <cell r="L30" t="str">
            <v>Value</v>
          </cell>
          <cell r="M30" t="str">
            <v>Units</v>
          </cell>
        </row>
        <row r="31">
          <cell r="B31" t="str">
            <v>Recovered Energy</v>
          </cell>
          <cell r="C31" t="str">
            <v>NA</v>
          </cell>
          <cell r="D31">
            <v>-1.64</v>
          </cell>
          <cell r="E31" t="str">
            <v>NA</v>
          </cell>
          <cell r="F31" t="str">
            <v>NA</v>
          </cell>
          <cell r="H31" t="str">
            <v>Electricity</v>
          </cell>
          <cell r="I31" t="str">
            <v>Electricity, at grid, US</v>
          </cell>
          <cell r="J31">
            <v>0.37768276789544042</v>
          </cell>
          <cell r="K31" t="str">
            <v>kWh / kg</v>
          </cell>
          <cell r="L31">
            <v>8.74</v>
          </cell>
          <cell r="M31" t="str">
            <v>MJ / m2</v>
          </cell>
        </row>
        <row r="32">
          <cell r="B32" t="str">
            <v>Unspecified</v>
          </cell>
          <cell r="C32">
            <v>4.0000000000000001E-3</v>
          </cell>
          <cell r="D32">
            <v>1.86</v>
          </cell>
          <cell r="E32">
            <v>1E-4</v>
          </cell>
          <cell r="F32">
            <v>-0.73</v>
          </cell>
          <cell r="J32">
            <v>1.36</v>
          </cell>
          <cell r="K32" t="str">
            <v>MJ / kg</v>
          </cell>
        </row>
        <row r="33">
          <cell r="B33" t="str">
            <v>Peat</v>
          </cell>
          <cell r="C33">
            <v>2.0000000000000001E-4</v>
          </cell>
          <cell r="D33">
            <v>1E-4</v>
          </cell>
          <cell r="E33">
            <v>1E-4</v>
          </cell>
          <cell r="F33" t="str">
            <v>NA</v>
          </cell>
          <cell r="H33" t="str">
            <v>Natural Gas</v>
          </cell>
          <cell r="I33" t="str">
            <v>Natural gas, combusted in industrial boiler</v>
          </cell>
          <cell r="J33">
            <v>2.214884782262419E-2</v>
          </cell>
          <cell r="K33" t="str">
            <v>m3 / kg</v>
          </cell>
          <cell r="L33">
            <v>0</v>
          </cell>
          <cell r="M33" t="str">
            <v>MJ / m2</v>
          </cell>
        </row>
        <row r="34">
          <cell r="B34" t="str">
            <v>Source: Eurpoean Council for Plasticisers and Intermediated (ECPI). January 2001.</v>
          </cell>
          <cell r="J34">
            <v>0.85</v>
          </cell>
          <cell r="K34" t="str">
            <v>MJ / kg</v>
          </cell>
          <cell r="M34" t="str">
            <v>MJ / m2</v>
          </cell>
        </row>
        <row r="35">
          <cell r="B35" t="str">
            <v>Transportation of raw materials for vinyl acetate manufacturing (per 1 kg of vinyl acetate)</v>
          </cell>
          <cell r="H35" t="str">
            <v>Fuel oil 1 + diesel</v>
          </cell>
          <cell r="I35" t="str">
            <v>Distillate oil industrial combustion</v>
          </cell>
          <cell r="J35">
            <v>0</v>
          </cell>
          <cell r="K35" t="str">
            <v>MJ / kg</v>
          </cell>
          <cell r="L35">
            <v>3.2</v>
          </cell>
          <cell r="M35" t="str">
            <v>MJ / m2</v>
          </cell>
        </row>
        <row r="36">
          <cell r="B36" t="str">
            <v>Transportation</v>
          </cell>
          <cell r="C36" t="str">
            <v>Distance</v>
          </cell>
          <cell r="D36" t="str">
            <v>Units</v>
          </cell>
          <cell r="H36" t="str">
            <v>Fuel oil 4</v>
          </cell>
          <cell r="I36" t="str">
            <v>Residual fuel oil, combusted in industrial boiler</v>
          </cell>
          <cell r="J36">
            <v>0</v>
          </cell>
          <cell r="K36" t="str">
            <v>MJ / kg</v>
          </cell>
          <cell r="L36">
            <v>1.31</v>
          </cell>
          <cell r="M36" t="str">
            <v>MJ / m2</v>
          </cell>
        </row>
        <row r="37">
          <cell r="B37" t="str">
            <v>Transport, train, diesel powered</v>
          </cell>
          <cell r="C37">
            <v>0.74099999999999999</v>
          </cell>
          <cell r="D37" t="str">
            <v>metric ton - kilometers / kg vinyl acetate</v>
          </cell>
          <cell r="H37" t="str">
            <v>*Processes include mixing, folding/calendaring, finish coating, and die cutting</v>
          </cell>
        </row>
        <row r="38">
          <cell r="B38" t="str">
            <v>Transport, combination truck, diesel-powered</v>
          </cell>
          <cell r="C38">
            <v>0.124</v>
          </cell>
          <cell r="D38" t="str">
            <v>metric ton - kilometers / kg vinyl acetate</v>
          </cell>
        </row>
        <row r="39">
          <cell r="B39" t="str">
            <v>Source: Ecoinvent version 2.1; for vinyl acetate, European average data, at plant</v>
          </cell>
        </row>
        <row r="40">
          <cell r="H40" t="str">
            <v>VCT Transportation Assumptions</v>
          </cell>
        </row>
        <row r="41">
          <cell r="B41" t="str">
            <v>Vinyl acetate manufacturing (per 1 kg of vinyl acetate)</v>
          </cell>
          <cell r="H41" t="str">
            <v xml:space="preserve">Transportation Description </v>
          </cell>
          <cell r="I41" t="str">
            <v>Vehicle</v>
          </cell>
          <cell r="J41" t="str">
            <v>Assumed Proxy</v>
          </cell>
          <cell r="K41" t="str">
            <v>Value</v>
          </cell>
          <cell r="L41" t="str">
            <v>Units</v>
          </cell>
          <cell r="M41" t="str">
            <v>Source</v>
          </cell>
        </row>
        <row r="42">
          <cell r="B42" t="str">
            <v>Energy carrier</v>
          </cell>
          <cell r="C42" t="str">
            <v>Quantity</v>
          </cell>
          <cell r="D42" t="str">
            <v>Units</v>
          </cell>
          <cell r="H42" t="str">
            <v>Raw materials to VCT flooring manufacturing</v>
          </cell>
          <cell r="I42" t="str">
            <v>Diesel truck</v>
          </cell>
          <cell r="J42" t="str">
            <v>Transport, combination truck, diesel-powered</v>
          </cell>
          <cell r="K42">
            <v>0.40200000000000002</v>
          </cell>
          <cell r="L42" t="str">
            <v>metric ton - kilometers / kg raw material</v>
          </cell>
          <cell r="M42" t="str">
            <v>Lippiat (2007)</v>
          </cell>
        </row>
        <row r="43">
          <cell r="B43" t="str">
            <v>Electricity, at grid, US</v>
          </cell>
          <cell r="C43">
            <v>0.33300000000000002</v>
          </cell>
          <cell r="D43" t="str">
            <v>kWh / kg vinyl acetate</v>
          </cell>
          <cell r="H43" t="str">
            <v>Adheives to the end user</v>
          </cell>
          <cell r="I43" t="str">
            <v>Diesel truck</v>
          </cell>
          <cell r="J43" t="str">
            <v>Transport, combination truck, diesel-powered</v>
          </cell>
          <cell r="K43">
            <v>0.24099999999999999</v>
          </cell>
          <cell r="L43" t="str">
            <v>metric ton - kilometers / kg adhesive</v>
          </cell>
          <cell r="M43" t="str">
            <v>Lippiat (2007)</v>
          </cell>
        </row>
        <row r="44">
          <cell r="B44" t="str">
            <v>Natural gas, combusted in industrial boiler</v>
          </cell>
          <cell r="C44">
            <v>3.1268961631940033E-2</v>
          </cell>
          <cell r="D44" t="str">
            <v>m3 / kg vinyl acetate</v>
          </cell>
          <cell r="H44" t="str">
            <v>VCT to building site</v>
          </cell>
          <cell r="I44" t="str">
            <v>Multiple</v>
          </cell>
          <cell r="J44" t="str">
            <v>Used retail transportation assumptions from WARM</v>
          </cell>
          <cell r="K44">
            <v>0.53937768773294736</v>
          </cell>
          <cell r="L44" t="str">
            <v>million Btu / short ton of VCT (includes precombustion and combustion)</v>
          </cell>
          <cell r="M44" t="str">
            <v>Census (2003)</v>
          </cell>
        </row>
        <row r="45">
          <cell r="C45">
            <v>1.2</v>
          </cell>
          <cell r="D45" t="str">
            <v>MJ / kg vinyl acetate</v>
          </cell>
          <cell r="K45">
            <v>3.9893604761952785E-2</v>
          </cell>
          <cell r="L45" t="str">
            <v>MTCO2E / short ton of VCT (includes precombustion and combustion)</v>
          </cell>
          <cell r="M45" t="str">
            <v>Census (2003)</v>
          </cell>
        </row>
        <row r="46">
          <cell r="B46" t="str">
            <v>Source: Ecoinvent version 2.1; for vinyl acetate, European average data, at plant</v>
          </cell>
          <cell r="H46" t="str">
            <v>VCT and adhesive to landfill</v>
          </cell>
          <cell r="I46" t="str">
            <v>Heavy-duty truck</v>
          </cell>
          <cell r="J46" t="str">
            <v>Used landfilling transportation assumptions from WARM</v>
          </cell>
          <cell r="K46">
            <v>0.52739999999999998</v>
          </cell>
          <cell r="L46" t="str">
            <v>million Btu / short ton of VCT (includes precombustion and combustion)</v>
          </cell>
          <cell r="M46" t="str">
            <v>Assumptions tab, citing FAL (1994)</v>
          </cell>
        </row>
        <row r="47">
          <cell r="B47" t="str">
            <v>Limestone manufacturing, at mine (i.e. no transportation required) (per 1 kg of limestone)</v>
          </cell>
        </row>
        <row r="48">
          <cell r="B48" t="str">
            <v>Energy Inputs</v>
          </cell>
          <cell r="C48" t="str">
            <v>Quantity</v>
          </cell>
          <cell r="D48" t="str">
            <v>Units</v>
          </cell>
        </row>
        <row r="49">
          <cell r="B49" t="str">
            <v>Bituminous coal, combusted in industrial boiler</v>
          </cell>
          <cell r="C49">
            <v>3.5833000000000001E-5</v>
          </cell>
          <cell r="D49" t="str">
            <v>kg</v>
          </cell>
        </row>
        <row r="50">
          <cell r="B50" t="str">
            <v>Diesel, combusted in industrial boiler</v>
          </cell>
          <cell r="C50">
            <v>5.8418000000000001E-4</v>
          </cell>
          <cell r="D50" t="str">
            <v>L</v>
          </cell>
        </row>
        <row r="51">
          <cell r="B51" t="str">
            <v>Natural gas, combusted in industrial boiler</v>
          </cell>
          <cell r="C51">
            <v>1.4046000000000002E-4</v>
          </cell>
          <cell r="D51" t="str">
            <v>m3</v>
          </cell>
        </row>
        <row r="52">
          <cell r="B52" t="str">
            <v>Gasoline, combusted in equipment</v>
          </cell>
          <cell r="C52">
            <v>5.1116000000000003E-5</v>
          </cell>
          <cell r="D52" t="str">
            <v>L</v>
          </cell>
        </row>
        <row r="53">
          <cell r="B53" t="str">
            <v>Electricity, at grid, US</v>
          </cell>
          <cell r="C53">
            <v>4.2255000000000001E-3</v>
          </cell>
          <cell r="D53" t="str">
            <v>kWh</v>
          </cell>
        </row>
        <row r="54">
          <cell r="B54" t="str">
            <v>Source: U.S. LCI Database - www.nrel.gov/lci</v>
          </cell>
        </row>
        <row r="56">
          <cell r="B56" t="str">
            <v>Transportation of raw materials for virgin PVC manufacturing (per 1 kg of PVC)</v>
          </cell>
        </row>
        <row r="57">
          <cell r="B57" t="str">
            <v>Transportation</v>
          </cell>
          <cell r="C57" t="str">
            <v>Distance</v>
          </cell>
          <cell r="D57" t="str">
            <v>Units</v>
          </cell>
        </row>
        <row r="58">
          <cell r="B58" t="str">
            <v>Transport, barge, average fuel mix</v>
          </cell>
          <cell r="C58">
            <v>1.4581216953191489E-4</v>
          </cell>
          <cell r="D58" t="str">
            <v>metric ton - kilometers / kg PVC</v>
          </cell>
        </row>
        <row r="59">
          <cell r="B59" t="str">
            <v>Transport, ocean freighter, average fuel mix</v>
          </cell>
          <cell r="C59">
            <v>0.58009598257021289</v>
          </cell>
          <cell r="D59" t="str">
            <v>metric ton - kilometers / kg PVC</v>
          </cell>
        </row>
        <row r="60">
          <cell r="B60" t="str">
            <v>Transport, pipeline, unspecified</v>
          </cell>
          <cell r="C60">
            <v>7.9865893110999897E-2</v>
          </cell>
          <cell r="D60" t="str">
            <v>metric ton - kilometers / kg PVC</v>
          </cell>
        </row>
        <row r="61">
          <cell r="B61" t="str">
            <v>Transport, barge, diesel powered</v>
          </cell>
          <cell r="C61">
            <v>6.3989396803495737E-3</v>
          </cell>
          <cell r="D61" t="str">
            <v>metric ton - kilometers / kg PVC</v>
          </cell>
        </row>
        <row r="62">
          <cell r="B62" t="str">
            <v>Transport, barge, residual fuel oil powered</v>
          </cell>
          <cell r="C62">
            <v>2.268714977578485E-2</v>
          </cell>
          <cell r="D62" t="str">
            <v>metric ton - kilometers / kg PVC</v>
          </cell>
        </row>
        <row r="63">
          <cell r="B63" t="str">
            <v>Transport, pipeline, unspecified petroleum products</v>
          </cell>
          <cell r="C63">
            <v>0.14262594247039057</v>
          </cell>
          <cell r="D63" t="str">
            <v>metric ton - kilometers / kg PVC</v>
          </cell>
        </row>
        <row r="64">
          <cell r="B64" t="str">
            <v>Transport, combination truck, diesel-powered</v>
          </cell>
          <cell r="C64">
            <v>9.6761079621383611E-2</v>
          </cell>
          <cell r="D64" t="str">
            <v>metric ton - kilometers / kg PVC</v>
          </cell>
        </row>
        <row r="65">
          <cell r="B65" t="str">
            <v>Transport, train, diesel powered</v>
          </cell>
          <cell r="C65">
            <v>0.52006417946283201</v>
          </cell>
          <cell r="D65" t="str">
            <v>metric ton - kilometers / kg PVC</v>
          </cell>
        </row>
        <row r="66">
          <cell r="B66" t="str">
            <v>Transport, pipeline, natural gas</v>
          </cell>
          <cell r="C66">
            <v>0.66028503688731233</v>
          </cell>
          <cell r="D66" t="str">
            <v>metric ton - kilometers / kg PVC</v>
          </cell>
        </row>
        <row r="67">
          <cell r="B67" t="str">
            <v>Source: GHG MSTR, based FAL (2007); also available in U.S. LCI database - www.nrel.gov/lci</v>
          </cell>
        </row>
        <row r="69">
          <cell r="B69" t="str">
            <v>Virgin PVC manufacturing (per 1 kg of PVC)</v>
          </cell>
        </row>
        <row r="70">
          <cell r="B70" t="str">
            <v>Energy Inputs</v>
          </cell>
          <cell r="C70" t="str">
            <v>Quantity</v>
          </cell>
          <cell r="D70" t="str">
            <v>Units</v>
          </cell>
        </row>
        <row r="71">
          <cell r="B71" t="str">
            <v>Electricity, at grid, US</v>
          </cell>
          <cell r="C71">
            <v>0.76468618181065018</v>
          </cell>
          <cell r="D71" t="str">
            <v>kWh</v>
          </cell>
        </row>
        <row r="72">
          <cell r="B72" t="str">
            <v>Electricity, at cogenerating unit</v>
          </cell>
          <cell r="C72">
            <v>0.53086578021583564</v>
          </cell>
          <cell r="D72" t="str">
            <v>kWh</v>
          </cell>
        </row>
        <row r="73">
          <cell r="B73" t="str">
            <v>Natural gas, combusted in industrial boiler</v>
          </cell>
          <cell r="C73">
            <v>0.42763465534213996</v>
          </cell>
          <cell r="D73" t="str">
            <v>m3</v>
          </cell>
        </row>
        <row r="74">
          <cell r="B74" t="str">
            <v>Diesel, combusted in industrial boiler</v>
          </cell>
          <cell r="C74">
            <v>2.0723829418351592E-2</v>
          </cell>
          <cell r="D74" t="str">
            <v>L</v>
          </cell>
        </row>
        <row r="75">
          <cell r="B75" t="str">
            <v>Residual fuel oil, combusted in industrial boiler</v>
          </cell>
          <cell r="C75">
            <v>3.479206374344619E-3</v>
          </cell>
          <cell r="D75" t="str">
            <v>L</v>
          </cell>
        </row>
        <row r="76">
          <cell r="B76" t="str">
            <v>Gasoline, combusted in equipment</v>
          </cell>
          <cell r="C76">
            <v>4.3802675300397341E-4</v>
          </cell>
          <cell r="D76" t="str">
            <v>L</v>
          </cell>
        </row>
        <row r="77">
          <cell r="B77" t="str">
            <v>Liquefied petroleum gas, combusted in industrial boiler</v>
          </cell>
          <cell r="C77">
            <v>1.1597796994575065E-4</v>
          </cell>
          <cell r="D77" t="str">
            <v>L</v>
          </cell>
        </row>
        <row r="78">
          <cell r="B78" t="str">
            <v>Bituminous coal, combusted in industrial boiler</v>
          </cell>
          <cell r="C78">
            <v>1.9290596E-2</v>
          </cell>
          <cell r="D78" t="str">
            <v>kg</v>
          </cell>
        </row>
        <row r="79">
          <cell r="B79" t="str">
            <v>Source: GHG MSTR, based FAL (2007); also available in U.S. LCI database - www.nrel.gov/lci</v>
          </cell>
        </row>
        <row r="81">
          <cell r="B81" t="str">
            <v>Virgin PVC non-energy GHG emissions</v>
          </cell>
        </row>
        <row r="82">
          <cell r="B82" t="str">
            <v>Input</v>
          </cell>
          <cell r="C82" t="str">
            <v>Value</v>
          </cell>
          <cell r="D82" t="str">
            <v>Units</v>
          </cell>
          <cell r="E82" t="str">
            <v>Source</v>
          </cell>
        </row>
        <row r="83">
          <cell r="B83" t="str">
            <v>Ethylene dichloride / vinyl chloride monomer</v>
          </cell>
          <cell r="C83">
            <v>8.3000000000000002E-6</v>
          </cell>
          <cell r="D83" t="str">
            <v>kg CO2 / metric ton of ethylene dichloride</v>
          </cell>
          <cell r="E83" t="str">
            <v>2006 IPCC Guidelines for National GHG Inventories, p. 3.77</v>
          </cell>
        </row>
        <row r="84">
          <cell r="C84">
            <v>1.0009999999999999</v>
          </cell>
          <cell r="D84" t="str">
            <v>kg ethylene dichloride / kg of PVC</v>
          </cell>
          <cell r="E84" t="str">
            <v>GHG MSTR, based on FAL (2007)</v>
          </cell>
        </row>
        <row r="85">
          <cell r="B85" t="str">
            <v>Ethylene</v>
          </cell>
          <cell r="C85">
            <v>6</v>
          </cell>
          <cell r="D85" t="str">
            <v>kgCH4 / metric ton of ethylene</v>
          </cell>
          <cell r="E85" t="str">
            <v>2006 IPCC Guidelines for National GHG Inventories, p. 3.74</v>
          </cell>
        </row>
        <row r="86">
          <cell r="C86">
            <v>8.3600000000000015E-4</v>
          </cell>
          <cell r="D86" t="str">
            <v>kg CO2 / metric ton of ethylene</v>
          </cell>
          <cell r="E86" t="str">
            <v>2006 IPCC Guidelines for National GHG Inventories, p. 3.74</v>
          </cell>
        </row>
        <row r="87">
          <cell r="C87">
            <v>0.45345299999999994</v>
          </cell>
          <cell r="D87" t="str">
            <v>kg ethylene / kg of PVC</v>
          </cell>
          <cell r="E87" t="str">
            <v>GHG MSTR, based on FAL (2007)</v>
          </cell>
        </row>
        <row r="88">
          <cell r="B88" t="str">
            <v>PVC</v>
          </cell>
          <cell r="C88">
            <v>8.3082999999999997E-6</v>
          </cell>
          <cell r="D88" t="str">
            <v>kg CO2 / metric ton of PVC</v>
          </cell>
          <cell r="E88" t="str">
            <v>Calculated</v>
          </cell>
        </row>
        <row r="89">
          <cell r="B89" t="str">
            <v>Source: IPCC (2006), FAL (2007)</v>
          </cell>
        </row>
        <row r="91">
          <cell r="B91" t="str">
            <v>Styrene butadiene adhesive manufacturing and transportation, up to plant gate (i.e., just prior to retail distribution) (per 1 kg of adhesive)</v>
          </cell>
        </row>
        <row r="92">
          <cell r="B92" t="str">
            <v>Input</v>
          </cell>
          <cell r="C92" t="str">
            <v>Quantity</v>
          </cell>
          <cell r="D92" t="str">
            <v>Units</v>
          </cell>
          <cell r="E92" t="str">
            <v>Notes</v>
          </cell>
        </row>
        <row r="93">
          <cell r="B93" t="str">
            <v>Lignite (i.e., brown coal), in ground</v>
          </cell>
          <cell r="C93">
            <v>2.2091E-2</v>
          </cell>
          <cell r="D93" t="str">
            <v>kg / kg adhesive</v>
          </cell>
          <cell r="E93" t="str">
            <v>Fossil fuel energy input included as process energy</v>
          </cell>
        </row>
        <row r="94">
          <cell r="B94" t="str">
            <v>Anthracite (i.e., hard coal), in ground</v>
          </cell>
          <cell r="C94">
            <v>9.9780999999999995E-2</v>
          </cell>
          <cell r="D94" t="str">
            <v>kg / kg adhesive</v>
          </cell>
          <cell r="E94" t="str">
            <v>Fossil fuel energy input included as process energy</v>
          </cell>
        </row>
        <row r="95">
          <cell r="B95" t="str">
            <v>Natural gas, in ground</v>
          </cell>
          <cell r="C95">
            <v>1.2485757</v>
          </cell>
          <cell r="D95" t="str">
            <v>m3 / kg adhesive</v>
          </cell>
          <cell r="E95" t="str">
            <v>Fossil fuel energy input included as process energy</v>
          </cell>
        </row>
        <row r="96">
          <cell r="C96">
            <v>0.92010000000000003</v>
          </cell>
          <cell r="D96" t="str">
            <v>kg / kg adhesive</v>
          </cell>
        </row>
        <row r="97">
          <cell r="B97" t="str">
            <v>Oil, crude, in ground</v>
          </cell>
          <cell r="C97">
            <v>0.87048000000000003</v>
          </cell>
          <cell r="D97" t="str">
            <v>kg / kg adhesive</v>
          </cell>
          <cell r="E97" t="str">
            <v>Not included as a process energy input. Assumed to be feedstock for the latex adhesive.</v>
          </cell>
        </row>
        <row r="98">
          <cell r="B98" t="str">
            <v>non-renewable energy resources, nuclear</v>
          </cell>
          <cell r="C98">
            <v>2.1789000000000001</v>
          </cell>
          <cell r="D98" t="str">
            <v>MJ / kg adhesive</v>
          </cell>
          <cell r="E98" t="str">
            <v>Non-renewable energy input included as process energy</v>
          </cell>
        </row>
        <row r="99">
          <cell r="B99" t="str">
            <v>renewable energy resources, biomass</v>
          </cell>
          <cell r="C99">
            <v>5.2803000000000003E-2</v>
          </cell>
          <cell r="D99" t="str">
            <v>MJ / kg adhesive</v>
          </cell>
          <cell r="E99" t="str">
            <v>Renewable energy input included as process energy</v>
          </cell>
        </row>
        <row r="100">
          <cell r="B100" t="str">
            <v>renewable energy resources, potential (in barrage water), converted</v>
          </cell>
          <cell r="C100">
            <v>0.20150999999999999</v>
          </cell>
          <cell r="D100" t="str">
            <v>MJ / kg adhesive</v>
          </cell>
          <cell r="E100" t="str">
            <v>Renewable energy input included as process energy</v>
          </cell>
        </row>
        <row r="101">
          <cell r="B101" t="str">
            <v>non-renewable energy resources, primary forest</v>
          </cell>
          <cell r="C101">
            <v>4.8404000000000001E-8</v>
          </cell>
          <cell r="D101" t="str">
            <v>MJ / kg adhesive</v>
          </cell>
          <cell r="E101" t="str">
            <v>Renewable energy input included as process energy</v>
          </cell>
        </row>
        <row r="102">
          <cell r="B102" t="str">
            <v>renewable energy resources, kinetic (in wind), converted</v>
          </cell>
          <cell r="C102">
            <v>4.2027000000000003E-5</v>
          </cell>
          <cell r="D102" t="str">
            <v>MJ / kg adhesive</v>
          </cell>
          <cell r="E102" t="str">
            <v>Renewable energy input included as process energy</v>
          </cell>
        </row>
        <row r="103">
          <cell r="B103" t="str">
            <v>renewable energy resources, solar, converted</v>
          </cell>
          <cell r="C103">
            <v>8.8682000000000005E-7</v>
          </cell>
          <cell r="D103" t="str">
            <v>MJ / kg adhesive</v>
          </cell>
          <cell r="E103" t="str">
            <v>Renewable energy input included as process energy</v>
          </cell>
        </row>
        <row r="104">
          <cell r="B104" t="str">
            <v>total renewable energy resources, biomass, hydro, solar, wind</v>
          </cell>
          <cell r="C104">
            <v>0.25435596222399998</v>
          </cell>
          <cell r="D104" t="str">
            <v>MJ / kg adhesive</v>
          </cell>
          <cell r="E104" t="str">
            <v>Renewable energy input included as process energy</v>
          </cell>
        </row>
        <row r="105">
          <cell r="B105" t="str">
            <v>Source: Ecoinvent version 2.1; for latex, styrene butadiene dispersion, at plant; includes raw material process and transportation up to plant gate; based on European-average LCI data.</v>
          </cell>
        </row>
        <row r="106">
          <cell r="B106" t="str">
            <v xml:space="preserve">Note: Our estimate of the energy and GHG emissions to produce 1 kg of adhesive is close to the cumulative energy demand and Global Warming Potential (GWP) from ecoinvent. </v>
          </cell>
          <cell r="R106" t="str">
            <v>Transportation</v>
          </cell>
        </row>
        <row r="107">
          <cell r="B107" t="str">
            <v>We slightly over-estimate GWP. This may arise from our assumption that all of the natural gas is used as process energy. Some natural gas may in reality be used as feedstock, but the error is likely small.</v>
          </cell>
        </row>
        <row r="110">
          <cell r="B110" t="str">
            <v>Process and transportation energy inputs required to manufacture 1 kg of VCT flooring</v>
          </cell>
        </row>
        <row r="111">
          <cell r="B111" t="str">
            <v>Unit process</v>
          </cell>
          <cell r="C111" t="str">
            <v>Composition of vinyl flooring</v>
          </cell>
          <cell r="D111" t="str">
            <v>Process Energy</v>
          </cell>
          <cell r="R111" t="str">
            <v>Transportation</v>
          </cell>
        </row>
        <row r="112">
          <cell r="D112" t="str">
            <v>Electricity, at grid, US</v>
          </cell>
          <cell r="E112" t="str">
            <v>Electricity, at cogenerating unit</v>
          </cell>
          <cell r="F112" t="str">
            <v>Natural gas, combusted in industrial boiler</v>
          </cell>
          <cell r="G112" t="str">
            <v>Distillate oil industrial combustion</v>
          </cell>
          <cell r="H112" t="str">
            <v>Diesel, combusted in industrial boiler</v>
          </cell>
          <cell r="I112" t="str">
            <v>Residual fuel oil, combusted in industrial boiler</v>
          </cell>
          <cell r="J112" t="str">
            <v>Gasoline, combusted in equipment</v>
          </cell>
          <cell r="K112" t="str">
            <v>Liquefied petroleum gas, combusted in industrial boiler</v>
          </cell>
          <cell r="L112" t="str">
            <v>Bituminous coal, combusted in industrial boiler</v>
          </cell>
          <cell r="M112" t="str">
            <v>Lignite (i.e., brown coal), in ground</v>
          </cell>
          <cell r="N112" t="str">
            <v>Anthracite (i.e., hard coal), in ground</v>
          </cell>
          <cell r="O112" t="str">
            <v>Natural gas, in ground</v>
          </cell>
          <cell r="P112" t="str">
            <v>non-renewable energy resources, nuclear</v>
          </cell>
          <cell r="Q112" t="str">
            <v>total renewable energy resources, biomass, hydro, solar, wind</v>
          </cell>
          <cell r="R112" t="str">
            <v>Transport, barge, average fuel mix</v>
          </cell>
          <cell r="S112" t="str">
            <v>Transport, ocean freighter, average fuel mix</v>
          </cell>
        </row>
        <row r="113">
          <cell r="C113" t="str">
            <v>kg of material / kg VCT</v>
          </cell>
          <cell r="D113" t="str">
            <v>kWh / kg</v>
          </cell>
          <cell r="E113" t="str">
            <v>kWh / kg</v>
          </cell>
          <cell r="F113" t="str">
            <v>m3 / kg</v>
          </cell>
          <cell r="G113" t="str">
            <v>L / kg</v>
          </cell>
          <cell r="H113" t="str">
            <v>L / kg</v>
          </cell>
          <cell r="I113" t="str">
            <v>L / kg</v>
          </cell>
          <cell r="J113" t="str">
            <v>L / kg</v>
          </cell>
          <cell r="K113" t="str">
            <v>L / kg</v>
          </cell>
          <cell r="L113" t="str">
            <v>kg / kg</v>
          </cell>
          <cell r="M113" t="str">
            <v>kg / kg</v>
          </cell>
          <cell r="N113" t="str">
            <v>kg / kg</v>
          </cell>
          <cell r="O113" t="str">
            <v>m3 / kg</v>
          </cell>
          <cell r="P113" t="str">
            <v>MJ / kg</v>
          </cell>
          <cell r="Q113" t="str">
            <v>MJ / kg</v>
          </cell>
          <cell r="R113" t="str">
            <v>metric ton km / kg</v>
          </cell>
          <cell r="S113" t="str">
            <v>metric ton km / kg</v>
          </cell>
        </row>
        <row r="114">
          <cell r="B114" t="str">
            <v>Vinyl acetate manufacturing</v>
          </cell>
          <cell r="C114">
            <v>6.0323947926127766E-3</v>
          </cell>
          <cell r="D114">
            <v>0.33300000000000002</v>
          </cell>
          <cell r="E114">
            <v>0</v>
          </cell>
          <cell r="F114">
            <v>3.1268961631940033E-2</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B115" t="str">
            <v>Limestone manufacturing</v>
          </cell>
          <cell r="C115">
            <v>0.83863154707841359</v>
          </cell>
          <cell r="D115">
            <v>4.2255000000000001E-3</v>
          </cell>
          <cell r="E115">
            <v>0</v>
          </cell>
          <cell r="F115">
            <v>1.4046000000000002E-4</v>
          </cell>
          <cell r="G115">
            <v>0</v>
          </cell>
          <cell r="H115">
            <v>5.8418000000000001E-4</v>
          </cell>
          <cell r="I115">
            <v>0</v>
          </cell>
          <cell r="J115">
            <v>5.1116000000000003E-5</v>
          </cell>
          <cell r="K115">
            <v>0</v>
          </cell>
          <cell r="L115">
            <v>3.5833000000000001E-5</v>
          </cell>
          <cell r="M115">
            <v>0</v>
          </cell>
          <cell r="N115">
            <v>0</v>
          </cell>
          <cell r="O115">
            <v>0</v>
          </cell>
          <cell r="P115">
            <v>0</v>
          </cell>
          <cell r="Q115">
            <v>0</v>
          </cell>
          <cell r="R115">
            <v>0</v>
          </cell>
          <cell r="S115">
            <v>0</v>
          </cell>
        </row>
        <row r="116">
          <cell r="B116" t="str">
            <v>PVC manufacturing</v>
          </cell>
          <cell r="C116">
            <v>0.11461550105964274</v>
          </cell>
          <cell r="D116">
            <v>0.76468618181065018</v>
          </cell>
          <cell r="E116">
            <v>0.53086578021583564</v>
          </cell>
          <cell r="F116">
            <v>0.42763465534213996</v>
          </cell>
          <cell r="G116">
            <v>0</v>
          </cell>
          <cell r="H116">
            <v>2.0723829418351592E-2</v>
          </cell>
          <cell r="I116">
            <v>3.479206374344619E-3</v>
          </cell>
          <cell r="J116">
            <v>4.3802675300397341E-4</v>
          </cell>
          <cell r="K116">
            <v>1.1597796994575065E-4</v>
          </cell>
          <cell r="L116">
            <v>1.9290596E-2</v>
          </cell>
          <cell r="M116">
            <v>0</v>
          </cell>
          <cell r="N116">
            <v>0</v>
          </cell>
          <cell r="O116">
            <v>0</v>
          </cell>
          <cell r="P116">
            <v>0</v>
          </cell>
          <cell r="Q116">
            <v>0</v>
          </cell>
          <cell r="R116">
            <v>1.4581216953191489E-4</v>
          </cell>
          <cell r="S116">
            <v>0.58009598257021289</v>
          </cell>
        </row>
        <row r="117">
          <cell r="B117" t="str">
            <v>Plasticizer (DINP or BBP)</v>
          </cell>
          <cell r="C117">
            <v>4.0720557069330914E-2</v>
          </cell>
          <cell r="D117">
            <v>6.1095741865438945E-2</v>
          </cell>
          <cell r="E117">
            <v>0</v>
          </cell>
          <cell r="F117">
            <v>0.27959663192559719</v>
          </cell>
          <cell r="G117">
            <v>0</v>
          </cell>
          <cell r="H117">
            <v>0</v>
          </cell>
          <cell r="I117">
            <v>0.1906359231226164</v>
          </cell>
          <cell r="J117">
            <v>0</v>
          </cell>
          <cell r="K117">
            <v>0</v>
          </cell>
          <cell r="L117">
            <v>2.0089841822294924E-2</v>
          </cell>
          <cell r="M117">
            <v>0</v>
          </cell>
          <cell r="N117">
            <v>0</v>
          </cell>
          <cell r="O117">
            <v>0</v>
          </cell>
          <cell r="P117">
            <v>0.42</v>
          </cell>
          <cell r="Q117">
            <v>0.23129999999999998</v>
          </cell>
          <cell r="R117">
            <v>0</v>
          </cell>
          <cell r="S117">
            <v>0</v>
          </cell>
        </row>
        <row r="118">
          <cell r="B118" t="str">
            <v>VCT flooring manufacturing</v>
          </cell>
          <cell r="C118">
            <v>1</v>
          </cell>
          <cell r="D118">
            <v>0.37768276789544042</v>
          </cell>
          <cell r="E118">
            <v>0</v>
          </cell>
          <cell r="F118">
            <v>2.214884782262419E-2</v>
          </cell>
          <cell r="G118">
            <v>0</v>
          </cell>
          <cell r="H118">
            <v>0</v>
          </cell>
          <cell r="I118">
            <v>0</v>
          </cell>
          <cell r="J118">
            <v>0</v>
          </cell>
          <cell r="K118">
            <v>0</v>
          </cell>
          <cell r="L118">
            <v>0</v>
          </cell>
          <cell r="M118">
            <v>0</v>
          </cell>
          <cell r="N118">
            <v>0</v>
          </cell>
          <cell r="O118">
            <v>0</v>
          </cell>
          <cell r="P118">
            <v>0</v>
          </cell>
          <cell r="Q118">
            <v>0</v>
          </cell>
          <cell r="R118">
            <v>0</v>
          </cell>
          <cell r="S118">
            <v>0</v>
          </cell>
        </row>
        <row r="119">
          <cell r="B119" t="str">
            <v>Adhesive manufacturing</v>
          </cell>
          <cell r="C119">
            <v>2.16734029669997E-2</v>
          </cell>
          <cell r="D119">
            <v>0</v>
          </cell>
          <cell r="E119">
            <v>0</v>
          </cell>
          <cell r="F119">
            <v>0</v>
          </cell>
          <cell r="G119">
            <v>0</v>
          </cell>
          <cell r="H119">
            <v>0</v>
          </cell>
          <cell r="I119">
            <v>0</v>
          </cell>
          <cell r="J119">
            <v>0</v>
          </cell>
          <cell r="K119">
            <v>0</v>
          </cell>
          <cell r="L119">
            <v>0</v>
          </cell>
          <cell r="M119">
            <v>2.2091E-2</v>
          </cell>
          <cell r="N119">
            <v>9.9780999999999995E-2</v>
          </cell>
          <cell r="O119">
            <v>1.2485757</v>
          </cell>
          <cell r="P119">
            <v>2.1789000000000001</v>
          </cell>
          <cell r="Q119">
            <v>0.25435596222399998</v>
          </cell>
          <cell r="R119">
            <v>0</v>
          </cell>
          <cell r="S119">
            <v>0</v>
          </cell>
        </row>
        <row r="121">
          <cell r="H121">
            <v>2.8651838698312E-3</v>
          </cell>
          <cell r="I121">
            <v>8.1615719688644933E-3</v>
          </cell>
          <cell r="J121">
            <v>9.3072145933538968E-5</v>
          </cell>
          <cell r="K121">
            <v>1.3292873137212397E-5</v>
          </cell>
          <cell r="L121">
            <v>3.0591215609441927E-3</v>
          </cell>
          <cell r="M121">
            <v>4.7878714494399034E-4</v>
          </cell>
          <cell r="N121">
            <v>2.1625938214501969E-3</v>
          </cell>
          <cell r="O121">
            <v>2.7060884280903728E-2</v>
          </cell>
          <cell r="P121">
            <v>6.4326811693914632E-2</v>
          </cell>
          <cell r="Q121">
            <v>1.4931424116475944E-2</v>
          </cell>
          <cell r="R121">
            <v>1.6712334871493997E-5</v>
          </cell>
        </row>
        <row r="125">
          <cell r="R125" t="str">
            <v>Transportation</v>
          </cell>
        </row>
        <row r="126">
          <cell r="H126" t="str">
            <v>Diesel, combusted in industrial boiler</v>
          </cell>
          <cell r="I126" t="str">
            <v>Residual fuel oil, combusted in industrial boiler</v>
          </cell>
          <cell r="J126" t="str">
            <v>Gasoline, combusted in equipment</v>
          </cell>
          <cell r="K126" t="str">
            <v>Liquefied petroleum gas, combusted in industrial boiler</v>
          </cell>
          <cell r="L126" t="str">
            <v>Bituminous coal, combusted in industrial boiler</v>
          </cell>
          <cell r="M126" t="str">
            <v>Lignite (i.e., brown coal), in ground</v>
          </cell>
          <cell r="N126" t="str">
            <v>Anthracite (i.e., hard coal), in ground</v>
          </cell>
          <cell r="O126" t="str">
            <v>Natural gas, in ground</v>
          </cell>
          <cell r="P126" t="str">
            <v>non-renewable energy resources, nuclear</v>
          </cell>
          <cell r="Q126" t="str">
            <v>total renewable energy resources, biomass, hydro, solar, wind</v>
          </cell>
          <cell r="R126" t="str">
            <v>Transport, barge, average fuel mix</v>
          </cell>
        </row>
        <row r="127">
          <cell r="H127" t="str">
            <v>mmBtu / kg</v>
          </cell>
          <cell r="I127" t="str">
            <v>mmBtu / kg</v>
          </cell>
          <cell r="J127" t="str">
            <v>mmBtu / kg</v>
          </cell>
          <cell r="K127" t="str">
            <v>mmBtu / kg</v>
          </cell>
          <cell r="L127" t="str">
            <v>mmBtu / kg</v>
          </cell>
          <cell r="M127" t="str">
            <v>mmBtu / kg</v>
          </cell>
          <cell r="N127" t="str">
            <v>mmBtu / kg</v>
          </cell>
          <cell r="O127" t="str">
            <v>mmBtu / kg</v>
          </cell>
          <cell r="P127" t="str">
            <v>mmBtu / kg</v>
          </cell>
          <cell r="Q127" t="str">
            <v>mmBtu / kg</v>
          </cell>
          <cell r="R127" t="str">
            <v>mmBtu / kg</v>
          </cell>
        </row>
        <row r="129">
          <cell r="B129" t="str">
            <v>Combustion energy</v>
          </cell>
          <cell r="D129">
            <v>5.0185527870063359E-3</v>
          </cell>
          <cell r="E129">
            <v>4.4680293665424976E-4</v>
          </cell>
          <cell r="F129">
            <v>3.013746043995587E-3</v>
          </cell>
          <cell r="G129">
            <v>0</v>
          </cell>
          <cell r="H129">
            <v>1.0520930906664447E-4</v>
          </cell>
          <cell r="I129">
            <v>3.2340888296429241E-4</v>
          </cell>
          <cell r="J129">
            <v>3.0733824793276181E-6</v>
          </cell>
          <cell r="K129">
            <v>3.3535833309098642E-7</v>
          </cell>
          <cell r="L129">
            <v>7.2163031979799078E-5</v>
          </cell>
          <cell r="M129">
            <v>6.8188205113286575E-6</v>
          </cell>
          <cell r="N129">
            <v>5.911952043192975E-5</v>
          </cell>
          <cell r="O129">
            <v>9.8431549257786493E-4</v>
          </cell>
          <cell r="P129">
            <v>6.0970053570068954E-5</v>
          </cell>
          <cell r="Q129">
            <v>1.4152259443399081E-5</v>
          </cell>
          <cell r="R129">
            <v>2.1503230318957244E-9</v>
          </cell>
          <cell r="S129">
            <v>3.6193378931866504E-6</v>
          </cell>
        </row>
        <row r="130">
          <cell r="B130" t="str">
            <v>Total energy</v>
          </cell>
          <cell r="D130">
            <v>5.0185527870063359E-3</v>
          </cell>
          <cell r="E130">
            <v>4.4680293665424976E-4</v>
          </cell>
          <cell r="F130">
            <v>3.2741571099330698E-3</v>
          </cell>
          <cell r="G130">
            <v>0</v>
          </cell>
          <cell r="H130">
            <v>1.2042302929858371E-4</v>
          </cell>
          <cell r="I130">
            <v>3.7062657987707912E-4</v>
          </cell>
          <cell r="J130">
            <v>3.4938212024996363E-6</v>
          </cell>
          <cell r="K130">
            <v>3.79604563425504E-7</v>
          </cell>
          <cell r="L130">
            <v>7.5737462535807815E-5</v>
          </cell>
          <cell r="M130">
            <v>6.8188205113286575E-6</v>
          </cell>
          <cell r="N130">
            <v>5.911952043192975E-5</v>
          </cell>
          <cell r="O130">
            <v>9.8431549257786493E-4</v>
          </cell>
          <cell r="P130">
            <v>6.0970053570068954E-5</v>
          </cell>
          <cell r="Q130">
            <v>1.4152259443399081E-5</v>
          </cell>
          <cell r="R130">
            <v>2.462826725112404E-9</v>
          </cell>
          <cell r="S130">
            <v>4.1453316354490702E-6</v>
          </cell>
        </row>
        <row r="136">
          <cell r="B136" t="str">
            <v>Total process and transportation energy inputs by material or process</v>
          </cell>
        </row>
        <row r="137">
          <cell r="B137" t="str">
            <v>Unit process</v>
          </cell>
          <cell r="C137" t="str">
            <v>Composition of vinyl flooring</v>
          </cell>
          <cell r="D137" t="str">
            <v>Process Energy</v>
          </cell>
        </row>
        <row r="138">
          <cell r="D138" t="str">
            <v>Electricity, at grid, US</v>
          </cell>
          <cell r="E138" t="str">
            <v>Electricity, at cogenerating unit</v>
          </cell>
          <cell r="F138" t="str">
            <v>Natural gas, combusted in industrial boiler</v>
          </cell>
          <cell r="G138" t="str">
            <v>Distillate oil industrial combustion</v>
          </cell>
          <cell r="H138" t="str">
            <v>Diesel, combusted in industrial boiler</v>
          </cell>
          <cell r="I138" t="str">
            <v>Residual fuel oil, combusted in industrial boiler</v>
          </cell>
          <cell r="J138" t="str">
            <v>Gasoline, combusted in equipment</v>
          </cell>
          <cell r="K138" t="str">
            <v>Liquefied petroleum gas, combusted in industrial boiler</v>
          </cell>
          <cell r="L138" t="str">
            <v>Bituminous coal, combusted in industrial boiler</v>
          </cell>
          <cell r="M138" t="str">
            <v>Lignite (i.e., brown coal), in ground</v>
          </cell>
          <cell r="N138" t="str">
            <v>Anthracite (i.e., hard coal), in ground</v>
          </cell>
          <cell r="O138" t="str">
            <v>Natural gas, in ground</v>
          </cell>
          <cell r="P138" t="str">
            <v>non-renewable energy resources, nuclear</v>
          </cell>
          <cell r="Q138" t="str">
            <v>total renewable energy resources, biomass, hydro, solar, wind</v>
          </cell>
        </row>
        <row r="139">
          <cell r="C139" t="str">
            <v>kg of material / kg VCT</v>
          </cell>
          <cell r="D139" t="str">
            <v>kWh / kg</v>
          </cell>
          <cell r="E139" t="str">
            <v>kWh / kg</v>
          </cell>
          <cell r="F139" t="str">
            <v>m3 / kg</v>
          </cell>
          <cell r="G139" t="str">
            <v>L / kg</v>
          </cell>
          <cell r="H139" t="str">
            <v>L / kg</v>
          </cell>
          <cell r="I139" t="str">
            <v>L / kg</v>
          </cell>
          <cell r="J139" t="str">
            <v>L / kg</v>
          </cell>
          <cell r="K139" t="str">
            <v>L / kg</v>
          </cell>
          <cell r="L139" t="str">
            <v>kg / kg</v>
          </cell>
          <cell r="M139" t="str">
            <v>kg / kg</v>
          </cell>
          <cell r="N139" t="str">
            <v>kg / kg</v>
          </cell>
          <cell r="O139" t="str">
            <v>m3 / kg</v>
          </cell>
          <cell r="P139" t="str">
            <v>MJ / kg</v>
          </cell>
          <cell r="Q139" t="str">
            <v>MJ / kg</v>
          </cell>
        </row>
        <row r="140">
          <cell r="B140" t="str">
            <v>Vinyl acetate manufacturing</v>
          </cell>
          <cell r="C140">
            <v>6.03239479261278E-3</v>
          </cell>
          <cell r="D140">
            <v>2.0087874659400545E-3</v>
          </cell>
          <cell r="E140">
            <v>0</v>
          </cell>
          <cell r="F140">
            <v>1.8862672131892376E-4</v>
          </cell>
          <cell r="G140">
            <v>0</v>
          </cell>
          <cell r="H140">
            <v>0</v>
          </cell>
          <cell r="I140">
            <v>0</v>
          </cell>
          <cell r="J140">
            <v>0</v>
          </cell>
          <cell r="K140">
            <v>0</v>
          </cell>
          <cell r="L140">
            <v>0</v>
          </cell>
          <cell r="M140">
            <v>0</v>
          </cell>
          <cell r="N140">
            <v>0</v>
          </cell>
          <cell r="O140">
            <v>0</v>
          </cell>
          <cell r="P140">
            <v>0</v>
          </cell>
          <cell r="Q140">
            <v>0</v>
          </cell>
        </row>
        <row r="141">
          <cell r="B141" t="str">
            <v>Limestone manufacturing</v>
          </cell>
          <cell r="C141">
            <v>0.83863154707841359</v>
          </cell>
          <cell r="D141">
            <v>3.5436376021798369E-3</v>
          </cell>
          <cell r="E141">
            <v>0</v>
          </cell>
          <cell r="F141">
            <v>1.17794187102634E-4</v>
          </cell>
          <cell r="G141">
            <v>0</v>
          </cell>
          <cell r="H141">
            <v>4.8991177717226761E-4</v>
          </cell>
          <cell r="I141">
            <v>0</v>
          </cell>
          <cell r="J141">
            <v>4.2867490160460189E-5</v>
          </cell>
          <cell r="K141">
            <v>0</v>
          </cell>
          <cell r="L141">
            <v>3.0050684226460794E-5</v>
          </cell>
          <cell r="M141">
            <v>0</v>
          </cell>
          <cell r="N141">
            <v>0</v>
          </cell>
          <cell r="O141">
            <v>0</v>
          </cell>
          <cell r="P141">
            <v>0</v>
          </cell>
          <cell r="Q141">
            <v>0</v>
          </cell>
        </row>
        <row r="142">
          <cell r="B142" t="str">
            <v>PVC manufacturing</v>
          </cell>
          <cell r="C142">
            <v>0.11461550105964274</v>
          </cell>
          <cell r="D142">
            <v>8.7644889881612745E-2</v>
          </cell>
          <cell r="E142">
            <v>6.0845447394856179E-2</v>
          </cell>
          <cell r="F142">
            <v>4.9013560292507002E-2</v>
          </cell>
          <cell r="G142">
            <v>0</v>
          </cell>
          <cell r="H142">
            <v>2.3752720926589325E-3</v>
          </cell>
          <cell r="I142">
            <v>3.9877098188541147E-4</v>
          </cell>
          <cell r="J142">
            <v>5.0204655773078786E-5</v>
          </cell>
          <cell r="K142">
            <v>1.3292873137212397E-5</v>
          </cell>
          <cell r="L142">
            <v>2.2110013262791402E-3</v>
          </cell>
          <cell r="M142">
            <v>0</v>
          </cell>
          <cell r="N142">
            <v>0</v>
          </cell>
          <cell r="O142">
            <v>0</v>
          </cell>
          <cell r="P142">
            <v>0</v>
          </cell>
          <cell r="Q142">
            <v>0</v>
          </cell>
        </row>
        <row r="143">
          <cell r="B143" t="str">
            <v>Plasticizer (DINP or BBP)</v>
          </cell>
          <cell r="C143">
            <v>4.0720557069330914E-2</v>
          </cell>
          <cell r="D143">
            <v>2.4878526433247164E-3</v>
          </cell>
          <cell r="E143">
            <v>0</v>
          </cell>
          <cell r="F143">
            <v>1.138533060671899E-2</v>
          </cell>
          <cell r="G143">
            <v>0</v>
          </cell>
          <cell r="H143">
            <v>0</v>
          </cell>
          <cell r="I143">
            <v>7.7628009869790821E-3</v>
          </cell>
          <cell r="J143">
            <v>0</v>
          </cell>
          <cell r="K143">
            <v>0</v>
          </cell>
          <cell r="L143">
            <v>8.1806955043859145E-4</v>
          </cell>
          <cell r="M143">
            <v>0</v>
          </cell>
          <cell r="N143">
            <v>0</v>
          </cell>
          <cell r="O143">
            <v>0</v>
          </cell>
          <cell r="P143">
            <v>1.7102633969118982E-2</v>
          </cell>
          <cell r="Q143">
            <v>9.4186648501362394E-3</v>
          </cell>
        </row>
        <row r="144">
          <cell r="B144" t="str">
            <v>VCT flooring manufacturing</v>
          </cell>
          <cell r="C144">
            <v>1</v>
          </cell>
          <cell r="D144">
            <v>0.37768276789544042</v>
          </cell>
          <cell r="E144">
            <v>0</v>
          </cell>
          <cell r="F144">
            <v>2.214884782262419E-2</v>
          </cell>
          <cell r="G144">
            <v>0</v>
          </cell>
          <cell r="H144">
            <v>0</v>
          </cell>
          <cell r="I144">
            <v>0</v>
          </cell>
          <cell r="J144">
            <v>0</v>
          </cell>
          <cell r="K144">
            <v>0</v>
          </cell>
          <cell r="L144">
            <v>0</v>
          </cell>
          <cell r="M144">
            <v>0</v>
          </cell>
          <cell r="N144">
            <v>0</v>
          </cell>
          <cell r="O144">
            <v>0</v>
          </cell>
          <cell r="P144">
            <v>0</v>
          </cell>
          <cell r="Q144">
            <v>0</v>
          </cell>
        </row>
        <row r="145">
          <cell r="B145" t="str">
            <v>Adhesive manufacturing</v>
          </cell>
          <cell r="C145">
            <v>2.16734029669997E-2</v>
          </cell>
          <cell r="D145">
            <v>0</v>
          </cell>
          <cell r="E145">
            <v>0</v>
          </cell>
          <cell r="F145">
            <v>0</v>
          </cell>
          <cell r="G145">
            <v>0</v>
          </cell>
          <cell r="H145">
            <v>0</v>
          </cell>
          <cell r="I145">
            <v>0</v>
          </cell>
          <cell r="J145">
            <v>0</v>
          </cell>
          <cell r="K145">
            <v>0</v>
          </cell>
          <cell r="L145">
            <v>0</v>
          </cell>
          <cell r="M145">
            <v>4.7878714494399034E-4</v>
          </cell>
          <cell r="N145">
            <v>2.1625938214501969E-3</v>
          </cell>
          <cell r="O145">
            <v>2.7060884280903728E-2</v>
          </cell>
          <cell r="P145">
            <v>4.7224177724795646E-2</v>
          </cell>
          <cell r="Q145">
            <v>5.5127592663397045E-3</v>
          </cell>
        </row>
        <row r="148">
          <cell r="B148" t="str">
            <v>Total combustion energy by material or process</v>
          </cell>
        </row>
        <row r="149">
          <cell r="B149" t="str">
            <v>Unit process</v>
          </cell>
          <cell r="D149" t="str">
            <v>Process Energy</v>
          </cell>
        </row>
        <row r="150">
          <cell r="D150" t="str">
            <v>Electricity, at grid, US</v>
          </cell>
          <cell r="E150" t="str">
            <v>Electricity, at cogenerating unit</v>
          </cell>
          <cell r="F150" t="str">
            <v>Natural gas, combusted in industrial boiler</v>
          </cell>
          <cell r="G150" t="str">
            <v>Distillate oil industrial combustion</v>
          </cell>
          <cell r="H150" t="str">
            <v>Diesel, combusted in industrial boiler</v>
          </cell>
          <cell r="I150" t="str">
            <v>Residual fuel oil, combusted in industrial boiler</v>
          </cell>
          <cell r="J150" t="str">
            <v>Gasoline, combusted in equipment</v>
          </cell>
          <cell r="K150" t="str">
            <v>Liquefied petroleum gas, combusted in industrial boiler</v>
          </cell>
          <cell r="L150" t="str">
            <v>Bituminous coal, combusted in industrial boiler</v>
          </cell>
          <cell r="M150" t="str">
            <v>Lignite (i.e., brown coal), in ground</v>
          </cell>
          <cell r="N150" t="str">
            <v>Anthracite (i.e., hard coal), in ground</v>
          </cell>
          <cell r="O150" t="str">
            <v>Natural gas, in ground</v>
          </cell>
          <cell r="P150" t="str">
            <v>non-renewable energy resources, nuclear</v>
          </cell>
          <cell r="Q150" t="str">
            <v>total renewable energy resources, biomass, hydro, solar, wind</v>
          </cell>
          <cell r="R150" t="str">
            <v>Total</v>
          </cell>
          <cell r="S150" t="str">
            <v>Total</v>
          </cell>
        </row>
        <row r="151">
          <cell r="D151" t="str">
            <v>mmBtu / kg</v>
          </cell>
          <cell r="E151" t="str">
            <v>mmBtu / kg</v>
          </cell>
          <cell r="F151" t="str">
            <v>mmBtu / kg</v>
          </cell>
          <cell r="G151" t="str">
            <v>mmBtu / kg</v>
          </cell>
          <cell r="H151" t="str">
            <v>mmBtu / kg</v>
          </cell>
          <cell r="I151" t="str">
            <v>mmBtu / kg</v>
          </cell>
          <cell r="J151" t="str">
            <v>mmBtu / kg</v>
          </cell>
          <cell r="K151" t="str">
            <v>mmBtu / kg</v>
          </cell>
          <cell r="L151" t="str">
            <v>mmBtu / kg</v>
          </cell>
          <cell r="M151" t="str">
            <v>mmBtu / kg</v>
          </cell>
          <cell r="N151" t="str">
            <v>mmBtu / kg</v>
          </cell>
          <cell r="O151" t="str">
            <v>mmBtu / kg</v>
          </cell>
          <cell r="P151" t="str">
            <v>mmBtu / kg</v>
          </cell>
          <cell r="Q151" t="str">
            <v>mmBtu / kg</v>
          </cell>
          <cell r="R151" t="str">
            <v>mmBtu / kg</v>
          </cell>
          <cell r="S151" t="str">
            <v>Btu / pound</v>
          </cell>
        </row>
        <row r="152">
          <cell r="B152" t="str">
            <v>Vinyl acetate manufacturing</v>
          </cell>
          <cell r="D152">
            <v>2.129676553882644E-5</v>
          </cell>
          <cell r="E152">
            <v>0</v>
          </cell>
          <cell r="F152">
            <v>6.8611284901508592E-6</v>
          </cell>
          <cell r="G152">
            <v>0</v>
          </cell>
          <cell r="H152">
            <v>0</v>
          </cell>
          <cell r="I152">
            <v>0</v>
          </cell>
          <cell r="J152">
            <v>0</v>
          </cell>
          <cell r="K152">
            <v>0</v>
          </cell>
          <cell r="L152">
            <v>0</v>
          </cell>
          <cell r="M152">
            <v>0</v>
          </cell>
          <cell r="N152">
            <v>0</v>
          </cell>
          <cell r="O152">
            <v>0</v>
          </cell>
          <cell r="P152">
            <v>0</v>
          </cell>
          <cell r="Q152">
            <v>0</v>
          </cell>
          <cell r="R152">
            <v>2.8157894028977299E-5</v>
          </cell>
          <cell r="S152">
            <v>13.064742486050742</v>
          </cell>
        </row>
        <row r="153">
          <cell r="B153" t="str">
            <v>Limestone manufacturing</v>
          </cell>
          <cell r="D153">
            <v>3.7568941686360153E-5</v>
          </cell>
          <cell r="E153">
            <v>0</v>
          </cell>
          <cell r="F153">
            <v>4.284658331825445E-6</v>
          </cell>
          <cell r="G153">
            <v>0</v>
          </cell>
          <cell r="H153">
            <v>1.79895189703629E-5</v>
          </cell>
          <cell r="I153">
            <v>0</v>
          </cell>
          <cell r="J153">
            <v>1.4155491083872316E-6</v>
          </cell>
          <cell r="K153">
            <v>0</v>
          </cell>
          <cell r="L153">
            <v>7.0887947525027905E-7</v>
          </cell>
          <cell r="M153">
            <v>0</v>
          </cell>
          <cell r="N153">
            <v>0</v>
          </cell>
          <cell r="O153">
            <v>0</v>
          </cell>
          <cell r="P153">
            <v>0</v>
          </cell>
          <cell r="Q153">
            <v>0</v>
          </cell>
          <cell r="R153">
            <v>6.196754757218601E-5</v>
          </cell>
          <cell r="S153">
            <v>28.629073062747139</v>
          </cell>
        </row>
        <row r="154">
          <cell r="B154" t="str">
            <v>PVC manufacturing</v>
          </cell>
          <cell r="D154">
            <v>9.2919370621992383E-4</v>
          </cell>
          <cell r="E154">
            <v>4.4680293665424976E-4</v>
          </cell>
          <cell r="F154">
            <v>1.7828244724566972E-3</v>
          </cell>
          <cell r="G154">
            <v>0</v>
          </cell>
          <cell r="H154">
            <v>8.7219790096281565E-5</v>
          </cell>
          <cell r="I154">
            <v>1.5801622322528864E-5</v>
          </cell>
          <cell r="J154">
            <v>1.6578333709403863E-6</v>
          </cell>
          <cell r="K154">
            <v>3.3535833309098642E-7</v>
          </cell>
          <cell r="L154">
            <v>5.2156331887123226E-5</v>
          </cell>
          <cell r="M154">
            <v>0</v>
          </cell>
          <cell r="N154">
            <v>0</v>
          </cell>
          <cell r="O154">
            <v>0</v>
          </cell>
          <cell r="P154">
            <v>0</v>
          </cell>
          <cell r="Q154">
            <v>0</v>
          </cell>
          <cell r="R154">
            <v>3.3159920513408355E-3</v>
          </cell>
          <cell r="S154">
            <v>1517.7231867476883</v>
          </cell>
        </row>
        <row r="155">
          <cell r="B155" t="str">
            <v>Plasticizer (DINP or BBP)</v>
          </cell>
          <cell r="D155">
            <v>2.637571935229169E-5</v>
          </cell>
          <cell r="E155">
            <v>0</v>
          </cell>
          <cell r="F155">
            <v>4.1413123044995278E-4</v>
          </cell>
          <cell r="G155">
            <v>0</v>
          </cell>
          <cell r="H155">
            <v>0</v>
          </cell>
          <cell r="I155">
            <v>3.0760726064176359E-4</v>
          </cell>
          <cell r="J155">
            <v>0</v>
          </cell>
          <cell r="K155">
            <v>0</v>
          </cell>
          <cell r="L155">
            <v>1.929782061742557E-5</v>
          </cell>
          <cell r="M155">
            <v>0</v>
          </cell>
          <cell r="N155">
            <v>0</v>
          </cell>
          <cell r="O155">
            <v>0</v>
          </cell>
          <cell r="P155">
            <v>1.6210169318637475E-5</v>
          </cell>
          <cell r="Q155">
            <v>8.927171817621067E-6</v>
          </cell>
          <cell r="R155">
            <v>7.9254937219769219E-4</v>
          </cell>
          <cell r="S155">
            <v>360.1655017639705</v>
          </cell>
        </row>
        <row r="156">
          <cell r="B156" t="str">
            <v>VCT flooring manufacturing</v>
          </cell>
          <cell r="D156">
            <v>4.0041176542089342E-3</v>
          </cell>
          <cell r="E156">
            <v>0</v>
          </cell>
          <cell r="F156">
            <v>8.0564455426696121E-4</v>
          </cell>
          <cell r="G156">
            <v>0</v>
          </cell>
          <cell r="H156">
            <v>0</v>
          </cell>
          <cell r="I156">
            <v>0</v>
          </cell>
          <cell r="J156">
            <v>0</v>
          </cell>
          <cell r="K156">
            <v>0</v>
          </cell>
          <cell r="L156">
            <v>0</v>
          </cell>
          <cell r="M156">
            <v>0</v>
          </cell>
          <cell r="N156">
            <v>0</v>
          </cell>
          <cell r="O156">
            <v>0</v>
          </cell>
          <cell r="P156">
            <v>0</v>
          </cell>
          <cell r="Q156">
            <v>0</v>
          </cell>
          <cell r="R156">
            <v>4.8097622084758949E-3</v>
          </cell>
          <cell r="S156">
            <v>2236.4753576407929</v>
          </cell>
        </row>
        <row r="157">
          <cell r="B157" t="str">
            <v>Adhesive manufacturing</v>
          </cell>
          <cell r="D157">
            <v>0</v>
          </cell>
          <cell r="E157">
            <v>0</v>
          </cell>
          <cell r="F157">
            <v>0</v>
          </cell>
          <cell r="G157">
            <v>0</v>
          </cell>
          <cell r="H157">
            <v>0</v>
          </cell>
          <cell r="I157">
            <v>0</v>
          </cell>
          <cell r="J157">
            <v>0</v>
          </cell>
          <cell r="K157">
            <v>0</v>
          </cell>
          <cell r="L157">
            <v>0</v>
          </cell>
          <cell r="M157">
            <v>6.8188205113286575E-6</v>
          </cell>
          <cell r="N157">
            <v>5.911952043192975E-5</v>
          </cell>
          <cell r="O157">
            <v>9.8431549257786493E-4</v>
          </cell>
          <cell r="P157">
            <v>4.4759884251431472E-5</v>
          </cell>
          <cell r="Q157">
            <v>5.2250876257780146E-6</v>
          </cell>
          <cell r="R157">
            <v>1.1002388053983328E-3</v>
          </cell>
          <cell r="S157">
            <v>499.50841765084317</v>
          </cell>
        </row>
        <row r="158">
          <cell r="R158">
            <v>1.0108667879013919E-2</v>
          </cell>
        </row>
        <row r="160">
          <cell r="H160">
            <v>0</v>
          </cell>
          <cell r="I160">
            <v>0.19063592312261637</v>
          </cell>
          <cell r="J160">
            <v>0</v>
          </cell>
          <cell r="K160">
            <v>0</v>
          </cell>
          <cell r="L160">
            <v>2.0089841822294924E-2</v>
          </cell>
          <cell r="M160">
            <v>5.3241190711716575E-3</v>
          </cell>
          <cell r="N160">
            <v>0</v>
          </cell>
          <cell r="O160">
            <v>0</v>
          </cell>
        </row>
        <row r="161">
          <cell r="R161">
            <v>9.3027724332308264</v>
          </cell>
        </row>
        <row r="162">
          <cell r="R162">
            <v>4651.386216615414</v>
          </cell>
        </row>
      </sheetData>
      <sheetData sheetId="32" refreshError="1">
        <row r="6">
          <cell r="B6">
            <v>669.1</v>
          </cell>
          <cell r="D6">
            <v>0.3217136263102221</v>
          </cell>
          <cell r="G6" t="str">
            <v>Total MMBtu/ton</v>
          </cell>
          <cell r="H6">
            <v>88.156763580460307</v>
          </cell>
          <cell r="I6">
            <v>73.787599472631982</v>
          </cell>
          <cell r="L6">
            <v>520.64220183486236</v>
          </cell>
          <cell r="M6" t="str">
            <v>kg / m3</v>
          </cell>
        </row>
        <row r="7">
          <cell r="B7">
            <v>343.8</v>
          </cell>
          <cell r="D7">
            <v>0.165304356188095</v>
          </cell>
          <cell r="G7" t="str">
            <v>source: Atech Group, A National Approach to Waste Tyres. Prepared for Environment Australia, June 2001.</v>
          </cell>
        </row>
        <row r="8">
          <cell r="B8">
            <v>203.5</v>
          </cell>
        </row>
        <row r="9">
          <cell r="B9">
            <v>200.6</v>
          </cell>
        </row>
        <row r="10">
          <cell r="B10">
            <v>0.4</v>
          </cell>
        </row>
        <row r="11">
          <cell r="B11">
            <v>789.1</v>
          </cell>
          <cell r="C11">
            <v>0.48664816527906268</v>
          </cell>
          <cell r="D11">
            <v>0.58421559191530315</v>
          </cell>
          <cell r="G11" t="str">
            <v>Tire Energy Content</v>
          </cell>
          <cell r="H11">
            <v>13888.888888888889</v>
          </cell>
          <cell r="I11" t="str">
            <v>BTU/lb</v>
          </cell>
        </row>
        <row r="12">
          <cell r="B12">
            <v>561.6</v>
          </cell>
          <cell r="C12">
            <v>0.34634597594819616</v>
          </cell>
          <cell r="D12">
            <v>0.4157844080846968</v>
          </cell>
          <cell r="G12" t="str">
            <v>Tire Energy Content</v>
          </cell>
          <cell r="H12">
            <v>27.777777777777775</v>
          </cell>
          <cell r="I12" t="str">
            <v>MMBtu/short ton</v>
          </cell>
        </row>
        <row r="13">
          <cell r="B13">
            <v>132.6</v>
          </cell>
          <cell r="C13">
            <v>8.1776133209990762E-2</v>
          </cell>
          <cell r="G13" t="str">
            <v>source: CIWMB (1992) Tires as a fuel supplement: Feasibility study: Report to legislature.</v>
          </cell>
        </row>
        <row r="14">
          <cell r="B14">
            <v>102.1</v>
          </cell>
          <cell r="C14">
            <v>6.2966389145852605E-2</v>
          </cell>
          <cell r="J14" t="str">
            <v>Scrap steel recovery</v>
          </cell>
        </row>
        <row r="15">
          <cell r="B15">
            <v>27.1</v>
          </cell>
          <cell r="C15">
            <v>1.6712920135676844E-2</v>
          </cell>
          <cell r="J15" t="str">
            <v>Recycling process step</v>
          </cell>
          <cell r="L15" t="str">
            <v>Recovery (kg / 1000 kg tires)</v>
          </cell>
        </row>
        <row r="16">
          <cell r="B16">
            <v>7.1</v>
          </cell>
          <cell r="C16">
            <v>4.3786617329633062E-3</v>
          </cell>
          <cell r="G16" t="str">
            <v>Scrap Tire Proportions (by weight)</v>
          </cell>
          <cell r="J16" t="str">
            <v>Tires to ground tires</v>
          </cell>
          <cell r="L16">
            <v>34</v>
          </cell>
        </row>
        <row r="17">
          <cell r="B17">
            <v>1.9</v>
          </cell>
          <cell r="C17">
            <v>1.1717545482577861E-3</v>
          </cell>
          <cell r="G17" t="str">
            <v>Rubber</v>
          </cell>
          <cell r="H17">
            <v>0.73711111111111105</v>
          </cell>
          <cell r="J17" t="str">
            <v>Ground tires to crushed tires</v>
          </cell>
          <cell r="L17">
            <v>241.5</v>
          </cell>
        </row>
        <row r="18">
          <cell r="B18">
            <v>4105.8999999999996</v>
          </cell>
          <cell r="C18">
            <v>0.39491950607662141</v>
          </cell>
          <cell r="G18" t="str">
            <v>Steel</v>
          </cell>
          <cell r="H18">
            <v>0.11288888888888889</v>
          </cell>
          <cell r="J18" t="str">
            <v>Crushed tires to pulverised tires</v>
          </cell>
          <cell r="L18">
            <v>0</v>
          </cell>
        </row>
        <row r="19">
          <cell r="G19" t="str">
            <v>Fiber</v>
          </cell>
          <cell r="H19">
            <v>0.15</v>
          </cell>
          <cell r="J19" t="str">
            <v>Source: Corti and Lombardi (2004)</v>
          </cell>
        </row>
        <row r="20">
          <cell r="G20" t="str">
            <v>Source: Steel percent derived from personal communication with Michael Blumenthal (RMA) (4/20/2010). Fiber percent is from NIST MEP Environmental Program, Best Practices in Scrap Tires &amp; Rubber Recycling, The Recycling Technology Assistance Partnership, J</v>
          </cell>
          <cell r="M20" t="str">
            <v>Resulting scaling factor</v>
          </cell>
        </row>
        <row r="21">
          <cell r="B21" t="str">
            <v>New Tire</v>
          </cell>
          <cell r="C21" t="str">
            <v>Scrap Tire</v>
          </cell>
          <cell r="K21" t="str">
            <v>Industry average scrap tire recovery</v>
          </cell>
          <cell r="L21">
            <v>0.8</v>
          </cell>
          <cell r="M21">
            <v>0.9689650410283025</v>
          </cell>
        </row>
        <row r="22">
          <cell r="B22">
            <v>25</v>
          </cell>
          <cell r="C22">
            <v>22.5</v>
          </cell>
          <cell r="D22" t="str">
            <v>lb</v>
          </cell>
          <cell r="J22" t="str">
            <v>Source: Personal communcation with Michael Bluemental (RMA) 4/20/2010.</v>
          </cell>
        </row>
        <row r="23">
          <cell r="B23">
            <v>11.35</v>
          </cell>
          <cell r="C23">
            <v>10.215</v>
          </cell>
          <cell r="D23" t="str">
            <v>kg</v>
          </cell>
        </row>
        <row r="24">
          <cell r="K24" t="str">
            <v>Max rubber tire recycled content</v>
          </cell>
          <cell r="L24">
            <v>0.05</v>
          </cell>
          <cell r="M24" t="str">
            <v>of rubber content</v>
          </cell>
        </row>
        <row r="25">
          <cell r="J25" t="str">
            <v>Source: RMA (2009) Scrap Tire Markets in the United States: 2007 edition.</v>
          </cell>
        </row>
        <row r="28">
          <cell r="B28" t="str">
            <v>MMBtu/Ton</v>
          </cell>
          <cell r="C28" t="str">
            <v>Electricity</v>
          </cell>
          <cell r="D28" t="str">
            <v xml:space="preserve">Coal </v>
          </cell>
          <cell r="E28" t="str">
            <v>Natural Gas</v>
          </cell>
          <cell r="F28" t="str">
            <v>Diesel</v>
          </cell>
          <cell r="G28" t="str">
            <v>Residual (Heavy Fuel Oil)</v>
          </cell>
          <cell r="H28" t="str">
            <v>Distillate (Light Fuel Oil)</v>
          </cell>
          <cell r="I28" t="str">
            <v>LPG</v>
          </cell>
          <cell r="J28" t="str">
            <v>Other</v>
          </cell>
        </row>
        <row r="29">
          <cell r="B29">
            <v>73.787599472631982</v>
          </cell>
          <cell r="C29">
            <v>0.13636363636363599</v>
          </cell>
          <cell r="D29">
            <v>0.13636363636363635</v>
          </cell>
          <cell r="E29">
            <v>0.59090909090909094</v>
          </cell>
          <cell r="F29">
            <v>0</v>
          </cell>
          <cell r="G29">
            <v>0</v>
          </cell>
          <cell r="H29">
            <v>0</v>
          </cell>
          <cell r="I29">
            <v>0</v>
          </cell>
          <cell r="J29">
            <v>0.13636363636363635</v>
          </cell>
        </row>
        <row r="30">
          <cell r="C30">
            <v>0.15789473684210484</v>
          </cell>
          <cell r="D30">
            <v>0.15789473684210525</v>
          </cell>
          <cell r="E30">
            <v>0.68421052631578949</v>
          </cell>
          <cell r="F30">
            <v>0</v>
          </cell>
          <cell r="G30">
            <v>0</v>
          </cell>
          <cell r="H30">
            <v>0</v>
          </cell>
          <cell r="I30">
            <v>0</v>
          </cell>
          <cell r="J30" t="str">
            <v>--</v>
          </cell>
        </row>
        <row r="33">
          <cell r="Q33" t="str">
            <v>Transportation energy</v>
          </cell>
        </row>
        <row r="35">
          <cell r="B35" t="str">
            <v>unit process</v>
          </cell>
          <cell r="C35" t="str">
            <v>Recovered rubber
(kg / 1000kg of tire)</v>
          </cell>
          <cell r="D35" t="str">
            <v>% retained</v>
          </cell>
          <cell r="E35" t="str">
            <v>Electricity (MJ / 1000 kg of tires)</v>
          </cell>
          <cell r="F35" t="str">
            <v>Water (kg / 1000 kg of tires)</v>
          </cell>
          <cell r="G35" t="str">
            <v>Steel (kg / 1000 kg of tires)</v>
          </cell>
          <cell r="H35" t="str">
            <v>Oil (kg / 1000 kg of tires)</v>
          </cell>
          <cell r="I35" t="str">
            <v>Recovered scrap metal
(kg / 1000 kg of tires)</v>
          </cell>
          <cell r="J35" t="str">
            <v>source:</v>
          </cell>
          <cell r="S35" t="str">
            <v>Weights (# tires)</v>
          </cell>
          <cell r="T35" t="str">
            <v>Weights (tons)</v>
          </cell>
          <cell r="U35" t="str">
            <v>Miles Traveled by Truck (short ton miles / short ton)</v>
          </cell>
          <cell r="V35" t="str">
            <v>Diesel consumed (gallons / short ton)</v>
          </cell>
          <cell r="W35" t="str">
            <v>MMBtus/ short ton</v>
          </cell>
          <cell r="X35" t="str">
            <v>Emission Factor Truck (MTCO2E per Ton)</v>
          </cell>
        </row>
        <row r="36">
          <cell r="B36" t="str">
            <v>tires to ground tires</v>
          </cell>
          <cell r="C36">
            <v>936.02022963334025</v>
          </cell>
          <cell r="D36">
            <v>0.94716570251093646</v>
          </cell>
          <cell r="E36">
            <v>170</v>
          </cell>
          <cell r="F36">
            <v>150</v>
          </cell>
          <cell r="G36">
            <v>0.23</v>
          </cell>
          <cell r="H36">
            <v>1.0999999999999999E-2</v>
          </cell>
          <cell r="I36">
            <v>11.145472877596291</v>
          </cell>
          <cell r="J36" t="str">
            <v>Corti and Lombardi (2004)</v>
          </cell>
          <cell r="R36" t="str">
            <v>Tires to shredding facility</v>
          </cell>
          <cell r="S36">
            <v>1100</v>
          </cell>
          <cell r="T36">
            <v>12.375</v>
          </cell>
          <cell r="U36">
            <v>200</v>
          </cell>
          <cell r="V36">
            <v>2.6766461588884467</v>
          </cell>
          <cell r="W36">
            <v>0.42585440387915185</v>
          </cell>
          <cell r="X36">
            <v>3.1494772196222473E-2</v>
          </cell>
        </row>
        <row r="37">
          <cell r="B37" t="str">
            <v>ground tires to crushed tires (16mm)</v>
          </cell>
          <cell r="C37">
            <v>726.72378077122687</v>
          </cell>
          <cell r="D37">
            <v>0.80588941900474176</v>
          </cell>
          <cell r="E37">
            <v>573</v>
          </cell>
          <cell r="F37">
            <v>0</v>
          </cell>
          <cell r="G37">
            <v>0.01</v>
          </cell>
          <cell r="H37">
            <v>0</v>
          </cell>
          <cell r="I37">
            <v>79.165638233514827</v>
          </cell>
          <cell r="J37" t="str">
            <v>Corti and Lombardi (2004)</v>
          </cell>
          <cell r="R37" t="str">
            <v>Source: personal electronic communication with Michael Blumenthal, RMA, and Veronica Kennedy, ICF International, 9 September 2009.</v>
          </cell>
        </row>
        <row r="38">
          <cell r="B38" t="str">
            <v>crushed tires to pulverised tires (&lt;2mm)</v>
          </cell>
          <cell r="C38">
            <v>910.82713856660439</v>
          </cell>
          <cell r="D38">
            <v>0.91082713856660436</v>
          </cell>
          <cell r="E38">
            <v>513</v>
          </cell>
          <cell r="F38">
            <v>0</v>
          </cell>
          <cell r="G38">
            <v>0.27800000000000002</v>
          </cell>
          <cell r="H38">
            <v>0</v>
          </cell>
          <cell r="I38">
            <v>0</v>
          </cell>
          <cell r="J38" t="str">
            <v>Corti and Lombardi (2004)</v>
          </cell>
        </row>
        <row r="39">
          <cell r="B39" t="str">
            <v>Total per 1000 kg of tires input</v>
          </cell>
          <cell r="D39">
            <v>0.79998923743264505</v>
          </cell>
          <cell r="E39">
            <v>1126.1472194881992</v>
          </cell>
          <cell r="F39">
            <v>150</v>
          </cell>
          <cell r="G39">
            <v>0.4635089155084276</v>
          </cell>
          <cell r="H39">
            <v>1.0999999999999999E-2</v>
          </cell>
          <cell r="I39">
            <v>90.311111111111117</v>
          </cell>
        </row>
        <row r="41">
          <cell r="D41" t="str">
            <v>Weighted Process Energy (MJ/tonne)</v>
          </cell>
          <cell r="E41">
            <v>728.59611379146963</v>
          </cell>
          <cell r="I41">
            <v>0.10309619293543411</v>
          </cell>
          <cell r="J41" t="str">
            <v>Weighted Steel Recovery Benefit (MTCO2E/ton)</v>
          </cell>
        </row>
        <row r="42">
          <cell r="D42" t="str">
            <v>Combustion Energy (MJ/tonne)</v>
          </cell>
          <cell r="E42">
            <v>2263.2379771024689</v>
          </cell>
          <cell r="I42">
            <v>1.1693526137279622</v>
          </cell>
          <cell r="J42" t="str">
            <v>Weighted Steel Recovery Benefit (Million BTUs/ton)</v>
          </cell>
        </row>
        <row r="45">
          <cell r="B45" t="str">
            <v>unit process</v>
          </cell>
          <cell r="E45" t="str">
            <v>Total</v>
          </cell>
          <cell r="F45" t="str">
            <v>Total Energy (Mmbtu/ short ton of rubber)</v>
          </cell>
          <cell r="G45" t="str">
            <v>Electricity</v>
          </cell>
          <cell r="H45" t="str">
            <v>Coal</v>
          </cell>
          <cell r="I45" t="str">
            <v>Natural Gas</v>
          </cell>
          <cell r="J45" t="str">
            <v>Diesel</v>
          </cell>
          <cell r="K45" t="str">
            <v>Residual Fuel</v>
          </cell>
          <cell r="L45" t="str">
            <v>Distillate Fuel</v>
          </cell>
          <cell r="M45" t="str">
            <v>LPG</v>
          </cell>
          <cell r="N45" t="str">
            <v>Other</v>
          </cell>
          <cell r="O45" t="str">
            <v>MTCO2E/ton</v>
          </cell>
          <cell r="P45" t="str">
            <v>source:</v>
          </cell>
        </row>
        <row r="46">
          <cell r="B46" t="str">
            <v>product manufacturing</v>
          </cell>
          <cell r="D46" t="str">
            <v>kWh/kg</v>
          </cell>
          <cell r="E46">
            <v>3.2</v>
          </cell>
          <cell r="F46">
            <v>9.907908856384001</v>
          </cell>
          <cell r="G46">
            <v>0.13636363636363599</v>
          </cell>
          <cell r="H46">
            <v>0.13636363636363635</v>
          </cell>
          <cell r="I46">
            <v>0.59090909090909094</v>
          </cell>
          <cell r="J46">
            <v>0</v>
          </cell>
          <cell r="K46">
            <v>0</v>
          </cell>
          <cell r="L46">
            <v>0</v>
          </cell>
          <cell r="M46">
            <v>0</v>
          </cell>
          <cell r="N46">
            <v>0.13636363636363635</v>
          </cell>
          <cell r="P46" t="str">
            <v>Energy Information Administration, Manufacturing Energy Consumption Survey, Table 3.2  :Fuel Consumption, 2006 for Synthetic Rubber (NAICS 325212)</v>
          </cell>
        </row>
        <row r="47">
          <cell r="B47" t="str">
            <v>adjusted to account for "other" energy</v>
          </cell>
          <cell r="D47" t="str">
            <v>%</v>
          </cell>
          <cell r="G47">
            <v>0.15789473684210484</v>
          </cell>
          <cell r="H47">
            <v>0.15789473684210525</v>
          </cell>
          <cell r="I47">
            <v>0.68421052631578949</v>
          </cell>
          <cell r="J47">
            <v>0</v>
          </cell>
          <cell r="K47">
            <v>0</v>
          </cell>
          <cell r="L47">
            <v>0</v>
          </cell>
          <cell r="M47">
            <v>0</v>
          </cell>
          <cell r="N47" t="str">
            <v>--</v>
          </cell>
        </row>
        <row r="48">
          <cell r="B48" t="str">
            <v>Combustion energy</v>
          </cell>
          <cell r="D48" t="str">
            <v>MMBtu / short ton of rubber</v>
          </cell>
          <cell r="G48">
            <v>4.8595161310864459</v>
          </cell>
          <cell r="H48">
            <v>1.564406661534316</v>
          </cell>
          <cell r="I48">
            <v>6.7790955333153695</v>
          </cell>
          <cell r="J48">
            <v>0</v>
          </cell>
          <cell r="K48">
            <v>0</v>
          </cell>
          <cell r="L48">
            <v>0</v>
          </cell>
          <cell r="M48">
            <v>0</v>
          </cell>
          <cell r="N48" t="str">
            <v>--</v>
          </cell>
        </row>
        <row r="49">
          <cell r="B49" t="str">
            <v>Precombustion energy</v>
          </cell>
          <cell r="D49" t="str">
            <v>MMBtu / short ton of rubber</v>
          </cell>
          <cell r="G49">
            <v>0</v>
          </cell>
          <cell r="H49">
            <v>7.7489301926466136E-2</v>
          </cell>
          <cell r="I49">
            <v>0.58576650724763868</v>
          </cell>
          <cell r="J49">
            <v>0</v>
          </cell>
          <cell r="K49">
            <v>0</v>
          </cell>
          <cell r="L49">
            <v>0</v>
          </cell>
          <cell r="M49">
            <v>0</v>
          </cell>
          <cell r="N49" t="str">
            <v>--</v>
          </cell>
        </row>
        <row r="50">
          <cell r="B50" t="str">
            <v>Total energy</v>
          </cell>
          <cell r="D50" t="str">
            <v>MMBtu / short ton of rubber</v>
          </cell>
          <cell r="G50">
            <v>4.8595161310864459</v>
          </cell>
          <cell r="H50">
            <v>1.6418959634607821</v>
          </cell>
          <cell r="I50">
            <v>7.3648620405630085</v>
          </cell>
          <cell r="J50">
            <v>0</v>
          </cell>
          <cell r="K50">
            <v>0</v>
          </cell>
          <cell r="L50">
            <v>0</v>
          </cell>
          <cell r="M50">
            <v>0</v>
          </cell>
          <cell r="N50" t="str">
            <v>--</v>
          </cell>
          <cell r="O50">
            <v>0.80136784603203581</v>
          </cell>
        </row>
        <row r="51">
          <cell r="B51" t="str">
            <v>Tonnes of sand per tonne of rubber</v>
          </cell>
          <cell r="E51">
            <v>3.2267841409691633</v>
          </cell>
        </row>
        <row r="52">
          <cell r="B52" t="str">
            <v>extraction</v>
          </cell>
          <cell r="D52" t="str">
            <v>MJ/tonne</v>
          </cell>
          <cell r="E52">
            <v>27</v>
          </cell>
          <cell r="F52">
            <v>7.4912443699500189E-2</v>
          </cell>
          <cell r="G52">
            <v>0</v>
          </cell>
          <cell r="H52">
            <v>0</v>
          </cell>
          <cell r="I52">
            <v>0</v>
          </cell>
          <cell r="J52">
            <v>1</v>
          </cell>
          <cell r="K52">
            <v>0</v>
          </cell>
          <cell r="L52">
            <v>0</v>
          </cell>
          <cell r="M52">
            <v>0</v>
          </cell>
          <cell r="N52">
            <v>0</v>
          </cell>
          <cell r="P52" t="str">
            <v>Athena: LCA of residential roofing products, Table 4.19, p. 33.</v>
          </cell>
        </row>
        <row r="53">
          <cell r="B53" t="str">
            <v>processing</v>
          </cell>
          <cell r="D53" t="str">
            <v>MJ/tonne</v>
          </cell>
          <cell r="E53">
            <v>32.4</v>
          </cell>
          <cell r="F53">
            <v>8.9894932439400221E-2</v>
          </cell>
          <cell r="G53">
            <v>1</v>
          </cell>
          <cell r="H53">
            <v>0</v>
          </cell>
          <cell r="I53">
            <v>0</v>
          </cell>
          <cell r="J53">
            <v>0</v>
          </cell>
          <cell r="K53">
            <v>0</v>
          </cell>
          <cell r="L53">
            <v>0</v>
          </cell>
          <cell r="M53">
            <v>0</v>
          </cell>
          <cell r="N53">
            <v>0</v>
          </cell>
        </row>
        <row r="54">
          <cell r="B54" t="str">
            <v>transportation</v>
          </cell>
          <cell r="D54" t="str">
            <v>MJ/tonne</v>
          </cell>
          <cell r="E54">
            <v>708</v>
          </cell>
          <cell r="F54">
            <v>1.9643707458980051</v>
          </cell>
          <cell r="G54">
            <v>0</v>
          </cell>
          <cell r="H54">
            <v>0</v>
          </cell>
          <cell r="I54">
            <v>0</v>
          </cell>
          <cell r="J54">
            <v>1</v>
          </cell>
          <cell r="K54">
            <v>0</v>
          </cell>
          <cell r="L54">
            <v>0</v>
          </cell>
          <cell r="M54">
            <v>0</v>
          </cell>
          <cell r="N54">
            <v>0</v>
          </cell>
        </row>
        <row r="55">
          <cell r="B55" t="str">
            <v>Combustion energy</v>
          </cell>
          <cell r="D55" t="str">
            <v>MMBtu / short ton of rubber</v>
          </cell>
          <cell r="G55">
            <v>0.27924061245287046</v>
          </cell>
          <cell r="H55">
            <v>0</v>
          </cell>
          <cell r="I55">
            <v>0</v>
          </cell>
          <cell r="J55">
            <v>2.0392831895975054</v>
          </cell>
          <cell r="K55">
            <v>0</v>
          </cell>
          <cell r="L55">
            <v>0</v>
          </cell>
          <cell r="M55">
            <v>0</v>
          </cell>
          <cell r="N55" t="str">
            <v>--</v>
          </cell>
        </row>
        <row r="56">
          <cell r="B56" t="str">
            <v>Precombustion energy</v>
          </cell>
          <cell r="D56" t="str">
            <v>MMBtu / short ton of rubber</v>
          </cell>
          <cell r="G56">
            <v>0</v>
          </cell>
          <cell r="H56">
            <v>0</v>
          </cell>
          <cell r="I56">
            <v>0</v>
          </cell>
          <cell r="J56">
            <v>0.29488915187704939</v>
          </cell>
          <cell r="K56">
            <v>0</v>
          </cell>
          <cell r="L56">
            <v>0</v>
          </cell>
          <cell r="M56">
            <v>0</v>
          </cell>
          <cell r="N56" t="str">
            <v>--</v>
          </cell>
        </row>
        <row r="57">
          <cell r="B57" t="str">
            <v>Total energy</v>
          </cell>
          <cell r="D57" t="str">
            <v>MMBtu / short ton of rubber</v>
          </cell>
          <cell r="G57">
            <v>0.27924061245287046</v>
          </cell>
          <cell r="H57">
            <v>0</v>
          </cell>
          <cell r="I57">
            <v>0</v>
          </cell>
          <cell r="J57">
            <v>2.334172341474555</v>
          </cell>
          <cell r="K57">
            <v>0</v>
          </cell>
          <cell r="L57">
            <v>0</v>
          </cell>
          <cell r="M57">
            <v>0</v>
          </cell>
          <cell r="N57" t="str">
            <v>--</v>
          </cell>
          <cell r="O57">
            <v>0.18723554979121171</v>
          </cell>
        </row>
        <row r="59">
          <cell r="N59" t="str">
            <v>Weighted Offset Energy</v>
          </cell>
          <cell r="O59">
            <v>0.54602121275384907</v>
          </cell>
        </row>
        <row r="60">
          <cell r="N60" t="str">
            <v>Weighted Offset Energy (Million BTU's/ton)</v>
          </cell>
          <cell r="O60">
            <v>6.6736339023532549</v>
          </cell>
        </row>
        <row r="61">
          <cell r="A61" t="str">
            <v>Combustion</v>
          </cell>
        </row>
        <row r="62">
          <cell r="A62" t="str">
            <v>We developed three scenarios that differ in terms of fuel displacement and whether or not the ferrous component of tires is recovered: cement kilns (coal displaced, no ferrous), power plants (coal displaced, ferrous recovered), and pulp &amp; paper mills (avg</v>
          </cell>
        </row>
        <row r="64">
          <cell r="C64" t="str">
            <v>Scenario 1 :TDF</v>
          </cell>
          <cell r="E64" t="str">
            <v>Scenario 2 (baseline): Fossil Fuel Used Instead of Tires</v>
          </cell>
        </row>
        <row r="65">
          <cell r="C65" t="str">
            <v>Total MMBtu/ton</v>
          </cell>
          <cell r="D65" t="str">
            <v>Emissions from 1 ton of passenger tires (MTCO2E/ton)</v>
          </cell>
          <cell r="E65" t="str">
            <v>Fossil Fuel Used</v>
          </cell>
          <cell r="F65" t="str">
            <v>Replacement of Tire energy with equivalent heat energy of Fossil Fuel MMBtu</v>
          </cell>
          <cell r="G65" t="str">
            <v>Emissions from Fossil Fuel Use (MTCO2E/ton)</v>
          </cell>
          <cell r="H65" t="str">
            <v>Steel recycling benefit (MTCO2E/ton)</v>
          </cell>
          <cell r="I65" t="str">
            <v>Net emission change (MTCO2E/ton)</v>
          </cell>
        </row>
        <row r="66">
          <cell r="B66" t="str">
            <v>Pulp/Paper</v>
          </cell>
          <cell r="C66">
            <v>27.777777777777775</v>
          </cell>
          <cell r="D66">
            <v>2.1976090014064695</v>
          </cell>
          <cell r="E66" t="str">
            <v>Coal, NG, Biomass</v>
          </cell>
          <cell r="F66">
            <v>27.777777777777775</v>
          </cell>
          <cell r="G66">
            <v>0.64226048740319197</v>
          </cell>
          <cell r="H66">
            <v>-0.19872100548007415</v>
          </cell>
          <cell r="I66">
            <v>1.3566275085232036</v>
          </cell>
        </row>
        <row r="67">
          <cell r="B67" t="str">
            <v>Cement Kilns</v>
          </cell>
          <cell r="C67">
            <v>27.777777777777775</v>
          </cell>
          <cell r="D67">
            <v>2.1976090014064695</v>
          </cell>
          <cell r="E67" t="str">
            <v>Coal</v>
          </cell>
          <cell r="F67">
            <v>27.777777777777775</v>
          </cell>
          <cell r="G67">
            <v>2.5389737168026074</v>
          </cell>
          <cell r="H67">
            <v>0</v>
          </cell>
          <cell r="I67">
            <v>-0.34136471539613789</v>
          </cell>
        </row>
        <row r="68">
          <cell r="B68" t="str">
            <v>Utility Boiler</v>
          </cell>
          <cell r="C68">
            <v>27.777777777777775</v>
          </cell>
          <cell r="D68">
            <v>2.1976090014064695</v>
          </cell>
          <cell r="E68" t="str">
            <v>Coal</v>
          </cell>
          <cell r="F68">
            <v>27.777777777777775</v>
          </cell>
          <cell r="G68">
            <v>2.5389737168026074</v>
          </cell>
          <cell r="H68">
            <v>-0.19872100548007415</v>
          </cell>
          <cell r="I68">
            <v>-0.54008572087621198</v>
          </cell>
        </row>
        <row r="70">
          <cell r="A70" t="str">
            <v>Landfilling</v>
          </cell>
        </row>
        <row r="72">
          <cell r="C72" t="str">
            <v>Waste Collection and Transportation (MTCO2E/ton)</v>
          </cell>
          <cell r="D72" t="str">
            <v>Landfill Heavy Equipment (MTCO2E/ton)</v>
          </cell>
          <cell r="E72" t="str">
            <v>Energy Use at WM Facilities</v>
          </cell>
          <cell r="F72" t="str">
            <v>Total MTCO2E/ton</v>
          </cell>
        </row>
        <row r="73">
          <cell r="B73" t="str">
            <v>Tires</v>
          </cell>
          <cell r="C73">
            <v>2.1808622709271572E-2</v>
          </cell>
          <cell r="D73">
            <v>1.6970431966621305E-2</v>
          </cell>
          <cell r="F73">
            <v>3.8779054675892877E-2</v>
          </cell>
        </row>
      </sheetData>
      <sheetData sheetId="33" refreshError="1">
        <row r="6">
          <cell r="B6">
            <v>1000</v>
          </cell>
          <cell r="C6">
            <v>130440.49599649641</v>
          </cell>
          <cell r="D6">
            <v>12159.234</v>
          </cell>
          <cell r="E6">
            <v>37675</v>
          </cell>
          <cell r="F6">
            <v>70020.800000000003</v>
          </cell>
          <cell r="G6">
            <v>260.25200000000007</v>
          </cell>
          <cell r="H6">
            <v>5124</v>
          </cell>
          <cell r="I6">
            <v>38.257001435900001</v>
          </cell>
          <cell r="J6">
            <v>28.057099999999998</v>
          </cell>
          <cell r="K6">
            <v>5134.8958950605092</v>
          </cell>
          <cell r="L6">
            <v>-11188.999972546</v>
          </cell>
          <cell r="N6">
            <v>1215.7756269557722</v>
          </cell>
          <cell r="O6">
            <v>893.4</v>
          </cell>
          <cell r="P6">
            <v>124.94</v>
          </cell>
          <cell r="Q6">
            <v>106.25</v>
          </cell>
          <cell r="R6">
            <v>76.662999999999997</v>
          </cell>
          <cell r="S6">
            <v>14.522626955772239</v>
          </cell>
        </row>
        <row r="7">
          <cell r="B7">
            <v>1000</v>
          </cell>
          <cell r="C7">
            <v>142354.67532708493</v>
          </cell>
          <cell r="D7">
            <v>18359.511100000003</v>
          </cell>
          <cell r="E7">
            <v>40985.100000000006</v>
          </cell>
          <cell r="F7">
            <v>72608.3</v>
          </cell>
          <cell r="G7">
            <v>524.38000000000011</v>
          </cell>
          <cell r="H7">
            <v>9118.2000000000007</v>
          </cell>
          <cell r="I7">
            <v>111.25100029951</v>
          </cell>
          <cell r="J7">
            <v>55.116999999999997</v>
          </cell>
          <cell r="K7">
            <v>592.81622678540202</v>
          </cell>
          <cell r="L7">
            <v>-4682.2999999961157</v>
          </cell>
          <cell r="N7">
            <v>952.01699964841828</v>
          </cell>
          <cell r="O7">
            <v>589.16</v>
          </cell>
          <cell r="P7">
            <v>134.75</v>
          </cell>
          <cell r="Q7">
            <v>121.30000000000001</v>
          </cell>
          <cell r="R7">
            <v>90.94</v>
          </cell>
          <cell r="S7">
            <v>15.866999648418187</v>
          </cell>
        </row>
        <row r="13">
          <cell r="F13" t="str">
            <v>Recycled Carpet Process &amp; Transportation Energy</v>
          </cell>
        </row>
        <row r="14">
          <cell r="H14" t="str">
            <v>Process Energy (MmBtu/1000kg)</v>
          </cell>
          <cell r="M14" t="str">
            <v>transportation (tkm)</v>
          </cell>
          <cell r="P14" t="str">
            <v>transportation (MmBtu/1000kg)</v>
          </cell>
        </row>
        <row r="15">
          <cell r="H15" t="str">
            <v>Energy Inputs (MM Btu/1000kg)</v>
          </cell>
          <cell r="M15" t="str">
            <v>Transportation (tkm)</v>
          </cell>
          <cell r="P15" t="str">
            <v>Transportation (tkm)</v>
          </cell>
        </row>
        <row r="16">
          <cell r="F16" t="str">
            <v>Material</v>
          </cell>
          <cell r="G16" t="str">
            <v>Weight (kg)</v>
          </cell>
          <cell r="H16" t="str">
            <v>Electricity, Nat'l Average</v>
          </cell>
          <cell r="I16" t="str">
            <v>Coal used by industry</v>
          </cell>
          <cell r="J16" t="str">
            <v>Natural Gas</v>
          </cell>
          <cell r="K16" t="str">
            <v xml:space="preserve">Petroleum Fuel, Non-Transport </v>
          </cell>
          <cell r="L16" t="str">
            <v>Total Process Energy</v>
          </cell>
          <cell r="M16" t="str">
            <v>Gasoline</v>
          </cell>
          <cell r="N16" t="str">
            <v>Truck Diesel</v>
          </cell>
          <cell r="O16" t="str">
            <v>Rail Diesel</v>
          </cell>
          <cell r="P16" t="str">
            <v>Gasoline</v>
          </cell>
          <cell r="Q16" t="str">
            <v>Truck Diesel</v>
          </cell>
          <cell r="R16" t="str">
            <v>Rail Diesel</v>
          </cell>
        </row>
        <row r="17">
          <cell r="F17" t="str">
            <v>Nylon 6</v>
          </cell>
          <cell r="G17">
            <v>1000</v>
          </cell>
          <cell r="H17">
            <v>9.0828924162257483</v>
          </cell>
          <cell r="J17">
            <v>72.751322751322746</v>
          </cell>
          <cell r="L17">
            <v>81.834215167548493</v>
          </cell>
          <cell r="M17">
            <v>0</v>
          </cell>
          <cell r="N17">
            <v>664.65907200000004</v>
          </cell>
          <cell r="O17">
            <v>0</v>
          </cell>
          <cell r="P17">
            <v>0</v>
          </cell>
          <cell r="Q17">
            <v>0.96936081942594898</v>
          </cell>
          <cell r="R17">
            <v>0</v>
          </cell>
        </row>
        <row r="18">
          <cell r="F18" t="str">
            <v>Nylon 6,6 fiber</v>
          </cell>
          <cell r="G18">
            <v>1000</v>
          </cell>
          <cell r="H18">
            <v>3.4488929888082285</v>
          </cell>
          <cell r="J18">
            <v>0</v>
          </cell>
          <cell r="L18">
            <v>3.4488929888082285</v>
          </cell>
          <cell r="M18">
            <v>80.467200000000005</v>
          </cell>
          <cell r="N18">
            <v>1528.8768</v>
          </cell>
          <cell r="O18">
            <v>1480.5964800000002</v>
          </cell>
          <cell r="P18">
            <v>0.10481641774359356</v>
          </cell>
          <cell r="Q18">
            <v>2.2297645967424979</v>
          </cell>
          <cell r="R18">
            <v>0.50017728411764828</v>
          </cell>
        </row>
        <row r="19">
          <cell r="F19" t="str">
            <v>Nylon 6,6 Pellets</v>
          </cell>
          <cell r="G19">
            <v>1000</v>
          </cell>
          <cell r="H19">
            <v>9.1862324598493714</v>
          </cell>
          <cell r="J19">
            <v>5.5761548384927524</v>
          </cell>
          <cell r="L19">
            <v>14.762387298342123</v>
          </cell>
          <cell r="M19">
            <v>40.233600000000003</v>
          </cell>
          <cell r="N19">
            <v>2817.9613440000003</v>
          </cell>
          <cell r="O19">
            <v>0</v>
          </cell>
          <cell r="P19">
            <v>5.2408208871796778E-2</v>
          </cell>
          <cell r="Q19">
            <v>4.1098082198906463</v>
          </cell>
          <cell r="R19">
            <v>0</v>
          </cell>
        </row>
        <row r="20">
          <cell r="F20" t="str">
            <v>PET Fiber Shoddy</v>
          </cell>
          <cell r="G20">
            <v>1000</v>
          </cell>
          <cell r="H20">
            <v>1.3658582098416914</v>
          </cell>
          <cell r="J20">
            <v>0</v>
          </cell>
          <cell r="L20">
            <v>1.3658582098416914</v>
          </cell>
          <cell r="M20">
            <v>40.233600000000003</v>
          </cell>
          <cell r="N20">
            <v>2093.7565440000003</v>
          </cell>
          <cell r="O20">
            <v>1480.5964800000002</v>
          </cell>
          <cell r="P20">
            <v>5.2408208871796778E-2</v>
          </cell>
          <cell r="Q20">
            <v>3.0536039372231469</v>
          </cell>
          <cell r="R20">
            <v>0.50017728411764828</v>
          </cell>
        </row>
        <row r="21">
          <cell r="F21" t="str">
            <v>PP Fiber</v>
          </cell>
          <cell r="G21">
            <v>1000</v>
          </cell>
          <cell r="H21">
            <v>6.0512944297880464</v>
          </cell>
          <cell r="J21">
            <v>5.5761548384927524</v>
          </cell>
          <cell r="L21">
            <v>11.627449268280799</v>
          </cell>
          <cell r="M21">
            <v>80.467200000000005</v>
          </cell>
          <cell r="N21">
            <v>579.36383999999998</v>
          </cell>
          <cell r="O21">
            <v>0</v>
          </cell>
          <cell r="P21">
            <v>0.10481641774359356</v>
          </cell>
          <cell r="Q21">
            <v>0.844963426133999</v>
          </cell>
          <cell r="R21">
            <v>0</v>
          </cell>
        </row>
        <row r="25">
          <cell r="M25" t="str">
            <v>End uses for recycled carpet based on 1000kg of incoming carpet material</v>
          </cell>
        </row>
        <row r="26">
          <cell r="O26" t="str">
            <v>Per 1000 kg of Recycled Carpet</v>
          </cell>
        </row>
        <row r="27">
          <cell r="N27" t="str">
            <v>Total</v>
          </cell>
          <cell r="O27" t="str">
            <v>N6</v>
          </cell>
          <cell r="P27" t="str">
            <v>N66</v>
          </cell>
          <cell r="Q27" t="str">
            <v>PET</v>
          </cell>
          <cell r="R27" t="str">
            <v>PP</v>
          </cell>
        </row>
        <row r="28">
          <cell r="M28" t="str">
            <v>New Carpet</v>
          </cell>
          <cell r="N28">
            <v>233.3</v>
          </cell>
          <cell r="O28">
            <v>207.5</v>
          </cell>
          <cell r="P28">
            <v>25.8</v>
          </cell>
          <cell r="Q28">
            <v>0</v>
          </cell>
          <cell r="R28">
            <v>0</v>
          </cell>
        </row>
        <row r="29">
          <cell r="M29" t="str">
            <v>Plastic Pellets</v>
          </cell>
          <cell r="N29">
            <v>88.6</v>
          </cell>
          <cell r="O29">
            <v>0</v>
          </cell>
          <cell r="P29">
            <v>88.6</v>
          </cell>
          <cell r="Q29">
            <v>0</v>
          </cell>
          <cell r="R29">
            <v>82.5</v>
          </cell>
        </row>
        <row r="30">
          <cell r="M30" t="str">
            <v>Molded or Extruded Plastics</v>
          </cell>
          <cell r="N30">
            <v>0</v>
          </cell>
          <cell r="O30">
            <v>0</v>
          </cell>
          <cell r="P30">
            <v>0</v>
          </cell>
          <cell r="Q30">
            <v>0</v>
          </cell>
          <cell r="R30">
            <v>25.9</v>
          </cell>
        </row>
        <row r="31">
          <cell r="M31" t="str">
            <v>Carpet Padding</v>
          </cell>
          <cell r="N31">
            <v>62.7</v>
          </cell>
          <cell r="O31">
            <v>0</v>
          </cell>
          <cell r="P31">
            <v>0</v>
          </cell>
          <cell r="Q31">
            <v>29.6</v>
          </cell>
          <cell r="R31">
            <v>33.1</v>
          </cell>
        </row>
        <row r="32">
          <cell r="M32" t="str">
            <v>Total Fiber and by Type</v>
          </cell>
          <cell r="N32">
            <v>384.59999999999997</v>
          </cell>
          <cell r="O32">
            <v>207.5</v>
          </cell>
          <cell r="P32">
            <v>114.4</v>
          </cell>
          <cell r="Q32">
            <v>29.6</v>
          </cell>
          <cell r="R32">
            <v>141.5</v>
          </cell>
        </row>
        <row r="49">
          <cell r="C49" t="str">
            <v>Product Manufacture Using 100% Virgin Inputs</v>
          </cell>
          <cell r="G49" t="str">
            <v>Product Manufacture Using 100% Recycled Inputs</v>
          </cell>
          <cell r="K49" t="str">
            <v xml:space="preserve"> Delta (Loss-rate not factored in)</v>
          </cell>
          <cell r="O49" t="str">
            <v>Scaled Secondary Resins Emission Factor</v>
          </cell>
          <cell r="S49" t="str">
            <v>Carpet Recycling Emission Factor</v>
          </cell>
        </row>
        <row r="50">
          <cell r="C50" t="str">
            <v>(GHG Emissions in MTCO2E/Ton)</v>
          </cell>
          <cell r="G50" t="str">
            <v>(GHG Emissions in MTCO2E/Ton)</v>
          </cell>
          <cell r="K50" t="str">
            <v>(GHG Emissions in MTCO2E/Ton)</v>
          </cell>
          <cell r="O50" t="str">
            <v>(GHG Emissions in MTCO2E/Ton)</v>
          </cell>
          <cell r="S50" t="str">
            <v>(GHG Emissions in MTCO2E/Ton)</v>
          </cell>
        </row>
        <row r="51">
          <cell r="E51" t="str">
            <v xml:space="preserve"> </v>
          </cell>
        </row>
        <row r="52">
          <cell r="C52" t="str">
            <v>Process Energy</v>
          </cell>
          <cell r="D52" t="str">
            <v>Transportation Energy</v>
          </cell>
          <cell r="E52" t="str">
            <v>Process Non-Energy</v>
          </cell>
          <cell r="F52" t="str">
            <v>Net Energy</v>
          </cell>
          <cell r="G52" t="str">
            <v>Process Energy</v>
          </cell>
          <cell r="H52" t="str">
            <v>Transportation Energy</v>
          </cell>
          <cell r="I52" t="str">
            <v>Process Non-Energy</v>
          </cell>
          <cell r="J52" t="str">
            <v>Net Energy</v>
          </cell>
          <cell r="K52" t="str">
            <v>Process Energy</v>
          </cell>
          <cell r="L52" t="str">
            <v>Transportation Energy</v>
          </cell>
          <cell r="M52" t="str">
            <v>Process Non-Energy</v>
          </cell>
          <cell r="N52" t="str">
            <v>Net Energy</v>
          </cell>
          <cell r="O52" t="str">
            <v>Process Energy</v>
          </cell>
          <cell r="P52" t="str">
            <v>Transportation Energy</v>
          </cell>
          <cell r="Q52" t="str">
            <v>Process Non-Energy</v>
          </cell>
          <cell r="R52" t="str">
            <v>Net Energy</v>
          </cell>
          <cell r="S52" t="str">
            <v>Process Energy</v>
          </cell>
          <cell r="T52" t="str">
            <v>Transportation Energy</v>
          </cell>
          <cell r="U52" t="str">
            <v>Process Non-Energy</v>
          </cell>
          <cell r="V52" t="str">
            <v>Net Emissions</v>
          </cell>
        </row>
        <row r="53">
          <cell r="A53" t="str">
            <v>Raw Resin</v>
          </cell>
          <cell r="B53" t="str">
            <v>End Product</v>
          </cell>
        </row>
        <row r="54">
          <cell r="A54" t="str">
            <v>Nylon 6</v>
          </cell>
          <cell r="B54" t="str">
            <v>New Carpet</v>
          </cell>
          <cell r="C54">
            <v>6.5991991913251491</v>
          </cell>
          <cell r="D54">
            <v>7.2110709280262308E-2</v>
          </cell>
          <cell r="E54">
            <v>3.427478531025578</v>
          </cell>
          <cell r="F54">
            <v>10.098788431630989</v>
          </cell>
          <cell r="G54">
            <v>3.9303138873969918</v>
          </cell>
          <cell r="H54">
            <v>7.1690695002011764E-2</v>
          </cell>
          <cell r="I54">
            <v>0</v>
          </cell>
          <cell r="J54">
            <v>4.002004582399004</v>
          </cell>
          <cell r="K54">
            <v>-2.6688853039281573</v>
          </cell>
          <cell r="L54">
            <v>-4.2001427825054394E-4</v>
          </cell>
          <cell r="M54">
            <v>-3.427478531025578</v>
          </cell>
          <cell r="N54">
            <v>-6.0967838492319864</v>
          </cell>
          <cell r="O54">
            <v>-0.55379370056509258</v>
          </cell>
          <cell r="P54">
            <v>-9.79893311158519E-5</v>
          </cell>
          <cell r="Q54">
            <v>-0.79963074128826739</v>
          </cell>
          <cell r="R54">
            <v>-1.3535224311844758</v>
          </cell>
          <cell r="S54">
            <v>-1.4089323189981253</v>
          </cell>
          <cell r="T54">
            <v>-7.0124555797512235E-3</v>
          </cell>
          <cell r="U54">
            <v>-0.94208693945532929</v>
          </cell>
          <cell r="V54">
            <v>-2.3580317140332059</v>
          </cell>
        </row>
        <row r="55">
          <cell r="A55" t="str">
            <v>Nylon 6-6</v>
          </cell>
          <cell r="B55" t="str">
            <v>New Carpet</v>
          </cell>
          <cell r="C55">
            <v>7.4469700405173151</v>
          </cell>
          <cell r="D55">
            <v>5.4292614472284402E-2</v>
          </cell>
          <cell r="E55">
            <v>1.0839191678383835</v>
          </cell>
          <cell r="F55">
            <v>8.5851818228279839</v>
          </cell>
          <cell r="G55">
            <v>0.16367636399720994</v>
          </cell>
          <cell r="H55">
            <v>0.20937640249621139</v>
          </cell>
          <cell r="I55">
            <v>0</v>
          </cell>
          <cell r="J55">
            <v>0.37305276649342134</v>
          </cell>
          <cell r="K55">
            <v>-7.2832936765201053</v>
          </cell>
          <cell r="L55">
            <v>0.155083788023927</v>
          </cell>
          <cell r="M55">
            <v>-1.0839191678383835</v>
          </cell>
          <cell r="N55">
            <v>-8.212129056334561</v>
          </cell>
          <cell r="O55">
            <v>-0.18790897685421873</v>
          </cell>
          <cell r="P55">
            <v>4.0011617310173166E-3</v>
          </cell>
          <cell r="Q55">
            <v>-2.7965114530230293E-2</v>
          </cell>
          <cell r="R55">
            <v>-0.21187292965343171</v>
          </cell>
        </row>
        <row r="56">
          <cell r="A56" t="str">
            <v>Nylon 6-6</v>
          </cell>
          <cell r="B56" t="str">
            <v>Plastic Pellet</v>
          </cell>
          <cell r="C56">
            <v>7.4469700405173151</v>
          </cell>
          <cell r="D56">
            <v>5.4292614472284402E-2</v>
          </cell>
          <cell r="E56">
            <v>1.0839191678383835</v>
          </cell>
          <cell r="F56">
            <v>8.5851818228279839</v>
          </cell>
          <cell r="G56">
            <v>0.70416413391742072</v>
          </cell>
          <cell r="H56">
            <v>3.0768721697941154E-3</v>
          </cell>
          <cell r="I56">
            <v>0</v>
          </cell>
          <cell r="J56">
            <v>0.70724100608721485</v>
          </cell>
          <cell r="K56">
            <v>-6.7428059065998944</v>
          </cell>
          <cell r="L56">
            <v>-5.1215742302490284E-2</v>
          </cell>
          <cell r="M56">
            <v>-1.0839191678383835</v>
          </cell>
          <cell r="N56">
            <v>-7.8779408167407681</v>
          </cell>
          <cell r="O56">
            <v>-0.59741260332475066</v>
          </cell>
          <cell r="P56">
            <v>-4.5377147680006388E-3</v>
          </cell>
          <cell r="Q56">
            <v>-9.6035238270480772E-2</v>
          </cell>
          <cell r="R56">
            <v>-0.69798555636323212</v>
          </cell>
        </row>
        <row r="57">
          <cell r="A57" t="str">
            <v>PET</v>
          </cell>
          <cell r="B57" t="str">
            <v>Carpet Padding</v>
          </cell>
          <cell r="C57">
            <v>1.7413294706074818</v>
          </cell>
          <cell r="D57">
            <v>7.1636083443539042E-2</v>
          </cell>
          <cell r="E57">
            <v>0.38578031068499996</v>
          </cell>
          <cell r="F57">
            <v>2.1987458647360207</v>
          </cell>
          <cell r="G57">
            <v>6.4820423900678159E-2</v>
          </cell>
          <cell r="H57">
            <v>2.6654334258560514E-3</v>
          </cell>
          <cell r="I57">
            <v>0</v>
          </cell>
          <cell r="J57">
            <v>6.7485857326534213E-2</v>
          </cell>
          <cell r="K57">
            <v>-1.6765090467068036</v>
          </cell>
          <cell r="L57">
            <v>-6.8970650017682988E-2</v>
          </cell>
          <cell r="M57">
            <v>-0.38578031068499996</v>
          </cell>
          <cell r="N57">
            <v>-2.1312600074094865</v>
          </cell>
          <cell r="O57">
            <v>-4.9624667782521385E-2</v>
          </cell>
          <cell r="P57">
            <v>-2.0415312405234164E-3</v>
          </cell>
          <cell r="Q57">
            <v>-1.1419097196275999E-2</v>
          </cell>
          <cell r="R57">
            <v>-6.3085296219320797E-2</v>
          </cell>
        </row>
        <row r="58">
          <cell r="A58" t="str">
            <v>PP</v>
          </cell>
          <cell r="B58" t="str">
            <v>Carpet Padding</v>
          </cell>
          <cell r="C58">
            <v>1.1654287391383698</v>
          </cell>
          <cell r="D58">
            <v>0.13170821555767731</v>
          </cell>
          <cell r="E58">
            <v>0.21259057915634003</v>
          </cell>
          <cell r="F58">
            <v>1.5097275338523872</v>
          </cell>
          <cell r="G58">
            <v>0.55538733516428751</v>
          </cell>
          <cell r="H58">
            <v>6.9969679246181316E-4</v>
          </cell>
          <cell r="I58">
            <v>0</v>
          </cell>
          <cell r="J58">
            <v>0.55608703195674936</v>
          </cell>
          <cell r="K58">
            <v>-0.61004140397408224</v>
          </cell>
          <cell r="L58">
            <v>-0.13100851876521549</v>
          </cell>
          <cell r="M58">
            <v>-0.21259057915634003</v>
          </cell>
          <cell r="N58">
            <v>-0.95364050189563776</v>
          </cell>
          <cell r="O58">
            <v>-2.0192370471542126E-2</v>
          </cell>
          <cell r="P58">
            <v>-4.3363819711286335E-3</v>
          </cell>
          <cell r="Q58">
            <v>-7.0367481700748559E-3</v>
          </cell>
          <cell r="R58">
            <v>-3.1565500612745614E-2</v>
          </cell>
        </row>
        <row r="65">
          <cell r="A65" t="str">
            <v>Nylon 6 Virgin Production Emission Factor Comparison</v>
          </cell>
        </row>
        <row r="66">
          <cell r="B66" t="str">
            <v>Process Energy</v>
          </cell>
          <cell r="C66" t="str">
            <v>Transportation Energy</v>
          </cell>
          <cell r="D66" t="str">
            <v>Process Non-Energy</v>
          </cell>
          <cell r="E66" t="str">
            <v>Net Energy</v>
          </cell>
        </row>
        <row r="67">
          <cell r="A67" t="str">
            <v>Carbon Trust Footprint Expert</v>
          </cell>
          <cell r="E67">
            <v>9.1</v>
          </cell>
        </row>
        <row r="68">
          <cell r="A68" t="str">
            <v>WARM</v>
          </cell>
          <cell r="B68">
            <v>6.5991991913251491</v>
          </cell>
          <cell r="C68">
            <v>7.2110709280262308E-2</v>
          </cell>
          <cell r="D68">
            <v>3.5121092441240118</v>
          </cell>
          <cell r="E68">
            <v>10.183419144729424</v>
          </cell>
        </row>
        <row r="69">
          <cell r="E69">
            <v>0.11905704887136537</v>
          </cell>
        </row>
        <row r="72">
          <cell r="A72" t="str">
            <v xml:space="preserve">Carpet Content Figures from Dr. Matthew Realff </v>
          </cell>
        </row>
        <row r="73">
          <cell r="A73" t="str">
            <v>SB Latex Backed Carpet Components</v>
          </cell>
          <cell r="B73" t="str">
            <v>%</v>
          </cell>
          <cell r="C73" t="str">
            <v>Residential Face Fiber Mix 1995-2000</v>
          </cell>
        </row>
        <row r="74">
          <cell r="A74" t="str">
            <v>Face Fiber</v>
          </cell>
          <cell r="B74">
            <v>0.42399999999999999</v>
          </cell>
          <cell r="C74" t="str">
            <v>Nylon 66</v>
          </cell>
          <cell r="D74">
            <v>0.4</v>
          </cell>
        </row>
        <row r="75">
          <cell r="A75" t="str">
            <v>Backing Fabrics</v>
          </cell>
          <cell r="B75">
            <v>9.5000000000000001E-2</v>
          </cell>
          <cell r="C75" t="str">
            <v>Nylon 6</v>
          </cell>
          <cell r="D75">
            <v>0.25</v>
          </cell>
        </row>
        <row r="76">
          <cell r="A76" t="str">
            <v>SB Latex Polymer</v>
          </cell>
          <cell r="B76">
            <v>0.107</v>
          </cell>
          <cell r="C76" t="str">
            <v>PET</v>
          </cell>
          <cell r="D76">
            <v>0.15</v>
          </cell>
        </row>
        <row r="77">
          <cell r="A77" t="str">
            <v>Fillers</v>
          </cell>
          <cell r="B77">
            <v>0.374</v>
          </cell>
          <cell r="C77" t="str">
            <v>PP</v>
          </cell>
          <cell r="D77">
            <v>0.2</v>
          </cell>
        </row>
        <row r="78">
          <cell r="A78" t="str">
            <v>Other</v>
          </cell>
          <cell r="B78">
            <v>0</v>
          </cell>
        </row>
        <row r="79">
          <cell r="A79" t="str">
            <v>Source: Personal Correspondence with Dr. Matthew Realff, October 13th 2011</v>
          </cell>
        </row>
      </sheetData>
      <sheetData sheetId="34" refreshError="1">
        <row r="6">
          <cell r="F6" t="str">
            <v>RADAR™ (Including FIRECODE® Products)</v>
          </cell>
          <cell r="G6">
            <v>0.25</v>
          </cell>
          <cell r="H6">
            <v>0.49</v>
          </cell>
          <cell r="I6">
            <v>0.25</v>
          </cell>
          <cell r="J6">
            <v>0.49</v>
          </cell>
          <cell r="K6">
            <v>0.25</v>
          </cell>
          <cell r="L6">
            <v>0.25</v>
          </cell>
          <cell r="M6">
            <v>0.25</v>
          </cell>
          <cell r="N6">
            <v>0.25</v>
          </cell>
          <cell r="O6">
            <v>0.25</v>
          </cell>
          <cell r="P6">
            <v>0.49</v>
          </cell>
          <cell r="Q6">
            <v>0.25</v>
          </cell>
          <cell r="R6">
            <v>0.25</v>
          </cell>
          <cell r="S6">
            <v>0.25</v>
          </cell>
          <cell r="T6">
            <v>0.25</v>
          </cell>
          <cell r="U6">
            <v>0.25</v>
          </cell>
          <cell r="V6">
            <v>0.29799999999999999</v>
          </cell>
          <cell r="W6">
            <v>13.5</v>
          </cell>
          <cell r="X6">
            <v>3.5</v>
          </cell>
          <cell r="Y6">
            <v>0.52500000000000002</v>
          </cell>
          <cell r="Z6">
            <v>7.0000000000000007E-2</v>
          </cell>
          <cell r="AA6">
            <v>2.9049999999999998</v>
          </cell>
          <cell r="AB6">
            <v>1.4524999999999999</v>
          </cell>
          <cell r="AC6">
            <v>0.87149999999999994</v>
          </cell>
          <cell r="AD6">
            <v>0.58099999999999996</v>
          </cell>
        </row>
        <row r="7">
          <cell r="B7" t="str">
            <v xml:space="preserve"> Slag Wool Fiber  </v>
          </cell>
          <cell r="C7">
            <v>10</v>
          </cell>
          <cell r="D7">
            <v>75</v>
          </cell>
          <cell r="F7" t="str">
            <v>RADAR™ Ceramic ClimaPlus™ (Including FIRECODE® Products)</v>
          </cell>
          <cell r="G7">
            <v>0.45</v>
          </cell>
          <cell r="H7">
            <v>0.45</v>
          </cell>
          <cell r="V7">
            <v>0.45</v>
          </cell>
          <cell r="W7">
            <v>26</v>
          </cell>
          <cell r="X7">
            <v>4</v>
          </cell>
          <cell r="Y7">
            <v>0.6</v>
          </cell>
          <cell r="Z7">
            <v>0.08</v>
          </cell>
          <cell r="AA7">
            <v>3.32</v>
          </cell>
          <cell r="AB7">
            <v>1.66</v>
          </cell>
          <cell r="AC7">
            <v>0.99599999999999989</v>
          </cell>
          <cell r="AD7">
            <v>0.66400000000000003</v>
          </cell>
        </row>
        <row r="8">
          <cell r="B8" t="str">
            <v xml:space="preserve"> Expanded Perlite  </v>
          </cell>
          <cell r="C8">
            <v>5</v>
          </cell>
          <cell r="D8">
            <v>75</v>
          </cell>
          <cell r="F8" t="str">
            <v>RADAR™ ClimaPlus™</v>
          </cell>
          <cell r="G8">
            <v>0.36</v>
          </cell>
          <cell r="H8">
            <v>0.49</v>
          </cell>
          <cell r="I8">
            <v>0.36</v>
          </cell>
          <cell r="J8">
            <v>0.49</v>
          </cell>
          <cell r="K8">
            <v>0.25</v>
          </cell>
          <cell r="L8">
            <v>0.36</v>
          </cell>
          <cell r="M8">
            <v>0.49</v>
          </cell>
          <cell r="N8">
            <v>0.36</v>
          </cell>
          <cell r="O8">
            <v>0.49</v>
          </cell>
          <cell r="P8">
            <v>0.36</v>
          </cell>
          <cell r="Q8">
            <v>0.49</v>
          </cell>
          <cell r="R8">
            <v>0.31</v>
          </cell>
          <cell r="S8">
            <v>0.31</v>
          </cell>
          <cell r="T8">
            <v>0.31</v>
          </cell>
          <cell r="U8">
            <v>0.36</v>
          </cell>
          <cell r="V8">
            <v>0.38599999999999995</v>
          </cell>
          <cell r="W8">
            <v>13.5</v>
          </cell>
          <cell r="X8">
            <v>3.75</v>
          </cell>
          <cell r="Y8">
            <v>0.5625</v>
          </cell>
          <cell r="Z8">
            <v>7.4999999999999997E-2</v>
          </cell>
          <cell r="AA8">
            <v>3.1124999999999998</v>
          </cell>
          <cell r="AB8">
            <v>1.5562499999999999</v>
          </cell>
          <cell r="AC8">
            <v>0.93374999999999986</v>
          </cell>
          <cell r="AD8">
            <v>0.62250000000000005</v>
          </cell>
        </row>
        <row r="9">
          <cell r="B9" t="str">
            <v xml:space="preserve"> Cellulose  </v>
          </cell>
          <cell r="C9">
            <v>1</v>
          </cell>
          <cell r="D9">
            <v>25</v>
          </cell>
          <cell r="F9" t="str">
            <v>RADAR™ ClimaPlus™ High CAC, High NRC (Including FIRECODE® Products)</v>
          </cell>
          <cell r="G9">
            <v>0.57999999999999996</v>
          </cell>
          <cell r="H9">
            <v>0.57999999999999996</v>
          </cell>
          <cell r="I9">
            <v>0.57999999999999996</v>
          </cell>
          <cell r="J9">
            <v>0.57999999999999996</v>
          </cell>
          <cell r="K9">
            <v>0.57999999999999996</v>
          </cell>
          <cell r="L9">
            <v>0.57999999999999996</v>
          </cell>
          <cell r="M9">
            <v>0.57999999999999996</v>
          </cell>
          <cell r="N9">
            <v>0.56000000000000005</v>
          </cell>
          <cell r="O9">
            <v>0.56000000000000005</v>
          </cell>
          <cell r="P9">
            <v>0.56000000000000005</v>
          </cell>
          <cell r="Q9">
            <v>0.56000000000000005</v>
          </cell>
          <cell r="R9">
            <v>0.56000000000000005</v>
          </cell>
          <cell r="V9">
            <v>0.57166666666666677</v>
          </cell>
          <cell r="W9">
            <v>18</v>
          </cell>
          <cell r="X9">
            <v>4</v>
          </cell>
          <cell r="Y9">
            <v>0.6</v>
          </cell>
          <cell r="Z9">
            <v>0.08</v>
          </cell>
          <cell r="AA9">
            <v>3.32</v>
          </cell>
          <cell r="AB9">
            <v>1.66</v>
          </cell>
          <cell r="AC9">
            <v>0.99599999999999989</v>
          </cell>
          <cell r="AD9">
            <v>0.66400000000000003</v>
          </cell>
        </row>
        <row r="10">
          <cell r="B10" t="str">
            <v xml:space="preserve"> Starch  </v>
          </cell>
          <cell r="C10">
            <v>5</v>
          </cell>
          <cell r="D10">
            <v>15</v>
          </cell>
          <cell r="F10" t="str">
            <v>RADAR™ ClimaPlus™ Illusion (Including FIRECODE® Products)</v>
          </cell>
          <cell r="G10">
            <v>0.36</v>
          </cell>
          <cell r="H10">
            <v>0.49</v>
          </cell>
          <cell r="I10">
            <v>0.36</v>
          </cell>
          <cell r="J10">
            <v>0.36</v>
          </cell>
          <cell r="K10">
            <v>0.36</v>
          </cell>
          <cell r="L10">
            <v>0.36</v>
          </cell>
          <cell r="M10">
            <v>0.36</v>
          </cell>
          <cell r="N10">
            <v>0.36</v>
          </cell>
          <cell r="O10">
            <v>0.36</v>
          </cell>
          <cell r="V10">
            <v>0.37444444444444436</v>
          </cell>
          <cell r="W10">
            <v>13.5</v>
          </cell>
          <cell r="X10">
            <v>0.375</v>
          </cell>
          <cell r="Y10">
            <v>5.6249999999999994E-2</v>
          </cell>
          <cell r="Z10">
            <v>7.4999999999999997E-3</v>
          </cell>
          <cell r="AA10">
            <v>0.31124999999999997</v>
          </cell>
          <cell r="AB10">
            <v>0.15562499999999999</v>
          </cell>
          <cell r="AC10">
            <v>9.3374999999999986E-2</v>
          </cell>
          <cell r="AD10">
            <v>6.225E-2</v>
          </cell>
        </row>
        <row r="11">
          <cell r="B11" t="str">
            <v xml:space="preserve"> Kaolin  </v>
          </cell>
          <cell r="C11">
            <v>0</v>
          </cell>
          <cell r="D11">
            <v>15</v>
          </cell>
          <cell r="F11" t="str">
            <v>Average</v>
          </cell>
          <cell r="V11">
            <v>0.41602222222222218</v>
          </cell>
          <cell r="W11">
            <v>16.899999999999999</v>
          </cell>
          <cell r="X11">
            <v>3.125</v>
          </cell>
          <cell r="Y11">
            <v>0.46875</v>
          </cell>
          <cell r="Z11">
            <v>6.2500000000000014E-2</v>
          </cell>
          <cell r="AA11">
            <v>2.5937499999999996</v>
          </cell>
          <cell r="AB11">
            <v>1.2968749999999998</v>
          </cell>
          <cell r="AC11">
            <v>0.77812499999999996</v>
          </cell>
          <cell r="AD11">
            <v>0.51875000000000004</v>
          </cell>
        </row>
        <row r="12">
          <cell r="B12" t="str">
            <v xml:space="preserve"> Calcium Sulfate Dihydrate  </v>
          </cell>
          <cell r="C12">
            <v>0</v>
          </cell>
          <cell r="D12">
            <v>80</v>
          </cell>
        </row>
        <row r="13">
          <cell r="B13" t="str">
            <v xml:space="preserve"> Limestone  </v>
          </cell>
          <cell r="C13" t="str">
            <v>&lt;</v>
          </cell>
          <cell r="D13">
            <v>2</v>
          </cell>
          <cell r="F13" t="str">
            <v>Embodied Energy Assumptions</v>
          </cell>
          <cell r="V13" t="str">
            <v>Percent</v>
          </cell>
        </row>
        <row r="14">
          <cell r="B14" t="str">
            <v xml:space="preserve"> Or Dolomite  </v>
          </cell>
          <cell r="C14" t="str">
            <v xml:space="preserve"> </v>
          </cell>
          <cell r="F14" t="str">
            <v>Raw Material Extraction/Manufacturing</v>
          </cell>
          <cell r="V14">
            <v>0.15</v>
          </cell>
        </row>
        <row r="15">
          <cell r="B15" t="str">
            <v xml:space="preserve"> Crystalline Silica  </v>
          </cell>
          <cell r="C15" t="str">
            <v>&lt;</v>
          </cell>
          <cell r="D15">
            <v>5</v>
          </cell>
          <cell r="F15" t="str">
            <v>Raw Material Transportation</v>
          </cell>
          <cell r="V15">
            <v>0.02</v>
          </cell>
        </row>
        <row r="16">
          <cell r="B16" t="str">
            <v xml:space="preserve"> Vinyl Acetate Polymer  </v>
          </cell>
          <cell r="C16" t="str">
            <v>&lt;</v>
          </cell>
          <cell r="D16">
            <v>2</v>
          </cell>
          <cell r="F16" t="str">
            <v>Acoustical Panel Manufacturing</v>
          </cell>
          <cell r="V16">
            <v>0.83</v>
          </cell>
        </row>
        <row r="17">
          <cell r="B17" t="str">
            <v xml:space="preserve"> Or Ethylene Vinyl Acetate Polymer  </v>
          </cell>
          <cell r="C17" t="str">
            <v xml:space="preserve"> </v>
          </cell>
          <cell r="F17" t="str">
            <v>Panel Forming</v>
          </cell>
          <cell r="V17">
            <v>0.5</v>
          </cell>
        </row>
        <row r="18">
          <cell r="B18" t="str">
            <v xml:space="preserve"> May be available with foil-backing:  </v>
          </cell>
          <cell r="C18" t="str">
            <v xml:space="preserve"> </v>
          </cell>
          <cell r="F18" t="str">
            <v>Kiln Drying</v>
          </cell>
          <cell r="V18">
            <v>0.3</v>
          </cell>
        </row>
        <row r="19">
          <cell r="B19" t="str">
            <v xml:space="preserve"> Aluminum Foil (as Aluminum and Cmpds)  </v>
          </cell>
          <cell r="C19">
            <v>0</v>
          </cell>
          <cell r="D19">
            <v>2</v>
          </cell>
          <cell r="F19" t="str">
            <v>Finishing/Packaging</v>
          </cell>
          <cell r="V19">
            <v>0.2</v>
          </cell>
        </row>
        <row r="21">
          <cell r="B21" t="str">
            <v xml:space="preserve"> Slag Wool Fiber  </v>
          </cell>
          <cell r="C21" t="str">
            <v>&gt;</v>
          </cell>
          <cell r="D21">
            <v>45</v>
          </cell>
        </row>
        <row r="22">
          <cell r="B22" t="str">
            <v xml:space="preserve"> Kaolin  </v>
          </cell>
          <cell r="C22" t="str">
            <v>&gt;</v>
          </cell>
          <cell r="D22">
            <v>35</v>
          </cell>
        </row>
        <row r="23">
          <cell r="B23" t="str">
            <v xml:space="preserve"> Expanded Perlite  </v>
          </cell>
          <cell r="C23" t="str">
            <v>&lt;</v>
          </cell>
          <cell r="D23">
            <v>10</v>
          </cell>
        </row>
        <row r="24">
          <cell r="B24" t="str">
            <v xml:space="preserve"> Starch  </v>
          </cell>
          <cell r="C24" t="str">
            <v>&lt;</v>
          </cell>
          <cell r="D24">
            <v>10</v>
          </cell>
        </row>
        <row r="25">
          <cell r="B25" t="str">
            <v xml:space="preserve"> Cellulose  </v>
          </cell>
          <cell r="C25" t="str">
            <v>&lt;</v>
          </cell>
          <cell r="D25">
            <v>5</v>
          </cell>
        </row>
        <row r="26">
          <cell r="B26" t="str">
            <v xml:space="preserve"> Limestone  </v>
          </cell>
          <cell r="C26" t="str">
            <v>&lt;</v>
          </cell>
          <cell r="D26">
            <v>2</v>
          </cell>
        </row>
        <row r="27">
          <cell r="B27" t="str">
            <v xml:space="preserve"> Or Dolomite  </v>
          </cell>
        </row>
        <row r="28">
          <cell r="B28" t="str">
            <v xml:space="preserve"> Crystalline Silica  </v>
          </cell>
          <cell r="C28" t="str">
            <v>&lt;</v>
          </cell>
          <cell r="D28">
            <v>5</v>
          </cell>
        </row>
        <row r="29">
          <cell r="B29" t="str">
            <v xml:space="preserve"> Vinyl Acetate Polymer  </v>
          </cell>
          <cell r="C29" t="str">
            <v>&lt;</v>
          </cell>
          <cell r="D29">
            <v>2</v>
          </cell>
        </row>
        <row r="30">
          <cell r="B30" t="str">
            <v xml:space="preserve"> Or Ethylene Vinyl Acetate Polymer  </v>
          </cell>
          <cell r="C30" t="str">
            <v xml:space="preserve"> </v>
          </cell>
        </row>
        <row r="31">
          <cell r="B31" t="str">
            <v xml:space="preserve"> May be available with foil-backing:  </v>
          </cell>
          <cell r="C31" t="str">
            <v xml:space="preserve"> </v>
          </cell>
        </row>
        <row r="32">
          <cell r="B32" t="str">
            <v xml:space="preserve"> Aluminum Foil (as Aluminum and Cmpds)  </v>
          </cell>
          <cell r="C32">
            <v>0</v>
          </cell>
          <cell r="D32">
            <v>2</v>
          </cell>
        </row>
        <row r="34">
          <cell r="B34" t="str">
            <v xml:space="preserve"> Slag Wool Fiber  </v>
          </cell>
          <cell r="C34">
            <v>10</v>
          </cell>
          <cell r="D34">
            <v>75</v>
          </cell>
        </row>
        <row r="35">
          <cell r="B35" t="str">
            <v xml:space="preserve"> Expanded Perlite  </v>
          </cell>
          <cell r="C35">
            <v>5</v>
          </cell>
          <cell r="D35">
            <v>75</v>
          </cell>
        </row>
        <row r="36">
          <cell r="B36" t="str">
            <v xml:space="preserve"> Cellulose  </v>
          </cell>
          <cell r="C36">
            <v>1</v>
          </cell>
          <cell r="D36">
            <v>25</v>
          </cell>
        </row>
        <row r="37">
          <cell r="B37" t="str">
            <v xml:space="preserve"> Starch  </v>
          </cell>
          <cell r="C37">
            <v>5</v>
          </cell>
          <cell r="D37">
            <v>15</v>
          </cell>
        </row>
        <row r="38">
          <cell r="B38" t="str">
            <v xml:space="preserve"> Kaolin  </v>
          </cell>
          <cell r="C38">
            <v>0</v>
          </cell>
          <cell r="D38">
            <v>15</v>
          </cell>
        </row>
        <row r="39">
          <cell r="B39" t="str">
            <v xml:space="preserve"> Calcium Sulfate Dihydrate  </v>
          </cell>
          <cell r="C39">
            <v>0</v>
          </cell>
          <cell r="D39">
            <v>80</v>
          </cell>
        </row>
        <row r="40">
          <cell r="B40" t="str">
            <v xml:space="preserve"> Limestone  </v>
          </cell>
          <cell r="C40" t="str">
            <v>&lt;</v>
          </cell>
          <cell r="D40">
            <v>2</v>
          </cell>
        </row>
        <row r="41">
          <cell r="B41" t="str">
            <v xml:space="preserve"> Or Dolomite  </v>
          </cell>
          <cell r="C41" t="str">
            <v xml:space="preserve"> </v>
          </cell>
        </row>
        <row r="42">
          <cell r="B42" t="str">
            <v xml:space="preserve"> Crystalline Silica  </v>
          </cell>
          <cell r="C42" t="str">
            <v>&lt;</v>
          </cell>
          <cell r="D42">
            <v>5</v>
          </cell>
        </row>
        <row r="43">
          <cell r="B43" t="str">
            <v xml:space="preserve"> Vinyl Acetate Polymer  </v>
          </cell>
          <cell r="C43" t="str">
            <v>&lt;</v>
          </cell>
          <cell r="D43">
            <v>2</v>
          </cell>
        </row>
        <row r="44">
          <cell r="B44" t="str">
            <v xml:space="preserve"> Or Ethylene Vinyl Acetate Polymer  </v>
          </cell>
          <cell r="C44" t="str">
            <v xml:space="preserve"> </v>
          </cell>
        </row>
        <row r="45">
          <cell r="B45" t="str">
            <v xml:space="preserve"> Zinc Pyrithione  </v>
          </cell>
          <cell r="C45" t="str">
            <v>&lt;</v>
          </cell>
          <cell r="D45">
            <v>1</v>
          </cell>
        </row>
        <row r="46">
          <cell r="B46" t="str">
            <v xml:space="preserve"> May be available with foil-backing:  </v>
          </cell>
          <cell r="C46" t="str">
            <v xml:space="preserve"> </v>
          </cell>
        </row>
        <row r="47">
          <cell r="B47" t="str">
            <v xml:space="preserve"> Aluminum Foil (as Aluminum and Cmpds)  </v>
          </cell>
          <cell r="C47">
            <v>0</v>
          </cell>
          <cell r="D47">
            <v>2</v>
          </cell>
        </row>
        <row r="49">
          <cell r="B49" t="str">
            <v xml:space="preserve"> Slag Wool Fiber  </v>
          </cell>
          <cell r="C49">
            <v>10</v>
          </cell>
          <cell r="D49">
            <v>75</v>
          </cell>
        </row>
        <row r="50">
          <cell r="B50" t="str">
            <v xml:space="preserve"> Expanded Perlite  </v>
          </cell>
          <cell r="C50">
            <v>5</v>
          </cell>
          <cell r="D50">
            <v>75</v>
          </cell>
        </row>
        <row r="51">
          <cell r="B51" t="str">
            <v xml:space="preserve"> Cellulose  </v>
          </cell>
          <cell r="C51">
            <v>1</v>
          </cell>
          <cell r="D51">
            <v>25</v>
          </cell>
        </row>
        <row r="52">
          <cell r="B52" t="str">
            <v xml:space="preserve"> Starch  </v>
          </cell>
          <cell r="C52">
            <v>5</v>
          </cell>
          <cell r="D52">
            <v>15</v>
          </cell>
        </row>
        <row r="53">
          <cell r="B53" t="str">
            <v xml:space="preserve"> Kaolin  </v>
          </cell>
          <cell r="C53">
            <v>0</v>
          </cell>
          <cell r="D53">
            <v>15</v>
          </cell>
        </row>
        <row r="54">
          <cell r="B54" t="str">
            <v xml:space="preserve"> Calcium Sulfate Dihydrate  </v>
          </cell>
          <cell r="C54">
            <v>0</v>
          </cell>
          <cell r="D54">
            <v>80</v>
          </cell>
        </row>
        <row r="55">
          <cell r="B55" t="str">
            <v xml:space="preserve"> Limestone  </v>
          </cell>
          <cell r="C55" t="str">
            <v>&lt;</v>
          </cell>
          <cell r="D55">
            <v>2</v>
          </cell>
        </row>
        <row r="56">
          <cell r="B56" t="str">
            <v xml:space="preserve"> Or Dolomite  </v>
          </cell>
          <cell r="C56" t="str">
            <v xml:space="preserve"> </v>
          </cell>
        </row>
        <row r="57">
          <cell r="B57" t="str">
            <v xml:space="preserve"> Crystalline Silica  </v>
          </cell>
          <cell r="C57" t="str">
            <v>&lt;</v>
          </cell>
          <cell r="D57">
            <v>5</v>
          </cell>
        </row>
        <row r="58">
          <cell r="B58" t="str">
            <v xml:space="preserve"> Vinyl Acetate Polymer  </v>
          </cell>
          <cell r="C58" t="str">
            <v>&lt;</v>
          </cell>
          <cell r="D58">
            <v>2</v>
          </cell>
        </row>
        <row r="59">
          <cell r="B59" t="str">
            <v xml:space="preserve"> Or Ethylene Vinyl Acetate Polymer  </v>
          </cell>
          <cell r="C59" t="str">
            <v xml:space="preserve"> </v>
          </cell>
        </row>
        <row r="60">
          <cell r="B60" t="str">
            <v xml:space="preserve"> Zinc Pyrithione  </v>
          </cell>
          <cell r="C60" t="str">
            <v>&lt;</v>
          </cell>
          <cell r="D60">
            <v>1</v>
          </cell>
        </row>
        <row r="61">
          <cell r="B61" t="str">
            <v xml:space="preserve"> May be available with foil-backing:  </v>
          </cell>
          <cell r="C61" t="str">
            <v xml:space="preserve"> </v>
          </cell>
        </row>
        <row r="62">
          <cell r="B62" t="str">
            <v xml:space="preserve"> Aluminum Foil (as Aluminum and Cmpds)  </v>
          </cell>
          <cell r="C62">
            <v>0</v>
          </cell>
          <cell r="D62">
            <v>2</v>
          </cell>
        </row>
        <row r="63">
          <cell r="A63" t="str">
            <v>RADAR™ ClimaPlus™ Illusion (Including FIRECODE® Products)</v>
          </cell>
        </row>
        <row r="64">
          <cell r="B64" t="str">
            <v xml:space="preserve"> Slag Wool Fiber  </v>
          </cell>
          <cell r="C64">
            <v>10</v>
          </cell>
          <cell r="D64">
            <v>75</v>
          </cell>
        </row>
        <row r="65">
          <cell r="B65" t="str">
            <v xml:space="preserve"> Expanded Perlite  </v>
          </cell>
          <cell r="C65">
            <v>5</v>
          </cell>
          <cell r="D65">
            <v>75</v>
          </cell>
        </row>
        <row r="66">
          <cell r="B66" t="str">
            <v xml:space="preserve"> Cellulose  </v>
          </cell>
          <cell r="C66">
            <v>1</v>
          </cell>
          <cell r="D66">
            <v>25</v>
          </cell>
        </row>
        <row r="67">
          <cell r="B67" t="str">
            <v xml:space="preserve"> Starch  </v>
          </cell>
          <cell r="C67">
            <v>5</v>
          </cell>
          <cell r="D67">
            <v>15</v>
          </cell>
        </row>
        <row r="68">
          <cell r="B68" t="str">
            <v xml:space="preserve"> Kaolin  </v>
          </cell>
          <cell r="C68">
            <v>0</v>
          </cell>
          <cell r="D68">
            <v>15</v>
          </cell>
        </row>
        <row r="69">
          <cell r="B69" t="str">
            <v xml:space="preserve"> Calcium Sulfate Dihydrate  </v>
          </cell>
          <cell r="C69">
            <v>0</v>
          </cell>
          <cell r="D69">
            <v>80</v>
          </cell>
        </row>
        <row r="70">
          <cell r="B70" t="str">
            <v xml:space="preserve"> Limestone  </v>
          </cell>
          <cell r="C70" t="str">
            <v>&lt;</v>
          </cell>
          <cell r="D70">
            <v>2</v>
          </cell>
        </row>
        <row r="71">
          <cell r="B71" t="str">
            <v xml:space="preserve"> Or Dolomite  </v>
          </cell>
          <cell r="C71" t="str">
            <v xml:space="preserve"> </v>
          </cell>
        </row>
        <row r="72">
          <cell r="B72" t="str">
            <v xml:space="preserve"> Crystalline Silica  </v>
          </cell>
          <cell r="C72" t="str">
            <v>&lt;</v>
          </cell>
          <cell r="D72">
            <v>5</v>
          </cell>
        </row>
        <row r="73">
          <cell r="B73" t="str">
            <v xml:space="preserve"> Vinyl Acetate Polymer  </v>
          </cell>
          <cell r="C73" t="str">
            <v>&lt;</v>
          </cell>
          <cell r="D73">
            <v>2</v>
          </cell>
        </row>
        <row r="74">
          <cell r="B74" t="str">
            <v xml:space="preserve"> Or Ethylene Vinyl Acetate Polymer  </v>
          </cell>
          <cell r="C74" t="str">
            <v xml:space="preserve"> </v>
          </cell>
        </row>
        <row r="75">
          <cell r="B75" t="str">
            <v xml:space="preserve"> Zinc Pyrithione  </v>
          </cell>
          <cell r="C75" t="str">
            <v>&lt;</v>
          </cell>
          <cell r="D75">
            <v>1</v>
          </cell>
        </row>
        <row r="76">
          <cell r="B76" t="str">
            <v xml:space="preserve"> May be available with foil-backing:  </v>
          </cell>
          <cell r="C76" t="str">
            <v xml:space="preserve"> </v>
          </cell>
        </row>
        <row r="77">
          <cell r="B77" t="str">
            <v xml:space="preserve"> Aluminum Foil (as Aluminum and Cmpds)  </v>
          </cell>
          <cell r="C77">
            <v>0</v>
          </cell>
          <cell r="D77">
            <v>2</v>
          </cell>
        </row>
      </sheetData>
      <sheetData sheetId="35" refreshError="1">
        <row r="7">
          <cell r="B7" t="str">
            <v>Process Energy</v>
          </cell>
          <cell r="H7" t="str">
            <v>Transportation energy</v>
          </cell>
        </row>
        <row r="8">
          <cell r="B8" t="str">
            <v>Unit process</v>
          </cell>
          <cell r="C8" t="str">
            <v>Weights
(kg/kg of boxboard)</v>
          </cell>
          <cell r="D8" t="str">
            <v>Electricity, at grid, US</v>
          </cell>
          <cell r="E8" t="str">
            <v>Natural gas, combusted in industrial boiler</v>
          </cell>
          <cell r="F8" t="str">
            <v>Residual fuel oil, combusted in industrial boiler</v>
          </cell>
          <cell r="H8" t="str">
            <v>Diesel, combusted in truck</v>
          </cell>
        </row>
        <row r="9">
          <cell r="D9" t="str">
            <v>kWh/kg boxboard</v>
          </cell>
          <cell r="E9" t="str">
            <v>m3/kg boxboard</v>
          </cell>
          <cell r="F9" t="str">
            <v>liter/kg boxboard</v>
          </cell>
          <cell r="H9" t="str">
            <v>metric ton-km / kg of boxboard</v>
          </cell>
        </row>
        <row r="10">
          <cell r="B10" t="str">
            <v>Production of clay coated recycled boxboard from 100 % recycled fiber</v>
          </cell>
          <cell r="C10">
            <v>1</v>
          </cell>
          <cell r="D10">
            <v>0.45194763709999997</v>
          </cell>
          <cell r="E10">
            <v>0.1732250379634856</v>
          </cell>
          <cell r="F10">
            <v>1.7207845272902637E-2</v>
          </cell>
          <cell r="H10">
            <v>0.17849999999999999</v>
          </cell>
        </row>
        <row r="11">
          <cell r="B11" t="str">
            <v>Titanium dioxide</v>
          </cell>
          <cell r="C11">
            <v>4.4000000000000003E-3</v>
          </cell>
          <cell r="D11">
            <v>0.50917289486776318</v>
          </cell>
          <cell r="E11">
            <v>0</v>
          </cell>
          <cell r="F11">
            <v>0.28235123493329461</v>
          </cell>
          <cell r="H11">
            <v>1.0218539106968716</v>
          </cell>
        </row>
        <row r="12">
          <cell r="B12" t="str">
            <v>Kaolin coating clay</v>
          </cell>
          <cell r="C12">
            <v>7.1199999999999999E-2</v>
          </cell>
          <cell r="D12">
            <v>8.0277777777777781E-2</v>
          </cell>
          <cell r="E12">
            <v>0</v>
          </cell>
          <cell r="F12">
            <v>1.7069032643100508E-2</v>
          </cell>
          <cell r="H12">
            <v>0</v>
          </cell>
        </row>
        <row r="13">
          <cell r="B13" t="str">
            <v>Ethylated corn starch</v>
          </cell>
          <cell r="C13">
            <v>8.0000000000000002E-3</v>
          </cell>
          <cell r="D13">
            <v>7.9027665836409841E-2</v>
          </cell>
          <cell r="E13">
            <v>0</v>
          </cell>
          <cell r="F13">
            <v>0.10104443648788182</v>
          </cell>
          <cell r="H13">
            <v>0.17605933269305704</v>
          </cell>
        </row>
        <row r="14">
          <cell r="B14" t="str">
            <v>Binder (sbl)</v>
          </cell>
          <cell r="C14">
            <v>1.32E-2</v>
          </cell>
          <cell r="D14">
            <v>0.2086602427331565</v>
          </cell>
          <cell r="E14">
            <v>0</v>
          </cell>
          <cell r="F14">
            <v>0.59238488272258039</v>
          </cell>
          <cell r="H14">
            <v>0.7666429706251453</v>
          </cell>
        </row>
        <row r="17">
          <cell r="B17" t="str">
            <v xml:space="preserve">Production of Folding cartons </v>
          </cell>
          <cell r="C17">
            <v>1.17</v>
          </cell>
          <cell r="D17">
            <v>0.253</v>
          </cell>
          <cell r="E17">
            <v>2.2306030940747214E-3</v>
          </cell>
        </row>
        <row r="18">
          <cell r="B18" t="str">
            <v>Boxboard carton ink</v>
          </cell>
          <cell r="C18">
            <v>2.2000000000000001E-3</v>
          </cell>
          <cell r="D18">
            <v>0.38877777777777783</v>
          </cell>
          <cell r="E18">
            <v>0</v>
          </cell>
          <cell r="F18">
            <v>0.18521049707582415</v>
          </cell>
          <cell r="H18">
            <v>0.76351088101565356</v>
          </cell>
        </row>
        <row r="19">
          <cell r="B19" t="str">
            <v>Boxboard carton glue (EVAC copolymer with additives)</v>
          </cell>
          <cell r="C19">
            <v>1E-3</v>
          </cell>
          <cell r="D19">
            <v>0.74713016589305914</v>
          </cell>
          <cell r="E19">
            <v>0</v>
          </cell>
          <cell r="F19">
            <v>0.52066836300394304</v>
          </cell>
          <cell r="H19">
            <v>1.2756182622250662</v>
          </cell>
        </row>
        <row r="22">
          <cell r="B22" t="str">
            <v>Weighted cradle to gate for 1 kg of clay coated recycled boxboard</v>
          </cell>
          <cell r="D22">
            <v>0.46329031214596483</v>
          </cell>
          <cell r="E22">
            <v>0.1732250379634856</v>
          </cell>
          <cell r="F22">
            <v>2.8293341774639005E-2</v>
          </cell>
          <cell r="H22">
            <v>0.1945243190808626</v>
          </cell>
        </row>
        <row r="23">
          <cell r="B23" t="str">
            <v>Weighted cradle to gate for 1 metric ton of clay coated recycled boxboard</v>
          </cell>
          <cell r="D23">
            <v>463.29031214596483</v>
          </cell>
          <cell r="E23">
            <v>173.22503796348559</v>
          </cell>
          <cell r="F23">
            <v>28.293341774639007</v>
          </cell>
          <cell r="H23">
            <v>194.5243190808626</v>
          </cell>
        </row>
        <row r="25">
          <cell r="B25" t="str">
            <v>Per metric ton of recycled boxboard (1000 kg)</v>
          </cell>
          <cell r="D25" t="str">
            <v>MMBtu / metric ton</v>
          </cell>
          <cell r="E25" t="str">
            <v>MMBtu / metric ton</v>
          </cell>
          <cell r="F25" t="str">
            <v>MMBtu / metric ton</v>
          </cell>
          <cell r="H25" t="str">
            <v>MMBtu / metric ton</v>
          </cell>
        </row>
        <row r="26">
          <cell r="B26" t="str">
            <v>Pre-combustion</v>
          </cell>
          <cell r="D26">
            <v>0</v>
          </cell>
          <cell r="E26">
            <v>0.54444721887747971</v>
          </cell>
          <cell r="F26">
            <v>0.16368739277939115</v>
          </cell>
          <cell r="H26">
            <v>3.5841510703316211E-2</v>
          </cell>
        </row>
        <row r="27">
          <cell r="B27" t="str">
            <v>Combustion</v>
          </cell>
          <cell r="D27">
            <v>4.9117118268980482</v>
          </cell>
          <cell r="E27">
            <v>6.3009060162225188</v>
          </cell>
          <cell r="F27">
            <v>1.1211465258862408</v>
          </cell>
          <cell r="H27">
            <v>0.24785920337119163</v>
          </cell>
        </row>
        <row r="28">
          <cell r="B28" t="str">
            <v>Total Energy</v>
          </cell>
          <cell r="D28">
            <v>4.9117118268980482</v>
          </cell>
          <cell r="E28">
            <v>6.8453532350999984</v>
          </cell>
          <cell r="F28">
            <v>1.2848339186656319</v>
          </cell>
          <cell r="H28">
            <v>0.28370071407450786</v>
          </cell>
        </row>
        <row r="33">
          <cell r="B33" t="str">
            <v>TABLE 1. Total raw inputs, by type of input, for each recycled boxboard additive</v>
          </cell>
        </row>
        <row r="34">
          <cell r="E34" t="str">
            <v>PROCESS ENERGY</v>
          </cell>
          <cell r="K34" t="str">
            <v>TRANSPORTATION ENERGY</v>
          </cell>
        </row>
        <row r="35">
          <cell r="E35" t="str">
            <v>Total input, by type for each additive</v>
          </cell>
          <cell r="L35" t="str">
            <v>Total input, by type for each additive</v>
          </cell>
        </row>
        <row r="36">
          <cell r="B36" t="str">
            <v>Additive</v>
          </cell>
          <cell r="E36" t="str">
            <v>Electricity, at grid, US</v>
          </cell>
          <cell r="F36" t="str">
            <v>Electricity, at cogeneration unit</v>
          </cell>
          <cell r="G36" t="str">
            <v>Natural gas, combusted in industrial boiler</v>
          </cell>
          <cell r="H36" t="str">
            <v>Residual fuel oil, combusted</v>
          </cell>
          <cell r="K36" t="str">
            <v>Additive</v>
          </cell>
          <cell r="L36" t="str">
            <v>Diesel, combusted in truck</v>
          </cell>
        </row>
        <row r="37">
          <cell r="E37" t="str">
            <v>kWh / kg CRB</v>
          </cell>
          <cell r="F37" t="str">
            <v>kJ / kg CRB</v>
          </cell>
          <cell r="G37" t="str">
            <v>m3 / kg CRB</v>
          </cell>
          <cell r="H37" t="str">
            <v>kJ / kg CRB</v>
          </cell>
          <cell r="L37" t="str">
            <v>kJ / kg CRB</v>
          </cell>
        </row>
        <row r="38">
          <cell r="B38" t="str">
            <v>Titanium dioxide [TiO2] (whitener)</v>
          </cell>
          <cell r="E38">
            <v>0.50917289486776318</v>
          </cell>
          <cell r="F38">
            <v>0</v>
          </cell>
          <cell r="G38">
            <v>0</v>
          </cell>
          <cell r="H38">
            <v>13527.82227068875</v>
          </cell>
          <cell r="K38" t="str">
            <v>Titanium dioxide [TiO2] (whitener)</v>
          </cell>
          <cell r="L38">
            <v>1572.3556528607853</v>
          </cell>
        </row>
        <row r="39">
          <cell r="B39" t="str">
            <v>Kaolin</v>
          </cell>
          <cell r="E39">
            <v>8.0277777777777781E-2</v>
          </cell>
          <cell r="F39">
            <v>0</v>
          </cell>
          <cell r="G39">
            <v>0</v>
          </cell>
          <cell r="H39">
            <v>817.8</v>
          </cell>
          <cell r="K39" t="str">
            <v>Kaolin</v>
          </cell>
          <cell r="L39">
            <v>0</v>
          </cell>
        </row>
        <row r="40">
          <cell r="B40" t="str">
            <v>Ethylated corn starch</v>
          </cell>
          <cell r="E40">
            <v>7.9027665836409841E-2</v>
          </cell>
          <cell r="F40">
            <v>0</v>
          </cell>
          <cell r="G40">
            <v>0</v>
          </cell>
          <cell r="H40">
            <v>4841.1730112421674</v>
          </cell>
          <cell r="K40" t="str">
            <v>Ethylated corn starch</v>
          </cell>
          <cell r="L40">
            <v>270.90749871479989</v>
          </cell>
        </row>
        <row r="41">
          <cell r="B41" t="str">
            <v>eSBL 34 mole percent styrene</v>
          </cell>
          <cell r="E41">
            <v>0.2086602427331565</v>
          </cell>
          <cell r="F41">
            <v>0</v>
          </cell>
          <cell r="G41">
            <v>0</v>
          </cell>
          <cell r="H41">
            <v>28381.945668511398</v>
          </cell>
          <cell r="K41" t="str">
            <v>eSBL 34 mole percent styrene</v>
          </cell>
          <cell r="L41">
            <v>1179.6553264315091</v>
          </cell>
        </row>
        <row r="42">
          <cell r="B42" t="str">
            <v>Boxboard carton ink</v>
          </cell>
          <cell r="E42">
            <v>0.38877777777777783</v>
          </cell>
          <cell r="F42">
            <v>0</v>
          </cell>
          <cell r="G42">
            <v>0</v>
          </cell>
          <cell r="H42">
            <v>8873.6806399999987</v>
          </cell>
          <cell r="K42" t="str">
            <v>Boxboard carton ink</v>
          </cell>
          <cell r="L42">
            <v>1035.85328</v>
          </cell>
        </row>
        <row r="43">
          <cell r="B43" t="str">
            <v>Boxboard carton glue</v>
          </cell>
          <cell r="E43">
            <v>0.74713016589305914</v>
          </cell>
          <cell r="F43">
            <v>0</v>
          </cell>
          <cell r="G43">
            <v>0</v>
          </cell>
          <cell r="H43">
            <v>24945.912060033388</v>
          </cell>
          <cell r="K43" t="str">
            <v>Boxboard carton glue</v>
          </cell>
          <cell r="L43">
            <v>1730.6280680584623</v>
          </cell>
        </row>
        <row r="45">
          <cell r="B45" t="str">
            <v>Source: "boxboard_AdditivesData_rev1_CE.xls"</v>
          </cell>
        </row>
        <row r="49">
          <cell r="B49" t="str">
            <v>Source: "CRB Energy(a)" from Tom Brown, November, 2008</v>
          </cell>
        </row>
        <row r="51">
          <cell r="B51" t="str">
            <v xml:space="preserve">Process Energy for one metric ton of recycled boxboard from 100% recovered fiber.  </v>
          </cell>
        </row>
        <row r="53">
          <cell r="C53" t="str">
            <v>per short ton</v>
          </cell>
          <cell r="G53" t="str">
            <v>per metric ton</v>
          </cell>
        </row>
        <row r="54">
          <cell r="D54" t="str">
            <v>units</v>
          </cell>
          <cell r="E54" t="str">
            <v>Thousand BTU</v>
          </cell>
          <cell r="H54" t="str">
            <v>units</v>
          </cell>
          <cell r="I54" t="str">
            <v>Thousand BTU</v>
          </cell>
        </row>
        <row r="55">
          <cell r="B55" t="str">
            <v>Electricity, cogeneration</v>
          </cell>
          <cell r="C55">
            <v>101</v>
          </cell>
          <cell r="D55" t="str">
            <v>kwh</v>
          </cell>
          <cell r="E55">
            <v>968.85185185185196</v>
          </cell>
          <cell r="G55">
            <v>111.33344231</v>
          </cell>
          <cell r="H55" t="str">
            <v>kwh</v>
          </cell>
          <cell r="I55">
            <v>1067.9763540107408</v>
          </cell>
        </row>
        <row r="56">
          <cell r="B56" t="str">
            <v>Electricity, US grid</v>
          </cell>
          <cell r="C56">
            <v>410</v>
          </cell>
          <cell r="D56" t="str">
            <v>kwh</v>
          </cell>
          <cell r="E56">
            <v>4333.29</v>
          </cell>
          <cell r="G56">
            <v>451.94763709999995</v>
          </cell>
          <cell r="H56" t="str">
            <v>kwh</v>
          </cell>
          <cell r="I56">
            <v>4776.6345765098995</v>
          </cell>
        </row>
        <row r="57">
          <cell r="B57" t="str">
            <v>Total Electricity</v>
          </cell>
          <cell r="D57" t="str">
            <v>kwh</v>
          </cell>
          <cell r="G57">
            <v>0</v>
          </cell>
          <cell r="H57" t="str">
            <v>kwh</v>
          </cell>
          <cell r="I57">
            <v>0</v>
          </cell>
        </row>
        <row r="58">
          <cell r="B58" t="str">
            <v>Natural Gas</v>
          </cell>
          <cell r="C58">
            <v>6551.8968447723928</v>
          </cell>
          <cell r="D58" t="str">
            <v>MJ</v>
          </cell>
          <cell r="E58">
            <v>6210</v>
          </cell>
          <cell r="G58">
            <v>7222.2299939459226</v>
          </cell>
          <cell r="H58" t="str">
            <v>MJ</v>
          </cell>
          <cell r="I58">
            <v>6845.3532350999994</v>
          </cell>
        </row>
        <row r="59">
          <cell r="B59" t="str">
            <v>LPG</v>
          </cell>
          <cell r="G59">
            <v>0</v>
          </cell>
          <cell r="I59">
            <v>0</v>
          </cell>
        </row>
        <row r="60">
          <cell r="B60" t="str">
            <v>Coal</v>
          </cell>
          <cell r="D60" t="str">
            <v>MJ</v>
          </cell>
          <cell r="E60">
            <v>0</v>
          </cell>
          <cell r="G60">
            <v>0</v>
          </cell>
          <cell r="H60" t="str">
            <v>MJ</v>
          </cell>
          <cell r="I60">
            <v>0</v>
          </cell>
        </row>
        <row r="61">
          <cell r="B61" t="str">
            <v>Distillate Oil</v>
          </cell>
          <cell r="G61">
            <v>0</v>
          </cell>
          <cell r="I61">
            <v>0</v>
          </cell>
        </row>
        <row r="62">
          <cell r="B62" t="str">
            <v>Residual Fuel Oil</v>
          </cell>
          <cell r="C62">
            <v>747.92909392256831</v>
          </cell>
          <cell r="D62" t="str">
            <v>MJ</v>
          </cell>
          <cell r="E62">
            <v>708.9</v>
          </cell>
          <cell r="G62">
            <v>824.45069930889929</v>
          </cell>
          <cell r="H62" t="str">
            <v>MJ</v>
          </cell>
          <cell r="I62">
            <v>781.42848765899998</v>
          </cell>
        </row>
        <row r="63">
          <cell r="B63" t="str">
            <v>Gasoline</v>
          </cell>
        </row>
        <row r="64">
          <cell r="B64" t="str">
            <v>Diesel</v>
          </cell>
        </row>
        <row r="65">
          <cell r="B65" t="str">
            <v>TOTAL</v>
          </cell>
          <cell r="E65">
            <v>11252.189999999999</v>
          </cell>
          <cell r="I65">
            <v>12403.416299268898</v>
          </cell>
        </row>
        <row r="66">
          <cell r="B66" t="str">
            <v>Source: "Recycled Boxboard comparison_01 05 09.xls"</v>
          </cell>
        </row>
        <row r="69">
          <cell r="B69" t="str">
            <v>Material Inputs from Technosphere: Flow name</v>
          </cell>
          <cell r="C69" t="str">
            <v>Amount</v>
          </cell>
          <cell r="D69" t="str">
            <v>Units (kg)</v>
          </cell>
          <cell r="E69" t="str">
            <v>Additional Description</v>
          </cell>
          <cell r="F69" t="str">
            <v>Basis for Data</v>
          </cell>
          <cell r="G69" t="str">
            <v>Details or Source Info</v>
          </cell>
          <cell r="H69" t="str">
            <v>Transport mode                        (Truck, rail, pipe, etc.)</v>
          </cell>
          <cell r="I69" t="str">
            <v>Transport distance (km)</v>
          </cell>
        </row>
        <row r="70">
          <cell r="B70" t="str">
            <v xml:space="preserve">100% Recovered Fiber </v>
          </cell>
          <cell r="C70">
            <v>1020</v>
          </cell>
          <cell r="D70" t="str">
            <v>kg</v>
          </cell>
          <cell r="E70" t="str">
            <v xml:space="preserve">Units are per 1 Metric Tonne </v>
          </cell>
          <cell r="F70" t="str">
            <v>Direct measurements</v>
          </cell>
          <cell r="G70" t="str">
            <v>2003 RPTA Survey</v>
          </cell>
          <cell r="H70" t="str">
            <v>Road, truck, municipal waste collection</v>
          </cell>
          <cell r="I70">
            <v>175</v>
          </cell>
        </row>
        <row r="71">
          <cell r="D71" t="str">
            <v>kg</v>
          </cell>
        </row>
        <row r="72">
          <cell r="B72" t="str">
            <v xml:space="preserve">          Old Corrugated</v>
          </cell>
          <cell r="C72">
            <v>530</v>
          </cell>
          <cell r="D72" t="str">
            <v>kg</v>
          </cell>
          <cell r="E72" t="str">
            <v>52% OCC</v>
          </cell>
          <cell r="F72" t="str">
            <v>Direct measurements</v>
          </cell>
          <cell r="G72" t="str">
            <v>2003 RPTA Survey</v>
          </cell>
          <cell r="H72" t="str">
            <v>Road, truck, municipal waste collection</v>
          </cell>
          <cell r="I72">
            <v>175</v>
          </cell>
        </row>
        <row r="73">
          <cell r="B73" t="str">
            <v xml:space="preserve">          Residential Mixed</v>
          </cell>
          <cell r="C73">
            <v>250</v>
          </cell>
          <cell r="D73" t="str">
            <v>kg</v>
          </cell>
          <cell r="E73" t="str">
            <v>24% Resident. Mixed</v>
          </cell>
          <cell r="F73" t="str">
            <v>Direct measurements</v>
          </cell>
          <cell r="G73" t="str">
            <v>2004 RPTA Survey</v>
          </cell>
          <cell r="H73" t="str">
            <v>Road, truck, municipal waste collection</v>
          </cell>
        </row>
        <row r="74">
          <cell r="B74" t="str">
            <v xml:space="preserve">          Newspaper</v>
          </cell>
          <cell r="C74">
            <v>140</v>
          </cell>
          <cell r="D74" t="str">
            <v>kg</v>
          </cell>
          <cell r="E74" t="str">
            <v>14% News</v>
          </cell>
          <cell r="F74" t="str">
            <v>Direct measurements</v>
          </cell>
          <cell r="G74" t="str">
            <v>2005 RPTA Survey</v>
          </cell>
          <cell r="H74" t="str">
            <v>Road, truck, municipal waste collection</v>
          </cell>
        </row>
        <row r="75">
          <cell r="B75" t="str">
            <v xml:space="preserve">          Office Mixed</v>
          </cell>
          <cell r="C75">
            <v>100</v>
          </cell>
          <cell r="D75" t="str">
            <v>kg</v>
          </cell>
          <cell r="E75" t="str">
            <v>10% Office Mixed</v>
          </cell>
          <cell r="F75" t="str">
            <v>Direct measurements</v>
          </cell>
          <cell r="G75" t="str">
            <v>2006 RPTA Survey</v>
          </cell>
          <cell r="H75" t="str">
            <v>Road, truck, municipal waste collection</v>
          </cell>
        </row>
        <row r="76">
          <cell r="D76" t="str">
            <v>kg</v>
          </cell>
          <cell r="F76" t="str">
            <v>Direct measurements</v>
          </cell>
        </row>
        <row r="77">
          <cell r="B77" t="str">
            <v>kaolin coating clay</v>
          </cell>
          <cell r="C77">
            <v>71.2</v>
          </cell>
          <cell r="D77" t="str">
            <v>kg</v>
          </cell>
          <cell r="E77" t="str">
            <v>per metric tonne</v>
          </cell>
          <cell r="F77" t="str">
            <v>Direct measurements</v>
          </cell>
          <cell r="G77" t="str">
            <v>2007 Survey</v>
          </cell>
          <cell r="H77" t="str">
            <v>Rail, freight</v>
          </cell>
        </row>
        <row r="78">
          <cell r="B78" t="str">
            <v>binder (sbl)</v>
          </cell>
          <cell r="C78">
            <v>13.2</v>
          </cell>
          <cell r="D78" t="str">
            <v>kg</v>
          </cell>
          <cell r="E78" t="str">
            <v>"</v>
          </cell>
          <cell r="F78" t="str">
            <v>Direct measurements</v>
          </cell>
          <cell r="G78" t="str">
            <v xml:space="preserve">       "</v>
          </cell>
          <cell r="H78" t="str">
            <v>Rail, freight</v>
          </cell>
        </row>
        <row r="79">
          <cell r="B79" t="str">
            <v>Titanium Dioxide</v>
          </cell>
          <cell r="C79">
            <v>4.4000000000000004</v>
          </cell>
          <cell r="D79" t="str">
            <v>kg</v>
          </cell>
          <cell r="E79" t="str">
            <v>"</v>
          </cell>
          <cell r="F79" t="str">
            <v>Direct measurements</v>
          </cell>
          <cell r="G79" t="str">
            <v xml:space="preserve">       "</v>
          </cell>
          <cell r="H79" t="str">
            <v>Rail, freight</v>
          </cell>
        </row>
        <row r="80">
          <cell r="B80" t="str">
            <v xml:space="preserve">starch </v>
          </cell>
          <cell r="C80">
            <v>8</v>
          </cell>
          <cell r="D80" t="str">
            <v>kg</v>
          </cell>
          <cell r="E80" t="str">
            <v>"</v>
          </cell>
          <cell r="F80" t="str">
            <v>Direct measurements</v>
          </cell>
          <cell r="G80" t="str">
            <v xml:space="preserve">       "</v>
          </cell>
          <cell r="H80" t="str">
            <v>Road, truck, 28 ton</v>
          </cell>
        </row>
        <row r="81">
          <cell r="D81" t="str">
            <v>kg</v>
          </cell>
          <cell r="H81" t="str">
            <v>Pipeline</v>
          </cell>
        </row>
        <row r="82">
          <cell r="D82" t="str">
            <v>kg</v>
          </cell>
          <cell r="F82" t="str">
            <v>Choose one…</v>
          </cell>
          <cell r="H82" t="str">
            <v>Choose one…</v>
          </cell>
        </row>
        <row r="83">
          <cell r="D83" t="str">
            <v>kg</v>
          </cell>
          <cell r="F83" t="str">
            <v>Choose one…</v>
          </cell>
          <cell r="H83" t="str">
            <v>Choose one…</v>
          </cell>
        </row>
        <row r="84">
          <cell r="B84" t="str">
            <v>water</v>
          </cell>
          <cell r="C84">
            <v>1150</v>
          </cell>
          <cell r="D84" t="str">
            <v>kg</v>
          </cell>
          <cell r="E84" t="str">
            <v>from municipality</v>
          </cell>
          <cell r="F84" t="str">
            <v>Estimates based on measurement</v>
          </cell>
          <cell r="G84" t="str">
            <v>RPTA 2006 Survey</v>
          </cell>
          <cell r="H84" t="str">
            <v>Pipeline</v>
          </cell>
        </row>
        <row r="85">
          <cell r="D85" t="str">
            <v>kg</v>
          </cell>
          <cell r="F85" t="str">
            <v>Choose one…</v>
          </cell>
          <cell r="H85" t="str">
            <v>Choose one…</v>
          </cell>
        </row>
        <row r="86">
          <cell r="D86" t="str">
            <v>kg</v>
          </cell>
          <cell r="F86" t="str">
            <v>Choose one…</v>
          </cell>
          <cell r="H86" t="str">
            <v>Choose one…</v>
          </cell>
        </row>
        <row r="87">
          <cell r="D87" t="str">
            <v>kg</v>
          </cell>
          <cell r="F87" t="str">
            <v>Choose one…</v>
          </cell>
          <cell r="H87" t="str">
            <v>Choose one…</v>
          </cell>
        </row>
        <row r="88">
          <cell r="D88" t="str">
            <v>kg</v>
          </cell>
          <cell r="F88" t="str">
            <v>Choose one…</v>
          </cell>
          <cell r="H88" t="str">
            <v>Choose one…</v>
          </cell>
        </row>
        <row r="89">
          <cell r="D89" t="str">
            <v>kg</v>
          </cell>
          <cell r="F89" t="str">
            <v>Choose one…</v>
          </cell>
          <cell r="H89" t="str">
            <v>Choose one…</v>
          </cell>
        </row>
        <row r="90">
          <cell r="B90" t="str">
            <v>Source: "May 30, 2008 Phase 2 LCI (CRB).xls"</v>
          </cell>
        </row>
      </sheetData>
      <sheetData sheetId="36" refreshError="1">
        <row r="5">
          <cell r="M5">
            <v>0.58399999999999996</v>
          </cell>
        </row>
        <row r="6">
          <cell r="B6" t="str">
            <v>Unweighted</v>
          </cell>
          <cell r="C6" t="str">
            <v>Proportion of C that is not passive</v>
          </cell>
          <cell r="D6" t="str">
            <v>Weighted estimate</v>
          </cell>
          <cell r="J6" t="str">
            <v xml:space="preserve">*Based on estimates provided by Franklin Associates.  Found in "The Role of Recycling in Integrated Solid Waste Management </v>
          </cell>
        </row>
        <row r="7">
          <cell r="B7">
            <v>-4.049994181757581E-2</v>
          </cell>
          <cell r="C7">
            <v>0.47499999999999998</v>
          </cell>
          <cell r="D7">
            <v>-7.0537398665611192E-2</v>
          </cell>
          <cell r="E7">
            <v>-0.17032589186969804</v>
          </cell>
          <cell r="F7">
            <v>0.25847304622443823</v>
          </cell>
          <cell r="G7">
            <v>1.7609755689128981E-2</v>
          </cell>
          <cell r="J7" t="str">
            <v>to the Year 2000,"  (Stamford, CT: Keep America Beautiful), September 1994.</v>
          </cell>
        </row>
        <row r="8">
          <cell r="B8">
            <v>-4.0950904297076478E-2</v>
          </cell>
          <cell r="C8">
            <v>0.47499999999999998</v>
          </cell>
          <cell r="D8">
            <v>-7.1322824984074856E-2</v>
          </cell>
          <cell r="E8">
            <v>-0.17032589186969804</v>
          </cell>
          <cell r="F8">
            <v>0.25847304622443823</v>
          </cell>
          <cell r="G8">
            <v>1.6824329370665331E-2</v>
          </cell>
        </row>
        <row r="9">
          <cell r="B9">
            <v>-4.0375157091421282E-2</v>
          </cell>
          <cell r="C9">
            <v>0.47499999999999998</v>
          </cell>
          <cell r="D9">
            <v>-7.0320065267558726E-2</v>
          </cell>
          <cell r="E9">
            <v>-0.17032589186969804</v>
          </cell>
          <cell r="F9">
            <v>0.25847304622443823</v>
          </cell>
          <cell r="G9">
            <v>1.7827089087181447E-2</v>
          </cell>
        </row>
        <row r="10">
          <cell r="B10">
            <v>-4.008789984880709E-2</v>
          </cell>
          <cell r="C10">
            <v>0.47499999999999998</v>
          </cell>
          <cell r="D10">
            <v>-6.981975890333901E-2</v>
          </cell>
          <cell r="E10">
            <v>-0.17032589186969804</v>
          </cell>
          <cell r="F10">
            <v>0.25847304622443823</v>
          </cell>
          <cell r="G10">
            <v>1.8327395451401163E-2</v>
          </cell>
        </row>
        <row r="12">
          <cell r="J12" t="str">
            <v>Fugitive Emissions from Composting, by Material</v>
          </cell>
        </row>
        <row r="13">
          <cell r="B13" t="str">
            <v>C:N ratio of feedstock</v>
          </cell>
          <cell r="C13" t="str">
            <v>Treatment</v>
          </cell>
          <cell r="D13" t="str">
            <v xml:space="preserve">CH4 </v>
          </cell>
          <cell r="E13" t="str">
            <v>N2O</v>
          </cell>
          <cell r="F13" t="str">
            <v>Total Emissions (MTCO2E per ton fresh matter)</v>
          </cell>
          <cell r="J13" t="str">
            <v>Material</v>
          </cell>
          <cell r="K13" t="str">
            <v>Feedstock type</v>
          </cell>
          <cell r="L13" t="str">
            <v>CH4 Emissions</v>
          </cell>
          <cell r="M13" t="str">
            <v>N2O Emissions</v>
          </cell>
          <cell r="N13" t="str">
            <v>Total Emissions</v>
          </cell>
        </row>
        <row r="14">
          <cell r="D14" t="str">
            <v>(MTCO2E per ton fresh matter)</v>
          </cell>
          <cell r="E14" t="str">
            <v>(MTCO2E per ton fresh matter)</v>
          </cell>
          <cell r="L14" t="str">
            <v>(MTCO2e/ton fresh)</v>
          </cell>
        </row>
        <row r="15">
          <cell r="B15">
            <v>19.3</v>
          </cell>
          <cell r="C15" t="str">
            <v>Windrow, 9 weeks, turned 1-2 times per week</v>
          </cell>
          <cell r="D15">
            <v>6.6E-3</v>
          </cell>
          <cell r="E15">
            <v>9.1666666666666667E-3</v>
          </cell>
          <cell r="F15">
            <v>1.6133333333333333E-2</v>
          </cell>
          <cell r="J15" t="str">
            <v>Food Waste</v>
          </cell>
          <cell r="K15" t="str">
            <v>Biowaste</v>
          </cell>
          <cell r="L15">
            <v>5.4999999999999997E-3</v>
          </cell>
          <cell r="M15">
            <v>3.9600000000000003E-2</v>
          </cell>
          <cell r="N15">
            <v>4.5100000000000001E-2</v>
          </cell>
        </row>
        <row r="16">
          <cell r="B16">
            <v>16.5</v>
          </cell>
          <cell r="C16" t="str">
            <v>Windrow, 12 weeks, turned 1-2 times per week</v>
          </cell>
          <cell r="D16">
            <v>5.4999999999999997E-3</v>
          </cell>
          <cell r="E16">
            <v>3.9600000000000003E-2</v>
          </cell>
          <cell r="F16">
            <v>4.5100000000000001E-2</v>
          </cell>
          <cell r="J16" t="str">
            <v>Yard Trimmings</v>
          </cell>
          <cell r="K16" t="str">
            <v>Green waste</v>
          </cell>
          <cell r="L16">
            <v>1.3933333333333332E-2</v>
          </cell>
          <cell r="M16">
            <v>6.0866666666666666E-2</v>
          </cell>
          <cell r="N16">
            <v>7.4800000000000005E-2</v>
          </cell>
        </row>
        <row r="17">
          <cell r="B17">
            <v>15.9</v>
          </cell>
          <cell r="C17" t="str">
            <v>Windrow, 21 weeks, turned 1-2 times per week</v>
          </cell>
          <cell r="D17">
            <v>1.3933333333333332E-2</v>
          </cell>
          <cell r="E17">
            <v>6.0866666666666666E-2</v>
          </cell>
          <cell r="F17">
            <v>7.4800000000000005E-2</v>
          </cell>
          <cell r="J17" t="str">
            <v>Grass</v>
          </cell>
          <cell r="K17" t="str">
            <v>Green waste</v>
          </cell>
          <cell r="L17">
            <v>1.3933333333333332E-2</v>
          </cell>
          <cell r="M17">
            <v>6.0866666666666666E-2</v>
          </cell>
          <cell r="N17">
            <v>7.4800000000000005E-2</v>
          </cell>
        </row>
        <row r="18">
          <cell r="J18" t="str">
            <v>Leaves</v>
          </cell>
          <cell r="K18" t="str">
            <v>Green waste</v>
          </cell>
          <cell r="L18">
            <v>1.3933333333333332E-2</v>
          </cell>
          <cell r="M18">
            <v>6.0866666666666666E-2</v>
          </cell>
          <cell r="N18">
            <v>7.4800000000000005E-2</v>
          </cell>
        </row>
        <row r="19">
          <cell r="J19" t="str">
            <v>Branches</v>
          </cell>
          <cell r="K19" t="str">
            <v>Green waste</v>
          </cell>
          <cell r="L19">
            <v>1.3933333333333332E-2</v>
          </cell>
          <cell r="M19">
            <v>6.0866666666666666E-2</v>
          </cell>
          <cell r="N19">
            <v>7.4800000000000005E-2</v>
          </cell>
        </row>
        <row r="20">
          <cell r="B20" t="str">
            <v>Thousands of tons Recovered</v>
          </cell>
          <cell r="C20" t="str">
            <v>% of Material Recovered (of total generated)</v>
          </cell>
          <cell r="D20" t="str">
            <v>% of Compost Waste Stream</v>
          </cell>
          <cell r="J20" t="str">
            <v>Mixed organics</v>
          </cell>
          <cell r="K20" t="str">
            <v>Mixed</v>
          </cell>
          <cell r="L20">
            <v>1.3245382090951711E-2</v>
          </cell>
          <cell r="M20">
            <v>5.9131833098921713E-2</v>
          </cell>
          <cell r="N20">
            <v>7.2377215189873417E-2</v>
          </cell>
        </row>
        <row r="21">
          <cell r="B21">
            <v>1740</v>
          </cell>
          <cell r="C21">
            <v>3.9E-2</v>
          </cell>
          <cell r="D21">
            <v>8.1575246132208151E-2</v>
          </cell>
          <cell r="J21" t="str">
            <v>PLA</v>
          </cell>
          <cell r="K21" t="str">
            <v>Mixed</v>
          </cell>
          <cell r="L21">
            <v>1.3245382090951711E-2</v>
          </cell>
          <cell r="M21">
            <v>5.9131833098921713E-2</v>
          </cell>
          <cell r="N21">
            <v>7.2377215189873417E-2</v>
          </cell>
        </row>
        <row r="22">
          <cell r="B22">
            <v>19590</v>
          </cell>
          <cell r="C22">
            <v>0.57299999999999995</v>
          </cell>
          <cell r="D22">
            <v>0.91842475386779188</v>
          </cell>
        </row>
        <row r="23">
          <cell r="B23">
            <v>21330</v>
          </cell>
          <cell r="C23">
            <v>0.27067199877344511</v>
          </cell>
          <cell r="D23">
            <v>1</v>
          </cell>
        </row>
        <row r="31">
          <cell r="B31">
            <v>-0.27263633031379303</v>
          </cell>
          <cell r="C31">
            <v>-3.3977846600380654E-2</v>
          </cell>
          <cell r="D31">
            <v>4.2940781059388394E-2</v>
          </cell>
          <cell r="E31">
            <v>-0.26367339585478533</v>
          </cell>
          <cell r="F31">
            <v>-0.96680245146754629</v>
          </cell>
        </row>
        <row r="32">
          <cell r="B32">
            <v>-0.27499999999999997</v>
          </cell>
          <cell r="C32">
            <v>-3.3977846600380654E-2</v>
          </cell>
          <cell r="D32">
            <v>4.2940781059388394E-2</v>
          </cell>
          <cell r="E32">
            <v>-0.26603706554099227</v>
          </cell>
        </row>
        <row r="33">
          <cell r="B33">
            <v>-0.24933333333333335</v>
          </cell>
          <cell r="C33">
            <v>-3.3977846600380654E-2</v>
          </cell>
          <cell r="D33">
            <v>4.2940781059388394E-2</v>
          </cell>
          <cell r="E33">
            <v>-0.24037039887432562</v>
          </cell>
        </row>
        <row r="34">
          <cell r="B34">
            <v>-0.21999999999999997</v>
          </cell>
          <cell r="C34">
            <v>-3.3977846600380654E-2</v>
          </cell>
          <cell r="D34">
            <v>4.2940781059388394E-2</v>
          </cell>
          <cell r="E34">
            <v>-0.21103706554099225</v>
          </cell>
        </row>
        <row r="35">
          <cell r="B35">
            <v>-0.20899999999999999</v>
          </cell>
          <cell r="C35">
            <v>-3.3977846600380654E-2</v>
          </cell>
          <cell r="D35">
            <v>4.2940781059388394E-2</v>
          </cell>
          <cell r="E35">
            <v>-0.20003706554099224</v>
          </cell>
        </row>
      </sheetData>
      <sheetData sheetId="37" refreshError="1">
        <row r="6">
          <cell r="B6">
            <v>24.863</v>
          </cell>
          <cell r="C6">
            <v>24.863</v>
          </cell>
          <cell r="D6">
            <v>0</v>
          </cell>
          <cell r="E6">
            <v>26.042899999999999</v>
          </cell>
          <cell r="F6">
            <v>26.042899999999999</v>
          </cell>
          <cell r="G6">
            <v>0</v>
          </cell>
          <cell r="H6">
            <v>62.686799999999998</v>
          </cell>
          <cell r="I6">
            <v>62.686799999999998</v>
          </cell>
          <cell r="J6">
            <v>0</v>
          </cell>
          <cell r="K6">
            <v>255.5976</v>
          </cell>
          <cell r="L6">
            <v>255.5976</v>
          </cell>
          <cell r="M6">
            <v>0</v>
          </cell>
          <cell r="N6">
            <v>32.115000000000002</v>
          </cell>
          <cell r="O6">
            <v>32.115000000000002</v>
          </cell>
          <cell r="P6">
            <v>0</v>
          </cell>
          <cell r="Q6">
            <v>132.29419999999999</v>
          </cell>
          <cell r="R6">
            <v>132.29419999999999</v>
          </cell>
          <cell r="S6">
            <v>0</v>
          </cell>
          <cell r="T6">
            <v>2400.473</v>
          </cell>
          <cell r="U6">
            <v>2400.473</v>
          </cell>
          <cell r="V6">
            <v>0</v>
          </cell>
          <cell r="W6">
            <v>1719.7460000000001</v>
          </cell>
          <cell r="X6">
            <v>1719.7460000000001</v>
          </cell>
          <cell r="Y6">
            <v>0</v>
          </cell>
          <cell r="Z6">
            <v>0</v>
          </cell>
          <cell r="AA6">
            <v>0</v>
          </cell>
          <cell r="AE6">
            <v>1902</v>
          </cell>
          <cell r="AF6">
            <v>4653.8185000000003</v>
          </cell>
          <cell r="AG6">
            <v>4653.8185000000003</v>
          </cell>
          <cell r="AH6">
            <v>0</v>
          </cell>
        </row>
        <row r="7">
          <cell r="B7">
            <v>24.8644</v>
          </cell>
          <cell r="C7">
            <v>24.8644</v>
          </cell>
          <cell r="D7">
            <v>0</v>
          </cell>
          <cell r="E7">
            <v>26.0444</v>
          </cell>
          <cell r="F7">
            <v>26.0444</v>
          </cell>
          <cell r="G7">
            <v>0</v>
          </cell>
          <cell r="H7">
            <v>62.6905</v>
          </cell>
          <cell r="I7">
            <v>62.6905</v>
          </cell>
          <cell r="J7">
            <v>0</v>
          </cell>
          <cell r="K7">
            <v>255.61259999999999</v>
          </cell>
          <cell r="L7">
            <v>255.61259999999999</v>
          </cell>
          <cell r="M7">
            <v>0</v>
          </cell>
          <cell r="N7">
            <v>32.116900000000001</v>
          </cell>
          <cell r="O7">
            <v>32.116900000000001</v>
          </cell>
          <cell r="P7">
            <v>0</v>
          </cell>
          <cell r="Q7">
            <v>132.3022</v>
          </cell>
          <cell r="R7">
            <v>132.3022</v>
          </cell>
          <cell r="S7">
            <v>0</v>
          </cell>
          <cell r="T7">
            <v>2400.6170000000002</v>
          </cell>
          <cell r="U7">
            <v>2400.6170000000002</v>
          </cell>
          <cell r="V7">
            <v>0</v>
          </cell>
          <cell r="W7">
            <v>1720.0319999999999</v>
          </cell>
          <cell r="X7">
            <v>1720.0319999999999</v>
          </cell>
          <cell r="Y7">
            <v>0</v>
          </cell>
          <cell r="Z7">
            <v>0</v>
          </cell>
          <cell r="AA7">
            <v>0</v>
          </cell>
          <cell r="AE7">
            <v>1903</v>
          </cell>
          <cell r="AF7">
            <v>4654.28</v>
          </cell>
          <cell r="AG7">
            <v>4654.28</v>
          </cell>
          <cell r="AH7">
            <v>0</v>
          </cell>
        </row>
        <row r="8">
          <cell r="B8">
            <v>24.8658</v>
          </cell>
          <cell r="C8">
            <v>24.8658</v>
          </cell>
          <cell r="D8">
            <v>0</v>
          </cell>
          <cell r="E8">
            <v>26.0458</v>
          </cell>
          <cell r="F8">
            <v>26.0458</v>
          </cell>
          <cell r="G8">
            <v>0</v>
          </cell>
          <cell r="H8">
            <v>62.694299999999998</v>
          </cell>
          <cell r="I8">
            <v>62.694299999999998</v>
          </cell>
          <cell r="J8">
            <v>0</v>
          </cell>
          <cell r="K8">
            <v>255.6276</v>
          </cell>
          <cell r="L8">
            <v>255.6276</v>
          </cell>
          <cell r="M8">
            <v>0</v>
          </cell>
          <cell r="N8">
            <v>32.1188</v>
          </cell>
          <cell r="O8">
            <v>32.1188</v>
          </cell>
          <cell r="P8">
            <v>0</v>
          </cell>
          <cell r="Q8">
            <v>132.31030000000001</v>
          </cell>
          <cell r="R8">
            <v>132.31030000000001</v>
          </cell>
          <cell r="S8">
            <v>0</v>
          </cell>
          <cell r="T8">
            <v>2400.761</v>
          </cell>
          <cell r="U8">
            <v>2400.761</v>
          </cell>
          <cell r="V8">
            <v>0</v>
          </cell>
          <cell r="W8">
            <v>1720.318</v>
          </cell>
          <cell r="X8">
            <v>1720.318</v>
          </cell>
          <cell r="Y8">
            <v>0</v>
          </cell>
          <cell r="Z8">
            <v>0</v>
          </cell>
          <cell r="AA8">
            <v>0</v>
          </cell>
          <cell r="AE8">
            <v>1904</v>
          </cell>
          <cell r="AF8">
            <v>4654.7416000000003</v>
          </cell>
          <cell r="AG8">
            <v>4654.7416000000003</v>
          </cell>
          <cell r="AH8">
            <v>0</v>
          </cell>
        </row>
        <row r="9">
          <cell r="B9">
            <v>24.8672</v>
          </cell>
          <cell r="C9">
            <v>24.8672</v>
          </cell>
          <cell r="D9">
            <v>0</v>
          </cell>
          <cell r="E9">
            <v>26.0473</v>
          </cell>
          <cell r="F9">
            <v>26.0473</v>
          </cell>
          <cell r="G9">
            <v>0</v>
          </cell>
          <cell r="H9">
            <v>62.698</v>
          </cell>
          <cell r="I9">
            <v>62.698</v>
          </cell>
          <cell r="J9">
            <v>0</v>
          </cell>
          <cell r="K9">
            <v>255.64259999999999</v>
          </cell>
          <cell r="L9">
            <v>255.64259999999999</v>
          </cell>
          <cell r="M9">
            <v>0</v>
          </cell>
          <cell r="N9">
            <v>32.120699999999999</v>
          </cell>
          <cell r="O9">
            <v>32.120699999999999</v>
          </cell>
          <cell r="P9">
            <v>0</v>
          </cell>
          <cell r="Q9">
            <v>132.31809999999999</v>
          </cell>
          <cell r="R9">
            <v>132.31809999999999</v>
          </cell>
          <cell r="S9">
            <v>0</v>
          </cell>
          <cell r="T9">
            <v>2400.9059999999999</v>
          </cell>
          <cell r="U9">
            <v>2400.9059999999999</v>
          </cell>
          <cell r="V9">
            <v>0</v>
          </cell>
          <cell r="W9">
            <v>1720.6030000000001</v>
          </cell>
          <cell r="X9">
            <v>1720.6030000000001</v>
          </cell>
          <cell r="Y9">
            <v>0</v>
          </cell>
          <cell r="Z9">
            <v>0</v>
          </cell>
          <cell r="AA9">
            <v>0</v>
          </cell>
          <cell r="AE9">
            <v>1905</v>
          </cell>
          <cell r="AF9">
            <v>4655.2029000000002</v>
          </cell>
          <cell r="AG9">
            <v>4655.2029000000002</v>
          </cell>
          <cell r="AH9">
            <v>0</v>
          </cell>
        </row>
        <row r="10">
          <cell r="B10">
            <v>24.868600000000001</v>
          </cell>
          <cell r="C10">
            <v>24.868600000000001</v>
          </cell>
          <cell r="D10">
            <v>0</v>
          </cell>
          <cell r="E10">
            <v>26.0488</v>
          </cell>
          <cell r="F10">
            <v>26.0488</v>
          </cell>
          <cell r="G10">
            <v>0</v>
          </cell>
          <cell r="H10">
            <v>62.701799999999999</v>
          </cell>
          <cell r="I10">
            <v>62.701799999999999</v>
          </cell>
          <cell r="J10">
            <v>0</v>
          </cell>
          <cell r="K10">
            <v>255.6575</v>
          </cell>
          <cell r="L10">
            <v>255.6575</v>
          </cell>
          <cell r="M10">
            <v>0</v>
          </cell>
          <cell r="N10">
            <v>32.122700000000002</v>
          </cell>
          <cell r="O10">
            <v>32.122700000000002</v>
          </cell>
          <cell r="P10">
            <v>0</v>
          </cell>
          <cell r="Q10">
            <v>132.32599999999999</v>
          </cell>
          <cell r="R10">
            <v>132.32599999999999</v>
          </cell>
          <cell r="S10">
            <v>0</v>
          </cell>
          <cell r="T10">
            <v>2401.0509999999999</v>
          </cell>
          <cell r="U10">
            <v>2401.0509999999999</v>
          </cell>
          <cell r="V10">
            <v>0</v>
          </cell>
          <cell r="W10">
            <v>1720.8879999999999</v>
          </cell>
          <cell r="X10">
            <v>1720.8879999999999</v>
          </cell>
          <cell r="Y10">
            <v>0</v>
          </cell>
          <cell r="Z10">
            <v>0</v>
          </cell>
          <cell r="AA10">
            <v>0</v>
          </cell>
          <cell r="AE10">
            <v>1906</v>
          </cell>
          <cell r="AF10">
            <v>4655.6643999999997</v>
          </cell>
          <cell r="AG10">
            <v>4655.6643999999997</v>
          </cell>
          <cell r="AH10">
            <v>0</v>
          </cell>
        </row>
        <row r="11">
          <cell r="B11">
            <v>24.87</v>
          </cell>
          <cell r="C11">
            <v>24.87</v>
          </cell>
          <cell r="D11">
            <v>0</v>
          </cell>
          <cell r="E11">
            <v>26.0503</v>
          </cell>
          <cell r="F11">
            <v>26.0503</v>
          </cell>
          <cell r="G11">
            <v>0</v>
          </cell>
          <cell r="H11">
            <v>62.705599999999997</v>
          </cell>
          <cell r="I11">
            <v>62.705599999999997</v>
          </cell>
          <cell r="J11">
            <v>0</v>
          </cell>
          <cell r="K11">
            <v>255.67259999999999</v>
          </cell>
          <cell r="L11">
            <v>255.67259999999999</v>
          </cell>
          <cell r="M11">
            <v>0</v>
          </cell>
          <cell r="N11">
            <v>32.124600000000001</v>
          </cell>
          <cell r="O11">
            <v>32.124600000000001</v>
          </cell>
          <cell r="P11">
            <v>0</v>
          </cell>
          <cell r="Q11">
            <v>132.33410000000001</v>
          </cell>
          <cell r="R11">
            <v>132.33410000000001</v>
          </cell>
          <cell r="S11">
            <v>0</v>
          </cell>
          <cell r="T11">
            <v>2401.194</v>
          </cell>
          <cell r="U11">
            <v>2401.194</v>
          </cell>
          <cell r="V11">
            <v>0</v>
          </cell>
          <cell r="W11">
            <v>1721.174</v>
          </cell>
          <cell r="X11">
            <v>1721.174</v>
          </cell>
          <cell r="Y11">
            <v>0</v>
          </cell>
          <cell r="Z11">
            <v>0</v>
          </cell>
          <cell r="AA11">
            <v>0</v>
          </cell>
          <cell r="AE11">
            <v>1907</v>
          </cell>
          <cell r="AF11">
            <v>4656.1252000000004</v>
          </cell>
          <cell r="AG11">
            <v>4656.1252000000004</v>
          </cell>
          <cell r="AH11">
            <v>0</v>
          </cell>
        </row>
        <row r="12">
          <cell r="B12">
            <v>24.871400000000001</v>
          </cell>
          <cell r="C12">
            <v>24.871400000000001</v>
          </cell>
          <cell r="D12">
            <v>0</v>
          </cell>
          <cell r="E12">
            <v>26.0518</v>
          </cell>
          <cell r="F12">
            <v>26.0518</v>
          </cell>
          <cell r="G12">
            <v>0</v>
          </cell>
          <cell r="H12">
            <v>62.709299999999999</v>
          </cell>
          <cell r="I12">
            <v>62.709299999999999</v>
          </cell>
          <cell r="J12">
            <v>0</v>
          </cell>
          <cell r="K12">
            <v>255.68770000000001</v>
          </cell>
          <cell r="L12">
            <v>255.68770000000001</v>
          </cell>
          <cell r="M12">
            <v>0</v>
          </cell>
          <cell r="N12">
            <v>32.1265</v>
          </cell>
          <cell r="O12">
            <v>32.1265</v>
          </cell>
          <cell r="P12">
            <v>0</v>
          </cell>
          <cell r="Q12">
            <v>132.34219999999999</v>
          </cell>
          <cell r="R12">
            <v>132.34219999999999</v>
          </cell>
          <cell r="S12">
            <v>0</v>
          </cell>
          <cell r="T12">
            <v>2401.337</v>
          </cell>
          <cell r="U12">
            <v>2401.337</v>
          </cell>
          <cell r="V12">
            <v>0</v>
          </cell>
          <cell r="W12">
            <v>1721.4590000000001</v>
          </cell>
          <cell r="X12">
            <v>1721.4590000000001</v>
          </cell>
          <cell r="Y12">
            <v>0</v>
          </cell>
          <cell r="Z12">
            <v>0</v>
          </cell>
          <cell r="AA12">
            <v>0</v>
          </cell>
          <cell r="AE12">
            <v>1908</v>
          </cell>
          <cell r="AF12">
            <v>4656.5848999999998</v>
          </cell>
          <cell r="AG12">
            <v>4656.5848999999998</v>
          </cell>
          <cell r="AH12">
            <v>0</v>
          </cell>
        </row>
        <row r="13">
          <cell r="B13">
            <v>24.872699999999998</v>
          </cell>
          <cell r="C13">
            <v>24.872699999999998</v>
          </cell>
          <cell r="D13">
            <v>0</v>
          </cell>
          <cell r="E13">
            <v>26.0532</v>
          </cell>
          <cell r="F13">
            <v>26.0532</v>
          </cell>
          <cell r="G13">
            <v>0</v>
          </cell>
          <cell r="H13">
            <v>62.713099999999997</v>
          </cell>
          <cell r="I13">
            <v>62.713099999999997</v>
          </cell>
          <cell r="J13">
            <v>0</v>
          </cell>
          <cell r="K13">
            <v>255.7028</v>
          </cell>
          <cell r="L13">
            <v>255.7028</v>
          </cell>
          <cell r="M13">
            <v>0</v>
          </cell>
          <cell r="N13">
            <v>32.128399999999999</v>
          </cell>
          <cell r="O13">
            <v>32.128399999999999</v>
          </cell>
          <cell r="P13">
            <v>0</v>
          </cell>
          <cell r="Q13">
            <v>132.35</v>
          </cell>
          <cell r="R13">
            <v>132.35</v>
          </cell>
          <cell r="S13">
            <v>0</v>
          </cell>
          <cell r="T13">
            <v>2401.48</v>
          </cell>
          <cell r="U13">
            <v>2401.48</v>
          </cell>
          <cell r="V13">
            <v>0</v>
          </cell>
          <cell r="W13">
            <v>1721.7449999999999</v>
          </cell>
          <cell r="X13">
            <v>1721.7449999999999</v>
          </cell>
          <cell r="Y13">
            <v>0</v>
          </cell>
          <cell r="Z13">
            <v>0</v>
          </cell>
          <cell r="AA13">
            <v>0</v>
          </cell>
          <cell r="AE13">
            <v>1909</v>
          </cell>
          <cell r="AF13">
            <v>4657.0452000000005</v>
          </cell>
          <cell r="AG13">
            <v>4657.0452000000005</v>
          </cell>
          <cell r="AH13">
            <v>0</v>
          </cell>
        </row>
        <row r="14">
          <cell r="B14">
            <v>24.874099999999999</v>
          </cell>
          <cell r="C14">
            <v>24.874099999999999</v>
          </cell>
          <cell r="D14">
            <v>0</v>
          </cell>
          <cell r="E14">
            <v>26.0547</v>
          </cell>
          <cell r="F14">
            <v>26.0547</v>
          </cell>
          <cell r="G14">
            <v>0</v>
          </cell>
          <cell r="H14">
            <v>62.716799999999999</v>
          </cell>
          <cell r="I14">
            <v>62.716799999999999</v>
          </cell>
          <cell r="J14">
            <v>0</v>
          </cell>
          <cell r="K14">
            <v>255.71770000000001</v>
          </cell>
          <cell r="L14">
            <v>255.71770000000001</v>
          </cell>
          <cell r="M14">
            <v>0</v>
          </cell>
          <cell r="N14">
            <v>32.130299999999998</v>
          </cell>
          <cell r="O14">
            <v>32.130299999999998</v>
          </cell>
          <cell r="P14">
            <v>0</v>
          </cell>
          <cell r="Q14">
            <v>132.3578</v>
          </cell>
          <cell r="R14">
            <v>132.3578</v>
          </cell>
          <cell r="S14">
            <v>0</v>
          </cell>
          <cell r="T14">
            <v>2401.625</v>
          </cell>
          <cell r="U14">
            <v>2401.625</v>
          </cell>
          <cell r="V14">
            <v>0</v>
          </cell>
          <cell r="W14">
            <v>1722.03</v>
          </cell>
          <cell r="X14">
            <v>1722.03</v>
          </cell>
          <cell r="Y14">
            <v>0</v>
          </cell>
          <cell r="Z14">
            <v>0</v>
          </cell>
          <cell r="AA14">
            <v>0</v>
          </cell>
          <cell r="AE14">
            <v>1910</v>
          </cell>
          <cell r="AF14">
            <v>4657.5064000000002</v>
          </cell>
          <cell r="AG14">
            <v>4657.5064000000002</v>
          </cell>
          <cell r="AH14">
            <v>0</v>
          </cell>
        </row>
        <row r="15">
          <cell r="B15">
            <v>24.875499999999999</v>
          </cell>
          <cell r="C15">
            <v>24.875499999999999</v>
          </cell>
          <cell r="D15">
            <v>0</v>
          </cell>
          <cell r="E15">
            <v>26.0562</v>
          </cell>
          <cell r="F15">
            <v>26.0562</v>
          </cell>
          <cell r="G15">
            <v>0</v>
          </cell>
          <cell r="H15">
            <v>62.720500000000001</v>
          </cell>
          <cell r="I15">
            <v>62.720500000000001</v>
          </cell>
          <cell r="J15">
            <v>0</v>
          </cell>
          <cell r="K15">
            <v>255.73269999999999</v>
          </cell>
          <cell r="L15">
            <v>255.73269999999999</v>
          </cell>
          <cell r="M15">
            <v>0</v>
          </cell>
          <cell r="N15">
            <v>32.132199999999997</v>
          </cell>
          <cell r="O15">
            <v>32.132199999999997</v>
          </cell>
          <cell r="P15">
            <v>0</v>
          </cell>
          <cell r="Q15">
            <v>132.36590000000001</v>
          </cell>
          <cell r="R15">
            <v>132.36590000000001</v>
          </cell>
          <cell r="S15">
            <v>0</v>
          </cell>
          <cell r="T15">
            <v>2401.7689999999998</v>
          </cell>
          <cell r="U15">
            <v>2401.7689999999998</v>
          </cell>
          <cell r="V15">
            <v>0</v>
          </cell>
          <cell r="W15">
            <v>1722.3150000000001</v>
          </cell>
          <cell r="X15">
            <v>1722.3150000000001</v>
          </cell>
          <cell r="Y15">
            <v>0</v>
          </cell>
          <cell r="Z15">
            <v>0</v>
          </cell>
          <cell r="AA15">
            <v>0</v>
          </cell>
          <cell r="AE15">
            <v>1911</v>
          </cell>
          <cell r="AF15">
            <v>4657.9670000000006</v>
          </cell>
          <cell r="AG15">
            <v>4657.9670000000006</v>
          </cell>
          <cell r="AH15">
            <v>0</v>
          </cell>
        </row>
        <row r="16">
          <cell r="B16">
            <v>24.876899999999999</v>
          </cell>
          <cell r="C16">
            <v>24.876899999999999</v>
          </cell>
          <cell r="D16">
            <v>0</v>
          </cell>
          <cell r="E16">
            <v>26.057600000000001</v>
          </cell>
          <cell r="F16">
            <v>26.057600000000001</v>
          </cell>
          <cell r="G16">
            <v>0</v>
          </cell>
          <cell r="H16">
            <v>62.724299999999999</v>
          </cell>
          <cell r="I16">
            <v>62.724299999999999</v>
          </cell>
          <cell r="J16">
            <v>0</v>
          </cell>
          <cell r="K16">
            <v>255.74770000000001</v>
          </cell>
          <cell r="L16">
            <v>255.74770000000001</v>
          </cell>
          <cell r="M16">
            <v>0</v>
          </cell>
          <cell r="N16">
            <v>32.1342</v>
          </cell>
          <cell r="O16">
            <v>32.1342</v>
          </cell>
          <cell r="P16">
            <v>0</v>
          </cell>
          <cell r="Q16">
            <v>132.374</v>
          </cell>
          <cell r="R16">
            <v>132.374</v>
          </cell>
          <cell r="S16">
            <v>0</v>
          </cell>
          <cell r="T16">
            <v>2401.9140000000002</v>
          </cell>
          <cell r="U16">
            <v>2401.9140000000002</v>
          </cell>
          <cell r="V16">
            <v>0</v>
          </cell>
          <cell r="W16">
            <v>1722.6</v>
          </cell>
          <cell r="X16">
            <v>1722.6</v>
          </cell>
          <cell r="Y16">
            <v>0</v>
          </cell>
          <cell r="Z16">
            <v>0</v>
          </cell>
          <cell r="AA16">
            <v>0</v>
          </cell>
          <cell r="AE16">
            <v>1912</v>
          </cell>
          <cell r="AF16">
            <v>4658.4287000000004</v>
          </cell>
          <cell r="AG16">
            <v>4658.4287000000004</v>
          </cell>
          <cell r="AH16">
            <v>0</v>
          </cell>
        </row>
        <row r="17">
          <cell r="B17">
            <v>24.878299999999999</v>
          </cell>
          <cell r="C17">
            <v>24.878299999999999</v>
          </cell>
          <cell r="D17">
            <v>0</v>
          </cell>
          <cell r="E17">
            <v>26.059100000000001</v>
          </cell>
          <cell r="F17">
            <v>26.059100000000001</v>
          </cell>
          <cell r="G17">
            <v>0</v>
          </cell>
          <cell r="H17">
            <v>62.728000000000002</v>
          </cell>
          <cell r="I17">
            <v>62.728000000000002</v>
          </cell>
          <cell r="J17">
            <v>0</v>
          </cell>
          <cell r="K17">
            <v>255.76259999999999</v>
          </cell>
          <cell r="L17">
            <v>255.76259999999999</v>
          </cell>
          <cell r="M17">
            <v>0</v>
          </cell>
          <cell r="N17">
            <v>32.136099999999999</v>
          </cell>
          <cell r="O17">
            <v>32.136099999999999</v>
          </cell>
          <cell r="P17">
            <v>0</v>
          </cell>
          <cell r="Q17">
            <v>132.38220000000001</v>
          </cell>
          <cell r="R17">
            <v>132.38220000000001</v>
          </cell>
          <cell r="S17">
            <v>0</v>
          </cell>
          <cell r="T17">
            <v>2402.058</v>
          </cell>
          <cell r="U17">
            <v>2402.058</v>
          </cell>
          <cell r="V17">
            <v>0</v>
          </cell>
          <cell r="W17">
            <v>1722.884</v>
          </cell>
          <cell r="X17">
            <v>1722.884</v>
          </cell>
          <cell r="Y17">
            <v>0</v>
          </cell>
          <cell r="Z17">
            <v>0</v>
          </cell>
          <cell r="AA17">
            <v>0</v>
          </cell>
          <cell r="AE17">
            <v>1913</v>
          </cell>
          <cell r="AF17">
            <v>4658.8883000000005</v>
          </cell>
          <cell r="AG17">
            <v>4658.8883000000005</v>
          </cell>
          <cell r="AH17">
            <v>0</v>
          </cell>
        </row>
        <row r="18">
          <cell r="B18">
            <v>24.8796</v>
          </cell>
          <cell r="C18">
            <v>24.8796</v>
          </cell>
          <cell r="D18">
            <v>0</v>
          </cell>
          <cell r="E18">
            <v>26.060600000000001</v>
          </cell>
          <cell r="F18">
            <v>26.060600000000001</v>
          </cell>
          <cell r="G18">
            <v>0</v>
          </cell>
          <cell r="H18">
            <v>62.731699999999996</v>
          </cell>
          <cell r="I18">
            <v>62.731699999999996</v>
          </cell>
          <cell r="J18">
            <v>0</v>
          </cell>
          <cell r="K18">
            <v>255.77760000000001</v>
          </cell>
          <cell r="L18">
            <v>255.77760000000001</v>
          </cell>
          <cell r="M18">
            <v>0</v>
          </cell>
          <cell r="N18">
            <v>32.137999999999998</v>
          </cell>
          <cell r="O18">
            <v>32.137999999999998</v>
          </cell>
          <cell r="P18">
            <v>0</v>
          </cell>
          <cell r="Q18">
            <v>132.39009999999999</v>
          </cell>
          <cell r="R18">
            <v>132.39009999999999</v>
          </cell>
          <cell r="S18">
            <v>0</v>
          </cell>
          <cell r="T18">
            <v>2402.201</v>
          </cell>
          <cell r="U18">
            <v>2402.201</v>
          </cell>
          <cell r="V18">
            <v>0</v>
          </cell>
          <cell r="W18">
            <v>1723.1690000000001</v>
          </cell>
          <cell r="X18">
            <v>1723.1690000000001</v>
          </cell>
          <cell r="Y18">
            <v>0</v>
          </cell>
          <cell r="Z18">
            <v>0</v>
          </cell>
          <cell r="AA18">
            <v>0</v>
          </cell>
          <cell r="AE18">
            <v>1914</v>
          </cell>
          <cell r="AF18">
            <v>4659.3476000000001</v>
          </cell>
          <cell r="AG18">
            <v>4659.3476000000001</v>
          </cell>
          <cell r="AH18">
            <v>0</v>
          </cell>
        </row>
        <row r="19">
          <cell r="B19">
            <v>24.881</v>
          </cell>
          <cell r="C19">
            <v>24.881</v>
          </cell>
          <cell r="D19">
            <v>0</v>
          </cell>
          <cell r="E19">
            <v>26.062000000000001</v>
          </cell>
          <cell r="F19">
            <v>26.062000000000001</v>
          </cell>
          <cell r="G19">
            <v>0</v>
          </cell>
          <cell r="H19">
            <v>62.735399999999998</v>
          </cell>
          <cell r="I19">
            <v>62.735399999999998</v>
          </cell>
          <cell r="J19">
            <v>0</v>
          </cell>
          <cell r="K19">
            <v>255.79259999999999</v>
          </cell>
          <cell r="L19">
            <v>255.79259999999999</v>
          </cell>
          <cell r="M19">
            <v>0</v>
          </cell>
          <cell r="N19">
            <v>32.139899999999997</v>
          </cell>
          <cell r="O19">
            <v>32.139899999999997</v>
          </cell>
          <cell r="P19">
            <v>0</v>
          </cell>
          <cell r="Q19">
            <v>132.3981</v>
          </cell>
          <cell r="R19">
            <v>132.3981</v>
          </cell>
          <cell r="S19">
            <v>0</v>
          </cell>
          <cell r="T19">
            <v>2402.3449999999998</v>
          </cell>
          <cell r="U19">
            <v>2402.3449999999998</v>
          </cell>
          <cell r="V19">
            <v>0</v>
          </cell>
          <cell r="W19">
            <v>1723.453</v>
          </cell>
          <cell r="X19">
            <v>1723.453</v>
          </cell>
          <cell r="Y19">
            <v>0</v>
          </cell>
          <cell r="Z19">
            <v>0</v>
          </cell>
          <cell r="AA19">
            <v>0</v>
          </cell>
          <cell r="AE19">
            <v>1915</v>
          </cell>
          <cell r="AF19">
            <v>4659.8069999999998</v>
          </cell>
          <cell r="AG19">
            <v>4659.8069999999998</v>
          </cell>
          <cell r="AH19">
            <v>0</v>
          </cell>
        </row>
        <row r="20">
          <cell r="B20">
            <v>24.882400000000001</v>
          </cell>
          <cell r="C20">
            <v>24.882400000000001</v>
          </cell>
          <cell r="D20">
            <v>0</v>
          </cell>
          <cell r="E20">
            <v>26.063500000000001</v>
          </cell>
          <cell r="F20">
            <v>26.063500000000001</v>
          </cell>
          <cell r="G20">
            <v>0</v>
          </cell>
          <cell r="H20">
            <v>62.739199999999997</v>
          </cell>
          <cell r="I20">
            <v>62.739199999999997</v>
          </cell>
          <cell r="J20">
            <v>0</v>
          </cell>
          <cell r="K20">
            <v>255.80760000000001</v>
          </cell>
          <cell r="L20">
            <v>255.80760000000001</v>
          </cell>
          <cell r="M20">
            <v>0</v>
          </cell>
          <cell r="N20">
            <v>32.141800000000003</v>
          </cell>
          <cell r="O20">
            <v>32.141800000000003</v>
          </cell>
          <cell r="P20">
            <v>0</v>
          </cell>
          <cell r="Q20">
            <v>132.40600000000001</v>
          </cell>
          <cell r="R20">
            <v>132.40600000000001</v>
          </cell>
          <cell r="S20">
            <v>0</v>
          </cell>
          <cell r="T20">
            <v>2402.4899999999998</v>
          </cell>
          <cell r="U20">
            <v>2402.4899999999998</v>
          </cell>
          <cell r="V20">
            <v>0</v>
          </cell>
          <cell r="W20">
            <v>1723.7380000000001</v>
          </cell>
          <cell r="X20">
            <v>1723.7380000000001</v>
          </cell>
          <cell r="Y20">
            <v>0</v>
          </cell>
          <cell r="Z20">
            <v>0</v>
          </cell>
          <cell r="AA20">
            <v>0</v>
          </cell>
          <cell r="AE20">
            <v>1916</v>
          </cell>
          <cell r="AF20">
            <v>4660.2685000000001</v>
          </cell>
          <cell r="AG20">
            <v>4660.2685000000001</v>
          </cell>
          <cell r="AH20">
            <v>0</v>
          </cell>
        </row>
        <row r="21">
          <cell r="B21">
            <v>24.883800000000001</v>
          </cell>
          <cell r="C21">
            <v>24.883800000000001</v>
          </cell>
          <cell r="D21">
            <v>0</v>
          </cell>
          <cell r="E21">
            <v>26.065000000000001</v>
          </cell>
          <cell r="F21">
            <v>26.065000000000001</v>
          </cell>
          <cell r="G21">
            <v>0</v>
          </cell>
          <cell r="H21">
            <v>62.742899999999999</v>
          </cell>
          <cell r="I21">
            <v>62.742899999999999</v>
          </cell>
          <cell r="J21">
            <v>0</v>
          </cell>
          <cell r="K21">
            <v>255.82259999999999</v>
          </cell>
          <cell r="L21">
            <v>255.82259999999999</v>
          </cell>
          <cell r="M21">
            <v>0</v>
          </cell>
          <cell r="N21">
            <v>32.143700000000003</v>
          </cell>
          <cell r="O21">
            <v>32.143700000000003</v>
          </cell>
          <cell r="P21">
            <v>0</v>
          </cell>
          <cell r="Q21">
            <v>132.41390000000001</v>
          </cell>
          <cell r="R21">
            <v>132.41390000000001</v>
          </cell>
          <cell r="S21">
            <v>0</v>
          </cell>
          <cell r="T21">
            <v>2402.6350000000002</v>
          </cell>
          <cell r="U21">
            <v>2402.6350000000002</v>
          </cell>
          <cell r="V21">
            <v>0</v>
          </cell>
          <cell r="W21">
            <v>1724.0219999999999</v>
          </cell>
          <cell r="X21">
            <v>1724.0219999999999</v>
          </cell>
          <cell r="Y21">
            <v>0</v>
          </cell>
          <cell r="Z21">
            <v>0</v>
          </cell>
          <cell r="AA21">
            <v>0</v>
          </cell>
          <cell r="AE21">
            <v>1917</v>
          </cell>
          <cell r="AF21">
            <v>4660.7289000000001</v>
          </cell>
          <cell r="AG21">
            <v>4660.7289000000001</v>
          </cell>
          <cell r="AH21">
            <v>0</v>
          </cell>
        </row>
        <row r="22">
          <cell r="B22">
            <v>24.885200000000001</v>
          </cell>
          <cell r="C22">
            <v>24.885200000000001</v>
          </cell>
          <cell r="D22">
            <v>0</v>
          </cell>
          <cell r="E22">
            <v>26.066400000000002</v>
          </cell>
          <cell r="F22">
            <v>26.066400000000002</v>
          </cell>
          <cell r="G22">
            <v>0</v>
          </cell>
          <cell r="H22">
            <v>62.746600000000001</v>
          </cell>
          <cell r="I22">
            <v>62.746600000000001</v>
          </cell>
          <cell r="J22">
            <v>0</v>
          </cell>
          <cell r="K22">
            <v>255.8374</v>
          </cell>
          <cell r="L22">
            <v>255.8374</v>
          </cell>
          <cell r="M22">
            <v>0</v>
          </cell>
          <cell r="N22">
            <v>32.145600000000002</v>
          </cell>
          <cell r="O22">
            <v>32.145600000000002</v>
          </cell>
          <cell r="P22">
            <v>0</v>
          </cell>
          <cell r="Q22">
            <v>132.42179999999999</v>
          </cell>
          <cell r="R22">
            <v>132.42179999999999</v>
          </cell>
          <cell r="S22">
            <v>0</v>
          </cell>
          <cell r="T22">
            <v>2402.779</v>
          </cell>
          <cell r="U22">
            <v>2402.779</v>
          </cell>
          <cell r="V22">
            <v>0</v>
          </cell>
          <cell r="W22">
            <v>1724.306</v>
          </cell>
          <cell r="X22">
            <v>1724.306</v>
          </cell>
          <cell r="Y22">
            <v>0</v>
          </cell>
          <cell r="Z22">
            <v>0</v>
          </cell>
          <cell r="AA22">
            <v>0</v>
          </cell>
          <cell r="AE22">
            <v>1918</v>
          </cell>
          <cell r="AF22">
            <v>4661.1880000000001</v>
          </cell>
          <cell r="AG22">
            <v>4661.1880000000001</v>
          </cell>
          <cell r="AH22">
            <v>0</v>
          </cell>
        </row>
        <row r="23">
          <cell r="B23">
            <v>24.886600000000001</v>
          </cell>
          <cell r="C23">
            <v>24.886600000000001</v>
          </cell>
          <cell r="D23">
            <v>0</v>
          </cell>
          <cell r="E23">
            <v>26.067900000000002</v>
          </cell>
          <cell r="F23">
            <v>26.067900000000002</v>
          </cell>
          <cell r="G23">
            <v>0</v>
          </cell>
          <cell r="H23">
            <v>62.750399999999999</v>
          </cell>
          <cell r="I23">
            <v>62.750399999999999</v>
          </cell>
          <cell r="J23">
            <v>0</v>
          </cell>
          <cell r="K23">
            <v>255.85239999999999</v>
          </cell>
          <cell r="L23">
            <v>255.85239999999999</v>
          </cell>
          <cell r="M23">
            <v>0</v>
          </cell>
          <cell r="N23">
            <v>32.147500000000001</v>
          </cell>
          <cell r="O23">
            <v>32.147500000000001</v>
          </cell>
          <cell r="P23">
            <v>0</v>
          </cell>
          <cell r="Q23">
            <v>132.4299</v>
          </cell>
          <cell r="R23">
            <v>132.4299</v>
          </cell>
          <cell r="S23">
            <v>0</v>
          </cell>
          <cell r="T23">
            <v>2402.922</v>
          </cell>
          <cell r="U23">
            <v>2402.922</v>
          </cell>
          <cell r="V23">
            <v>0</v>
          </cell>
          <cell r="W23">
            <v>1724.5909999999999</v>
          </cell>
          <cell r="X23">
            <v>1724.5909999999999</v>
          </cell>
          <cell r="Y23">
            <v>0</v>
          </cell>
          <cell r="Z23">
            <v>0</v>
          </cell>
          <cell r="AA23">
            <v>0</v>
          </cell>
          <cell r="AE23">
            <v>1919</v>
          </cell>
          <cell r="AF23">
            <v>4661.6476999999995</v>
          </cell>
          <cell r="AG23">
            <v>4661.6476999999995</v>
          </cell>
          <cell r="AH23">
            <v>0</v>
          </cell>
        </row>
        <row r="24">
          <cell r="B24">
            <v>24.887899999999998</v>
          </cell>
          <cell r="C24">
            <v>24.887899999999998</v>
          </cell>
          <cell r="D24">
            <v>0</v>
          </cell>
          <cell r="E24">
            <v>26.069400000000002</v>
          </cell>
          <cell r="F24">
            <v>26.069400000000002</v>
          </cell>
          <cell r="G24">
            <v>0</v>
          </cell>
          <cell r="H24">
            <v>62.754100000000001</v>
          </cell>
          <cell r="I24">
            <v>62.754100000000001</v>
          </cell>
          <cell r="J24">
            <v>0</v>
          </cell>
          <cell r="K24">
            <v>255.8672</v>
          </cell>
          <cell r="L24">
            <v>255.8672</v>
          </cell>
          <cell r="M24">
            <v>0</v>
          </cell>
          <cell r="N24">
            <v>32.1494</v>
          </cell>
          <cell r="O24">
            <v>32.1494</v>
          </cell>
          <cell r="P24">
            <v>0</v>
          </cell>
          <cell r="Q24">
            <v>132.43780000000001</v>
          </cell>
          <cell r="R24">
            <v>132.43780000000001</v>
          </cell>
          <cell r="S24">
            <v>0</v>
          </cell>
          <cell r="T24">
            <v>2403.0659999999998</v>
          </cell>
          <cell r="U24">
            <v>2403.0659999999998</v>
          </cell>
          <cell r="V24">
            <v>0</v>
          </cell>
          <cell r="W24">
            <v>1724.875</v>
          </cell>
          <cell r="X24">
            <v>1724.875</v>
          </cell>
          <cell r="Y24">
            <v>0</v>
          </cell>
          <cell r="Z24">
            <v>0</v>
          </cell>
          <cell r="AA24">
            <v>0</v>
          </cell>
          <cell r="AE24">
            <v>1920</v>
          </cell>
          <cell r="AF24">
            <v>4662.1067999999996</v>
          </cell>
          <cell r="AG24">
            <v>4662.1067999999996</v>
          </cell>
          <cell r="AH24">
            <v>0</v>
          </cell>
        </row>
        <row r="25">
          <cell r="B25">
            <v>1.95E-2</v>
          </cell>
          <cell r="C25">
            <v>1.95E-2</v>
          </cell>
          <cell r="D25">
            <v>0</v>
          </cell>
          <cell r="E25">
            <v>3.1179000000000001</v>
          </cell>
          <cell r="F25">
            <v>3.1179000000000001</v>
          </cell>
          <cell r="G25">
            <v>0</v>
          </cell>
          <cell r="H25">
            <v>0.31440000000000001</v>
          </cell>
          <cell r="I25">
            <v>0.31440000000000001</v>
          </cell>
          <cell r="J25">
            <v>0</v>
          </cell>
          <cell r="K25">
            <v>232.21080000000001</v>
          </cell>
          <cell r="L25">
            <v>232.21080000000001</v>
          </cell>
          <cell r="M25">
            <v>0</v>
          </cell>
          <cell r="N25">
            <v>0.1716</v>
          </cell>
          <cell r="O25">
            <v>0.1716</v>
          </cell>
          <cell r="P25">
            <v>0</v>
          </cell>
          <cell r="Q25">
            <v>148.16200000000001</v>
          </cell>
          <cell r="R25">
            <v>148.16200000000001</v>
          </cell>
          <cell r="S25">
            <v>0</v>
          </cell>
          <cell r="T25">
            <v>2398.42</v>
          </cell>
          <cell r="U25">
            <v>2398.42</v>
          </cell>
          <cell r="V25">
            <v>0</v>
          </cell>
          <cell r="W25">
            <v>1726.0119999999999</v>
          </cell>
          <cell r="X25">
            <v>1726.0119999999999</v>
          </cell>
          <cell r="Y25">
            <v>0</v>
          </cell>
          <cell r="Z25">
            <v>0</v>
          </cell>
          <cell r="AA25">
            <v>0</v>
          </cell>
          <cell r="AE25">
            <v>1921</v>
          </cell>
          <cell r="AF25">
            <v>4508.4282000000003</v>
          </cell>
          <cell r="AG25">
            <v>4508.4282000000003</v>
          </cell>
          <cell r="AH25">
            <v>0</v>
          </cell>
        </row>
        <row r="26">
          <cell r="B26">
            <v>8.8523999999999994</v>
          </cell>
          <cell r="C26">
            <v>8.8523999999999994</v>
          </cell>
          <cell r="D26">
            <v>0</v>
          </cell>
          <cell r="E26">
            <v>8.3017000000000003</v>
          </cell>
          <cell r="F26">
            <v>8.3017000000000003</v>
          </cell>
          <cell r="G26">
            <v>0</v>
          </cell>
          <cell r="H26">
            <v>6.3864999999999998</v>
          </cell>
          <cell r="I26">
            <v>6.3864999999999998</v>
          </cell>
          <cell r="J26">
            <v>0</v>
          </cell>
          <cell r="K26">
            <v>175.70660000000001</v>
          </cell>
          <cell r="L26">
            <v>175.70660000000001</v>
          </cell>
          <cell r="M26">
            <v>0</v>
          </cell>
          <cell r="N26">
            <v>1.0666</v>
          </cell>
          <cell r="O26">
            <v>1.0666</v>
          </cell>
          <cell r="P26">
            <v>0</v>
          </cell>
          <cell r="Q26">
            <v>122.16240000000001</v>
          </cell>
          <cell r="R26">
            <v>122.16240000000001</v>
          </cell>
          <cell r="S26">
            <v>0</v>
          </cell>
          <cell r="T26">
            <v>2378.0709999999999</v>
          </cell>
          <cell r="U26">
            <v>2378.0709999999999</v>
          </cell>
          <cell r="V26">
            <v>0</v>
          </cell>
          <cell r="W26">
            <v>1726.5219999999999</v>
          </cell>
          <cell r="X26">
            <v>1726.5219999999999</v>
          </cell>
          <cell r="Y26">
            <v>0</v>
          </cell>
          <cell r="Z26">
            <v>0</v>
          </cell>
          <cell r="AA26">
            <v>0</v>
          </cell>
          <cell r="AE26">
            <v>1922</v>
          </cell>
          <cell r="AF26">
            <v>4427.0691999999999</v>
          </cell>
          <cell r="AG26">
            <v>4427.0691999999999</v>
          </cell>
          <cell r="AH26">
            <v>0</v>
          </cell>
        </row>
        <row r="27">
          <cell r="B27">
            <v>7.1414</v>
          </cell>
          <cell r="C27">
            <v>7.1414</v>
          </cell>
          <cell r="D27">
            <v>0</v>
          </cell>
          <cell r="E27">
            <v>7.3061999999999996</v>
          </cell>
          <cell r="F27">
            <v>7.3061999999999996</v>
          </cell>
          <cell r="G27">
            <v>0</v>
          </cell>
          <cell r="H27">
            <v>5.3556999999999997</v>
          </cell>
          <cell r="I27">
            <v>5.3556999999999997</v>
          </cell>
          <cell r="J27">
            <v>0</v>
          </cell>
          <cell r="K27">
            <v>140.82390000000001</v>
          </cell>
          <cell r="L27">
            <v>140.82390000000001</v>
          </cell>
          <cell r="M27">
            <v>0</v>
          </cell>
          <cell r="N27">
            <v>1.0485</v>
          </cell>
          <cell r="O27">
            <v>1.0485</v>
          </cell>
          <cell r="P27">
            <v>0</v>
          </cell>
          <cell r="Q27">
            <v>112.26300000000001</v>
          </cell>
          <cell r="R27">
            <v>112.26300000000001</v>
          </cell>
          <cell r="S27">
            <v>0</v>
          </cell>
          <cell r="T27">
            <v>2350.4380000000001</v>
          </cell>
          <cell r="U27">
            <v>2350.4380000000001</v>
          </cell>
          <cell r="V27">
            <v>0</v>
          </cell>
          <cell r="W27">
            <v>1726.8530000000001</v>
          </cell>
          <cell r="X27">
            <v>1726.8530000000001</v>
          </cell>
          <cell r="Y27">
            <v>0</v>
          </cell>
          <cell r="Z27">
            <v>0</v>
          </cell>
          <cell r="AA27">
            <v>0</v>
          </cell>
          <cell r="AE27">
            <v>1923</v>
          </cell>
          <cell r="AF27">
            <v>4351.2296999999999</v>
          </cell>
          <cell r="AG27">
            <v>4351.2296999999999</v>
          </cell>
          <cell r="AH27">
            <v>0</v>
          </cell>
        </row>
        <row r="28">
          <cell r="B28">
            <v>7.4776999999999996</v>
          </cell>
          <cell r="C28">
            <v>7.4776999999999996</v>
          </cell>
          <cell r="D28">
            <v>0</v>
          </cell>
          <cell r="E28">
            <v>7.4558999999999997</v>
          </cell>
          <cell r="F28">
            <v>7.4558999999999997</v>
          </cell>
          <cell r="G28">
            <v>0</v>
          </cell>
          <cell r="H28">
            <v>5.5477999999999996</v>
          </cell>
          <cell r="I28">
            <v>5.5477999999999996</v>
          </cell>
          <cell r="J28">
            <v>0</v>
          </cell>
          <cell r="K28">
            <v>113.5295</v>
          </cell>
          <cell r="L28">
            <v>113.5295</v>
          </cell>
          <cell r="M28">
            <v>0</v>
          </cell>
          <cell r="N28">
            <v>1.0542</v>
          </cell>
          <cell r="O28">
            <v>1.0542</v>
          </cell>
          <cell r="P28">
            <v>0</v>
          </cell>
          <cell r="Q28">
            <v>103.819</v>
          </cell>
          <cell r="R28">
            <v>103.819</v>
          </cell>
          <cell r="S28">
            <v>0</v>
          </cell>
          <cell r="T28">
            <v>2318.1439999999998</v>
          </cell>
          <cell r="U28">
            <v>2318.1439999999998</v>
          </cell>
          <cell r="V28">
            <v>0</v>
          </cell>
          <cell r="W28">
            <v>1727.0820000000001</v>
          </cell>
          <cell r="X28">
            <v>1727.0820000000001</v>
          </cell>
          <cell r="Y28">
            <v>0</v>
          </cell>
          <cell r="Z28">
            <v>0</v>
          </cell>
          <cell r="AA28">
            <v>0</v>
          </cell>
          <cell r="AE28">
            <v>1924</v>
          </cell>
          <cell r="AF28">
            <v>4284.1100999999999</v>
          </cell>
          <cell r="AG28">
            <v>4284.1100999999999</v>
          </cell>
          <cell r="AH28">
            <v>0</v>
          </cell>
        </row>
        <row r="29">
          <cell r="B29">
            <v>7.6825000000000001</v>
          </cell>
          <cell r="C29">
            <v>7.6825000000000001</v>
          </cell>
          <cell r="D29">
            <v>0</v>
          </cell>
          <cell r="E29">
            <v>7.6528</v>
          </cell>
          <cell r="F29">
            <v>7.6528</v>
          </cell>
          <cell r="G29">
            <v>0</v>
          </cell>
          <cell r="H29">
            <v>5.7148000000000003</v>
          </cell>
          <cell r="I29">
            <v>5.7148000000000003</v>
          </cell>
          <cell r="J29">
            <v>0</v>
          </cell>
          <cell r="K29">
            <v>93.194500000000005</v>
          </cell>
          <cell r="L29">
            <v>93.194500000000005</v>
          </cell>
          <cell r="M29">
            <v>0</v>
          </cell>
          <cell r="N29">
            <v>1.0875999999999999</v>
          </cell>
          <cell r="O29">
            <v>1.0875999999999999</v>
          </cell>
          <cell r="P29">
            <v>0</v>
          </cell>
          <cell r="Q29">
            <v>97.778899999999993</v>
          </cell>
          <cell r="R29">
            <v>97.778899999999993</v>
          </cell>
          <cell r="S29">
            <v>0</v>
          </cell>
          <cell r="T29">
            <v>2282.6030000000001</v>
          </cell>
          <cell r="U29">
            <v>2282.6030000000001</v>
          </cell>
          <cell r="V29">
            <v>0</v>
          </cell>
          <cell r="W29">
            <v>1727.232</v>
          </cell>
          <cell r="X29">
            <v>1727.232</v>
          </cell>
          <cell r="Y29">
            <v>0</v>
          </cell>
          <cell r="Z29">
            <v>0</v>
          </cell>
          <cell r="AA29">
            <v>0</v>
          </cell>
          <cell r="AE29">
            <v>1925</v>
          </cell>
          <cell r="AF29">
            <v>4222.9461000000001</v>
          </cell>
          <cell r="AG29">
            <v>4222.9461000000001</v>
          </cell>
          <cell r="AH29">
            <v>0</v>
          </cell>
        </row>
        <row r="30">
          <cell r="B30">
            <v>7.8624000000000001</v>
          </cell>
          <cell r="C30">
            <v>7.8624000000000001</v>
          </cell>
          <cell r="D30">
            <v>0</v>
          </cell>
          <cell r="E30">
            <v>7.8239999999999998</v>
          </cell>
          <cell r="F30">
            <v>7.8239999999999998</v>
          </cell>
          <cell r="G30">
            <v>0</v>
          </cell>
          <cell r="H30">
            <v>5.8604000000000003</v>
          </cell>
          <cell r="I30">
            <v>5.8604000000000003</v>
          </cell>
          <cell r="J30">
            <v>0</v>
          </cell>
          <cell r="K30">
            <v>78.048599999999993</v>
          </cell>
          <cell r="L30">
            <v>78.048599999999993</v>
          </cell>
          <cell r="M30">
            <v>0</v>
          </cell>
          <cell r="N30">
            <v>1.1155999999999999</v>
          </cell>
          <cell r="O30">
            <v>1.1155999999999999</v>
          </cell>
          <cell r="P30">
            <v>0</v>
          </cell>
          <cell r="Q30">
            <v>93.308899999999994</v>
          </cell>
          <cell r="R30">
            <v>93.308899999999994</v>
          </cell>
          <cell r="S30">
            <v>0</v>
          </cell>
          <cell r="T30">
            <v>2245.11</v>
          </cell>
          <cell r="U30">
            <v>2245.11</v>
          </cell>
          <cell r="V30">
            <v>0</v>
          </cell>
          <cell r="W30">
            <v>1727.3219999999999</v>
          </cell>
          <cell r="X30">
            <v>1727.3219999999999</v>
          </cell>
          <cell r="Y30">
            <v>0</v>
          </cell>
          <cell r="Z30">
            <v>0</v>
          </cell>
          <cell r="AA30">
            <v>0</v>
          </cell>
          <cell r="AE30">
            <v>1926</v>
          </cell>
          <cell r="AF30">
            <v>4166.4519</v>
          </cell>
          <cell r="AG30">
            <v>4166.4519</v>
          </cell>
          <cell r="AH30">
            <v>0</v>
          </cell>
        </row>
        <row r="31">
          <cell r="B31">
            <v>8.0085999999999995</v>
          </cell>
          <cell r="C31">
            <v>8.0085999999999995</v>
          </cell>
          <cell r="D31">
            <v>0</v>
          </cell>
          <cell r="E31">
            <v>7.9649000000000001</v>
          </cell>
          <cell r="F31">
            <v>7.9649000000000001</v>
          </cell>
          <cell r="G31">
            <v>0</v>
          </cell>
          <cell r="H31">
            <v>5.9795999999999996</v>
          </cell>
          <cell r="I31">
            <v>5.9795999999999996</v>
          </cell>
          <cell r="J31">
            <v>0</v>
          </cell>
          <cell r="K31">
            <v>66.784899999999993</v>
          </cell>
          <cell r="L31">
            <v>66.784899999999993</v>
          </cell>
          <cell r="M31">
            <v>0</v>
          </cell>
          <cell r="N31">
            <v>1.1387</v>
          </cell>
          <cell r="O31">
            <v>1.1387</v>
          </cell>
          <cell r="P31">
            <v>0</v>
          </cell>
          <cell r="Q31">
            <v>89.896100000000004</v>
          </cell>
          <cell r="R31">
            <v>89.896100000000004</v>
          </cell>
          <cell r="S31">
            <v>0</v>
          </cell>
          <cell r="T31">
            <v>2206.5369999999998</v>
          </cell>
          <cell r="U31">
            <v>2206.5369999999998</v>
          </cell>
          <cell r="V31">
            <v>0</v>
          </cell>
          <cell r="W31">
            <v>1727.366</v>
          </cell>
          <cell r="X31">
            <v>1727.366</v>
          </cell>
          <cell r="Y31">
            <v>0</v>
          </cell>
          <cell r="Z31">
            <v>0</v>
          </cell>
          <cell r="AA31">
            <v>0</v>
          </cell>
          <cell r="AE31">
            <v>1927</v>
          </cell>
          <cell r="AF31">
            <v>4113.6758</v>
          </cell>
          <cell r="AG31">
            <v>4113.6758</v>
          </cell>
          <cell r="AH31">
            <v>0</v>
          </cell>
        </row>
        <row r="32">
          <cell r="B32">
            <v>8.1234000000000002</v>
          </cell>
          <cell r="C32">
            <v>8.1234000000000002</v>
          </cell>
          <cell r="D32">
            <v>0</v>
          </cell>
          <cell r="E32">
            <v>8.0769000000000002</v>
          </cell>
          <cell r="F32">
            <v>8.0769000000000002</v>
          </cell>
          <cell r="G32">
            <v>0</v>
          </cell>
          <cell r="H32">
            <v>6.0736999999999997</v>
          </cell>
          <cell r="I32">
            <v>6.0736999999999997</v>
          </cell>
          <cell r="J32">
            <v>0</v>
          </cell>
          <cell r="K32">
            <v>58.415799999999997</v>
          </cell>
          <cell r="L32">
            <v>58.415799999999997</v>
          </cell>
          <cell r="M32">
            <v>0</v>
          </cell>
          <cell r="N32">
            <v>1.157</v>
          </cell>
          <cell r="O32">
            <v>1.157</v>
          </cell>
          <cell r="P32">
            <v>0</v>
          </cell>
          <cell r="Q32">
            <v>87.201400000000007</v>
          </cell>
          <cell r="R32">
            <v>87.201400000000007</v>
          </cell>
          <cell r="S32">
            <v>0</v>
          </cell>
          <cell r="T32">
            <v>2167.489</v>
          </cell>
          <cell r="U32">
            <v>2167.489</v>
          </cell>
          <cell r="V32">
            <v>0</v>
          </cell>
          <cell r="W32">
            <v>1727.37</v>
          </cell>
          <cell r="X32">
            <v>1727.37</v>
          </cell>
          <cell r="Y32">
            <v>0</v>
          </cell>
          <cell r="Z32">
            <v>0</v>
          </cell>
          <cell r="AA32">
            <v>0</v>
          </cell>
          <cell r="AE32">
            <v>1928</v>
          </cell>
          <cell r="AF32">
            <v>4063.9072000000001</v>
          </cell>
          <cell r="AG32">
            <v>4063.9072000000001</v>
          </cell>
          <cell r="AH32">
            <v>0</v>
          </cell>
        </row>
        <row r="33">
          <cell r="B33">
            <v>8.2096999999999998</v>
          </cell>
          <cell r="C33">
            <v>8.2096999999999998</v>
          </cell>
          <cell r="D33">
            <v>0</v>
          </cell>
          <cell r="E33">
            <v>8.1624999999999996</v>
          </cell>
          <cell r="F33">
            <v>8.1624999999999996</v>
          </cell>
          <cell r="G33">
            <v>0</v>
          </cell>
          <cell r="H33">
            <v>6.1448</v>
          </cell>
          <cell r="I33">
            <v>6.1448</v>
          </cell>
          <cell r="J33">
            <v>0</v>
          </cell>
          <cell r="K33">
            <v>52.200899999999997</v>
          </cell>
          <cell r="L33">
            <v>52.200899999999997</v>
          </cell>
          <cell r="M33">
            <v>0</v>
          </cell>
          <cell r="N33">
            <v>1.1709000000000001</v>
          </cell>
          <cell r="O33">
            <v>1.1709000000000001</v>
          </cell>
          <cell r="P33">
            <v>0</v>
          </cell>
          <cell r="Q33">
            <v>85.000699999999995</v>
          </cell>
          <cell r="R33">
            <v>85.000699999999995</v>
          </cell>
          <cell r="S33">
            <v>0</v>
          </cell>
          <cell r="T33">
            <v>2128.384</v>
          </cell>
          <cell r="U33">
            <v>2128.384</v>
          </cell>
          <cell r="V33">
            <v>0</v>
          </cell>
          <cell r="W33">
            <v>1727.3420000000001</v>
          </cell>
          <cell r="X33">
            <v>1727.3420000000001</v>
          </cell>
          <cell r="Y33">
            <v>0</v>
          </cell>
          <cell r="Z33">
            <v>0</v>
          </cell>
          <cell r="AA33">
            <v>0</v>
          </cell>
          <cell r="AE33">
            <v>1929</v>
          </cell>
          <cell r="AF33">
            <v>4016.6155000000003</v>
          </cell>
          <cell r="AG33">
            <v>4016.6155000000003</v>
          </cell>
          <cell r="AH33">
            <v>0</v>
          </cell>
        </row>
        <row r="34">
          <cell r="B34">
            <v>8.2705000000000002</v>
          </cell>
          <cell r="C34">
            <v>8.2705000000000002</v>
          </cell>
          <cell r="D34">
            <v>0</v>
          </cell>
          <cell r="E34">
            <v>8.2247000000000003</v>
          </cell>
          <cell r="F34">
            <v>8.2247000000000003</v>
          </cell>
          <cell r="G34">
            <v>0</v>
          </cell>
          <cell r="H34">
            <v>6.1955</v>
          </cell>
          <cell r="I34">
            <v>6.1955</v>
          </cell>
          <cell r="J34">
            <v>0</v>
          </cell>
          <cell r="K34">
            <v>47.585799999999999</v>
          </cell>
          <cell r="L34">
            <v>47.585799999999999</v>
          </cell>
          <cell r="M34">
            <v>0</v>
          </cell>
          <cell r="N34">
            <v>1.1808000000000001</v>
          </cell>
          <cell r="O34">
            <v>1.1808000000000001</v>
          </cell>
          <cell r="P34">
            <v>0</v>
          </cell>
          <cell r="Q34">
            <v>83.142600000000002</v>
          </cell>
          <cell r="R34">
            <v>83.142600000000002</v>
          </cell>
          <cell r="S34">
            <v>0</v>
          </cell>
          <cell r="T34">
            <v>2089.511</v>
          </cell>
          <cell r="U34">
            <v>2089.511</v>
          </cell>
          <cell r="V34">
            <v>0</v>
          </cell>
          <cell r="W34">
            <v>1727.2860000000001</v>
          </cell>
          <cell r="X34">
            <v>1727.2860000000001</v>
          </cell>
          <cell r="Y34">
            <v>0</v>
          </cell>
          <cell r="Z34">
            <v>0</v>
          </cell>
          <cell r="AA34">
            <v>0</v>
          </cell>
          <cell r="AE34">
            <v>1930</v>
          </cell>
          <cell r="AF34">
            <v>3971.3969000000002</v>
          </cell>
          <cell r="AG34">
            <v>3971.3969000000002</v>
          </cell>
          <cell r="AH34">
            <v>0</v>
          </cell>
        </row>
        <row r="35">
          <cell r="B35">
            <v>8.3089999999999993</v>
          </cell>
          <cell r="C35">
            <v>8.3089999999999993</v>
          </cell>
          <cell r="D35">
            <v>0</v>
          </cell>
          <cell r="E35">
            <v>8.2664000000000009</v>
          </cell>
          <cell r="F35">
            <v>8.2664000000000009</v>
          </cell>
          <cell r="G35">
            <v>0</v>
          </cell>
          <cell r="H35">
            <v>6.2282000000000002</v>
          </cell>
          <cell r="I35">
            <v>6.2282000000000002</v>
          </cell>
          <cell r="J35">
            <v>0</v>
          </cell>
          <cell r="K35">
            <v>44.156100000000002</v>
          </cell>
          <cell r="L35">
            <v>44.156100000000002</v>
          </cell>
          <cell r="M35">
            <v>0</v>
          </cell>
          <cell r="N35">
            <v>1.1873</v>
          </cell>
          <cell r="O35">
            <v>1.1873</v>
          </cell>
          <cell r="P35">
            <v>0</v>
          </cell>
          <cell r="Q35">
            <v>81.524199999999993</v>
          </cell>
          <cell r="R35">
            <v>81.524199999999993</v>
          </cell>
          <cell r="S35">
            <v>0</v>
          </cell>
          <cell r="T35">
            <v>2051.0680000000002</v>
          </cell>
          <cell r="U35">
            <v>2051.0680000000002</v>
          </cell>
          <cell r="V35">
            <v>0</v>
          </cell>
          <cell r="W35">
            <v>1727.204</v>
          </cell>
          <cell r="X35">
            <v>1727.204</v>
          </cell>
          <cell r="Y35">
            <v>0</v>
          </cell>
          <cell r="Z35">
            <v>0</v>
          </cell>
          <cell r="AA35">
            <v>0</v>
          </cell>
          <cell r="AE35">
            <v>1931</v>
          </cell>
          <cell r="AF35">
            <v>3927.9431999999997</v>
          </cell>
          <cell r="AG35">
            <v>3927.9431999999997</v>
          </cell>
          <cell r="AH35">
            <v>0</v>
          </cell>
        </row>
        <row r="36">
          <cell r="B36">
            <v>8.3282000000000007</v>
          </cell>
          <cell r="C36">
            <v>8.3282000000000007</v>
          </cell>
          <cell r="D36">
            <v>0</v>
          </cell>
          <cell r="E36">
            <v>8.2902000000000005</v>
          </cell>
          <cell r="F36">
            <v>8.2902000000000005</v>
          </cell>
          <cell r="G36">
            <v>0</v>
          </cell>
          <cell r="H36">
            <v>6.2453000000000003</v>
          </cell>
          <cell r="I36">
            <v>6.2453000000000003</v>
          </cell>
          <cell r="J36">
            <v>0</v>
          </cell>
          <cell r="K36">
            <v>41.601799999999997</v>
          </cell>
          <cell r="L36">
            <v>41.601799999999997</v>
          </cell>
          <cell r="M36">
            <v>0</v>
          </cell>
          <cell r="N36">
            <v>1.1907000000000001</v>
          </cell>
          <cell r="O36">
            <v>1.1907000000000001</v>
          </cell>
          <cell r="P36">
            <v>0</v>
          </cell>
          <cell r="Q36">
            <v>80.074600000000004</v>
          </cell>
          <cell r="R36">
            <v>80.074600000000004</v>
          </cell>
          <cell r="S36">
            <v>0</v>
          </cell>
          <cell r="T36">
            <v>2013.1880000000001</v>
          </cell>
          <cell r="U36">
            <v>2013.1880000000001</v>
          </cell>
          <cell r="V36">
            <v>0</v>
          </cell>
          <cell r="W36">
            <v>1727.098</v>
          </cell>
          <cell r="X36">
            <v>1727.098</v>
          </cell>
          <cell r="Y36">
            <v>0</v>
          </cell>
          <cell r="Z36">
            <v>0</v>
          </cell>
          <cell r="AA36">
            <v>0</v>
          </cell>
          <cell r="AE36">
            <v>1932</v>
          </cell>
          <cell r="AF36">
            <v>3886.0167999999999</v>
          </cell>
          <cell r="AG36">
            <v>3886.0167999999999</v>
          </cell>
          <cell r="AH36">
            <v>0</v>
          </cell>
        </row>
        <row r="37">
          <cell r="B37">
            <v>8.3308</v>
          </cell>
          <cell r="C37">
            <v>8.3308</v>
          </cell>
          <cell r="D37">
            <v>0</v>
          </cell>
          <cell r="E37">
            <v>8.2985000000000007</v>
          </cell>
          <cell r="F37">
            <v>8.2985000000000007</v>
          </cell>
          <cell r="G37">
            <v>0</v>
          </cell>
          <cell r="H37">
            <v>6.2488999999999999</v>
          </cell>
          <cell r="I37">
            <v>6.2488999999999999</v>
          </cell>
          <cell r="J37">
            <v>0</v>
          </cell>
          <cell r="K37">
            <v>39.691099999999999</v>
          </cell>
          <cell r="L37">
            <v>39.691099999999999</v>
          </cell>
          <cell r="M37">
            <v>0</v>
          </cell>
          <cell r="N37">
            <v>1.1915</v>
          </cell>
          <cell r="O37">
            <v>1.1915</v>
          </cell>
          <cell r="P37">
            <v>0</v>
          </cell>
          <cell r="Q37">
            <v>78.744900000000001</v>
          </cell>
          <cell r="R37">
            <v>78.744900000000001</v>
          </cell>
          <cell r="S37">
            <v>0</v>
          </cell>
          <cell r="T37">
            <v>1975.9580000000001</v>
          </cell>
          <cell r="U37">
            <v>1975.9580000000001</v>
          </cell>
          <cell r="V37">
            <v>0</v>
          </cell>
          <cell r="W37">
            <v>1726.971</v>
          </cell>
          <cell r="X37">
            <v>1726.971</v>
          </cell>
          <cell r="Y37">
            <v>0</v>
          </cell>
          <cell r="Z37">
            <v>0</v>
          </cell>
          <cell r="AA37">
            <v>0</v>
          </cell>
          <cell r="AE37">
            <v>1933</v>
          </cell>
          <cell r="AF37">
            <v>3845.4347000000002</v>
          </cell>
          <cell r="AG37">
            <v>3845.4347000000002</v>
          </cell>
          <cell r="AH37">
            <v>0</v>
          </cell>
        </row>
        <row r="38">
          <cell r="B38">
            <v>8.3192000000000004</v>
          </cell>
          <cell r="C38">
            <v>8.3192000000000004</v>
          </cell>
          <cell r="D38">
            <v>0</v>
          </cell>
          <cell r="E38">
            <v>8.2935999999999996</v>
          </cell>
          <cell r="F38">
            <v>8.2935999999999996</v>
          </cell>
          <cell r="G38">
            <v>0</v>
          </cell>
          <cell r="H38">
            <v>6.2409999999999997</v>
          </cell>
          <cell r="I38">
            <v>6.2409999999999997</v>
          </cell>
          <cell r="J38">
            <v>0</v>
          </cell>
          <cell r="K38">
            <v>38.251100000000001</v>
          </cell>
          <cell r="L38">
            <v>38.251100000000001</v>
          </cell>
          <cell r="M38">
            <v>0</v>
          </cell>
          <cell r="N38">
            <v>1.1900999999999999</v>
          </cell>
          <cell r="O38">
            <v>1.1900999999999999</v>
          </cell>
          <cell r="P38">
            <v>0</v>
          </cell>
          <cell r="Q38">
            <v>77.501000000000005</v>
          </cell>
          <cell r="R38">
            <v>77.501000000000005</v>
          </cell>
          <cell r="S38">
            <v>0</v>
          </cell>
          <cell r="T38">
            <v>1939.43</v>
          </cell>
          <cell r="U38">
            <v>1939.43</v>
          </cell>
          <cell r="V38">
            <v>0</v>
          </cell>
          <cell r="W38">
            <v>1726.8209999999999</v>
          </cell>
          <cell r="X38">
            <v>1726.8209999999999</v>
          </cell>
          <cell r="Y38">
            <v>0</v>
          </cell>
          <cell r="Z38">
            <v>0</v>
          </cell>
          <cell r="AA38">
            <v>0</v>
          </cell>
          <cell r="AE38">
            <v>1934</v>
          </cell>
          <cell r="AF38">
            <v>3806.047</v>
          </cell>
          <cell r="AG38">
            <v>3806.047</v>
          </cell>
          <cell r="AH38">
            <v>0</v>
          </cell>
        </row>
        <row r="39">
          <cell r="B39">
            <v>8.2957000000000001</v>
          </cell>
          <cell r="C39">
            <v>8.2957000000000001</v>
          </cell>
          <cell r="D39">
            <v>0</v>
          </cell>
          <cell r="E39">
            <v>8.2774999999999999</v>
          </cell>
          <cell r="F39">
            <v>8.2774999999999999</v>
          </cell>
          <cell r="G39">
            <v>0</v>
          </cell>
          <cell r="H39">
            <v>6.2234999999999996</v>
          </cell>
          <cell r="I39">
            <v>6.2234999999999996</v>
          </cell>
          <cell r="J39">
            <v>0</v>
          </cell>
          <cell r="K39">
            <v>37.153100000000002</v>
          </cell>
          <cell r="L39">
            <v>37.153100000000002</v>
          </cell>
          <cell r="M39">
            <v>0</v>
          </cell>
          <cell r="N39">
            <v>1.1869000000000001</v>
          </cell>
          <cell r="O39">
            <v>1.1869000000000001</v>
          </cell>
          <cell r="P39">
            <v>0</v>
          </cell>
          <cell r="Q39">
            <v>76.319400000000002</v>
          </cell>
          <cell r="R39">
            <v>76.319400000000002</v>
          </cell>
          <cell r="S39">
            <v>0</v>
          </cell>
          <cell r="T39">
            <v>1903.6369999999999</v>
          </cell>
          <cell r="U39">
            <v>1903.6369999999999</v>
          </cell>
          <cell r="V39">
            <v>0</v>
          </cell>
          <cell r="W39">
            <v>1726.652</v>
          </cell>
          <cell r="X39">
            <v>1726.652</v>
          </cell>
          <cell r="Y39">
            <v>0</v>
          </cell>
          <cell r="Z39">
            <v>0</v>
          </cell>
          <cell r="AA39">
            <v>0</v>
          </cell>
          <cell r="AE39">
            <v>1935</v>
          </cell>
          <cell r="AF39">
            <v>3767.7451000000001</v>
          </cell>
          <cell r="AG39">
            <v>3767.7451000000001</v>
          </cell>
          <cell r="AH39">
            <v>0</v>
          </cell>
        </row>
        <row r="40">
          <cell r="B40">
            <v>8.2621000000000002</v>
          </cell>
          <cell r="C40">
            <v>8.2621000000000002</v>
          </cell>
          <cell r="D40">
            <v>0</v>
          </cell>
          <cell r="E40">
            <v>8.2518999999999991</v>
          </cell>
          <cell r="F40">
            <v>8.2518999999999991</v>
          </cell>
          <cell r="G40">
            <v>0</v>
          </cell>
          <cell r="H40">
            <v>6.1977000000000002</v>
          </cell>
          <cell r="I40">
            <v>6.1977000000000002</v>
          </cell>
          <cell r="J40">
            <v>0</v>
          </cell>
          <cell r="K40">
            <v>36.301400000000001</v>
          </cell>
          <cell r="L40">
            <v>36.301400000000001</v>
          </cell>
          <cell r="M40">
            <v>0</v>
          </cell>
          <cell r="N40">
            <v>1.1819999999999999</v>
          </cell>
          <cell r="O40">
            <v>1.1819999999999999</v>
          </cell>
          <cell r="P40">
            <v>0</v>
          </cell>
          <cell r="Q40">
            <v>75.183899999999994</v>
          </cell>
          <cell r="R40">
            <v>75.183899999999994</v>
          </cell>
          <cell r="S40">
            <v>0</v>
          </cell>
          <cell r="T40">
            <v>1868.59</v>
          </cell>
          <cell r="U40">
            <v>1868.59</v>
          </cell>
          <cell r="V40">
            <v>0</v>
          </cell>
          <cell r="W40">
            <v>1726.462</v>
          </cell>
          <cell r="X40">
            <v>1726.462</v>
          </cell>
          <cell r="Y40">
            <v>0</v>
          </cell>
          <cell r="Z40">
            <v>0</v>
          </cell>
          <cell r="AA40">
            <v>0</v>
          </cell>
          <cell r="AE40">
            <v>1936</v>
          </cell>
          <cell r="AF40">
            <v>3730.4309999999996</v>
          </cell>
          <cell r="AG40">
            <v>3730.4309999999996</v>
          </cell>
          <cell r="AH40">
            <v>0</v>
          </cell>
        </row>
        <row r="41">
          <cell r="B41">
            <v>8.2202000000000002</v>
          </cell>
          <cell r="C41">
            <v>8.2202000000000002</v>
          </cell>
          <cell r="D41">
            <v>0</v>
          </cell>
          <cell r="E41">
            <v>8.2181999999999995</v>
          </cell>
          <cell r="F41">
            <v>8.2181999999999995</v>
          </cell>
          <cell r="G41">
            <v>0</v>
          </cell>
          <cell r="H41">
            <v>6.1650999999999998</v>
          </cell>
          <cell r="I41">
            <v>6.1650999999999998</v>
          </cell>
          <cell r="J41">
            <v>0</v>
          </cell>
          <cell r="K41">
            <v>35.625399999999999</v>
          </cell>
          <cell r="L41">
            <v>35.625399999999999</v>
          </cell>
          <cell r="M41">
            <v>0</v>
          </cell>
          <cell r="N41">
            <v>1.1758</v>
          </cell>
          <cell r="O41">
            <v>1.1758</v>
          </cell>
          <cell r="P41">
            <v>0</v>
          </cell>
          <cell r="Q41">
            <v>74.083200000000005</v>
          </cell>
          <cell r="R41">
            <v>74.083200000000005</v>
          </cell>
          <cell r="S41">
            <v>0</v>
          </cell>
          <cell r="T41">
            <v>1834.2950000000001</v>
          </cell>
          <cell r="U41">
            <v>1834.2950000000001</v>
          </cell>
          <cell r="V41">
            <v>0</v>
          </cell>
          <cell r="W41">
            <v>1726.2539999999999</v>
          </cell>
          <cell r="X41">
            <v>1726.2539999999999</v>
          </cell>
          <cell r="Y41">
            <v>0</v>
          </cell>
          <cell r="Z41">
            <v>0</v>
          </cell>
          <cell r="AA41">
            <v>0</v>
          </cell>
          <cell r="AE41">
            <v>1937</v>
          </cell>
          <cell r="AF41">
            <v>3694.0369000000001</v>
          </cell>
          <cell r="AG41">
            <v>3694.0369000000001</v>
          </cell>
          <cell r="AH41">
            <v>0</v>
          </cell>
        </row>
        <row r="42">
          <cell r="B42">
            <v>8.1714000000000002</v>
          </cell>
          <cell r="C42">
            <v>8.1714000000000002</v>
          </cell>
          <cell r="D42">
            <v>0</v>
          </cell>
          <cell r="E42">
            <v>8.1778999999999993</v>
          </cell>
          <cell r="F42">
            <v>8.1778999999999993</v>
          </cell>
          <cell r="G42">
            <v>0</v>
          </cell>
          <cell r="H42">
            <v>6.1269</v>
          </cell>
          <cell r="I42">
            <v>6.1269</v>
          </cell>
          <cell r="J42">
            <v>0</v>
          </cell>
          <cell r="K42">
            <v>35.073500000000003</v>
          </cell>
          <cell r="L42">
            <v>35.073500000000003</v>
          </cell>
          <cell r="M42">
            <v>0</v>
          </cell>
          <cell r="N42">
            <v>1.1686000000000001</v>
          </cell>
          <cell r="O42">
            <v>1.1686000000000001</v>
          </cell>
          <cell r="P42">
            <v>0</v>
          </cell>
          <cell r="Q42">
            <v>73.009600000000006</v>
          </cell>
          <cell r="R42">
            <v>73.009600000000006</v>
          </cell>
          <cell r="S42">
            <v>0</v>
          </cell>
          <cell r="T42">
            <v>1800.7460000000001</v>
          </cell>
          <cell r="U42">
            <v>1800.7460000000001</v>
          </cell>
          <cell r="V42">
            <v>0</v>
          </cell>
          <cell r="W42">
            <v>1726.027</v>
          </cell>
          <cell r="X42">
            <v>1726.027</v>
          </cell>
          <cell r="Y42">
            <v>0</v>
          </cell>
          <cell r="Z42">
            <v>0</v>
          </cell>
          <cell r="AA42">
            <v>0</v>
          </cell>
          <cell r="AE42">
            <v>1938</v>
          </cell>
          <cell r="AF42">
            <v>3658.5009</v>
          </cell>
          <cell r="AG42">
            <v>3658.5009</v>
          </cell>
          <cell r="AH42">
            <v>0</v>
          </cell>
        </row>
        <row r="43">
          <cell r="B43">
            <v>8.1170000000000009</v>
          </cell>
          <cell r="C43">
            <v>8.1170000000000009</v>
          </cell>
          <cell r="D43">
            <v>0</v>
          </cell>
          <cell r="E43">
            <v>8.1319999999999997</v>
          </cell>
          <cell r="F43">
            <v>8.1319999999999997</v>
          </cell>
          <cell r="G43">
            <v>0</v>
          </cell>
          <cell r="H43">
            <v>6.0841000000000003</v>
          </cell>
          <cell r="I43">
            <v>6.0841000000000003</v>
          </cell>
          <cell r="J43">
            <v>0</v>
          </cell>
          <cell r="K43">
            <v>34.607900000000001</v>
          </cell>
          <cell r="L43">
            <v>34.607900000000001</v>
          </cell>
          <cell r="M43">
            <v>0</v>
          </cell>
          <cell r="N43">
            <v>1.1604000000000001</v>
          </cell>
          <cell r="O43">
            <v>1.1604000000000001</v>
          </cell>
          <cell r="P43">
            <v>0</v>
          </cell>
          <cell r="Q43">
            <v>71.957899999999995</v>
          </cell>
          <cell r="R43">
            <v>71.957899999999995</v>
          </cell>
          <cell r="S43">
            <v>0</v>
          </cell>
          <cell r="T43">
            <v>1767.9349999999999</v>
          </cell>
          <cell r="U43">
            <v>1767.9349999999999</v>
          </cell>
          <cell r="V43">
            <v>0</v>
          </cell>
          <cell r="W43">
            <v>1725.7819999999999</v>
          </cell>
          <cell r="X43">
            <v>1725.7819999999999</v>
          </cell>
          <cell r="Y43">
            <v>0</v>
          </cell>
          <cell r="Z43">
            <v>0</v>
          </cell>
          <cell r="AA43">
            <v>0</v>
          </cell>
          <cell r="AE43">
            <v>1939</v>
          </cell>
          <cell r="AF43">
            <v>3623.7762999999995</v>
          </cell>
          <cell r="AG43">
            <v>3623.7762999999995</v>
          </cell>
          <cell r="AH43">
            <v>0</v>
          </cell>
        </row>
        <row r="44">
          <cell r="B44">
            <v>8.0579999999999998</v>
          </cell>
          <cell r="C44">
            <v>8.0579999999999998</v>
          </cell>
          <cell r="D44">
            <v>0</v>
          </cell>
          <cell r="E44">
            <v>8.0815000000000001</v>
          </cell>
          <cell r="F44">
            <v>8.0815000000000001</v>
          </cell>
          <cell r="G44">
            <v>0</v>
          </cell>
          <cell r="H44">
            <v>6.0374999999999996</v>
          </cell>
          <cell r="I44">
            <v>6.0374999999999996</v>
          </cell>
          <cell r="J44">
            <v>0</v>
          </cell>
          <cell r="K44">
            <v>34.201500000000003</v>
          </cell>
          <cell r="L44">
            <v>34.201500000000003</v>
          </cell>
          <cell r="M44">
            <v>0</v>
          </cell>
          <cell r="N44">
            <v>1.1516</v>
          </cell>
          <cell r="O44">
            <v>1.1516</v>
          </cell>
          <cell r="P44">
            <v>0</v>
          </cell>
          <cell r="Q44">
            <v>70.924700000000001</v>
          </cell>
          <cell r="R44">
            <v>70.924700000000001</v>
          </cell>
          <cell r="S44">
            <v>0</v>
          </cell>
          <cell r="T44">
            <v>1735.846</v>
          </cell>
          <cell r="U44">
            <v>1735.846</v>
          </cell>
          <cell r="V44">
            <v>0</v>
          </cell>
          <cell r="W44">
            <v>1725.52</v>
          </cell>
          <cell r="X44">
            <v>1725.52</v>
          </cell>
          <cell r="Y44">
            <v>0</v>
          </cell>
          <cell r="Z44">
            <v>0</v>
          </cell>
          <cell r="AA44">
            <v>0</v>
          </cell>
          <cell r="AE44">
            <v>1940</v>
          </cell>
          <cell r="AF44">
            <v>3589.8208</v>
          </cell>
          <cell r="AG44">
            <v>3589.8208</v>
          </cell>
          <cell r="AH44">
            <v>0</v>
          </cell>
        </row>
        <row r="45">
          <cell r="B45">
            <v>7.9953000000000003</v>
          </cell>
          <cell r="C45">
            <v>7.9953000000000003</v>
          </cell>
          <cell r="D45">
            <v>0</v>
          </cell>
          <cell r="E45">
            <v>8.0273000000000003</v>
          </cell>
          <cell r="F45">
            <v>8.0273000000000003</v>
          </cell>
          <cell r="G45">
            <v>0</v>
          </cell>
          <cell r="H45">
            <v>5.9878999999999998</v>
          </cell>
          <cell r="I45">
            <v>5.9878999999999998</v>
          </cell>
          <cell r="J45">
            <v>0</v>
          </cell>
          <cell r="K45">
            <v>33.834899999999998</v>
          </cell>
          <cell r="L45">
            <v>33.834899999999998</v>
          </cell>
          <cell r="M45">
            <v>0</v>
          </cell>
          <cell r="N45">
            <v>1.1420999999999999</v>
          </cell>
          <cell r="O45">
            <v>1.1420999999999999</v>
          </cell>
          <cell r="P45">
            <v>0</v>
          </cell>
          <cell r="Q45">
            <v>69.907600000000002</v>
          </cell>
          <cell r="R45">
            <v>69.907600000000002</v>
          </cell>
          <cell r="S45">
            <v>0</v>
          </cell>
          <cell r="T45">
            <v>1704.4649999999999</v>
          </cell>
          <cell r="U45">
            <v>1704.4649999999999</v>
          </cell>
          <cell r="V45">
            <v>0</v>
          </cell>
          <cell r="W45">
            <v>1725.241</v>
          </cell>
          <cell r="X45">
            <v>1725.241</v>
          </cell>
          <cell r="Y45">
            <v>0</v>
          </cell>
          <cell r="Z45">
            <v>0</v>
          </cell>
          <cell r="AA45">
            <v>0</v>
          </cell>
          <cell r="AE45">
            <v>1941</v>
          </cell>
          <cell r="AF45">
            <v>3556.6010999999999</v>
          </cell>
          <cell r="AG45">
            <v>3556.6010999999999</v>
          </cell>
          <cell r="AH45">
            <v>0</v>
          </cell>
        </row>
        <row r="46">
          <cell r="B46">
            <v>7.9297000000000004</v>
          </cell>
          <cell r="C46">
            <v>7.9297000000000004</v>
          </cell>
          <cell r="D46">
            <v>0</v>
          </cell>
          <cell r="E46">
            <v>7.97</v>
          </cell>
          <cell r="F46">
            <v>7.97</v>
          </cell>
          <cell r="G46">
            <v>0</v>
          </cell>
          <cell r="H46">
            <v>5.9358000000000004</v>
          </cell>
          <cell r="I46">
            <v>5.9358000000000004</v>
          </cell>
          <cell r="J46">
            <v>0</v>
          </cell>
          <cell r="K46">
            <v>33.494500000000002</v>
          </cell>
          <cell r="L46">
            <v>33.494500000000002</v>
          </cell>
          <cell r="M46">
            <v>0</v>
          </cell>
          <cell r="N46">
            <v>1.1322000000000001</v>
          </cell>
          <cell r="O46">
            <v>1.1322000000000001</v>
          </cell>
          <cell r="P46">
            <v>0</v>
          </cell>
          <cell r="Q46">
            <v>68.9054</v>
          </cell>
          <cell r="R46">
            <v>68.9054</v>
          </cell>
          <cell r="S46">
            <v>0</v>
          </cell>
          <cell r="T46">
            <v>1673.7729999999999</v>
          </cell>
          <cell r="U46">
            <v>1673.7729999999999</v>
          </cell>
          <cell r="V46">
            <v>0</v>
          </cell>
          <cell r="W46">
            <v>1724.943</v>
          </cell>
          <cell r="X46">
            <v>1724.943</v>
          </cell>
          <cell r="Y46">
            <v>0</v>
          </cell>
          <cell r="Z46">
            <v>0</v>
          </cell>
          <cell r="AA46">
            <v>0</v>
          </cell>
          <cell r="AE46">
            <v>1942</v>
          </cell>
          <cell r="AF46">
            <v>3524.0835999999999</v>
          </cell>
          <cell r="AG46">
            <v>3524.0835999999999</v>
          </cell>
          <cell r="AH46">
            <v>0</v>
          </cell>
        </row>
        <row r="47">
          <cell r="B47">
            <v>7.8617999999999997</v>
          </cell>
          <cell r="C47">
            <v>7.8617999999999997</v>
          </cell>
          <cell r="D47">
            <v>0</v>
          </cell>
          <cell r="E47">
            <v>7.9101999999999997</v>
          </cell>
          <cell r="F47">
            <v>7.9101999999999997</v>
          </cell>
          <cell r="G47">
            <v>0</v>
          </cell>
          <cell r="H47">
            <v>5.8818999999999999</v>
          </cell>
          <cell r="I47">
            <v>5.8818999999999999</v>
          </cell>
          <cell r="J47">
            <v>0</v>
          </cell>
          <cell r="K47">
            <v>33.1708</v>
          </cell>
          <cell r="L47">
            <v>33.1708</v>
          </cell>
          <cell r="M47">
            <v>0</v>
          </cell>
          <cell r="N47">
            <v>1.1220000000000001</v>
          </cell>
          <cell r="O47">
            <v>1.1220000000000001</v>
          </cell>
          <cell r="P47">
            <v>0</v>
          </cell>
          <cell r="Q47">
            <v>67.916899999999998</v>
          </cell>
          <cell r="R47">
            <v>67.916899999999998</v>
          </cell>
          <cell r="S47">
            <v>0</v>
          </cell>
          <cell r="T47">
            <v>1643.7539999999999</v>
          </cell>
          <cell r="U47">
            <v>1643.7539999999999</v>
          </cell>
          <cell r="V47">
            <v>0</v>
          </cell>
          <cell r="W47">
            <v>1724.6289999999999</v>
          </cell>
          <cell r="X47">
            <v>1724.6289999999999</v>
          </cell>
          <cell r="Y47">
            <v>0</v>
          </cell>
          <cell r="Z47">
            <v>0</v>
          </cell>
          <cell r="AA47">
            <v>0</v>
          </cell>
          <cell r="AE47">
            <v>1943</v>
          </cell>
          <cell r="AF47">
            <v>3492.2465999999995</v>
          </cell>
          <cell r="AG47">
            <v>3492.2465999999995</v>
          </cell>
          <cell r="AH47">
            <v>0</v>
          </cell>
        </row>
        <row r="48">
          <cell r="B48">
            <v>7.7920999999999996</v>
          </cell>
          <cell r="C48">
            <v>7.7920999999999996</v>
          </cell>
          <cell r="D48">
            <v>0</v>
          </cell>
          <cell r="E48">
            <v>7.8483999999999998</v>
          </cell>
          <cell r="F48">
            <v>7.8483999999999998</v>
          </cell>
          <cell r="G48">
            <v>0</v>
          </cell>
          <cell r="H48">
            <v>5.8265000000000002</v>
          </cell>
          <cell r="I48">
            <v>5.8265000000000002</v>
          </cell>
          <cell r="J48">
            <v>0</v>
          </cell>
          <cell r="K48">
            <v>32.857300000000002</v>
          </cell>
          <cell r="L48">
            <v>32.857300000000002</v>
          </cell>
          <cell r="M48">
            <v>0</v>
          </cell>
          <cell r="N48">
            <v>1.1113999999999999</v>
          </cell>
          <cell r="O48">
            <v>1.1113999999999999</v>
          </cell>
          <cell r="P48">
            <v>0</v>
          </cell>
          <cell r="Q48">
            <v>66.941999999999993</v>
          </cell>
          <cell r="R48">
            <v>66.941999999999993</v>
          </cell>
          <cell r="S48">
            <v>0</v>
          </cell>
          <cell r="T48">
            <v>1614.3879999999999</v>
          </cell>
          <cell r="U48">
            <v>1614.3879999999999</v>
          </cell>
          <cell r="V48">
            <v>0</v>
          </cell>
          <cell r="W48">
            <v>1724.298</v>
          </cell>
          <cell r="X48">
            <v>1724.298</v>
          </cell>
          <cell r="Y48">
            <v>0</v>
          </cell>
          <cell r="Z48">
            <v>0</v>
          </cell>
          <cell r="AA48">
            <v>0</v>
          </cell>
          <cell r="AE48">
            <v>1944</v>
          </cell>
          <cell r="AF48">
            <v>3461.0636999999997</v>
          </cell>
          <cell r="AG48">
            <v>3461.0636999999997</v>
          </cell>
          <cell r="AH48">
            <v>0</v>
          </cell>
        </row>
        <row r="49">
          <cell r="B49">
            <v>7.7210999999999999</v>
          </cell>
          <cell r="C49">
            <v>7.7210999999999999</v>
          </cell>
          <cell r="D49">
            <v>0</v>
          </cell>
          <cell r="E49">
            <v>7.7850000000000001</v>
          </cell>
          <cell r="F49">
            <v>7.7850000000000001</v>
          </cell>
          <cell r="G49">
            <v>0</v>
          </cell>
          <cell r="H49">
            <v>5.77</v>
          </cell>
          <cell r="I49">
            <v>5.77</v>
          </cell>
          <cell r="J49">
            <v>0</v>
          </cell>
          <cell r="K49">
            <v>32.549700000000001</v>
          </cell>
          <cell r="L49">
            <v>32.549700000000001</v>
          </cell>
          <cell r="M49">
            <v>0</v>
          </cell>
          <cell r="N49">
            <v>1.1007</v>
          </cell>
          <cell r="O49">
            <v>1.1007</v>
          </cell>
          <cell r="P49">
            <v>0</v>
          </cell>
          <cell r="Q49">
            <v>65.9803</v>
          </cell>
          <cell r="R49">
            <v>65.9803</v>
          </cell>
          <cell r="S49">
            <v>0</v>
          </cell>
          <cell r="T49">
            <v>1585.6590000000001</v>
          </cell>
          <cell r="U49">
            <v>1585.6590000000001</v>
          </cell>
          <cell r="V49">
            <v>0</v>
          </cell>
          <cell r="W49">
            <v>1723.953</v>
          </cell>
          <cell r="X49">
            <v>1723.953</v>
          </cell>
          <cell r="Y49">
            <v>0</v>
          </cell>
          <cell r="Z49">
            <v>0</v>
          </cell>
          <cell r="AA49">
            <v>0</v>
          </cell>
          <cell r="AE49">
            <v>1945</v>
          </cell>
          <cell r="AF49">
            <v>3430.5187999999998</v>
          </cell>
          <cell r="AG49">
            <v>3430.5187999999998</v>
          </cell>
          <cell r="AH49">
            <v>0</v>
          </cell>
        </row>
        <row r="50">
          <cell r="B50">
            <v>7.6492000000000004</v>
          </cell>
          <cell r="C50">
            <v>7.6492000000000004</v>
          </cell>
          <cell r="D50">
            <v>0</v>
          </cell>
          <cell r="E50">
            <v>7.7202999999999999</v>
          </cell>
          <cell r="F50">
            <v>7.7202999999999999</v>
          </cell>
          <cell r="G50">
            <v>0</v>
          </cell>
          <cell r="H50">
            <v>5.7126999999999999</v>
          </cell>
          <cell r="I50">
            <v>5.7126999999999999</v>
          </cell>
          <cell r="J50">
            <v>0</v>
          </cell>
          <cell r="K50">
            <v>32.2453</v>
          </cell>
          <cell r="L50">
            <v>32.2453</v>
          </cell>
          <cell r="M50">
            <v>0</v>
          </cell>
          <cell r="N50">
            <v>1.0898000000000001</v>
          </cell>
          <cell r="O50">
            <v>1.0898000000000001</v>
          </cell>
          <cell r="P50">
            <v>0</v>
          </cell>
          <cell r="Q50">
            <v>65.031700000000001</v>
          </cell>
          <cell r="R50">
            <v>65.031700000000001</v>
          </cell>
          <cell r="S50">
            <v>0</v>
          </cell>
          <cell r="T50">
            <v>1557.5519999999999</v>
          </cell>
          <cell r="U50">
            <v>1557.5519999999999</v>
          </cell>
          <cell r="V50">
            <v>0</v>
          </cell>
          <cell r="W50">
            <v>1723.59</v>
          </cell>
          <cell r="X50">
            <v>1723.59</v>
          </cell>
          <cell r="Y50">
            <v>0</v>
          </cell>
          <cell r="Z50">
            <v>0</v>
          </cell>
          <cell r="AA50">
            <v>0</v>
          </cell>
          <cell r="AE50">
            <v>1946</v>
          </cell>
          <cell r="AF50">
            <v>3400.5909999999999</v>
          </cell>
          <cell r="AG50">
            <v>3400.5909999999999</v>
          </cell>
          <cell r="AH50">
            <v>0</v>
          </cell>
        </row>
        <row r="51">
          <cell r="B51">
            <v>7.5765000000000002</v>
          </cell>
          <cell r="C51">
            <v>7.5765000000000002</v>
          </cell>
          <cell r="D51">
            <v>0</v>
          </cell>
          <cell r="E51">
            <v>7.6547000000000001</v>
          </cell>
          <cell r="F51">
            <v>7.6547000000000001</v>
          </cell>
          <cell r="G51">
            <v>0</v>
          </cell>
          <cell r="H51">
            <v>5.6547999999999998</v>
          </cell>
          <cell r="I51">
            <v>5.6547999999999998</v>
          </cell>
          <cell r="J51">
            <v>0</v>
          </cell>
          <cell r="K51">
            <v>31.942399999999999</v>
          </cell>
          <cell r="L51">
            <v>31.942399999999999</v>
          </cell>
          <cell r="M51">
            <v>0</v>
          </cell>
          <cell r="N51">
            <v>1.0788</v>
          </cell>
          <cell r="O51">
            <v>1.0788</v>
          </cell>
          <cell r="P51">
            <v>0</v>
          </cell>
          <cell r="Q51">
            <v>64.096400000000003</v>
          </cell>
          <cell r="R51">
            <v>64.096400000000003</v>
          </cell>
          <cell r="S51">
            <v>0</v>
          </cell>
          <cell r="T51">
            <v>1530.047</v>
          </cell>
          <cell r="U51">
            <v>1530.047</v>
          </cell>
          <cell r="V51">
            <v>0</v>
          </cell>
          <cell r="W51">
            <v>1723.2139999999999</v>
          </cell>
          <cell r="X51">
            <v>1723.2139999999999</v>
          </cell>
          <cell r="Y51">
            <v>0</v>
          </cell>
          <cell r="Z51">
            <v>0</v>
          </cell>
          <cell r="AA51">
            <v>0</v>
          </cell>
          <cell r="AE51">
            <v>1947</v>
          </cell>
          <cell r="AF51">
            <v>3371.2646</v>
          </cell>
          <cell r="AG51">
            <v>3371.2646</v>
          </cell>
          <cell r="AH51">
            <v>0</v>
          </cell>
        </row>
        <row r="52">
          <cell r="B52">
            <v>7.5034000000000001</v>
          </cell>
          <cell r="C52">
            <v>7.5034000000000001</v>
          </cell>
          <cell r="D52">
            <v>0</v>
          </cell>
          <cell r="E52">
            <v>7.5884</v>
          </cell>
          <cell r="F52">
            <v>7.5884</v>
          </cell>
          <cell r="G52">
            <v>0</v>
          </cell>
          <cell r="H52">
            <v>5.5964999999999998</v>
          </cell>
          <cell r="I52">
            <v>5.5964999999999998</v>
          </cell>
          <cell r="J52">
            <v>0</v>
          </cell>
          <cell r="K52">
            <v>31.639900000000001</v>
          </cell>
          <cell r="L52">
            <v>31.639900000000001</v>
          </cell>
          <cell r="M52">
            <v>0</v>
          </cell>
          <cell r="N52">
            <v>1.0677000000000001</v>
          </cell>
          <cell r="O52">
            <v>1.0677000000000001</v>
          </cell>
          <cell r="P52">
            <v>0</v>
          </cell>
          <cell r="Q52">
            <v>63.174399999999999</v>
          </cell>
          <cell r="R52">
            <v>63.174399999999999</v>
          </cell>
          <cell r="S52">
            <v>0</v>
          </cell>
          <cell r="T52">
            <v>1503.1310000000001</v>
          </cell>
          <cell r="U52">
            <v>1503.1310000000001</v>
          </cell>
          <cell r="V52">
            <v>0</v>
          </cell>
          <cell r="W52">
            <v>1722.8219999999999</v>
          </cell>
          <cell r="X52">
            <v>1722.8219999999999</v>
          </cell>
          <cell r="Y52">
            <v>0</v>
          </cell>
          <cell r="Z52">
            <v>0</v>
          </cell>
          <cell r="AA52">
            <v>0</v>
          </cell>
          <cell r="AE52">
            <v>1948</v>
          </cell>
          <cell r="AF52">
            <v>3342.5232999999998</v>
          </cell>
          <cell r="AG52">
            <v>3342.5232999999998</v>
          </cell>
          <cell r="AH52">
            <v>0</v>
          </cell>
        </row>
        <row r="53">
          <cell r="A53">
            <v>1949</v>
          </cell>
          <cell r="B53">
            <v>7.4301000000000004</v>
          </cell>
          <cell r="C53">
            <v>7.4301000000000004</v>
          </cell>
          <cell r="D53">
            <v>0</v>
          </cell>
          <cell r="E53">
            <v>7.5214999999999996</v>
          </cell>
          <cell r="F53">
            <v>7.5214999999999996</v>
          </cell>
          <cell r="G53">
            <v>0</v>
          </cell>
          <cell r="H53">
            <v>5.5380000000000003</v>
          </cell>
          <cell r="I53">
            <v>5.5380000000000003</v>
          </cell>
          <cell r="J53">
            <v>0</v>
          </cell>
          <cell r="K53">
            <v>31.337299999999999</v>
          </cell>
          <cell r="L53">
            <v>31.337299999999999</v>
          </cell>
          <cell r="M53">
            <v>0</v>
          </cell>
          <cell r="N53">
            <v>1.0566</v>
          </cell>
          <cell r="O53">
            <v>1.0566</v>
          </cell>
          <cell r="P53">
            <v>0</v>
          </cell>
          <cell r="Q53">
            <v>62.265599999999999</v>
          </cell>
          <cell r="R53">
            <v>62.265599999999999</v>
          </cell>
          <cell r="S53">
            <v>0</v>
          </cell>
          <cell r="T53">
            <v>1476.7850000000001</v>
          </cell>
          <cell r="U53">
            <v>1476.7850000000001</v>
          </cell>
          <cell r="V53">
            <v>0</v>
          </cell>
          <cell r="W53">
            <v>1722.4169999999999</v>
          </cell>
          <cell r="X53">
            <v>1722.4169999999999</v>
          </cell>
          <cell r="Y53">
            <v>0</v>
          </cell>
          <cell r="Z53">
            <v>0</v>
          </cell>
          <cell r="AA53">
            <v>0</v>
          </cell>
          <cell r="AE53">
            <v>1949</v>
          </cell>
          <cell r="AF53">
            <v>3314.3510999999999</v>
          </cell>
          <cell r="AG53">
            <v>3314.3510999999999</v>
          </cell>
          <cell r="AH53">
            <v>0</v>
          </cell>
        </row>
        <row r="54">
          <cell r="A54">
            <v>1950</v>
          </cell>
          <cell r="B54">
            <v>7.3567</v>
          </cell>
          <cell r="C54">
            <v>7.3567</v>
          </cell>
          <cell r="D54">
            <v>0</v>
          </cell>
          <cell r="E54">
            <v>7.4542999999999999</v>
          </cell>
          <cell r="F54">
            <v>7.4542999999999999</v>
          </cell>
          <cell r="G54">
            <v>0</v>
          </cell>
          <cell r="H54">
            <v>5.4794</v>
          </cell>
          <cell r="I54">
            <v>5.4794</v>
          </cell>
          <cell r="J54">
            <v>0</v>
          </cell>
          <cell r="K54">
            <v>31.034500000000001</v>
          </cell>
          <cell r="L54">
            <v>31.034500000000001</v>
          </cell>
          <cell r="M54">
            <v>0</v>
          </cell>
          <cell r="N54">
            <v>1.0455000000000001</v>
          </cell>
          <cell r="O54">
            <v>1.0455000000000001</v>
          </cell>
          <cell r="P54">
            <v>0</v>
          </cell>
          <cell r="Q54">
            <v>61.370199999999997</v>
          </cell>
          <cell r="R54">
            <v>61.370199999999997</v>
          </cell>
          <cell r="S54">
            <v>0</v>
          </cell>
          <cell r="T54">
            <v>1450.9960000000001</v>
          </cell>
          <cell r="U54">
            <v>1450.9960000000001</v>
          </cell>
          <cell r="V54">
            <v>0</v>
          </cell>
          <cell r="W54">
            <v>1721.9949999999999</v>
          </cell>
          <cell r="X54">
            <v>1721.9949999999999</v>
          </cell>
          <cell r="Y54">
            <v>0</v>
          </cell>
          <cell r="Z54">
            <v>0</v>
          </cell>
          <cell r="AA54">
            <v>0</v>
          </cell>
          <cell r="AE54">
            <v>1950</v>
          </cell>
          <cell r="AF54">
            <v>3286.7316000000001</v>
          </cell>
          <cell r="AG54">
            <v>3286.7316000000001</v>
          </cell>
          <cell r="AH54">
            <v>0</v>
          </cell>
        </row>
        <row r="55">
          <cell r="A55">
            <v>1951</v>
          </cell>
          <cell r="B55">
            <v>7.2832999999999997</v>
          </cell>
          <cell r="C55">
            <v>7.2832999999999997</v>
          </cell>
          <cell r="D55">
            <v>0</v>
          </cell>
          <cell r="E55">
            <v>7.3868</v>
          </cell>
          <cell r="F55">
            <v>7.3868</v>
          </cell>
          <cell r="G55">
            <v>0</v>
          </cell>
          <cell r="H55">
            <v>5.4208999999999996</v>
          </cell>
          <cell r="I55">
            <v>5.4208999999999996</v>
          </cell>
          <cell r="J55">
            <v>0</v>
          </cell>
          <cell r="K55">
            <v>30.7315</v>
          </cell>
          <cell r="L55">
            <v>30.7315</v>
          </cell>
          <cell r="M55">
            <v>0</v>
          </cell>
          <cell r="N55">
            <v>1.0343</v>
          </cell>
          <cell r="O55">
            <v>1.0343</v>
          </cell>
          <cell r="P55">
            <v>0</v>
          </cell>
          <cell r="Q55">
            <v>60.488199999999999</v>
          </cell>
          <cell r="R55">
            <v>60.488199999999999</v>
          </cell>
          <cell r="S55">
            <v>0</v>
          </cell>
          <cell r="T55">
            <v>1425.75</v>
          </cell>
          <cell r="U55">
            <v>1425.75</v>
          </cell>
          <cell r="V55">
            <v>0</v>
          </cell>
          <cell r="W55">
            <v>1721.56</v>
          </cell>
          <cell r="X55">
            <v>1721.56</v>
          </cell>
          <cell r="Y55">
            <v>0</v>
          </cell>
          <cell r="Z55">
            <v>0</v>
          </cell>
          <cell r="AA55">
            <v>0</v>
          </cell>
          <cell r="AE55">
            <v>1951</v>
          </cell>
          <cell r="AF55">
            <v>3259.6549999999997</v>
          </cell>
          <cell r="AG55">
            <v>3259.6549999999997</v>
          </cell>
          <cell r="AH55">
            <v>0</v>
          </cell>
        </row>
        <row r="56">
          <cell r="A56">
            <v>1952</v>
          </cell>
          <cell r="B56">
            <v>7.21</v>
          </cell>
          <cell r="C56">
            <v>7.21</v>
          </cell>
          <cell r="D56">
            <v>0</v>
          </cell>
          <cell r="E56">
            <v>7.3192000000000004</v>
          </cell>
          <cell r="F56">
            <v>7.3192000000000004</v>
          </cell>
          <cell r="G56">
            <v>0</v>
          </cell>
          <cell r="H56">
            <v>5.3624999999999998</v>
          </cell>
          <cell r="I56">
            <v>5.3624999999999998</v>
          </cell>
          <cell r="J56">
            <v>0</v>
          </cell>
          <cell r="K56">
            <v>30.4284</v>
          </cell>
          <cell r="L56">
            <v>30.4284</v>
          </cell>
          <cell r="M56">
            <v>0</v>
          </cell>
          <cell r="N56">
            <v>1.0233000000000001</v>
          </cell>
          <cell r="O56">
            <v>1.0233000000000001</v>
          </cell>
          <cell r="P56">
            <v>0</v>
          </cell>
          <cell r="Q56">
            <v>59.619599999999998</v>
          </cell>
          <cell r="R56">
            <v>59.619599999999998</v>
          </cell>
          <cell r="S56">
            <v>0</v>
          </cell>
          <cell r="T56">
            <v>1401.03</v>
          </cell>
          <cell r="U56">
            <v>1401.03</v>
          </cell>
          <cell r="V56">
            <v>0</v>
          </cell>
          <cell r="W56">
            <v>1721.11</v>
          </cell>
          <cell r="X56">
            <v>1721.11</v>
          </cell>
          <cell r="Y56">
            <v>0</v>
          </cell>
          <cell r="Z56">
            <v>0</v>
          </cell>
          <cell r="AA56">
            <v>0</v>
          </cell>
          <cell r="AE56">
            <v>1952</v>
          </cell>
          <cell r="AF56">
            <v>3233.1030000000001</v>
          </cell>
          <cell r="AG56">
            <v>3233.1030000000001</v>
          </cell>
          <cell r="AH56">
            <v>0</v>
          </cell>
        </row>
        <row r="57">
          <cell r="A57">
            <v>1953</v>
          </cell>
          <cell r="B57">
            <v>7.1369999999999996</v>
          </cell>
          <cell r="C57">
            <v>7.1369999999999996</v>
          </cell>
          <cell r="D57">
            <v>0</v>
          </cell>
          <cell r="E57">
            <v>7.2515999999999998</v>
          </cell>
          <cell r="F57">
            <v>7.2515999999999998</v>
          </cell>
          <cell r="G57">
            <v>0</v>
          </cell>
          <cell r="H57">
            <v>5.3041999999999998</v>
          </cell>
          <cell r="I57">
            <v>5.3041999999999998</v>
          </cell>
          <cell r="J57">
            <v>0</v>
          </cell>
          <cell r="K57">
            <v>30.125499999999999</v>
          </cell>
          <cell r="L57">
            <v>30.125499999999999</v>
          </cell>
          <cell r="M57">
            <v>0</v>
          </cell>
          <cell r="N57">
            <v>1.0122</v>
          </cell>
          <cell r="O57">
            <v>1.0122</v>
          </cell>
          <cell r="P57">
            <v>0</v>
          </cell>
          <cell r="Q57">
            <v>58.764400000000002</v>
          </cell>
          <cell r="R57">
            <v>58.764400000000002</v>
          </cell>
          <cell r="S57">
            <v>0</v>
          </cell>
          <cell r="T57">
            <v>1376.825</v>
          </cell>
          <cell r="U57">
            <v>1376.825</v>
          </cell>
          <cell r="V57">
            <v>0</v>
          </cell>
          <cell r="W57">
            <v>1720.646</v>
          </cell>
          <cell r="X57">
            <v>1720.646</v>
          </cell>
          <cell r="Y57">
            <v>0</v>
          </cell>
          <cell r="Z57">
            <v>0</v>
          </cell>
          <cell r="AA57">
            <v>0</v>
          </cell>
          <cell r="AE57">
            <v>1953</v>
          </cell>
          <cell r="AF57">
            <v>3207.0659000000001</v>
          </cell>
          <cell r="AG57">
            <v>3207.0659000000001</v>
          </cell>
          <cell r="AH57">
            <v>0</v>
          </cell>
        </row>
        <row r="58">
          <cell r="A58">
            <v>1954</v>
          </cell>
          <cell r="B58">
            <v>7.0643000000000002</v>
          </cell>
          <cell r="C58">
            <v>7.0643000000000002</v>
          </cell>
          <cell r="D58">
            <v>0</v>
          </cell>
          <cell r="E58">
            <v>7.1840000000000002</v>
          </cell>
          <cell r="F58">
            <v>7.1840000000000002</v>
          </cell>
          <cell r="G58">
            <v>0</v>
          </cell>
          <cell r="H58">
            <v>5.2462</v>
          </cell>
          <cell r="I58">
            <v>5.2462</v>
          </cell>
          <cell r="J58">
            <v>0</v>
          </cell>
          <cell r="K58">
            <v>29.823</v>
          </cell>
          <cell r="L58">
            <v>29.823</v>
          </cell>
          <cell r="M58">
            <v>0</v>
          </cell>
          <cell r="N58">
            <v>1.0012000000000001</v>
          </cell>
          <cell r="O58">
            <v>1.0012000000000001</v>
          </cell>
          <cell r="P58">
            <v>0</v>
          </cell>
          <cell r="Q58">
            <v>57.922499999999999</v>
          </cell>
          <cell r="R58">
            <v>57.922499999999999</v>
          </cell>
          <cell r="S58">
            <v>0</v>
          </cell>
          <cell r="T58">
            <v>1353.1220000000001</v>
          </cell>
          <cell r="U58">
            <v>1353.1220000000001</v>
          </cell>
          <cell r="V58">
            <v>0</v>
          </cell>
          <cell r="W58">
            <v>1720.1659999999999</v>
          </cell>
          <cell r="X58">
            <v>1720.1659999999999</v>
          </cell>
          <cell r="Y58">
            <v>0</v>
          </cell>
          <cell r="Z58">
            <v>0</v>
          </cell>
          <cell r="AA58">
            <v>0</v>
          </cell>
          <cell r="AE58">
            <v>1954</v>
          </cell>
          <cell r="AF58">
            <v>3181.5291999999999</v>
          </cell>
          <cell r="AG58">
            <v>3181.5291999999999</v>
          </cell>
          <cell r="AH58">
            <v>0</v>
          </cell>
        </row>
        <row r="59">
          <cell r="A59">
            <v>1955</v>
          </cell>
          <cell r="B59">
            <v>6.9919000000000002</v>
          </cell>
          <cell r="C59">
            <v>6.9919000000000002</v>
          </cell>
          <cell r="D59">
            <v>0</v>
          </cell>
          <cell r="E59">
            <v>7.1166</v>
          </cell>
          <cell r="F59">
            <v>7.1166</v>
          </cell>
          <cell r="G59">
            <v>0</v>
          </cell>
          <cell r="H59">
            <v>5.1886000000000001</v>
          </cell>
          <cell r="I59">
            <v>5.1886000000000001</v>
          </cell>
          <cell r="J59">
            <v>0</v>
          </cell>
          <cell r="K59">
            <v>29.521100000000001</v>
          </cell>
          <cell r="L59">
            <v>29.521100000000001</v>
          </cell>
          <cell r="M59">
            <v>0</v>
          </cell>
          <cell r="N59">
            <v>0.99029999999999996</v>
          </cell>
          <cell r="O59">
            <v>0.99029999999999996</v>
          </cell>
          <cell r="P59">
            <v>0</v>
          </cell>
          <cell r="Q59">
            <v>57.093899999999998</v>
          </cell>
          <cell r="R59">
            <v>57.093899999999998</v>
          </cell>
          <cell r="S59">
            <v>0</v>
          </cell>
          <cell r="T59">
            <v>1329.9069999999999</v>
          </cell>
          <cell r="U59">
            <v>1329.9069999999999</v>
          </cell>
          <cell r="V59">
            <v>0</v>
          </cell>
          <cell r="W59">
            <v>1719.672</v>
          </cell>
          <cell r="X59">
            <v>1719.672</v>
          </cell>
          <cell r="Y59">
            <v>0</v>
          </cell>
          <cell r="Z59">
            <v>0</v>
          </cell>
          <cell r="AA59">
            <v>0</v>
          </cell>
          <cell r="AE59">
            <v>1955</v>
          </cell>
          <cell r="AF59">
            <v>3156.4813999999997</v>
          </cell>
          <cell r="AG59">
            <v>3156.4813999999997</v>
          </cell>
          <cell r="AH59">
            <v>0</v>
          </cell>
        </row>
        <row r="60">
          <cell r="A60">
            <v>1956</v>
          </cell>
          <cell r="B60">
            <v>6.92</v>
          </cell>
          <cell r="C60">
            <v>6.92</v>
          </cell>
          <cell r="D60">
            <v>0</v>
          </cell>
          <cell r="E60">
            <v>7.0492999999999997</v>
          </cell>
          <cell r="F60">
            <v>7.0492999999999997</v>
          </cell>
          <cell r="G60">
            <v>0</v>
          </cell>
          <cell r="H60">
            <v>5.1311999999999998</v>
          </cell>
          <cell r="I60">
            <v>5.1311999999999998</v>
          </cell>
          <cell r="J60">
            <v>0</v>
          </cell>
          <cell r="K60">
            <v>29.220099999999999</v>
          </cell>
          <cell r="L60">
            <v>29.220099999999999</v>
          </cell>
          <cell r="M60">
            <v>0</v>
          </cell>
          <cell r="N60">
            <v>0.97950000000000004</v>
          </cell>
          <cell r="O60">
            <v>0.97950000000000004</v>
          </cell>
          <cell r="P60">
            <v>0</v>
          </cell>
          <cell r="Q60">
            <v>56.278500000000001</v>
          </cell>
          <cell r="R60">
            <v>56.278500000000001</v>
          </cell>
          <cell r="S60">
            <v>0</v>
          </cell>
          <cell r="T60">
            <v>1307.17</v>
          </cell>
          <cell r="U60">
            <v>1307.17</v>
          </cell>
          <cell r="V60">
            <v>0</v>
          </cell>
          <cell r="W60">
            <v>1719.1669999999999</v>
          </cell>
          <cell r="X60">
            <v>1719.1669999999999</v>
          </cell>
          <cell r="Y60">
            <v>0</v>
          </cell>
          <cell r="Z60">
            <v>0</v>
          </cell>
          <cell r="AA60">
            <v>0</v>
          </cell>
          <cell r="AE60">
            <v>1956</v>
          </cell>
          <cell r="AF60">
            <v>3131.9156000000003</v>
          </cell>
          <cell r="AG60">
            <v>3131.9156000000003</v>
          </cell>
          <cell r="AH60">
            <v>0</v>
          </cell>
        </row>
        <row r="61">
          <cell r="A61">
            <v>1957</v>
          </cell>
          <cell r="B61">
            <v>6.8484999999999996</v>
          </cell>
          <cell r="C61">
            <v>6.8484999999999996</v>
          </cell>
          <cell r="D61">
            <v>0</v>
          </cell>
          <cell r="E61">
            <v>6.9823000000000004</v>
          </cell>
          <cell r="F61">
            <v>6.9823000000000004</v>
          </cell>
          <cell r="G61">
            <v>0</v>
          </cell>
          <cell r="H61">
            <v>5.0743</v>
          </cell>
          <cell r="I61">
            <v>5.0743</v>
          </cell>
          <cell r="J61">
            <v>0</v>
          </cell>
          <cell r="K61">
            <v>28.920300000000001</v>
          </cell>
          <cell r="L61">
            <v>28.920300000000001</v>
          </cell>
          <cell r="M61">
            <v>0</v>
          </cell>
          <cell r="N61">
            <v>0.96870000000000001</v>
          </cell>
          <cell r="O61">
            <v>0.96870000000000001</v>
          </cell>
          <cell r="P61">
            <v>0</v>
          </cell>
          <cell r="Q61">
            <v>55.476199999999999</v>
          </cell>
          <cell r="R61">
            <v>55.476199999999999</v>
          </cell>
          <cell r="S61">
            <v>0</v>
          </cell>
          <cell r="T61">
            <v>1284.8979999999999</v>
          </cell>
          <cell r="U61">
            <v>1284.8979999999999</v>
          </cell>
          <cell r="V61">
            <v>0</v>
          </cell>
          <cell r="W61">
            <v>1718.6479999999999</v>
          </cell>
          <cell r="X61">
            <v>1718.6479999999999</v>
          </cell>
          <cell r="Y61">
            <v>0</v>
          </cell>
          <cell r="Z61">
            <v>0</v>
          </cell>
          <cell r="AA61">
            <v>0</v>
          </cell>
          <cell r="AE61">
            <v>1957</v>
          </cell>
          <cell r="AF61">
            <v>3107.8162999999995</v>
          </cell>
          <cell r="AG61">
            <v>3107.8162999999995</v>
          </cell>
          <cell r="AH61">
            <v>0</v>
          </cell>
        </row>
        <row r="62">
          <cell r="A62">
            <v>1958</v>
          </cell>
          <cell r="B62">
            <v>6.7775999999999996</v>
          </cell>
          <cell r="C62">
            <v>6.7775999999999996</v>
          </cell>
          <cell r="D62">
            <v>0</v>
          </cell>
          <cell r="E62">
            <v>6.9156000000000004</v>
          </cell>
          <cell r="F62">
            <v>6.9156000000000004</v>
          </cell>
          <cell r="G62">
            <v>0</v>
          </cell>
          <cell r="H62">
            <v>5.0178000000000003</v>
          </cell>
          <cell r="I62">
            <v>5.0178000000000003</v>
          </cell>
          <cell r="J62">
            <v>0</v>
          </cell>
          <cell r="K62">
            <v>28.621700000000001</v>
          </cell>
          <cell r="L62">
            <v>28.621700000000001</v>
          </cell>
          <cell r="M62">
            <v>0</v>
          </cell>
          <cell r="N62">
            <v>0.95799999999999996</v>
          </cell>
          <cell r="O62">
            <v>0.95799999999999996</v>
          </cell>
          <cell r="P62">
            <v>0</v>
          </cell>
          <cell r="Q62">
            <v>54.686799999999998</v>
          </cell>
          <cell r="R62">
            <v>54.686799999999998</v>
          </cell>
          <cell r="S62">
            <v>0</v>
          </cell>
          <cell r="T62">
            <v>1263.0809999999999</v>
          </cell>
          <cell r="U62">
            <v>1263.0809999999999</v>
          </cell>
          <cell r="V62">
            <v>0</v>
          </cell>
          <cell r="W62">
            <v>1718.1179999999999</v>
          </cell>
          <cell r="X62">
            <v>1718.1179999999999</v>
          </cell>
          <cell r="Y62">
            <v>0</v>
          </cell>
          <cell r="Z62">
            <v>0</v>
          </cell>
          <cell r="AA62">
            <v>0</v>
          </cell>
          <cell r="AE62">
            <v>1958</v>
          </cell>
          <cell r="AF62">
            <v>3084.1764999999996</v>
          </cell>
          <cell r="AG62">
            <v>3084.1764999999996</v>
          </cell>
          <cell r="AH62">
            <v>0</v>
          </cell>
        </row>
        <row r="63">
          <cell r="A63">
            <v>1959</v>
          </cell>
          <cell r="B63">
            <v>6.7070999999999996</v>
          </cell>
          <cell r="C63">
            <v>6.7070999999999996</v>
          </cell>
          <cell r="D63">
            <v>0</v>
          </cell>
          <cell r="E63">
            <v>6.8491999999999997</v>
          </cell>
          <cell r="F63">
            <v>6.8491999999999997</v>
          </cell>
          <cell r="G63">
            <v>0</v>
          </cell>
          <cell r="H63">
            <v>4.9617000000000004</v>
          </cell>
          <cell r="I63">
            <v>4.9617000000000004</v>
          </cell>
          <cell r="J63">
            <v>0</v>
          </cell>
          <cell r="K63">
            <v>28.3248</v>
          </cell>
          <cell r="L63">
            <v>28.3248</v>
          </cell>
          <cell r="M63">
            <v>0</v>
          </cell>
          <cell r="N63">
            <v>0.94740000000000002</v>
          </cell>
          <cell r="O63">
            <v>0.94740000000000002</v>
          </cell>
          <cell r="P63">
            <v>0</v>
          </cell>
          <cell r="Q63">
            <v>53.910299999999999</v>
          </cell>
          <cell r="R63">
            <v>53.910299999999999</v>
          </cell>
          <cell r="S63">
            <v>0</v>
          </cell>
          <cell r="T63">
            <v>1241.7070000000001</v>
          </cell>
          <cell r="U63">
            <v>1241.7070000000001</v>
          </cell>
          <cell r="V63">
            <v>0</v>
          </cell>
          <cell r="W63">
            <v>1717.575</v>
          </cell>
          <cell r="X63">
            <v>1717.575</v>
          </cell>
          <cell r="Y63">
            <v>0</v>
          </cell>
          <cell r="Z63">
            <v>0</v>
          </cell>
          <cell r="AA63">
            <v>0</v>
          </cell>
          <cell r="AE63">
            <v>1959</v>
          </cell>
          <cell r="AF63">
            <v>3060.9825000000001</v>
          </cell>
          <cell r="AG63">
            <v>3060.9825000000001</v>
          </cell>
          <cell r="AH63">
            <v>0</v>
          </cell>
        </row>
        <row r="64">
          <cell r="A64">
            <v>1960</v>
          </cell>
          <cell r="B64">
            <v>6.6372</v>
          </cell>
          <cell r="C64">
            <v>6.6372</v>
          </cell>
          <cell r="D64">
            <v>0</v>
          </cell>
          <cell r="E64">
            <v>6.7831999999999999</v>
          </cell>
          <cell r="F64">
            <v>6.7831999999999999</v>
          </cell>
          <cell r="G64">
            <v>0</v>
          </cell>
          <cell r="H64">
            <v>4.9061000000000003</v>
          </cell>
          <cell r="I64">
            <v>4.9061000000000003</v>
          </cell>
          <cell r="J64">
            <v>0</v>
          </cell>
          <cell r="K64">
            <v>28.029499999999999</v>
          </cell>
          <cell r="L64">
            <v>28.029499999999999</v>
          </cell>
          <cell r="M64">
            <v>0</v>
          </cell>
          <cell r="N64">
            <v>0.93689999999999996</v>
          </cell>
          <cell r="O64">
            <v>0.93689999999999996</v>
          </cell>
          <cell r="P64">
            <v>0</v>
          </cell>
          <cell r="Q64">
            <v>53.1464</v>
          </cell>
          <cell r="R64">
            <v>53.1464</v>
          </cell>
          <cell r="S64">
            <v>0</v>
          </cell>
          <cell r="T64">
            <v>1220.7660000000001</v>
          </cell>
          <cell r="U64">
            <v>1220.7660000000001</v>
          </cell>
          <cell r="V64">
            <v>0</v>
          </cell>
          <cell r="W64">
            <v>1717.02</v>
          </cell>
          <cell r="X64">
            <v>1717.02</v>
          </cell>
          <cell r="Y64">
            <v>0</v>
          </cell>
          <cell r="Z64">
            <v>0</v>
          </cell>
          <cell r="AA64">
            <v>0</v>
          </cell>
          <cell r="AE64">
            <v>1960</v>
          </cell>
          <cell r="AF64">
            <v>3038.2253000000001</v>
          </cell>
          <cell r="AG64">
            <v>3038.2253000000001</v>
          </cell>
          <cell r="AH64">
            <v>0</v>
          </cell>
        </row>
        <row r="65">
          <cell r="A65">
            <v>1961</v>
          </cell>
          <cell r="B65">
            <v>6.5678999999999998</v>
          </cell>
          <cell r="C65">
            <v>6.5678999999999998</v>
          </cell>
          <cell r="D65">
            <v>0</v>
          </cell>
          <cell r="E65">
            <v>6.7175000000000002</v>
          </cell>
          <cell r="F65">
            <v>6.7175000000000002</v>
          </cell>
          <cell r="G65">
            <v>0</v>
          </cell>
          <cell r="H65">
            <v>4.851</v>
          </cell>
          <cell r="I65">
            <v>4.851</v>
          </cell>
          <cell r="J65">
            <v>0</v>
          </cell>
          <cell r="K65">
            <v>27.7361</v>
          </cell>
          <cell r="L65">
            <v>27.7361</v>
          </cell>
          <cell r="M65">
            <v>0</v>
          </cell>
          <cell r="N65">
            <v>0.9264</v>
          </cell>
          <cell r="O65">
            <v>0.9264</v>
          </cell>
          <cell r="P65">
            <v>0</v>
          </cell>
          <cell r="Q65">
            <v>52.395099999999999</v>
          </cell>
          <cell r="R65">
            <v>52.395099999999999</v>
          </cell>
          <cell r="S65">
            <v>0</v>
          </cell>
          <cell r="T65">
            <v>1200.248</v>
          </cell>
          <cell r="U65">
            <v>1200.248</v>
          </cell>
          <cell r="V65">
            <v>0</v>
          </cell>
          <cell r="W65">
            <v>1716.453</v>
          </cell>
          <cell r="X65">
            <v>1716.453</v>
          </cell>
          <cell r="Y65">
            <v>0</v>
          </cell>
          <cell r="Z65">
            <v>0</v>
          </cell>
          <cell r="AA65">
            <v>0</v>
          </cell>
          <cell r="AE65">
            <v>1961</v>
          </cell>
          <cell r="AF65">
            <v>3015.895</v>
          </cell>
          <cell r="AG65">
            <v>3015.895</v>
          </cell>
          <cell r="AH65">
            <v>0</v>
          </cell>
        </row>
        <row r="66">
          <cell r="A66">
            <v>1962</v>
          </cell>
          <cell r="B66">
            <v>6.4991000000000003</v>
          </cell>
          <cell r="C66">
            <v>6.4991000000000003</v>
          </cell>
          <cell r="D66">
            <v>0</v>
          </cell>
          <cell r="E66">
            <v>6.6523000000000003</v>
          </cell>
          <cell r="F66">
            <v>6.6523000000000003</v>
          </cell>
          <cell r="G66">
            <v>0</v>
          </cell>
          <cell r="H66">
            <v>4.7962999999999996</v>
          </cell>
          <cell r="I66">
            <v>4.7962999999999996</v>
          </cell>
          <cell r="J66">
            <v>0</v>
          </cell>
          <cell r="K66">
            <v>27.444700000000001</v>
          </cell>
          <cell r="L66">
            <v>27.444700000000001</v>
          </cell>
          <cell r="M66">
            <v>0</v>
          </cell>
          <cell r="N66">
            <v>0.91610000000000003</v>
          </cell>
          <cell r="O66">
            <v>0.91610000000000003</v>
          </cell>
          <cell r="P66">
            <v>0</v>
          </cell>
          <cell r="Q66">
            <v>51.655999999999999</v>
          </cell>
          <cell r="R66">
            <v>51.655999999999999</v>
          </cell>
          <cell r="S66">
            <v>0</v>
          </cell>
          <cell r="T66">
            <v>1180.1400000000001</v>
          </cell>
          <cell r="U66">
            <v>1180.1400000000001</v>
          </cell>
          <cell r="V66">
            <v>0</v>
          </cell>
          <cell r="W66">
            <v>1715.874</v>
          </cell>
          <cell r="X66">
            <v>1715.874</v>
          </cell>
          <cell r="Y66">
            <v>0</v>
          </cell>
          <cell r="Z66">
            <v>0</v>
          </cell>
          <cell r="AA66">
            <v>0</v>
          </cell>
          <cell r="AE66">
            <v>1962</v>
          </cell>
          <cell r="AF66">
            <v>2993.9785000000002</v>
          </cell>
          <cell r="AG66">
            <v>2993.9785000000002</v>
          </cell>
          <cell r="AH66">
            <v>0</v>
          </cell>
        </row>
        <row r="67">
          <cell r="A67">
            <v>1963</v>
          </cell>
          <cell r="B67">
            <v>6.431</v>
          </cell>
          <cell r="C67">
            <v>6.431</v>
          </cell>
          <cell r="D67">
            <v>0</v>
          </cell>
          <cell r="E67">
            <v>6.5875000000000004</v>
          </cell>
          <cell r="F67">
            <v>6.5875000000000004</v>
          </cell>
          <cell r="G67">
            <v>0</v>
          </cell>
          <cell r="H67">
            <v>4.7422000000000004</v>
          </cell>
          <cell r="I67">
            <v>4.7422000000000004</v>
          </cell>
          <cell r="J67">
            <v>0</v>
          </cell>
          <cell r="K67">
            <v>27.1555</v>
          </cell>
          <cell r="L67">
            <v>27.1555</v>
          </cell>
          <cell r="M67">
            <v>0</v>
          </cell>
          <cell r="N67">
            <v>0.90590000000000004</v>
          </cell>
          <cell r="O67">
            <v>0.90590000000000004</v>
          </cell>
          <cell r="P67">
            <v>0</v>
          </cell>
          <cell r="Q67">
            <v>50.929099999999998</v>
          </cell>
          <cell r="R67">
            <v>50.929099999999998</v>
          </cell>
          <cell r="S67">
            <v>0</v>
          </cell>
          <cell r="T67">
            <v>1160.4369999999999</v>
          </cell>
          <cell r="U67">
            <v>1160.4369999999999</v>
          </cell>
          <cell r="V67">
            <v>0</v>
          </cell>
          <cell r="W67">
            <v>1715.2829999999999</v>
          </cell>
          <cell r="X67">
            <v>1715.2829999999999</v>
          </cell>
          <cell r="Y67">
            <v>0</v>
          </cell>
          <cell r="Z67">
            <v>0</v>
          </cell>
          <cell r="AA67">
            <v>0</v>
          </cell>
          <cell r="AE67">
            <v>1963</v>
          </cell>
          <cell r="AF67">
            <v>2972.4712</v>
          </cell>
          <cell r="AG67">
            <v>2972.4712</v>
          </cell>
          <cell r="AH67">
            <v>0</v>
          </cell>
        </row>
        <row r="68">
          <cell r="A68">
            <v>1964</v>
          </cell>
          <cell r="B68">
            <v>6.3635000000000002</v>
          </cell>
          <cell r="C68">
            <v>6.3635000000000002</v>
          </cell>
          <cell r="D68">
            <v>0</v>
          </cell>
          <cell r="E68">
            <v>6.5232000000000001</v>
          </cell>
          <cell r="F68">
            <v>6.5232000000000001</v>
          </cell>
          <cell r="G68">
            <v>0</v>
          </cell>
          <cell r="H68">
            <v>4.6886000000000001</v>
          </cell>
          <cell r="I68">
            <v>4.6886000000000001</v>
          </cell>
          <cell r="J68">
            <v>0</v>
          </cell>
          <cell r="K68">
            <v>26.868500000000001</v>
          </cell>
          <cell r="L68">
            <v>26.868500000000001</v>
          </cell>
          <cell r="M68">
            <v>0</v>
          </cell>
          <cell r="N68">
            <v>0.89580000000000004</v>
          </cell>
          <cell r="O68">
            <v>0.89580000000000004</v>
          </cell>
          <cell r="P68">
            <v>0</v>
          </cell>
          <cell r="Q68">
            <v>50.214399999999998</v>
          </cell>
          <cell r="R68">
            <v>50.214399999999998</v>
          </cell>
          <cell r="S68">
            <v>0</v>
          </cell>
          <cell r="T68">
            <v>1141.125</v>
          </cell>
          <cell r="U68">
            <v>1141.125</v>
          </cell>
          <cell r="V68">
            <v>0</v>
          </cell>
          <cell r="W68">
            <v>1714.682</v>
          </cell>
          <cell r="X68">
            <v>1714.682</v>
          </cell>
          <cell r="Y68">
            <v>0</v>
          </cell>
          <cell r="Z68">
            <v>0</v>
          </cell>
          <cell r="AA68">
            <v>0</v>
          </cell>
          <cell r="AE68">
            <v>1964</v>
          </cell>
          <cell r="AF68">
            <v>2951.3609999999999</v>
          </cell>
          <cell r="AG68">
            <v>2951.3609999999999</v>
          </cell>
          <cell r="AH68">
            <v>0</v>
          </cell>
        </row>
        <row r="69">
          <cell r="A69">
            <v>1965</v>
          </cell>
          <cell r="B69">
            <v>6.2965999999999998</v>
          </cell>
          <cell r="C69">
            <v>6.2965999999999998</v>
          </cell>
          <cell r="D69">
            <v>0</v>
          </cell>
          <cell r="E69">
            <v>6.4593999999999996</v>
          </cell>
          <cell r="F69">
            <v>6.4593999999999996</v>
          </cell>
          <cell r="G69">
            <v>0</v>
          </cell>
          <cell r="H69">
            <v>4.6356000000000002</v>
          </cell>
          <cell r="I69">
            <v>4.6356000000000002</v>
          </cell>
          <cell r="J69">
            <v>0</v>
          </cell>
          <cell r="K69">
            <v>26.5839</v>
          </cell>
          <cell r="L69">
            <v>26.5839</v>
          </cell>
          <cell r="M69">
            <v>0</v>
          </cell>
          <cell r="N69">
            <v>0.88570000000000004</v>
          </cell>
          <cell r="O69">
            <v>0.88570000000000004</v>
          </cell>
          <cell r="P69">
            <v>0</v>
          </cell>
          <cell r="Q69">
            <v>49.511400000000002</v>
          </cell>
          <cell r="R69">
            <v>49.511400000000002</v>
          </cell>
          <cell r="S69">
            <v>0</v>
          </cell>
          <cell r="T69">
            <v>1122.2</v>
          </cell>
          <cell r="U69">
            <v>1122.2</v>
          </cell>
          <cell r="V69">
            <v>0</v>
          </cell>
          <cell r="W69">
            <v>1714.067</v>
          </cell>
          <cell r="X69">
            <v>1714.067</v>
          </cell>
          <cell r="Y69">
            <v>0</v>
          </cell>
          <cell r="Z69">
            <v>0</v>
          </cell>
          <cell r="AA69">
            <v>0</v>
          </cell>
          <cell r="AE69">
            <v>1965</v>
          </cell>
          <cell r="AF69">
            <v>2930.6396</v>
          </cell>
          <cell r="AG69">
            <v>2930.6396</v>
          </cell>
          <cell r="AH69">
            <v>0</v>
          </cell>
        </row>
        <row r="70">
          <cell r="A70">
            <v>1966</v>
          </cell>
          <cell r="B70">
            <v>6.2304000000000004</v>
          </cell>
          <cell r="C70">
            <v>6.2304000000000004</v>
          </cell>
          <cell r="D70">
            <v>0</v>
          </cell>
          <cell r="E70">
            <v>6.3960999999999997</v>
          </cell>
          <cell r="F70">
            <v>6.3960999999999997</v>
          </cell>
          <cell r="G70">
            <v>0</v>
          </cell>
          <cell r="H70">
            <v>4.5831</v>
          </cell>
          <cell r="I70">
            <v>4.5831</v>
          </cell>
          <cell r="J70">
            <v>0</v>
          </cell>
          <cell r="K70">
            <v>26.3017</v>
          </cell>
          <cell r="L70">
            <v>26.3017</v>
          </cell>
          <cell r="M70">
            <v>0</v>
          </cell>
          <cell r="N70">
            <v>0.87580000000000002</v>
          </cell>
          <cell r="O70">
            <v>0.87580000000000002</v>
          </cell>
          <cell r="P70">
            <v>0</v>
          </cell>
          <cell r="Q70">
            <v>48.820099999999996</v>
          </cell>
          <cell r="R70">
            <v>48.820099999999996</v>
          </cell>
          <cell r="S70">
            <v>0</v>
          </cell>
          <cell r="T70">
            <v>1103.6489999999999</v>
          </cell>
          <cell r="U70">
            <v>1103.6489999999999</v>
          </cell>
          <cell r="V70">
            <v>0</v>
          </cell>
          <cell r="W70">
            <v>1713.444</v>
          </cell>
          <cell r="X70">
            <v>1713.444</v>
          </cell>
          <cell r="Y70">
            <v>0</v>
          </cell>
          <cell r="Z70">
            <v>0</v>
          </cell>
          <cell r="AA70">
            <v>0</v>
          </cell>
          <cell r="AE70">
            <v>1966</v>
          </cell>
          <cell r="AF70">
            <v>2910.3001999999997</v>
          </cell>
          <cell r="AG70">
            <v>2910.3001999999997</v>
          </cell>
          <cell r="AH70">
            <v>0</v>
          </cell>
        </row>
        <row r="71">
          <cell r="A71">
            <v>1967</v>
          </cell>
          <cell r="B71">
            <v>6.1647999999999996</v>
          </cell>
          <cell r="C71">
            <v>6.1647999999999996</v>
          </cell>
          <cell r="D71">
            <v>0</v>
          </cell>
          <cell r="E71">
            <v>6.3333000000000004</v>
          </cell>
          <cell r="F71">
            <v>6.3333000000000004</v>
          </cell>
          <cell r="G71">
            <v>0</v>
          </cell>
          <cell r="H71">
            <v>4.5312000000000001</v>
          </cell>
          <cell r="I71">
            <v>4.5312000000000001</v>
          </cell>
          <cell r="J71">
            <v>0</v>
          </cell>
          <cell r="K71">
            <v>26.022099999999998</v>
          </cell>
          <cell r="L71">
            <v>26.022099999999998</v>
          </cell>
          <cell r="M71">
            <v>0</v>
          </cell>
          <cell r="N71">
            <v>0.86599999999999999</v>
          </cell>
          <cell r="O71">
            <v>0.86599999999999999</v>
          </cell>
          <cell r="P71">
            <v>0</v>
          </cell>
          <cell r="Q71">
            <v>48.140300000000003</v>
          </cell>
          <cell r="R71">
            <v>48.140300000000003</v>
          </cell>
          <cell r="S71">
            <v>0</v>
          </cell>
          <cell r="T71">
            <v>1085.4649999999999</v>
          </cell>
          <cell r="U71">
            <v>1085.4649999999999</v>
          </cell>
          <cell r="V71">
            <v>0</v>
          </cell>
          <cell r="W71">
            <v>1712.81</v>
          </cell>
          <cell r="X71">
            <v>1712.81</v>
          </cell>
          <cell r="Y71">
            <v>0</v>
          </cell>
          <cell r="Z71">
            <v>0</v>
          </cell>
          <cell r="AA71">
            <v>0</v>
          </cell>
          <cell r="AE71">
            <v>1967</v>
          </cell>
          <cell r="AF71">
            <v>2890.3326999999999</v>
          </cell>
          <cell r="AG71">
            <v>2890.3326999999999</v>
          </cell>
          <cell r="AH71">
            <v>0</v>
          </cell>
        </row>
        <row r="72">
          <cell r="A72">
            <v>1968</v>
          </cell>
          <cell r="B72">
            <v>6.0998999999999999</v>
          </cell>
          <cell r="C72">
            <v>6.0998999999999999</v>
          </cell>
          <cell r="D72">
            <v>0</v>
          </cell>
          <cell r="E72">
            <v>6.2709999999999999</v>
          </cell>
          <cell r="F72">
            <v>6.2709999999999999</v>
          </cell>
          <cell r="G72">
            <v>0</v>
          </cell>
          <cell r="H72">
            <v>4.4798</v>
          </cell>
          <cell r="I72">
            <v>4.4798</v>
          </cell>
          <cell r="J72">
            <v>0</v>
          </cell>
          <cell r="K72">
            <v>25.745000000000001</v>
          </cell>
          <cell r="L72">
            <v>25.745000000000001</v>
          </cell>
          <cell r="M72">
            <v>0</v>
          </cell>
          <cell r="N72">
            <v>0.85629999999999995</v>
          </cell>
          <cell r="O72">
            <v>0.85629999999999995</v>
          </cell>
          <cell r="P72">
            <v>0</v>
          </cell>
          <cell r="Q72">
            <v>47.471800000000002</v>
          </cell>
          <cell r="R72">
            <v>47.471800000000002</v>
          </cell>
          <cell r="S72">
            <v>0</v>
          </cell>
          <cell r="T72">
            <v>1067.6410000000001</v>
          </cell>
          <cell r="U72">
            <v>1067.6410000000001</v>
          </cell>
          <cell r="V72">
            <v>0</v>
          </cell>
          <cell r="W72">
            <v>1712.164</v>
          </cell>
          <cell r="X72">
            <v>1712.164</v>
          </cell>
          <cell r="Y72">
            <v>0</v>
          </cell>
          <cell r="Z72">
            <v>0</v>
          </cell>
          <cell r="AA72">
            <v>0</v>
          </cell>
          <cell r="AE72">
            <v>1968</v>
          </cell>
          <cell r="AF72">
            <v>2870.7287999999999</v>
          </cell>
          <cell r="AG72">
            <v>2870.7287999999999</v>
          </cell>
          <cell r="AH72">
            <v>0</v>
          </cell>
        </row>
        <row r="73">
          <cell r="A73">
            <v>1969</v>
          </cell>
          <cell r="B73">
            <v>6.0357000000000003</v>
          </cell>
          <cell r="C73">
            <v>6.0357000000000003</v>
          </cell>
          <cell r="D73">
            <v>0</v>
          </cell>
          <cell r="E73">
            <v>6.2092999999999998</v>
          </cell>
          <cell r="F73">
            <v>6.2092999999999998</v>
          </cell>
          <cell r="G73">
            <v>0</v>
          </cell>
          <cell r="H73">
            <v>4.4291</v>
          </cell>
          <cell r="I73">
            <v>4.4291</v>
          </cell>
          <cell r="J73">
            <v>0</v>
          </cell>
          <cell r="K73">
            <v>25.470500000000001</v>
          </cell>
          <cell r="L73">
            <v>25.470500000000001</v>
          </cell>
          <cell r="M73">
            <v>0</v>
          </cell>
          <cell r="N73">
            <v>0.84670000000000001</v>
          </cell>
          <cell r="O73">
            <v>0.84670000000000001</v>
          </cell>
          <cell r="P73">
            <v>0</v>
          </cell>
          <cell r="Q73">
            <v>46.814500000000002</v>
          </cell>
          <cell r="R73">
            <v>46.814500000000002</v>
          </cell>
          <cell r="S73">
            <v>0</v>
          </cell>
          <cell r="T73">
            <v>1050.165</v>
          </cell>
          <cell r="U73">
            <v>1050.165</v>
          </cell>
          <cell r="V73">
            <v>0</v>
          </cell>
          <cell r="W73">
            <v>1711.508</v>
          </cell>
          <cell r="X73">
            <v>1711.508</v>
          </cell>
          <cell r="Y73">
            <v>0</v>
          </cell>
          <cell r="Z73">
            <v>0</v>
          </cell>
          <cell r="AA73">
            <v>0</v>
          </cell>
          <cell r="AE73">
            <v>1969</v>
          </cell>
          <cell r="AF73">
            <v>2851.4787999999999</v>
          </cell>
          <cell r="AG73">
            <v>2851.4787999999999</v>
          </cell>
          <cell r="AH73">
            <v>0</v>
          </cell>
        </row>
        <row r="74">
          <cell r="A74">
            <v>1970</v>
          </cell>
          <cell r="B74">
            <v>5.9722</v>
          </cell>
          <cell r="C74">
            <v>5.9722</v>
          </cell>
          <cell r="D74">
            <v>0</v>
          </cell>
          <cell r="E74">
            <v>6.1482000000000001</v>
          </cell>
          <cell r="F74">
            <v>6.1482000000000001</v>
          </cell>
          <cell r="G74">
            <v>0</v>
          </cell>
          <cell r="H74">
            <v>4.3788999999999998</v>
          </cell>
          <cell r="I74">
            <v>4.3788999999999998</v>
          </cell>
          <cell r="J74">
            <v>0</v>
          </cell>
          <cell r="K74">
            <v>25.198799999999999</v>
          </cell>
          <cell r="L74">
            <v>25.198799999999999</v>
          </cell>
          <cell r="M74">
            <v>0</v>
          </cell>
          <cell r="N74">
            <v>0.83720000000000006</v>
          </cell>
          <cell r="O74">
            <v>0.83720000000000006</v>
          </cell>
          <cell r="P74">
            <v>0</v>
          </cell>
          <cell r="Q74">
            <v>46.168199999999999</v>
          </cell>
          <cell r="R74">
            <v>46.168199999999999</v>
          </cell>
          <cell r="S74">
            <v>0</v>
          </cell>
          <cell r="T74">
            <v>1033.0350000000001</v>
          </cell>
          <cell r="U74">
            <v>1033.0350000000001</v>
          </cell>
          <cell r="V74">
            <v>0</v>
          </cell>
          <cell r="W74">
            <v>1710.8430000000001</v>
          </cell>
          <cell r="X74">
            <v>1710.8430000000001</v>
          </cell>
          <cell r="Y74">
            <v>0</v>
          </cell>
          <cell r="Z74">
            <v>0</v>
          </cell>
          <cell r="AA74">
            <v>0</v>
          </cell>
          <cell r="AE74">
            <v>1970</v>
          </cell>
          <cell r="AF74">
            <v>2832.5815000000002</v>
          </cell>
          <cell r="AG74">
            <v>2832.5815000000002</v>
          </cell>
          <cell r="AH74">
            <v>0</v>
          </cell>
        </row>
        <row r="75">
          <cell r="A75">
            <v>1971</v>
          </cell>
          <cell r="B75">
            <v>5.9093</v>
          </cell>
          <cell r="C75">
            <v>5.9093</v>
          </cell>
          <cell r="D75">
            <v>0</v>
          </cell>
          <cell r="E75">
            <v>6.0876000000000001</v>
          </cell>
          <cell r="F75">
            <v>6.0876000000000001</v>
          </cell>
          <cell r="G75">
            <v>0</v>
          </cell>
          <cell r="H75">
            <v>4.3292000000000002</v>
          </cell>
          <cell r="I75">
            <v>4.3292000000000002</v>
          </cell>
          <cell r="J75">
            <v>0</v>
          </cell>
          <cell r="K75">
            <v>24.9298</v>
          </cell>
          <cell r="L75">
            <v>24.9298</v>
          </cell>
          <cell r="M75">
            <v>0</v>
          </cell>
          <cell r="N75">
            <v>0.82789999999999997</v>
          </cell>
          <cell r="O75">
            <v>0.82789999999999997</v>
          </cell>
          <cell r="P75">
            <v>0</v>
          </cell>
          <cell r="Q75">
            <v>45.532699999999998</v>
          </cell>
          <cell r="R75">
            <v>45.532699999999998</v>
          </cell>
          <cell r="S75">
            <v>0</v>
          </cell>
          <cell r="T75">
            <v>1016.24</v>
          </cell>
          <cell r="U75">
            <v>1016.24</v>
          </cell>
          <cell r="V75">
            <v>0</v>
          </cell>
          <cell r="W75">
            <v>1710.1690000000001</v>
          </cell>
          <cell r="X75">
            <v>1710.1690000000001</v>
          </cell>
          <cell r="Y75">
            <v>0</v>
          </cell>
          <cell r="Z75">
            <v>0</v>
          </cell>
          <cell r="AA75">
            <v>0</v>
          </cell>
          <cell r="AE75">
            <v>1971</v>
          </cell>
          <cell r="AF75">
            <v>2814.0255000000002</v>
          </cell>
          <cell r="AG75">
            <v>2814.0255000000002</v>
          </cell>
          <cell r="AH75">
            <v>0</v>
          </cell>
        </row>
        <row r="76">
          <cell r="A76">
            <v>1972</v>
          </cell>
          <cell r="B76">
            <v>5.8471000000000002</v>
          </cell>
          <cell r="C76">
            <v>5.8471000000000002</v>
          </cell>
          <cell r="D76">
            <v>0</v>
          </cell>
          <cell r="E76">
            <v>6.0277000000000003</v>
          </cell>
          <cell r="F76">
            <v>6.0277000000000003</v>
          </cell>
          <cell r="G76">
            <v>0</v>
          </cell>
          <cell r="H76">
            <v>4.2801999999999998</v>
          </cell>
          <cell r="I76">
            <v>4.2801999999999998</v>
          </cell>
          <cell r="J76">
            <v>0</v>
          </cell>
          <cell r="K76">
            <v>24.663599999999999</v>
          </cell>
          <cell r="L76">
            <v>24.663599999999999</v>
          </cell>
          <cell r="M76">
            <v>0</v>
          </cell>
          <cell r="N76">
            <v>0.81859999999999999</v>
          </cell>
          <cell r="O76">
            <v>0.81859999999999999</v>
          </cell>
          <cell r="P76">
            <v>0</v>
          </cell>
          <cell r="Q76">
            <v>44.907899999999998</v>
          </cell>
          <cell r="R76">
            <v>44.907899999999998</v>
          </cell>
          <cell r="S76">
            <v>0</v>
          </cell>
          <cell r="T76">
            <v>999.77189999999996</v>
          </cell>
          <cell r="U76">
            <v>999.77189999999996</v>
          </cell>
          <cell r="V76">
            <v>0</v>
          </cell>
          <cell r="W76">
            <v>1709.4829999999999</v>
          </cell>
          <cell r="X76">
            <v>1709.4829999999999</v>
          </cell>
          <cell r="Y76">
            <v>0</v>
          </cell>
          <cell r="Z76">
            <v>0</v>
          </cell>
          <cell r="AA76">
            <v>0</v>
          </cell>
          <cell r="AE76">
            <v>1972</v>
          </cell>
          <cell r="AF76">
            <v>2795.8</v>
          </cell>
          <cell r="AG76">
            <v>2795.8</v>
          </cell>
          <cell r="AH76">
            <v>0</v>
          </cell>
        </row>
        <row r="77">
          <cell r="A77">
            <v>1973</v>
          </cell>
          <cell r="B77">
            <v>5.7857000000000003</v>
          </cell>
          <cell r="C77">
            <v>5.7857000000000003</v>
          </cell>
          <cell r="D77">
            <v>0</v>
          </cell>
          <cell r="E77">
            <v>5.9683000000000002</v>
          </cell>
          <cell r="F77">
            <v>5.9683000000000002</v>
          </cell>
          <cell r="G77">
            <v>0</v>
          </cell>
          <cell r="H77">
            <v>4.2317999999999998</v>
          </cell>
          <cell r="I77">
            <v>4.2317999999999998</v>
          </cell>
          <cell r="J77">
            <v>0</v>
          </cell>
          <cell r="K77">
            <v>24.400300000000001</v>
          </cell>
          <cell r="L77">
            <v>24.400300000000001</v>
          </cell>
          <cell r="M77">
            <v>0</v>
          </cell>
          <cell r="N77">
            <v>0.8095</v>
          </cell>
          <cell r="O77">
            <v>0.8095</v>
          </cell>
          <cell r="P77">
            <v>0</v>
          </cell>
          <cell r="Q77">
            <v>44.293599999999998</v>
          </cell>
          <cell r="R77">
            <v>44.293599999999998</v>
          </cell>
          <cell r="S77">
            <v>0</v>
          </cell>
          <cell r="T77">
            <v>983.62530000000004</v>
          </cell>
          <cell r="U77">
            <v>983.62530000000004</v>
          </cell>
          <cell r="V77">
            <v>0</v>
          </cell>
          <cell r="W77">
            <v>1708.787</v>
          </cell>
          <cell r="X77">
            <v>1708.787</v>
          </cell>
          <cell r="Y77">
            <v>0</v>
          </cell>
          <cell r="Z77">
            <v>0</v>
          </cell>
          <cell r="AA77">
            <v>0</v>
          </cell>
          <cell r="AE77">
            <v>1973</v>
          </cell>
          <cell r="AF77">
            <v>2777.9014999999999</v>
          </cell>
          <cell r="AG77">
            <v>2777.9014999999999</v>
          </cell>
          <cell r="AH77">
            <v>0</v>
          </cell>
        </row>
        <row r="78">
          <cell r="A78">
            <v>1974</v>
          </cell>
          <cell r="B78">
            <v>5.7248999999999999</v>
          </cell>
          <cell r="C78">
            <v>5.7248999999999999</v>
          </cell>
          <cell r="D78">
            <v>0</v>
          </cell>
          <cell r="E78">
            <v>5.9095000000000004</v>
          </cell>
          <cell r="F78">
            <v>5.9095000000000004</v>
          </cell>
          <cell r="G78">
            <v>0</v>
          </cell>
          <cell r="H78">
            <v>4.1839000000000004</v>
          </cell>
          <cell r="I78">
            <v>4.1839000000000004</v>
          </cell>
          <cell r="J78">
            <v>0</v>
          </cell>
          <cell r="K78">
            <v>24.139800000000001</v>
          </cell>
          <cell r="L78">
            <v>24.139800000000001</v>
          </cell>
          <cell r="M78">
            <v>0</v>
          </cell>
          <cell r="N78">
            <v>0.8004</v>
          </cell>
          <cell r="O78">
            <v>0.8004</v>
          </cell>
          <cell r="P78">
            <v>0</v>
          </cell>
          <cell r="Q78">
            <v>43.689599999999999</v>
          </cell>
          <cell r="R78">
            <v>43.689599999999999</v>
          </cell>
          <cell r="S78">
            <v>0</v>
          </cell>
          <cell r="T78">
            <v>967.79240000000004</v>
          </cell>
          <cell r="U78">
            <v>967.79240000000004</v>
          </cell>
          <cell r="V78">
            <v>0</v>
          </cell>
          <cell r="W78">
            <v>1708.0820000000001</v>
          </cell>
          <cell r="X78">
            <v>1708.0820000000001</v>
          </cell>
          <cell r="Y78">
            <v>0</v>
          </cell>
          <cell r="Z78">
            <v>0</v>
          </cell>
          <cell r="AA78">
            <v>0</v>
          </cell>
          <cell r="AE78">
            <v>1974</v>
          </cell>
          <cell r="AF78">
            <v>2760.3225000000002</v>
          </cell>
          <cell r="AG78">
            <v>2760.3225000000002</v>
          </cell>
          <cell r="AH78">
            <v>0</v>
          </cell>
        </row>
        <row r="79">
          <cell r="A79">
            <v>1975</v>
          </cell>
          <cell r="B79">
            <v>5.6647999999999996</v>
          </cell>
          <cell r="C79">
            <v>5.6647999999999996</v>
          </cell>
          <cell r="D79">
            <v>0</v>
          </cell>
          <cell r="E79">
            <v>5.8513999999999999</v>
          </cell>
          <cell r="F79">
            <v>5.8513999999999999</v>
          </cell>
          <cell r="G79">
            <v>0</v>
          </cell>
          <cell r="H79">
            <v>4.1367000000000003</v>
          </cell>
          <cell r="I79">
            <v>4.1367000000000003</v>
          </cell>
          <cell r="J79">
            <v>0</v>
          </cell>
          <cell r="K79">
            <v>23.882200000000001</v>
          </cell>
          <cell r="L79">
            <v>23.882200000000001</v>
          </cell>
          <cell r="M79">
            <v>0</v>
          </cell>
          <cell r="N79">
            <v>0.79149999999999998</v>
          </cell>
          <cell r="O79">
            <v>0.79149999999999998</v>
          </cell>
          <cell r="P79">
            <v>0</v>
          </cell>
          <cell r="Q79">
            <v>43.095799999999997</v>
          </cell>
          <cell r="R79">
            <v>43.095799999999997</v>
          </cell>
          <cell r="S79">
            <v>0</v>
          </cell>
          <cell r="T79">
            <v>952.26620000000003</v>
          </cell>
          <cell r="U79">
            <v>952.26620000000003</v>
          </cell>
          <cell r="V79">
            <v>0</v>
          </cell>
          <cell r="W79">
            <v>1707.3679999999999</v>
          </cell>
          <cell r="X79">
            <v>1707.3679999999999</v>
          </cell>
          <cell r="Y79">
            <v>0</v>
          </cell>
          <cell r="Z79">
            <v>0</v>
          </cell>
          <cell r="AA79">
            <v>0</v>
          </cell>
          <cell r="AE79">
            <v>1975</v>
          </cell>
          <cell r="AF79">
            <v>2743.0565999999999</v>
          </cell>
          <cell r="AG79">
            <v>2743.0565999999999</v>
          </cell>
          <cell r="AH79">
            <v>0</v>
          </cell>
        </row>
        <row r="80">
          <cell r="A80">
            <v>1976</v>
          </cell>
          <cell r="B80">
            <v>5.6055000000000001</v>
          </cell>
          <cell r="C80">
            <v>5.6055000000000001</v>
          </cell>
          <cell r="D80">
            <v>0</v>
          </cell>
          <cell r="E80">
            <v>5.7938999999999998</v>
          </cell>
          <cell r="F80">
            <v>5.7938999999999998</v>
          </cell>
          <cell r="G80">
            <v>0</v>
          </cell>
          <cell r="H80">
            <v>4.09</v>
          </cell>
          <cell r="I80">
            <v>4.09</v>
          </cell>
          <cell r="J80">
            <v>0</v>
          </cell>
          <cell r="K80">
            <v>23.627500000000001</v>
          </cell>
          <cell r="L80">
            <v>23.627500000000001</v>
          </cell>
          <cell r="M80">
            <v>0</v>
          </cell>
          <cell r="N80">
            <v>0.78269999999999995</v>
          </cell>
          <cell r="O80">
            <v>0.78269999999999995</v>
          </cell>
          <cell r="P80">
            <v>0</v>
          </cell>
          <cell r="Q80">
            <v>42.512</v>
          </cell>
          <cell r="R80">
            <v>42.512</v>
          </cell>
          <cell r="S80">
            <v>0</v>
          </cell>
          <cell r="T80">
            <v>937.04049999999995</v>
          </cell>
          <cell r="U80">
            <v>937.04049999999995</v>
          </cell>
          <cell r="V80">
            <v>0</v>
          </cell>
          <cell r="W80">
            <v>1706.645</v>
          </cell>
          <cell r="X80">
            <v>1706.645</v>
          </cell>
          <cell r="Y80">
            <v>0</v>
          </cell>
          <cell r="Z80">
            <v>0</v>
          </cell>
          <cell r="AA80">
            <v>0</v>
          </cell>
          <cell r="AE80">
            <v>1976</v>
          </cell>
          <cell r="AF80">
            <v>2726.0971</v>
          </cell>
          <cell r="AG80">
            <v>2726.0971</v>
          </cell>
          <cell r="AH80">
            <v>0</v>
          </cell>
        </row>
        <row r="81">
          <cell r="A81">
            <v>1977</v>
          </cell>
          <cell r="B81">
            <v>5.5468000000000002</v>
          </cell>
          <cell r="C81">
            <v>5.5468000000000002</v>
          </cell>
          <cell r="D81">
            <v>0</v>
          </cell>
          <cell r="E81">
            <v>5.7370000000000001</v>
          </cell>
          <cell r="F81">
            <v>5.7370000000000001</v>
          </cell>
          <cell r="G81">
            <v>0</v>
          </cell>
          <cell r="H81">
            <v>4.0439999999999996</v>
          </cell>
          <cell r="I81">
            <v>4.0439999999999996</v>
          </cell>
          <cell r="J81">
            <v>0</v>
          </cell>
          <cell r="K81">
            <v>23.375699999999998</v>
          </cell>
          <cell r="L81">
            <v>23.375699999999998</v>
          </cell>
          <cell r="M81">
            <v>0</v>
          </cell>
          <cell r="N81">
            <v>0.77400000000000002</v>
          </cell>
          <cell r="O81">
            <v>0.77400000000000002</v>
          </cell>
          <cell r="P81">
            <v>0</v>
          </cell>
          <cell r="Q81">
            <v>41.938000000000002</v>
          </cell>
          <cell r="R81">
            <v>41.938000000000002</v>
          </cell>
          <cell r="S81">
            <v>0</v>
          </cell>
          <cell r="T81">
            <v>922.10749999999996</v>
          </cell>
          <cell r="U81">
            <v>922.10749999999996</v>
          </cell>
          <cell r="V81">
            <v>0</v>
          </cell>
          <cell r="W81">
            <v>1705.914</v>
          </cell>
          <cell r="X81">
            <v>1705.914</v>
          </cell>
          <cell r="Y81">
            <v>0</v>
          </cell>
          <cell r="Z81">
            <v>0</v>
          </cell>
          <cell r="AA81">
            <v>0</v>
          </cell>
          <cell r="AE81">
            <v>1977</v>
          </cell>
          <cell r="AF81">
            <v>2709.4369999999999</v>
          </cell>
          <cell r="AG81">
            <v>2709.4369999999999</v>
          </cell>
          <cell r="AH81">
            <v>0</v>
          </cell>
        </row>
        <row r="82">
          <cell r="B82">
            <v>5.4889000000000001</v>
          </cell>
          <cell r="C82">
            <v>5.4889000000000001</v>
          </cell>
          <cell r="D82">
            <v>0</v>
          </cell>
          <cell r="E82">
            <v>5.6806999999999999</v>
          </cell>
          <cell r="F82">
            <v>5.6806999999999999</v>
          </cell>
          <cell r="G82">
            <v>0</v>
          </cell>
          <cell r="H82">
            <v>3.9986000000000002</v>
          </cell>
          <cell r="I82">
            <v>3.9986000000000002</v>
          </cell>
          <cell r="J82">
            <v>0</v>
          </cell>
          <cell r="K82">
            <v>23.126899999999999</v>
          </cell>
          <cell r="L82">
            <v>23.126899999999999</v>
          </cell>
          <cell r="M82">
            <v>0</v>
          </cell>
          <cell r="N82">
            <v>0.76539999999999997</v>
          </cell>
          <cell r="O82">
            <v>0.76539999999999997</v>
          </cell>
          <cell r="P82">
            <v>0</v>
          </cell>
          <cell r="Q82">
            <v>41.373699999999999</v>
          </cell>
          <cell r="R82">
            <v>41.373699999999999</v>
          </cell>
          <cell r="S82">
            <v>0</v>
          </cell>
          <cell r="T82">
            <v>907.46199999999999</v>
          </cell>
          <cell r="U82">
            <v>907.46199999999999</v>
          </cell>
          <cell r="V82">
            <v>0</v>
          </cell>
          <cell r="W82">
            <v>1705.174</v>
          </cell>
          <cell r="X82">
            <v>1705.174</v>
          </cell>
          <cell r="Y82">
            <v>0</v>
          </cell>
          <cell r="Z82">
            <v>0</v>
          </cell>
          <cell r="AA82">
            <v>0</v>
          </cell>
          <cell r="AE82">
            <v>1978</v>
          </cell>
          <cell r="AF82">
            <v>2693.0702000000001</v>
          </cell>
          <cell r="AG82">
            <v>2693.0702000000001</v>
          </cell>
          <cell r="AH82">
            <v>0</v>
          </cell>
        </row>
        <row r="83">
          <cell r="B83">
            <v>5.4317000000000002</v>
          </cell>
          <cell r="C83">
            <v>5.4317000000000002</v>
          </cell>
          <cell r="D83">
            <v>0</v>
          </cell>
          <cell r="E83">
            <v>5.6250999999999998</v>
          </cell>
          <cell r="F83">
            <v>5.6250999999999998</v>
          </cell>
          <cell r="G83">
            <v>0</v>
          </cell>
          <cell r="H83">
            <v>3.9537</v>
          </cell>
          <cell r="I83">
            <v>3.9537</v>
          </cell>
          <cell r="J83">
            <v>0</v>
          </cell>
          <cell r="K83">
            <v>22.8811</v>
          </cell>
          <cell r="L83">
            <v>22.8811</v>
          </cell>
          <cell r="M83">
            <v>0</v>
          </cell>
          <cell r="N83">
            <v>0.75700000000000001</v>
          </cell>
          <cell r="O83">
            <v>0.75700000000000001</v>
          </cell>
          <cell r="P83">
            <v>0</v>
          </cell>
          <cell r="Q83">
            <v>40.819000000000003</v>
          </cell>
          <cell r="R83">
            <v>40.819000000000003</v>
          </cell>
          <cell r="S83">
            <v>0</v>
          </cell>
          <cell r="T83">
            <v>893.09799999999996</v>
          </cell>
          <cell r="U83">
            <v>893.09799999999996</v>
          </cell>
          <cell r="V83">
            <v>0</v>
          </cell>
          <cell r="W83">
            <v>1704.4269999999999</v>
          </cell>
          <cell r="X83">
            <v>1704.4269999999999</v>
          </cell>
          <cell r="Y83">
            <v>0</v>
          </cell>
          <cell r="Z83">
            <v>0</v>
          </cell>
          <cell r="AA83">
            <v>0</v>
          </cell>
          <cell r="AE83">
            <v>1979</v>
          </cell>
          <cell r="AF83">
            <v>2676.9925999999996</v>
          </cell>
          <cell r="AG83">
            <v>2676.9925999999996</v>
          </cell>
          <cell r="AH83">
            <v>0</v>
          </cell>
        </row>
        <row r="84">
          <cell r="B84">
            <v>5.3752000000000004</v>
          </cell>
          <cell r="C84">
            <v>5.3752000000000004</v>
          </cell>
          <cell r="D84">
            <v>0</v>
          </cell>
          <cell r="E84">
            <v>5.5701000000000001</v>
          </cell>
          <cell r="F84">
            <v>5.5701000000000001</v>
          </cell>
          <cell r="G84">
            <v>0</v>
          </cell>
          <cell r="H84">
            <v>3.9095</v>
          </cell>
          <cell r="I84">
            <v>3.9095</v>
          </cell>
          <cell r="J84">
            <v>0</v>
          </cell>
          <cell r="K84">
            <v>22.638200000000001</v>
          </cell>
          <cell r="L84">
            <v>22.638200000000001</v>
          </cell>
          <cell r="M84">
            <v>0</v>
          </cell>
          <cell r="N84">
            <v>0.74860000000000004</v>
          </cell>
          <cell r="O84">
            <v>0.74860000000000004</v>
          </cell>
          <cell r="P84">
            <v>0</v>
          </cell>
          <cell r="Q84">
            <v>40.273699999999998</v>
          </cell>
          <cell r="R84">
            <v>40.273699999999998</v>
          </cell>
          <cell r="S84">
            <v>0</v>
          </cell>
          <cell r="T84">
            <v>879.00959999999998</v>
          </cell>
          <cell r="U84">
            <v>879.00959999999998</v>
          </cell>
          <cell r="V84">
            <v>0</v>
          </cell>
          <cell r="W84">
            <v>1703.67</v>
          </cell>
          <cell r="X84">
            <v>1703.67</v>
          </cell>
          <cell r="Y84">
            <v>0</v>
          </cell>
          <cell r="Z84">
            <v>0</v>
          </cell>
          <cell r="AA84">
            <v>0</v>
          </cell>
          <cell r="AE84">
            <v>1980</v>
          </cell>
          <cell r="AF84">
            <v>2661.1949</v>
          </cell>
          <cell r="AG84">
            <v>2661.1949</v>
          </cell>
          <cell r="AH84">
            <v>0</v>
          </cell>
        </row>
        <row r="85">
          <cell r="B85">
            <v>5.3193999999999999</v>
          </cell>
          <cell r="C85">
            <v>5.3193999999999999</v>
          </cell>
          <cell r="D85">
            <v>0</v>
          </cell>
          <cell r="E85">
            <v>5.5157999999999996</v>
          </cell>
          <cell r="F85">
            <v>5.5157999999999996</v>
          </cell>
          <cell r="G85">
            <v>0</v>
          </cell>
          <cell r="H85">
            <v>3.8658000000000001</v>
          </cell>
          <cell r="I85">
            <v>3.8658000000000001</v>
          </cell>
          <cell r="J85">
            <v>0</v>
          </cell>
          <cell r="K85">
            <v>22.398299999999999</v>
          </cell>
          <cell r="L85">
            <v>22.398299999999999</v>
          </cell>
          <cell r="M85">
            <v>0</v>
          </cell>
          <cell r="N85">
            <v>0.74039999999999995</v>
          </cell>
          <cell r="O85">
            <v>0.74039999999999995</v>
          </cell>
          <cell r="P85">
            <v>0</v>
          </cell>
          <cell r="Q85">
            <v>39.737699999999997</v>
          </cell>
          <cell r="R85">
            <v>39.737699999999997</v>
          </cell>
          <cell r="S85">
            <v>0</v>
          </cell>
          <cell r="T85">
            <v>865.18899999999996</v>
          </cell>
          <cell r="U85">
            <v>865.18899999999996</v>
          </cell>
          <cell r="V85">
            <v>0</v>
          </cell>
          <cell r="W85">
            <v>1702.905</v>
          </cell>
          <cell r="X85">
            <v>1702.905</v>
          </cell>
          <cell r="Y85">
            <v>0</v>
          </cell>
          <cell r="Z85">
            <v>0</v>
          </cell>
          <cell r="AA85">
            <v>0</v>
          </cell>
          <cell r="AE85">
            <v>1981</v>
          </cell>
          <cell r="AF85">
            <v>2645.6714000000002</v>
          </cell>
          <cell r="AG85">
            <v>2645.6714000000002</v>
          </cell>
          <cell r="AH85">
            <v>0</v>
          </cell>
        </row>
        <row r="86">
          <cell r="B86">
            <v>5.2643000000000004</v>
          </cell>
          <cell r="C86">
            <v>5.2643000000000004</v>
          </cell>
          <cell r="D86">
            <v>0</v>
          </cell>
          <cell r="E86">
            <v>5.4621000000000004</v>
          </cell>
          <cell r="F86">
            <v>5.4621000000000004</v>
          </cell>
          <cell r="G86">
            <v>0</v>
          </cell>
          <cell r="H86">
            <v>3.8228</v>
          </cell>
          <cell r="I86">
            <v>3.8228</v>
          </cell>
          <cell r="J86">
            <v>0</v>
          </cell>
          <cell r="K86">
            <v>22.1615</v>
          </cell>
          <cell r="L86">
            <v>22.1615</v>
          </cell>
          <cell r="M86">
            <v>0</v>
          </cell>
          <cell r="N86">
            <v>0.73219999999999996</v>
          </cell>
          <cell r="O86">
            <v>0.73219999999999996</v>
          </cell>
          <cell r="P86">
            <v>0</v>
          </cell>
          <cell r="Q86">
            <v>39.210700000000003</v>
          </cell>
          <cell r="R86">
            <v>39.210700000000003</v>
          </cell>
          <cell r="S86">
            <v>0</v>
          </cell>
          <cell r="T86">
            <v>851.63210000000004</v>
          </cell>
          <cell r="U86">
            <v>851.63210000000004</v>
          </cell>
          <cell r="V86">
            <v>0</v>
          </cell>
          <cell r="W86">
            <v>1702.133</v>
          </cell>
          <cell r="X86">
            <v>1702.133</v>
          </cell>
          <cell r="Y86">
            <v>0</v>
          </cell>
          <cell r="Z86">
            <v>0</v>
          </cell>
          <cell r="AA86">
            <v>0</v>
          </cell>
          <cell r="AE86">
            <v>1982</v>
          </cell>
          <cell r="AF86">
            <v>2630.4187000000002</v>
          </cell>
          <cell r="AG86">
            <v>2630.4187000000002</v>
          </cell>
          <cell r="AH86">
            <v>0</v>
          </cell>
        </row>
        <row r="87">
          <cell r="B87">
            <v>5.2099000000000002</v>
          </cell>
          <cell r="C87">
            <v>5.2099000000000002</v>
          </cell>
          <cell r="D87">
            <v>0</v>
          </cell>
          <cell r="E87">
            <v>5.4089999999999998</v>
          </cell>
          <cell r="F87">
            <v>5.4089999999999998</v>
          </cell>
          <cell r="G87">
            <v>0</v>
          </cell>
          <cell r="H87">
            <v>3.7803</v>
          </cell>
          <cell r="I87">
            <v>3.7803</v>
          </cell>
          <cell r="J87">
            <v>0</v>
          </cell>
          <cell r="K87">
            <v>21.927600000000002</v>
          </cell>
          <cell r="L87">
            <v>21.927600000000002</v>
          </cell>
          <cell r="M87">
            <v>0</v>
          </cell>
          <cell r="N87">
            <v>0.72419999999999995</v>
          </cell>
          <cell r="O87">
            <v>0.72419999999999995</v>
          </cell>
          <cell r="P87">
            <v>0</v>
          </cell>
          <cell r="Q87">
            <v>38.692700000000002</v>
          </cell>
          <cell r="R87">
            <v>38.692700000000002</v>
          </cell>
          <cell r="S87">
            <v>0</v>
          </cell>
          <cell r="T87">
            <v>838.33349999999996</v>
          </cell>
          <cell r="U87">
            <v>838.33349999999996</v>
          </cell>
          <cell r="V87">
            <v>0</v>
          </cell>
          <cell r="W87">
            <v>1701.3520000000001</v>
          </cell>
          <cell r="X87">
            <v>1701.3520000000001</v>
          </cell>
          <cell r="Y87">
            <v>0</v>
          </cell>
          <cell r="Z87">
            <v>0</v>
          </cell>
          <cell r="AA87">
            <v>0</v>
          </cell>
          <cell r="AE87">
            <v>1983</v>
          </cell>
          <cell r="AF87">
            <v>2615.4292</v>
          </cell>
          <cell r="AG87">
            <v>2615.4292</v>
          </cell>
          <cell r="AH87">
            <v>0</v>
          </cell>
        </row>
        <row r="88">
          <cell r="B88">
            <v>5.1562000000000001</v>
          </cell>
          <cell r="C88">
            <v>5.1562000000000001</v>
          </cell>
          <cell r="D88">
            <v>0</v>
          </cell>
          <cell r="E88">
            <v>5.3566000000000003</v>
          </cell>
          <cell r="F88">
            <v>5.3566000000000003</v>
          </cell>
          <cell r="G88">
            <v>0</v>
          </cell>
          <cell r="H88">
            <v>3.7385000000000002</v>
          </cell>
          <cell r="I88">
            <v>3.7385000000000002</v>
          </cell>
          <cell r="J88">
            <v>0</v>
          </cell>
          <cell r="K88">
            <v>21.6967</v>
          </cell>
          <cell r="L88">
            <v>21.6967</v>
          </cell>
          <cell r="M88">
            <v>0</v>
          </cell>
          <cell r="N88">
            <v>0.71630000000000005</v>
          </cell>
          <cell r="O88">
            <v>0.71630000000000005</v>
          </cell>
          <cell r="P88">
            <v>0</v>
          </cell>
          <cell r="Q88">
            <v>38.183500000000002</v>
          </cell>
          <cell r="R88">
            <v>38.183500000000002</v>
          </cell>
          <cell r="S88">
            <v>0</v>
          </cell>
          <cell r="T88">
            <v>825.28750000000002</v>
          </cell>
          <cell r="U88">
            <v>825.28750000000002</v>
          </cell>
          <cell r="V88">
            <v>0</v>
          </cell>
          <cell r="W88">
            <v>1700.5640000000001</v>
          </cell>
          <cell r="X88">
            <v>1700.5640000000001</v>
          </cell>
          <cell r="Y88">
            <v>0</v>
          </cell>
          <cell r="Z88">
            <v>0</v>
          </cell>
          <cell r="AA88">
            <v>0</v>
          </cell>
          <cell r="AE88">
            <v>1984</v>
          </cell>
          <cell r="AF88">
            <v>2600.6993000000002</v>
          </cell>
          <cell r="AG88">
            <v>2600.6993000000002</v>
          </cell>
          <cell r="AH88">
            <v>0</v>
          </cell>
        </row>
        <row r="89">
          <cell r="B89">
            <v>5.1032000000000002</v>
          </cell>
          <cell r="C89">
            <v>5.1032000000000002</v>
          </cell>
          <cell r="D89">
            <v>0</v>
          </cell>
          <cell r="E89">
            <v>5.3048000000000002</v>
          </cell>
          <cell r="F89">
            <v>5.3048000000000002</v>
          </cell>
          <cell r="G89">
            <v>0</v>
          </cell>
          <cell r="H89">
            <v>3.6972</v>
          </cell>
          <cell r="I89">
            <v>3.6972</v>
          </cell>
          <cell r="J89">
            <v>0</v>
          </cell>
          <cell r="K89">
            <v>21.468699999999998</v>
          </cell>
          <cell r="L89">
            <v>21.468699999999998</v>
          </cell>
          <cell r="M89">
            <v>0</v>
          </cell>
          <cell r="N89">
            <v>0.70850000000000002</v>
          </cell>
          <cell r="O89">
            <v>0.70850000000000002</v>
          </cell>
          <cell r="P89">
            <v>0</v>
          </cell>
          <cell r="Q89">
            <v>37.682899999999997</v>
          </cell>
          <cell r="R89">
            <v>37.682899999999997</v>
          </cell>
          <cell r="S89">
            <v>0</v>
          </cell>
          <cell r="T89">
            <v>812.48860000000002</v>
          </cell>
          <cell r="U89">
            <v>812.48860000000002</v>
          </cell>
          <cell r="V89">
            <v>0</v>
          </cell>
          <cell r="W89">
            <v>1699.768</v>
          </cell>
          <cell r="X89">
            <v>1699.768</v>
          </cell>
          <cell r="Y89">
            <v>0</v>
          </cell>
          <cell r="Z89">
            <v>0</v>
          </cell>
          <cell r="AA89">
            <v>0</v>
          </cell>
          <cell r="AE89">
            <v>1985</v>
          </cell>
          <cell r="AF89">
            <v>2586.2219</v>
          </cell>
          <cell r="AG89">
            <v>2586.2219</v>
          </cell>
          <cell r="AH89">
            <v>0</v>
          </cell>
        </row>
        <row r="90">
          <cell r="B90">
            <v>5.0510000000000002</v>
          </cell>
          <cell r="C90">
            <v>5.0510000000000002</v>
          </cell>
          <cell r="D90">
            <v>0</v>
          </cell>
          <cell r="E90">
            <v>5.2537000000000003</v>
          </cell>
          <cell r="F90">
            <v>5.2537000000000003</v>
          </cell>
          <cell r="G90">
            <v>0</v>
          </cell>
          <cell r="H90">
            <v>3.6564999999999999</v>
          </cell>
          <cell r="I90">
            <v>3.6564999999999999</v>
          </cell>
          <cell r="J90">
            <v>0</v>
          </cell>
          <cell r="K90">
            <v>21.2438</v>
          </cell>
          <cell r="L90">
            <v>21.2438</v>
          </cell>
          <cell r="M90">
            <v>0</v>
          </cell>
          <cell r="N90">
            <v>0.70079999999999998</v>
          </cell>
          <cell r="O90">
            <v>0.70079999999999998</v>
          </cell>
          <cell r="P90">
            <v>0</v>
          </cell>
          <cell r="Q90">
            <v>37.190899999999999</v>
          </cell>
          <cell r="R90">
            <v>37.190899999999999</v>
          </cell>
          <cell r="S90">
            <v>0</v>
          </cell>
          <cell r="T90">
            <v>799.93200000000002</v>
          </cell>
          <cell r="U90">
            <v>799.93200000000002</v>
          </cell>
          <cell r="V90">
            <v>0</v>
          </cell>
          <cell r="W90">
            <v>1698.9649999999999</v>
          </cell>
          <cell r="X90">
            <v>1698.9649999999999</v>
          </cell>
          <cell r="Y90">
            <v>0</v>
          </cell>
          <cell r="Z90">
            <v>0</v>
          </cell>
          <cell r="AA90">
            <v>0</v>
          </cell>
          <cell r="AE90">
            <v>1986</v>
          </cell>
          <cell r="AF90">
            <v>2571.9937</v>
          </cell>
          <cell r="AG90">
            <v>2571.9937</v>
          </cell>
          <cell r="AH90">
            <v>0</v>
          </cell>
        </row>
        <row r="91">
          <cell r="A91">
            <v>1987</v>
          </cell>
          <cell r="B91">
            <v>4.9993999999999996</v>
          </cell>
          <cell r="C91">
            <v>4.9993999999999996</v>
          </cell>
          <cell r="D91">
            <v>0</v>
          </cell>
          <cell r="E91">
            <v>5.2031999999999998</v>
          </cell>
          <cell r="F91">
            <v>5.2031999999999998</v>
          </cell>
          <cell r="G91">
            <v>0</v>
          </cell>
          <cell r="H91">
            <v>3.6164000000000001</v>
          </cell>
          <cell r="I91">
            <v>3.6164000000000001</v>
          </cell>
          <cell r="J91">
            <v>0</v>
          </cell>
          <cell r="K91">
            <v>21.021799999999999</v>
          </cell>
          <cell r="L91">
            <v>21.021799999999999</v>
          </cell>
          <cell r="M91">
            <v>0</v>
          </cell>
          <cell r="N91">
            <v>0.69320000000000004</v>
          </cell>
          <cell r="O91">
            <v>0.69320000000000004</v>
          </cell>
          <cell r="P91">
            <v>0</v>
          </cell>
          <cell r="Q91">
            <v>36.7072</v>
          </cell>
          <cell r="R91">
            <v>36.7072</v>
          </cell>
          <cell r="S91">
            <v>0</v>
          </cell>
          <cell r="T91">
            <v>787.61159999999995</v>
          </cell>
          <cell r="U91">
            <v>787.61159999999995</v>
          </cell>
          <cell r="V91">
            <v>0</v>
          </cell>
          <cell r="W91">
            <v>1698.1559999999999</v>
          </cell>
          <cell r="X91">
            <v>1698.1559999999999</v>
          </cell>
          <cell r="Y91">
            <v>0</v>
          </cell>
          <cell r="Z91">
            <v>0</v>
          </cell>
          <cell r="AA91">
            <v>0</v>
          </cell>
          <cell r="AE91">
            <v>1987</v>
          </cell>
          <cell r="AF91">
            <v>2558.0087999999996</v>
          </cell>
          <cell r="AG91">
            <v>2558.0087999999996</v>
          </cell>
          <cell r="AH91">
            <v>0</v>
          </cell>
        </row>
        <row r="92">
          <cell r="A92">
            <v>1988</v>
          </cell>
          <cell r="B92">
            <v>4.9485000000000001</v>
          </cell>
          <cell r="C92">
            <v>4.9485000000000001</v>
          </cell>
          <cell r="D92">
            <v>0</v>
          </cell>
          <cell r="E92">
            <v>5.1534000000000004</v>
          </cell>
          <cell r="F92">
            <v>5.1534000000000004</v>
          </cell>
          <cell r="G92">
            <v>0</v>
          </cell>
          <cell r="H92">
            <v>3.5769000000000002</v>
          </cell>
          <cell r="I92">
            <v>3.5769000000000002</v>
          </cell>
          <cell r="J92">
            <v>0</v>
          </cell>
          <cell r="K92">
            <v>20.802800000000001</v>
          </cell>
          <cell r="L92">
            <v>20.802800000000001</v>
          </cell>
          <cell r="M92">
            <v>0</v>
          </cell>
          <cell r="N92">
            <v>0.68569999999999998</v>
          </cell>
          <cell r="O92">
            <v>0.68569999999999998</v>
          </cell>
          <cell r="P92">
            <v>0</v>
          </cell>
          <cell r="Q92">
            <v>36.2318</v>
          </cell>
          <cell r="R92">
            <v>36.2318</v>
          </cell>
          <cell r="S92">
            <v>0</v>
          </cell>
          <cell r="T92">
            <v>775.5249</v>
          </cell>
          <cell r="U92">
            <v>775.5249</v>
          </cell>
          <cell r="V92">
            <v>0</v>
          </cell>
          <cell r="W92">
            <v>1697.338</v>
          </cell>
          <cell r="X92">
            <v>1697.338</v>
          </cell>
          <cell r="Y92">
            <v>0</v>
          </cell>
          <cell r="Z92">
            <v>0</v>
          </cell>
          <cell r="AA92">
            <v>0</v>
          </cell>
          <cell r="AE92">
            <v>1988</v>
          </cell>
          <cell r="AF92">
            <v>2544.2619999999997</v>
          </cell>
          <cell r="AG92">
            <v>2544.2619999999997</v>
          </cell>
          <cell r="AH92">
            <v>0</v>
          </cell>
        </row>
        <row r="93">
          <cell r="A93">
            <v>1989</v>
          </cell>
          <cell r="B93">
            <v>4.8982999999999999</v>
          </cell>
          <cell r="C93">
            <v>4.8982999999999999</v>
          </cell>
          <cell r="D93">
            <v>0</v>
          </cell>
          <cell r="E93">
            <v>5.1041999999999996</v>
          </cell>
          <cell r="F93">
            <v>5.1041999999999996</v>
          </cell>
          <cell r="G93">
            <v>0</v>
          </cell>
          <cell r="H93">
            <v>3.5379</v>
          </cell>
          <cell r="I93">
            <v>3.5379</v>
          </cell>
          <cell r="J93">
            <v>0</v>
          </cell>
          <cell r="K93">
            <v>20.5868</v>
          </cell>
          <cell r="L93">
            <v>20.5868</v>
          </cell>
          <cell r="M93">
            <v>0</v>
          </cell>
          <cell r="N93">
            <v>0.6784</v>
          </cell>
          <cell r="O93">
            <v>0.6784</v>
          </cell>
          <cell r="P93">
            <v>0</v>
          </cell>
          <cell r="Q93">
            <v>35.764499999999998</v>
          </cell>
          <cell r="R93">
            <v>35.764499999999998</v>
          </cell>
          <cell r="S93">
            <v>0</v>
          </cell>
          <cell r="T93">
            <v>763.66499999999996</v>
          </cell>
          <cell r="U93">
            <v>763.66499999999996</v>
          </cell>
          <cell r="V93">
            <v>0</v>
          </cell>
          <cell r="W93">
            <v>1696.5129999999999</v>
          </cell>
          <cell r="X93">
            <v>1696.5129999999999</v>
          </cell>
          <cell r="Y93">
            <v>0</v>
          </cell>
          <cell r="Z93">
            <v>0</v>
          </cell>
          <cell r="AA93">
            <v>0</v>
          </cell>
          <cell r="AE93">
            <v>1989</v>
          </cell>
          <cell r="AF93">
            <v>2530.7480999999998</v>
          </cell>
          <cell r="AG93">
            <v>2530.7480999999998</v>
          </cell>
          <cell r="AH93">
            <v>0</v>
          </cell>
        </row>
        <row r="94">
          <cell r="A94">
            <v>1990</v>
          </cell>
          <cell r="B94">
            <v>4.8487999999999998</v>
          </cell>
          <cell r="C94">
            <v>4.8487999999999998</v>
          </cell>
          <cell r="D94">
            <v>0</v>
          </cell>
          <cell r="E94">
            <v>5.0556000000000001</v>
          </cell>
          <cell r="F94">
            <v>5.0556000000000001</v>
          </cell>
          <cell r="G94">
            <v>0</v>
          </cell>
          <cell r="H94">
            <v>3.4996</v>
          </cell>
          <cell r="I94">
            <v>3.4996</v>
          </cell>
          <cell r="J94">
            <v>0</v>
          </cell>
          <cell r="K94">
            <v>20.373699999999999</v>
          </cell>
          <cell r="L94">
            <v>20.373699999999999</v>
          </cell>
          <cell r="M94">
            <v>0</v>
          </cell>
          <cell r="N94">
            <v>0.67110000000000003</v>
          </cell>
          <cell r="O94">
            <v>0.67110000000000003</v>
          </cell>
          <cell r="P94">
            <v>0</v>
          </cell>
          <cell r="Q94">
            <v>35.305199999999999</v>
          </cell>
          <cell r="R94">
            <v>35.305199999999999</v>
          </cell>
          <cell r="S94">
            <v>0</v>
          </cell>
          <cell r="T94">
            <v>752.02880000000005</v>
          </cell>
          <cell r="U94">
            <v>752.02880000000005</v>
          </cell>
          <cell r="V94">
            <v>0</v>
          </cell>
          <cell r="W94">
            <v>1695.682</v>
          </cell>
          <cell r="X94">
            <v>1695.682</v>
          </cell>
          <cell r="Y94">
            <v>0</v>
          </cell>
          <cell r="Z94">
            <v>0</v>
          </cell>
          <cell r="AA94">
            <v>0</v>
          </cell>
          <cell r="AE94">
            <v>1990</v>
          </cell>
          <cell r="AF94">
            <v>2517.4648000000002</v>
          </cell>
          <cell r="AG94">
            <v>2517.4648000000002</v>
          </cell>
          <cell r="AH94">
            <v>0</v>
          </cell>
        </row>
        <row r="95">
          <cell r="A95">
            <v>1991</v>
          </cell>
          <cell r="B95">
            <v>4.8</v>
          </cell>
          <cell r="C95">
            <v>4.8</v>
          </cell>
          <cell r="D95">
            <v>0</v>
          </cell>
          <cell r="E95">
            <v>5.0076999999999998</v>
          </cell>
          <cell r="F95">
            <v>5.0076999999999998</v>
          </cell>
          <cell r="G95">
            <v>0</v>
          </cell>
          <cell r="H95">
            <v>3.4618000000000002</v>
          </cell>
          <cell r="I95">
            <v>3.4618000000000002</v>
          </cell>
          <cell r="J95">
            <v>0</v>
          </cell>
          <cell r="K95">
            <v>20.163499999999999</v>
          </cell>
          <cell r="L95">
            <v>20.163499999999999</v>
          </cell>
          <cell r="M95">
            <v>0</v>
          </cell>
          <cell r="N95">
            <v>0.66400000000000003</v>
          </cell>
          <cell r="O95">
            <v>0.66400000000000003</v>
          </cell>
          <cell r="P95">
            <v>0</v>
          </cell>
          <cell r="Q95">
            <v>34.8538</v>
          </cell>
          <cell r="R95">
            <v>34.8538</v>
          </cell>
          <cell r="S95">
            <v>0</v>
          </cell>
          <cell r="T95">
            <v>740.60969999999998</v>
          </cell>
          <cell r="U95">
            <v>740.60969999999998</v>
          </cell>
          <cell r="V95">
            <v>0</v>
          </cell>
          <cell r="W95">
            <v>1694.845</v>
          </cell>
          <cell r="X95">
            <v>1694.845</v>
          </cell>
          <cell r="Y95">
            <v>0</v>
          </cell>
          <cell r="Z95">
            <v>0</v>
          </cell>
          <cell r="AA95">
            <v>0</v>
          </cell>
          <cell r="AE95">
            <v>1991</v>
          </cell>
          <cell r="AF95">
            <v>2504.4054999999998</v>
          </cell>
          <cell r="AG95">
            <v>2504.4054999999998</v>
          </cell>
          <cell r="AH95">
            <v>0</v>
          </cell>
        </row>
        <row r="96">
          <cell r="A96">
            <v>1992</v>
          </cell>
          <cell r="B96">
            <v>4.7518000000000002</v>
          </cell>
          <cell r="C96">
            <v>4.7518000000000002</v>
          </cell>
          <cell r="D96">
            <v>0</v>
          </cell>
          <cell r="E96">
            <v>4.9604999999999997</v>
          </cell>
          <cell r="F96">
            <v>4.9604999999999997</v>
          </cell>
          <cell r="G96">
            <v>0</v>
          </cell>
          <cell r="H96">
            <v>3.4245000000000001</v>
          </cell>
          <cell r="I96">
            <v>3.4245000000000001</v>
          </cell>
          <cell r="J96">
            <v>0</v>
          </cell>
          <cell r="K96">
            <v>19.956199999999999</v>
          </cell>
          <cell r="L96">
            <v>19.956199999999999</v>
          </cell>
          <cell r="M96">
            <v>0</v>
          </cell>
          <cell r="N96">
            <v>0.65690000000000004</v>
          </cell>
          <cell r="O96">
            <v>0.65690000000000004</v>
          </cell>
          <cell r="P96">
            <v>0</v>
          </cell>
          <cell r="Q96">
            <v>34.4101</v>
          </cell>
          <cell r="R96">
            <v>34.4101</v>
          </cell>
          <cell r="S96">
            <v>0</v>
          </cell>
          <cell r="T96">
            <v>729.40440000000001</v>
          </cell>
          <cell r="U96">
            <v>729.40440000000001</v>
          </cell>
          <cell r="V96">
            <v>0</v>
          </cell>
          <cell r="W96">
            <v>1694</v>
          </cell>
          <cell r="X96">
            <v>1694</v>
          </cell>
          <cell r="Y96">
            <v>0</v>
          </cell>
          <cell r="Z96">
            <v>0</v>
          </cell>
          <cell r="AA96">
            <v>0</v>
          </cell>
          <cell r="AE96">
            <v>1992</v>
          </cell>
          <cell r="AF96">
            <v>2491.5644000000002</v>
          </cell>
          <cell r="AG96">
            <v>2491.5644000000002</v>
          </cell>
          <cell r="AH96">
            <v>0</v>
          </cell>
        </row>
        <row r="97">
          <cell r="A97">
            <v>1993</v>
          </cell>
          <cell r="B97">
            <v>4.7043999999999997</v>
          </cell>
          <cell r="C97">
            <v>4.7043999999999997</v>
          </cell>
          <cell r="D97">
            <v>0</v>
          </cell>
          <cell r="E97">
            <v>4.9138000000000002</v>
          </cell>
          <cell r="F97">
            <v>4.9138000000000002</v>
          </cell>
          <cell r="G97">
            <v>0</v>
          </cell>
          <cell r="H97">
            <v>3.3877999999999999</v>
          </cell>
          <cell r="I97">
            <v>3.3877999999999999</v>
          </cell>
          <cell r="J97">
            <v>0</v>
          </cell>
          <cell r="K97">
            <v>19.751899999999999</v>
          </cell>
          <cell r="L97">
            <v>19.751899999999999</v>
          </cell>
          <cell r="M97">
            <v>0</v>
          </cell>
          <cell r="N97">
            <v>0.65</v>
          </cell>
          <cell r="O97">
            <v>0.65</v>
          </cell>
          <cell r="P97">
            <v>0</v>
          </cell>
          <cell r="Q97">
            <v>33.9739</v>
          </cell>
          <cell r="R97">
            <v>33.9739</v>
          </cell>
          <cell r="S97">
            <v>0</v>
          </cell>
          <cell r="T97">
            <v>718.40809999999999</v>
          </cell>
          <cell r="U97">
            <v>718.40809999999999</v>
          </cell>
          <cell r="V97">
            <v>0</v>
          </cell>
          <cell r="W97">
            <v>1693.1489999999999</v>
          </cell>
          <cell r="X97">
            <v>1693.1489999999999</v>
          </cell>
          <cell r="Y97">
            <v>0</v>
          </cell>
          <cell r="Z97">
            <v>0</v>
          </cell>
          <cell r="AA97">
            <v>0</v>
          </cell>
          <cell r="AE97">
            <v>1993</v>
          </cell>
          <cell r="AF97">
            <v>2478.9389000000001</v>
          </cell>
          <cell r="AG97">
            <v>2478.9389000000001</v>
          </cell>
          <cell r="AH97">
            <v>0</v>
          </cell>
        </row>
        <row r="98">
          <cell r="A98">
            <v>1994</v>
          </cell>
          <cell r="B98">
            <v>4.6576000000000004</v>
          </cell>
          <cell r="C98">
            <v>4.6576000000000004</v>
          </cell>
          <cell r="D98">
            <v>0</v>
          </cell>
          <cell r="E98">
            <v>4.8677999999999999</v>
          </cell>
          <cell r="F98">
            <v>4.8677999999999999</v>
          </cell>
          <cell r="G98">
            <v>0</v>
          </cell>
          <cell r="H98">
            <v>3.3517000000000001</v>
          </cell>
          <cell r="I98">
            <v>3.3517000000000001</v>
          </cell>
          <cell r="J98">
            <v>0</v>
          </cell>
          <cell r="K98">
            <v>19.5504</v>
          </cell>
          <cell r="L98">
            <v>19.5504</v>
          </cell>
          <cell r="M98">
            <v>0</v>
          </cell>
          <cell r="N98">
            <v>0.64319999999999999</v>
          </cell>
          <cell r="O98">
            <v>0.64319999999999999</v>
          </cell>
          <cell r="P98">
            <v>0</v>
          </cell>
          <cell r="Q98">
            <v>33.545299999999997</v>
          </cell>
          <cell r="R98">
            <v>33.545299999999997</v>
          </cell>
          <cell r="S98">
            <v>0</v>
          </cell>
          <cell r="T98">
            <v>707.61649999999997</v>
          </cell>
          <cell r="U98">
            <v>707.61649999999997</v>
          </cell>
          <cell r="V98">
            <v>0</v>
          </cell>
          <cell r="W98">
            <v>1692.2929999999999</v>
          </cell>
          <cell r="X98">
            <v>1692.2929999999999</v>
          </cell>
          <cell r="Y98">
            <v>0</v>
          </cell>
          <cell r="Z98">
            <v>0</v>
          </cell>
          <cell r="AA98">
            <v>0</v>
          </cell>
          <cell r="AE98">
            <v>1994</v>
          </cell>
          <cell r="AF98">
            <v>2466.5254999999997</v>
          </cell>
          <cell r="AG98">
            <v>2466.5254999999997</v>
          </cell>
          <cell r="AH98">
            <v>0</v>
          </cell>
        </row>
        <row r="99">
          <cell r="A99">
            <v>1995</v>
          </cell>
          <cell r="B99">
            <v>4.6115000000000004</v>
          </cell>
          <cell r="C99">
            <v>4.6115000000000004</v>
          </cell>
          <cell r="D99">
            <v>0</v>
          </cell>
          <cell r="E99">
            <v>4.8224</v>
          </cell>
          <cell r="F99">
            <v>4.8224</v>
          </cell>
          <cell r="G99">
            <v>0</v>
          </cell>
          <cell r="H99">
            <v>3.3161999999999998</v>
          </cell>
          <cell r="I99">
            <v>3.3161999999999998</v>
          </cell>
          <cell r="J99">
            <v>0</v>
          </cell>
          <cell r="K99">
            <v>19.351800000000001</v>
          </cell>
          <cell r="L99">
            <v>19.351800000000001</v>
          </cell>
          <cell r="M99">
            <v>0</v>
          </cell>
          <cell r="N99">
            <v>0.63639999999999997</v>
          </cell>
          <cell r="O99">
            <v>0.63639999999999997</v>
          </cell>
          <cell r="P99">
            <v>0</v>
          </cell>
          <cell r="Q99">
            <v>33.124000000000002</v>
          </cell>
          <cell r="R99">
            <v>33.124000000000002</v>
          </cell>
          <cell r="S99">
            <v>0</v>
          </cell>
          <cell r="T99">
            <v>697.02700000000004</v>
          </cell>
          <cell r="U99">
            <v>697.02700000000004</v>
          </cell>
          <cell r="V99">
            <v>0</v>
          </cell>
          <cell r="W99">
            <v>1691.43</v>
          </cell>
          <cell r="X99">
            <v>1691.43</v>
          </cell>
          <cell r="Y99">
            <v>0</v>
          </cell>
          <cell r="Z99">
            <v>0</v>
          </cell>
          <cell r="AA99">
            <v>0</v>
          </cell>
          <cell r="AE99">
            <v>1995</v>
          </cell>
          <cell r="AF99">
            <v>2454.3193000000001</v>
          </cell>
          <cell r="AG99">
            <v>2454.3193000000001</v>
          </cell>
          <cell r="AH99">
            <v>0</v>
          </cell>
        </row>
        <row r="100">
          <cell r="A100">
            <v>1996</v>
          </cell>
          <cell r="B100">
            <v>4.5659999999999998</v>
          </cell>
          <cell r="C100">
            <v>4.5659999999999998</v>
          </cell>
          <cell r="D100">
            <v>0</v>
          </cell>
          <cell r="E100">
            <v>4.7777000000000003</v>
          </cell>
          <cell r="F100">
            <v>4.7777000000000003</v>
          </cell>
          <cell r="G100">
            <v>0</v>
          </cell>
          <cell r="H100">
            <v>3.2810999999999999</v>
          </cell>
          <cell r="I100">
            <v>3.2810999999999999</v>
          </cell>
          <cell r="J100">
            <v>0</v>
          </cell>
          <cell r="K100">
            <v>19.155999999999999</v>
          </cell>
          <cell r="L100">
            <v>19.155999999999999</v>
          </cell>
          <cell r="M100">
            <v>0</v>
          </cell>
          <cell r="N100">
            <v>0.62980000000000003</v>
          </cell>
          <cell r="O100">
            <v>0.62980000000000003</v>
          </cell>
          <cell r="P100">
            <v>0</v>
          </cell>
          <cell r="Q100">
            <v>32.709899999999998</v>
          </cell>
          <cell r="R100">
            <v>32.709899999999998</v>
          </cell>
          <cell r="S100">
            <v>0</v>
          </cell>
          <cell r="T100">
            <v>686.63480000000004</v>
          </cell>
          <cell r="U100">
            <v>686.63480000000004</v>
          </cell>
          <cell r="V100">
            <v>0</v>
          </cell>
          <cell r="W100">
            <v>1690.5609999999999</v>
          </cell>
          <cell r="X100">
            <v>1690.5609999999999</v>
          </cell>
          <cell r="Y100">
            <v>0</v>
          </cell>
          <cell r="Z100">
            <v>0</v>
          </cell>
          <cell r="AA100">
            <v>0</v>
          </cell>
          <cell r="AE100">
            <v>1996</v>
          </cell>
          <cell r="AF100">
            <v>2442.3163</v>
          </cell>
          <cell r="AG100">
            <v>2442.3163</v>
          </cell>
          <cell r="AH100">
            <v>0</v>
          </cell>
        </row>
        <row r="101">
          <cell r="A101">
            <v>1997</v>
          </cell>
          <cell r="B101">
            <v>9.5435999999999996</v>
          </cell>
          <cell r="C101">
            <v>4.5212000000000003</v>
          </cell>
          <cell r="D101">
            <v>5.0223999999999993</v>
          </cell>
          <cell r="E101">
            <v>81.683000000000007</v>
          </cell>
          <cell r="F101">
            <v>4.7335000000000003</v>
          </cell>
          <cell r="G101">
            <v>76.9495</v>
          </cell>
          <cell r="H101">
            <v>5.9085999999999999</v>
          </cell>
          <cell r="I101">
            <v>3.2467000000000001</v>
          </cell>
          <cell r="J101">
            <v>2.6618999999999997</v>
          </cell>
          <cell r="K101">
            <v>68.845699999999994</v>
          </cell>
          <cell r="L101">
            <v>18.963100000000001</v>
          </cell>
          <cell r="M101">
            <v>49.882599999999996</v>
          </cell>
          <cell r="N101">
            <v>1.2176</v>
          </cell>
          <cell r="O101">
            <v>0.62329999999999997</v>
          </cell>
          <cell r="P101">
            <v>0.59430000000000005</v>
          </cell>
          <cell r="Q101">
            <v>45.119100000000003</v>
          </cell>
          <cell r="R101">
            <v>32.302999999999997</v>
          </cell>
          <cell r="S101">
            <v>12.816100000000006</v>
          </cell>
          <cell r="T101">
            <v>676.63310000000001</v>
          </cell>
          <cell r="U101">
            <v>676.43520000000001</v>
          </cell>
          <cell r="V101">
            <v>0.19790000000000418</v>
          </cell>
          <cell r="W101">
            <v>1689.671</v>
          </cell>
          <cell r="X101">
            <v>1689.6849999999999</v>
          </cell>
          <cell r="Y101">
            <v>-1.3999999999896318E-2</v>
          </cell>
          <cell r="Z101">
            <v>148.11070000000012</v>
          </cell>
          <cell r="AA101">
            <v>1.4811070000000012E-4</v>
          </cell>
          <cell r="AB101">
            <v>0.32850519362441294</v>
          </cell>
          <cell r="AE101">
            <v>1997</v>
          </cell>
          <cell r="AF101">
            <v>2578.6217000000001</v>
          </cell>
          <cell r="AG101">
            <v>2430.511</v>
          </cell>
          <cell r="AH101">
            <v>148.11070000000018</v>
          </cell>
        </row>
        <row r="102">
          <cell r="A102">
            <v>1998</v>
          </cell>
          <cell r="B102">
            <v>11.832599999999999</v>
          </cell>
          <cell r="C102">
            <v>4.4771000000000001</v>
          </cell>
          <cell r="D102">
            <v>7.3554999999999993</v>
          </cell>
          <cell r="E102">
            <v>107.29</v>
          </cell>
          <cell r="F102">
            <v>4.6900000000000004</v>
          </cell>
          <cell r="G102">
            <v>102.60000000000001</v>
          </cell>
          <cell r="H102">
            <v>7.2466999999999997</v>
          </cell>
          <cell r="I102">
            <v>3.2126999999999999</v>
          </cell>
          <cell r="J102">
            <v>4.0339999999999998</v>
          </cell>
          <cell r="K102">
            <v>128.97450000000001</v>
          </cell>
          <cell r="L102">
            <v>18.7729</v>
          </cell>
          <cell r="M102">
            <v>110.20160000000001</v>
          </cell>
          <cell r="N102">
            <v>1.5270999999999999</v>
          </cell>
          <cell r="O102">
            <v>0.61680000000000001</v>
          </cell>
          <cell r="P102">
            <v>0.91029999999999989</v>
          </cell>
          <cell r="Q102">
            <v>78.0869</v>
          </cell>
          <cell r="R102">
            <v>31.902999999999999</v>
          </cell>
          <cell r="S102">
            <v>46.183900000000001</v>
          </cell>
          <cell r="T102">
            <v>679.81039999999996</v>
          </cell>
          <cell r="U102">
            <v>666.42510000000004</v>
          </cell>
          <cell r="V102">
            <v>13.385299999999916</v>
          </cell>
          <cell r="W102">
            <v>1689.085</v>
          </cell>
          <cell r="X102">
            <v>1688.8040000000001</v>
          </cell>
          <cell r="Y102">
            <v>0.28099999999994907</v>
          </cell>
          <cell r="Z102">
            <v>284.95159999999987</v>
          </cell>
          <cell r="AA102">
            <v>2.8495159999999986E-4</v>
          </cell>
          <cell r="AB102">
            <v>0.3160071505015713</v>
          </cell>
          <cell r="AE102">
            <v>1998</v>
          </cell>
          <cell r="AF102">
            <v>2703.8532</v>
          </cell>
          <cell r="AG102">
            <v>2418.9016000000001</v>
          </cell>
          <cell r="AH102">
            <v>284.95159999999987</v>
          </cell>
        </row>
        <row r="103">
          <cell r="A103">
            <v>1999</v>
          </cell>
          <cell r="B103">
            <v>12.637</v>
          </cell>
          <cell r="C103">
            <v>4.4336000000000002</v>
          </cell>
          <cell r="D103">
            <v>8.2034000000000002</v>
          </cell>
          <cell r="E103">
            <v>114.9081</v>
          </cell>
          <cell r="F103">
            <v>4.6471</v>
          </cell>
          <cell r="G103">
            <v>110.26100000000001</v>
          </cell>
          <cell r="H103">
            <v>7.7858000000000001</v>
          </cell>
          <cell r="I103">
            <v>3.1793</v>
          </cell>
          <cell r="J103">
            <v>4.6065000000000005</v>
          </cell>
          <cell r="K103">
            <v>188.76849999999999</v>
          </cell>
          <cell r="L103">
            <v>18.585599999999999</v>
          </cell>
          <cell r="M103">
            <v>170.18289999999999</v>
          </cell>
          <cell r="N103">
            <v>1.6395</v>
          </cell>
          <cell r="O103">
            <v>0.61050000000000004</v>
          </cell>
          <cell r="P103">
            <v>1.0289999999999999</v>
          </cell>
          <cell r="Q103">
            <v>105.7578</v>
          </cell>
          <cell r="R103">
            <v>31.509899999999998</v>
          </cell>
          <cell r="S103">
            <v>74.247900000000001</v>
          </cell>
          <cell r="T103">
            <v>697.09190000000001</v>
          </cell>
          <cell r="U103">
            <v>656.60069999999996</v>
          </cell>
          <cell r="V103">
            <v>40.491200000000049</v>
          </cell>
          <cell r="W103">
            <v>1688.809</v>
          </cell>
          <cell r="X103">
            <v>1687.9169999999999</v>
          </cell>
          <cell r="Y103">
            <v>0.89200000000005275</v>
          </cell>
          <cell r="Z103">
            <v>409.91390000000013</v>
          </cell>
          <cell r="AA103">
            <v>4.0991390000000012E-4</v>
          </cell>
          <cell r="AB103">
            <v>0.3030590071904285</v>
          </cell>
          <cell r="AE103">
            <v>1999</v>
          </cell>
          <cell r="AF103">
            <v>2817.3976000000002</v>
          </cell>
          <cell r="AG103">
            <v>2407.4836999999998</v>
          </cell>
          <cell r="AH103">
            <v>409.91390000000047</v>
          </cell>
        </row>
        <row r="104">
          <cell r="A104">
            <v>2000</v>
          </cell>
          <cell r="B104">
            <v>13.2971</v>
          </cell>
          <cell r="C104">
            <v>4.3906999999999998</v>
          </cell>
          <cell r="D104">
            <v>8.9064000000000014</v>
          </cell>
          <cell r="E104">
            <v>120.7452</v>
          </cell>
          <cell r="F104">
            <v>4.6048</v>
          </cell>
          <cell r="G104">
            <v>116.1404</v>
          </cell>
          <cell r="H104">
            <v>8.2195</v>
          </cell>
          <cell r="I104">
            <v>3.1463999999999999</v>
          </cell>
          <cell r="J104">
            <v>5.0731000000000002</v>
          </cell>
          <cell r="K104">
            <v>247.0659</v>
          </cell>
          <cell r="L104">
            <v>18.4009</v>
          </cell>
          <cell r="M104">
            <v>228.66499999999999</v>
          </cell>
          <cell r="N104">
            <v>1.7310000000000001</v>
          </cell>
          <cell r="O104">
            <v>0.60429999999999995</v>
          </cell>
          <cell r="P104">
            <v>1.1267</v>
          </cell>
          <cell r="Q104">
            <v>124.96299999999999</v>
          </cell>
          <cell r="R104">
            <v>31.1236</v>
          </cell>
          <cell r="S104">
            <v>93.839399999999998</v>
          </cell>
          <cell r="T104">
            <v>724.69920000000002</v>
          </cell>
          <cell r="U104">
            <v>646.95759999999996</v>
          </cell>
          <cell r="V104">
            <v>77.741600000000062</v>
          </cell>
          <cell r="W104">
            <v>1688.7650000000001</v>
          </cell>
          <cell r="X104">
            <v>1687.0239999999999</v>
          </cell>
          <cell r="Y104">
            <v>1.7410000000002128</v>
          </cell>
          <cell r="Z104">
            <v>533.23360000000025</v>
          </cell>
          <cell r="AA104">
            <v>5.3323360000000024E-4</v>
          </cell>
          <cell r="AB104">
            <v>0.2956741258650501</v>
          </cell>
          <cell r="AE104">
            <v>2000</v>
          </cell>
          <cell r="AF104">
            <v>2929.4859000000001</v>
          </cell>
          <cell r="AG104">
            <v>2396.2523000000001</v>
          </cell>
          <cell r="AH104">
            <v>533.23360000000002</v>
          </cell>
        </row>
        <row r="105">
          <cell r="A105">
            <v>2001</v>
          </cell>
          <cell r="B105">
            <v>13.9762</v>
          </cell>
          <cell r="C105">
            <v>4.3484999999999996</v>
          </cell>
          <cell r="D105">
            <v>9.6277000000000008</v>
          </cell>
          <cell r="E105">
            <v>127.27589999999999</v>
          </cell>
          <cell r="F105">
            <v>4.5631000000000004</v>
          </cell>
          <cell r="G105">
            <v>122.71279999999999</v>
          </cell>
          <cell r="H105">
            <v>8.6567000000000007</v>
          </cell>
          <cell r="I105">
            <v>3.1139999999999999</v>
          </cell>
          <cell r="J105">
            <v>5.5427000000000008</v>
          </cell>
          <cell r="K105">
            <v>304.14690000000002</v>
          </cell>
          <cell r="L105">
            <v>18.219100000000001</v>
          </cell>
          <cell r="M105">
            <v>285.92779999999999</v>
          </cell>
          <cell r="N105">
            <v>1.8257000000000001</v>
          </cell>
          <cell r="O105">
            <v>0.59819999999999995</v>
          </cell>
          <cell r="P105">
            <v>1.2275</v>
          </cell>
          <cell r="Q105">
            <v>139.3843</v>
          </cell>
          <cell r="R105">
            <v>30.744</v>
          </cell>
          <cell r="S105">
            <v>108.6403</v>
          </cell>
          <cell r="T105">
            <v>759.68510000000003</v>
          </cell>
          <cell r="U105">
            <v>637.49339999999995</v>
          </cell>
          <cell r="V105">
            <v>122.19170000000008</v>
          </cell>
          <cell r="W105">
            <v>1688.885</v>
          </cell>
          <cell r="X105">
            <v>1686.1279999999999</v>
          </cell>
          <cell r="Y105">
            <v>2.7570000000000618</v>
          </cell>
          <cell r="Z105">
            <v>658.62750000000017</v>
          </cell>
          <cell r="AA105">
            <v>6.5862750000000012E-4</v>
          </cell>
          <cell r="AB105">
            <v>0.29216330003688173</v>
          </cell>
          <cell r="AE105">
            <v>2001</v>
          </cell>
          <cell r="AF105">
            <v>3043.8357999999998</v>
          </cell>
          <cell r="AG105">
            <v>2385.2082999999998</v>
          </cell>
          <cell r="AH105">
            <v>658.62750000000005</v>
          </cell>
        </row>
        <row r="106">
          <cell r="A106">
            <v>2002</v>
          </cell>
          <cell r="B106">
            <v>14.5998</v>
          </cell>
          <cell r="C106">
            <v>4.3068999999999997</v>
          </cell>
          <cell r="D106">
            <v>10.292899999999999</v>
          </cell>
          <cell r="E106">
            <v>133.52379999999999</v>
          </cell>
          <cell r="F106">
            <v>4.5220000000000002</v>
          </cell>
          <cell r="G106">
            <v>129.0018</v>
          </cell>
          <cell r="H106">
            <v>9.0549999999999997</v>
          </cell>
          <cell r="I106">
            <v>3.0821999999999998</v>
          </cell>
          <cell r="J106">
            <v>5.9727999999999994</v>
          </cell>
          <cell r="K106">
            <v>359.79379999999998</v>
          </cell>
          <cell r="L106">
            <v>18.039899999999999</v>
          </cell>
          <cell r="M106">
            <v>341.75389999999999</v>
          </cell>
          <cell r="N106">
            <v>1.9133</v>
          </cell>
          <cell r="O106">
            <v>0.59209999999999996</v>
          </cell>
          <cell r="P106">
            <v>1.3212000000000002</v>
          </cell>
          <cell r="Q106">
            <v>151.476</v>
          </cell>
          <cell r="R106">
            <v>30.370899999999999</v>
          </cell>
          <cell r="S106">
            <v>121.10509999999999</v>
          </cell>
          <cell r="T106">
            <v>800.53219999999999</v>
          </cell>
          <cell r="U106">
            <v>628.20389999999998</v>
          </cell>
          <cell r="V106">
            <v>172.32830000000001</v>
          </cell>
          <cell r="W106">
            <v>1689.14</v>
          </cell>
          <cell r="X106">
            <v>1685.2239999999999</v>
          </cell>
          <cell r="Y106">
            <v>3.9160000000001673</v>
          </cell>
          <cell r="Z106">
            <v>785.69200000000012</v>
          </cell>
          <cell r="AA106">
            <v>7.8569200000000005E-4</v>
          </cell>
          <cell r="AB106">
            <v>0.29044030646126184</v>
          </cell>
          <cell r="AE106">
            <v>2002</v>
          </cell>
          <cell r="AF106">
            <v>3160.0339000000004</v>
          </cell>
          <cell r="AG106">
            <v>2374.3418999999999</v>
          </cell>
          <cell r="AH106">
            <v>785.69200000000046</v>
          </cell>
        </row>
        <row r="107">
          <cell r="A107">
            <v>2003</v>
          </cell>
          <cell r="B107">
            <v>15.1602</v>
          </cell>
          <cell r="C107">
            <v>4.2659000000000002</v>
          </cell>
          <cell r="D107">
            <v>10.894299999999999</v>
          </cell>
          <cell r="E107">
            <v>138.8185</v>
          </cell>
          <cell r="F107">
            <v>4.4813999999999998</v>
          </cell>
          <cell r="G107">
            <v>134.33709999999999</v>
          </cell>
          <cell r="H107">
            <v>9.4166000000000007</v>
          </cell>
          <cell r="I107">
            <v>3.0508000000000002</v>
          </cell>
          <cell r="J107">
            <v>6.3658000000000001</v>
          </cell>
          <cell r="K107">
            <v>413.52960000000002</v>
          </cell>
          <cell r="L107">
            <v>17.863499999999998</v>
          </cell>
          <cell r="M107">
            <v>395.66610000000003</v>
          </cell>
          <cell r="N107">
            <v>1.992</v>
          </cell>
          <cell r="O107">
            <v>0.58620000000000005</v>
          </cell>
          <cell r="P107">
            <v>1.4057999999999999</v>
          </cell>
          <cell r="Q107">
            <v>162.09979999999999</v>
          </cell>
          <cell r="R107">
            <v>30.004200000000001</v>
          </cell>
          <cell r="S107">
            <v>132.09559999999999</v>
          </cell>
          <cell r="T107">
            <v>846.36789999999996</v>
          </cell>
          <cell r="U107">
            <v>619.0847</v>
          </cell>
          <cell r="V107">
            <v>227.28319999999997</v>
          </cell>
          <cell r="W107">
            <v>1689.509</v>
          </cell>
          <cell r="X107">
            <v>1684.317</v>
          </cell>
          <cell r="Y107">
            <v>5.1920000000000073</v>
          </cell>
          <cell r="Z107">
            <v>913.23990000000003</v>
          </cell>
          <cell r="AA107">
            <v>9.1323990000000002E-4</v>
          </cell>
          <cell r="AB107">
            <v>0.28936276348418472</v>
          </cell>
          <cell r="AE107">
            <v>2003</v>
          </cell>
          <cell r="AF107">
            <v>3276.8935999999999</v>
          </cell>
          <cell r="AG107">
            <v>2363.6536999999998</v>
          </cell>
          <cell r="AH107">
            <v>913.23990000000003</v>
          </cell>
        </row>
        <row r="108">
          <cell r="A108">
            <v>2004</v>
          </cell>
          <cell r="B108">
            <v>15.6968</v>
          </cell>
          <cell r="C108">
            <v>4.2256</v>
          </cell>
          <cell r="D108">
            <v>11.4712</v>
          </cell>
          <cell r="E108">
            <v>143.62639999999999</v>
          </cell>
          <cell r="F108">
            <v>4.4414999999999996</v>
          </cell>
          <cell r="G108">
            <v>139.1849</v>
          </cell>
          <cell r="H108">
            <v>9.7606000000000002</v>
          </cell>
          <cell r="I108">
            <v>3.0198999999999998</v>
          </cell>
          <cell r="J108">
            <v>6.7407000000000004</v>
          </cell>
          <cell r="K108">
            <v>465.1918</v>
          </cell>
          <cell r="L108">
            <v>17.689599999999999</v>
          </cell>
          <cell r="M108">
            <v>447.50220000000002</v>
          </cell>
          <cell r="N108">
            <v>2.0672000000000001</v>
          </cell>
          <cell r="O108">
            <v>0.58030000000000004</v>
          </cell>
          <cell r="P108">
            <v>1.4869000000000001</v>
          </cell>
          <cell r="Q108">
            <v>171.62629999999999</v>
          </cell>
          <cell r="R108">
            <v>29.643899999999999</v>
          </cell>
          <cell r="S108">
            <v>141.98239999999998</v>
          </cell>
          <cell r="T108">
            <v>896.49369999999999</v>
          </cell>
          <cell r="U108">
            <v>610.13340000000005</v>
          </cell>
          <cell r="V108">
            <v>286.36029999999994</v>
          </cell>
          <cell r="W108">
            <v>1689.982</v>
          </cell>
          <cell r="X108">
            <v>1683.405</v>
          </cell>
          <cell r="Y108">
            <v>6.5769999999999982</v>
          </cell>
          <cell r="Z108">
            <v>1041.3055999999999</v>
          </cell>
          <cell r="AA108">
            <v>1.0413056E-3</v>
          </cell>
          <cell r="AB108">
            <v>0.28869816440522633</v>
          </cell>
          <cell r="AE108">
            <v>2004</v>
          </cell>
          <cell r="AF108">
            <v>3394.4447999999998</v>
          </cell>
          <cell r="AG108">
            <v>2353.1392000000001</v>
          </cell>
          <cell r="AH108">
            <v>1041.3055999999997</v>
          </cell>
        </row>
        <row r="109">
          <cell r="A109">
            <v>2005</v>
          </cell>
          <cell r="B109">
            <v>16.275200000000002</v>
          </cell>
          <cell r="C109">
            <v>4.1858000000000004</v>
          </cell>
          <cell r="D109">
            <v>12.089400000000001</v>
          </cell>
          <cell r="E109">
            <v>149.2587</v>
          </cell>
          <cell r="F109">
            <v>4.4020999999999999</v>
          </cell>
          <cell r="G109">
            <v>144.85660000000001</v>
          </cell>
          <cell r="H109">
            <v>10.126300000000001</v>
          </cell>
          <cell r="I109">
            <v>2.9895999999999998</v>
          </cell>
          <cell r="J109">
            <v>7.1367000000000012</v>
          </cell>
          <cell r="K109">
            <v>515.19209999999998</v>
          </cell>
          <cell r="L109">
            <v>17.5184</v>
          </cell>
          <cell r="M109">
            <v>497.6737</v>
          </cell>
          <cell r="N109">
            <v>2.1488999999999998</v>
          </cell>
          <cell r="O109">
            <v>0.5746</v>
          </cell>
          <cell r="P109">
            <v>1.5742999999999998</v>
          </cell>
          <cell r="Q109">
            <v>180.6892</v>
          </cell>
          <cell r="R109">
            <v>29.2898</v>
          </cell>
          <cell r="S109">
            <v>151.39940000000001</v>
          </cell>
          <cell r="T109">
            <v>950.33079999999995</v>
          </cell>
          <cell r="U109">
            <v>601.34749999999997</v>
          </cell>
          <cell r="V109">
            <v>348.98329999999999</v>
          </cell>
          <cell r="W109">
            <v>1690.5530000000001</v>
          </cell>
          <cell r="X109">
            <v>1682.4860000000001</v>
          </cell>
          <cell r="Y109">
            <v>8.0670000000000073</v>
          </cell>
          <cell r="Z109">
            <v>1171.7804000000001</v>
          </cell>
          <cell r="AA109">
            <v>1.1717804E-3</v>
          </cell>
          <cell r="AB109">
            <v>0.28877495547984022</v>
          </cell>
          <cell r="AE109">
            <v>2005</v>
          </cell>
          <cell r="AF109">
            <v>3514.5742</v>
          </cell>
          <cell r="AG109">
            <v>2342.7937999999999</v>
          </cell>
          <cell r="AH109">
            <v>1171.7804000000001</v>
          </cell>
        </row>
        <row r="110">
          <cell r="A110">
            <v>2006</v>
          </cell>
          <cell r="B110">
            <v>16.778700000000001</v>
          </cell>
          <cell r="C110">
            <v>4.1467000000000001</v>
          </cell>
          <cell r="D110">
            <v>12.632000000000001</v>
          </cell>
          <cell r="E110">
            <v>154.1412</v>
          </cell>
          <cell r="F110">
            <v>4.3634000000000004</v>
          </cell>
          <cell r="G110">
            <v>149.77779999999998</v>
          </cell>
          <cell r="H110">
            <v>10.4316</v>
          </cell>
          <cell r="I110">
            <v>2.9597000000000002</v>
          </cell>
          <cell r="J110">
            <v>7.4718999999999998</v>
          </cell>
          <cell r="K110">
            <v>563.10400000000004</v>
          </cell>
          <cell r="L110">
            <v>17.349900000000002</v>
          </cell>
          <cell r="M110">
            <v>545.75409999999999</v>
          </cell>
          <cell r="N110">
            <v>2.2202000000000002</v>
          </cell>
          <cell r="O110">
            <v>0.56889999999999996</v>
          </cell>
          <cell r="P110">
            <v>1.6513000000000002</v>
          </cell>
          <cell r="Q110">
            <v>189.5984</v>
          </cell>
          <cell r="R110">
            <v>28.941700000000001</v>
          </cell>
          <cell r="S110">
            <v>160.6567</v>
          </cell>
        </row>
        <row r="111">
          <cell r="A111">
            <v>2007</v>
          </cell>
          <cell r="B111">
            <v>23.969200000000001</v>
          </cell>
          <cell r="C111">
            <v>4.1081000000000003</v>
          </cell>
          <cell r="D111">
            <v>19.8611</v>
          </cell>
          <cell r="E111">
            <v>27.572399999999998</v>
          </cell>
          <cell r="F111">
            <v>4.3251999999999997</v>
          </cell>
          <cell r="G111">
            <v>23.247199999999999</v>
          </cell>
          <cell r="H111">
            <v>17.412099999999999</v>
          </cell>
          <cell r="I111">
            <v>2.9302999999999999</v>
          </cell>
          <cell r="J111">
            <v>14.4818</v>
          </cell>
          <cell r="K111">
            <v>536.18439999999998</v>
          </cell>
          <cell r="L111">
            <v>17.183900000000001</v>
          </cell>
          <cell r="M111">
            <v>519.00049999999999</v>
          </cell>
          <cell r="N111">
            <v>3.2648999999999999</v>
          </cell>
          <cell r="O111">
            <v>0.56330000000000002</v>
          </cell>
          <cell r="P111">
            <v>2.7016</v>
          </cell>
          <cell r="Q111">
            <v>175.9717</v>
          </cell>
          <cell r="R111">
            <v>28.599699999999999</v>
          </cell>
          <cell r="S111">
            <v>147.37200000000001</v>
          </cell>
        </row>
        <row r="112">
          <cell r="A112">
            <v>2008</v>
          </cell>
          <cell r="B112">
            <v>31.016200000000001</v>
          </cell>
          <cell r="C112">
            <v>4.0701999999999998</v>
          </cell>
          <cell r="D112">
            <v>26.946000000000002</v>
          </cell>
          <cell r="E112">
            <v>33.269799999999996</v>
          </cell>
          <cell r="F112">
            <v>4.2874999999999996</v>
          </cell>
          <cell r="G112">
            <v>28.982299999999995</v>
          </cell>
          <cell r="H112">
            <v>23.606400000000001</v>
          </cell>
          <cell r="I112">
            <v>2.9014000000000002</v>
          </cell>
          <cell r="J112">
            <v>20.705000000000002</v>
          </cell>
          <cell r="K112">
            <v>526.70730000000003</v>
          </cell>
          <cell r="L112">
            <v>17.020399999999999</v>
          </cell>
          <cell r="M112">
            <v>509.68690000000004</v>
          </cell>
          <cell r="N112">
            <v>4.5339999999999998</v>
          </cell>
          <cell r="O112">
            <v>0.55789999999999995</v>
          </cell>
          <cell r="P112">
            <v>3.9760999999999997</v>
          </cell>
          <cell r="Q112">
            <v>143.09</v>
          </cell>
          <cell r="R112">
            <v>28.2637</v>
          </cell>
          <cell r="S112">
            <v>114.8263</v>
          </cell>
        </row>
        <row r="113">
          <cell r="A113">
            <v>2009</v>
          </cell>
          <cell r="B113">
            <v>18.812000000000001</v>
          </cell>
          <cell r="C113">
            <v>4.0327999999999999</v>
          </cell>
          <cell r="D113">
            <v>14.779200000000001</v>
          </cell>
          <cell r="E113">
            <v>18.741700000000002</v>
          </cell>
          <cell r="F113">
            <v>4.2504</v>
          </cell>
          <cell r="G113">
            <v>14.491300000000003</v>
          </cell>
          <cell r="H113">
            <v>14.823499999999999</v>
          </cell>
          <cell r="I113">
            <v>2.8730000000000002</v>
          </cell>
          <cell r="J113">
            <v>11.950499999999998</v>
          </cell>
          <cell r="K113">
            <v>511.7996</v>
          </cell>
          <cell r="L113">
            <v>16.859500000000001</v>
          </cell>
          <cell r="M113">
            <v>494.94009999999997</v>
          </cell>
          <cell r="N113">
            <v>3.1105999999999998</v>
          </cell>
          <cell r="O113">
            <v>0.55249999999999999</v>
          </cell>
          <cell r="P113">
            <v>2.5580999999999996</v>
          </cell>
          <cell r="Q113">
            <v>126.4308</v>
          </cell>
          <cell r="R113">
            <v>27.933399999999999</v>
          </cell>
          <cell r="S113">
            <v>98.497399999999999</v>
          </cell>
        </row>
        <row r="114">
          <cell r="A114">
            <v>2010</v>
          </cell>
          <cell r="B114">
            <v>18.802499999999998</v>
          </cell>
          <cell r="C114">
            <v>3.996</v>
          </cell>
          <cell r="D114">
            <v>14.806499999999998</v>
          </cell>
          <cell r="E114">
            <v>18.112500000000001</v>
          </cell>
          <cell r="F114">
            <v>4.2138999999999998</v>
          </cell>
          <cell r="G114">
            <v>13.898600000000002</v>
          </cell>
          <cell r="H114">
            <v>14.5312</v>
          </cell>
          <cell r="I114">
            <v>2.8450000000000002</v>
          </cell>
          <cell r="J114">
            <v>11.686199999999999</v>
          </cell>
          <cell r="K114">
            <v>484.20310000000001</v>
          </cell>
          <cell r="L114">
            <v>16.7011</v>
          </cell>
          <cell r="M114">
            <v>467.50200000000001</v>
          </cell>
          <cell r="N114">
            <v>2.8271000000000002</v>
          </cell>
          <cell r="O114">
            <v>0.54720000000000002</v>
          </cell>
          <cell r="P114">
            <v>2.2799</v>
          </cell>
          <cell r="Q114">
            <v>108.13330000000001</v>
          </cell>
          <cell r="R114">
            <v>27.608899999999998</v>
          </cell>
          <cell r="S114">
            <v>80.524400000000014</v>
          </cell>
        </row>
        <row r="115">
          <cell r="A115">
            <v>2011</v>
          </cell>
          <cell r="B115">
            <v>15.6022</v>
          </cell>
          <cell r="C115">
            <v>3.9598</v>
          </cell>
          <cell r="D115">
            <v>11.6424</v>
          </cell>
          <cell r="E115">
            <v>14.9016</v>
          </cell>
          <cell r="F115">
            <v>4.1779000000000002</v>
          </cell>
          <cell r="G115">
            <v>10.723700000000001</v>
          </cell>
          <cell r="H115">
            <v>12.0716</v>
          </cell>
          <cell r="I115">
            <v>2.8174999999999999</v>
          </cell>
          <cell r="J115">
            <v>9.2541000000000011</v>
          </cell>
          <cell r="K115">
            <v>454.05149999999998</v>
          </cell>
          <cell r="L115">
            <v>16.545100000000001</v>
          </cell>
          <cell r="M115">
            <v>437.50639999999999</v>
          </cell>
          <cell r="N115">
            <v>2.3967999999999998</v>
          </cell>
          <cell r="O115">
            <v>0.54190000000000005</v>
          </cell>
          <cell r="P115">
            <v>1.8548999999999998</v>
          </cell>
          <cell r="Q115">
            <v>97.558800000000005</v>
          </cell>
          <cell r="R115">
            <v>27.289899999999999</v>
          </cell>
          <cell r="S115">
            <v>70.268900000000002</v>
          </cell>
        </row>
        <row r="116">
          <cell r="A116">
            <v>2012</v>
          </cell>
          <cell r="B116">
            <v>14.110900000000001</v>
          </cell>
          <cell r="C116">
            <v>3.9241000000000001</v>
          </cell>
          <cell r="D116">
            <v>10.186800000000002</v>
          </cell>
          <cell r="E116">
            <v>13.481400000000001</v>
          </cell>
          <cell r="F116">
            <v>4.1425000000000001</v>
          </cell>
          <cell r="G116">
            <v>9.3389000000000006</v>
          </cell>
          <cell r="H116">
            <v>10.880599999999999</v>
          </cell>
          <cell r="I116">
            <v>2.7905000000000002</v>
          </cell>
          <cell r="J116">
            <v>8.0900999999999996</v>
          </cell>
          <cell r="K116">
            <v>420.87759999999997</v>
          </cell>
          <cell r="L116">
            <v>16.3916</v>
          </cell>
          <cell r="M116">
            <v>404.48599999999999</v>
          </cell>
          <cell r="N116">
            <v>2.1238999999999999</v>
          </cell>
          <cell r="O116">
            <v>0.53680000000000005</v>
          </cell>
          <cell r="P116">
            <v>1.5871</v>
          </cell>
          <cell r="Q116">
            <v>89.372200000000007</v>
          </cell>
          <cell r="R116">
            <v>26.976500000000001</v>
          </cell>
          <cell r="S116">
            <v>62.395700000000005</v>
          </cell>
        </row>
        <row r="117">
          <cell r="A117">
            <v>2013</v>
          </cell>
          <cell r="B117">
            <v>12.825200000000001</v>
          </cell>
          <cell r="C117">
            <v>3.8891</v>
          </cell>
          <cell r="D117">
            <v>8.9360999999999997</v>
          </cell>
          <cell r="E117">
            <v>12.428699999999999</v>
          </cell>
          <cell r="F117">
            <v>4.1075999999999997</v>
          </cell>
          <cell r="G117">
            <v>8.3210999999999995</v>
          </cell>
          <cell r="H117">
            <v>9.9031000000000002</v>
          </cell>
          <cell r="I117">
            <v>2.7639</v>
          </cell>
          <cell r="J117">
            <v>7.1392000000000007</v>
          </cell>
          <cell r="K117">
            <v>387.35879999999997</v>
          </cell>
          <cell r="L117">
            <v>16.240500000000001</v>
          </cell>
          <cell r="M117">
            <v>371.11829999999998</v>
          </cell>
          <cell r="N117">
            <v>1.9188000000000001</v>
          </cell>
          <cell r="O117">
            <v>0.53180000000000005</v>
          </cell>
          <cell r="P117">
            <v>1.387</v>
          </cell>
          <cell r="Q117">
            <v>83.782300000000006</v>
          </cell>
          <cell r="R117">
            <v>26.668600000000001</v>
          </cell>
          <cell r="S117">
            <v>57.113700000000009</v>
          </cell>
        </row>
        <row r="118">
          <cell r="A118">
            <v>2014</v>
          </cell>
          <cell r="B118">
            <v>11.570499999999999</v>
          </cell>
          <cell r="C118">
            <v>3.8544999999999998</v>
          </cell>
          <cell r="D118">
            <v>7.7159999999999993</v>
          </cell>
          <cell r="E118">
            <v>11.3874</v>
          </cell>
          <cell r="F118">
            <v>4.0731999999999999</v>
          </cell>
          <cell r="G118">
            <v>7.3141999999999996</v>
          </cell>
          <cell r="H118">
            <v>8.9245000000000001</v>
          </cell>
          <cell r="I118">
            <v>2.7376999999999998</v>
          </cell>
          <cell r="J118">
            <v>6.1867999999999999</v>
          </cell>
          <cell r="K118">
            <v>354.14510000000001</v>
          </cell>
          <cell r="L118">
            <v>16.091799999999999</v>
          </cell>
          <cell r="M118">
            <v>338.05330000000004</v>
          </cell>
          <cell r="N118">
            <v>1.7234</v>
          </cell>
          <cell r="O118">
            <v>0.52680000000000005</v>
          </cell>
          <cell r="P118">
            <v>1.1966000000000001</v>
          </cell>
          <cell r="Q118">
            <v>79.675200000000004</v>
          </cell>
          <cell r="R118">
            <v>26.366</v>
          </cell>
          <cell r="S118">
            <v>53.309200000000004</v>
          </cell>
        </row>
        <row r="119">
          <cell r="A119">
            <v>2015</v>
          </cell>
          <cell r="B119">
            <v>10.445499999999999</v>
          </cell>
          <cell r="C119">
            <v>3.8205</v>
          </cell>
          <cell r="D119">
            <v>6.6249999999999991</v>
          </cell>
          <cell r="E119">
            <v>10.417400000000001</v>
          </cell>
          <cell r="F119">
            <v>4.0393999999999997</v>
          </cell>
          <cell r="G119">
            <v>6.378000000000001</v>
          </cell>
          <cell r="H119">
            <v>8.0241000000000007</v>
          </cell>
          <cell r="I119">
            <v>2.7120000000000002</v>
          </cell>
          <cell r="J119">
            <v>5.3121000000000009</v>
          </cell>
          <cell r="K119">
            <v>321.64100000000002</v>
          </cell>
          <cell r="L119">
            <v>15.945399999999999</v>
          </cell>
          <cell r="M119">
            <v>305.69560000000001</v>
          </cell>
          <cell r="N119">
            <v>1.5459000000000001</v>
          </cell>
          <cell r="O119">
            <v>0.52190000000000003</v>
          </cell>
          <cell r="P119">
            <v>1.024</v>
          </cell>
          <cell r="Q119">
            <v>76.281099999999995</v>
          </cell>
          <cell r="R119">
            <v>26.0686</v>
          </cell>
          <cell r="S119">
            <v>50.212499999999991</v>
          </cell>
        </row>
        <row r="120">
          <cell r="H120">
            <v>7.2439</v>
          </cell>
          <cell r="I120">
            <v>2.6867000000000001</v>
          </cell>
          <cell r="J120">
            <v>4.5571999999999999</v>
          </cell>
          <cell r="K120">
            <v>290.28960000000001</v>
          </cell>
          <cell r="L120">
            <v>15.801399999999999</v>
          </cell>
          <cell r="M120">
            <v>274.48820000000001</v>
          </cell>
          <cell r="N120">
            <v>1.3934</v>
          </cell>
          <cell r="O120">
            <v>0.5171</v>
          </cell>
          <cell r="P120">
            <v>0.87629999999999997</v>
          </cell>
          <cell r="Q120">
            <v>73.272999999999996</v>
          </cell>
          <cell r="R120">
            <v>25.776399999999999</v>
          </cell>
        </row>
        <row r="121">
          <cell r="H121">
            <v>6.6044999999999998</v>
          </cell>
          <cell r="I121">
            <v>2.6617999999999999</v>
          </cell>
          <cell r="J121">
            <v>3.9426999999999999</v>
          </cell>
          <cell r="K121">
            <v>260.50130000000001</v>
          </cell>
          <cell r="L121">
            <v>15.659700000000001</v>
          </cell>
          <cell r="M121">
            <v>244.84160000000003</v>
          </cell>
          <cell r="N121">
            <v>1.2688999999999999</v>
          </cell>
          <cell r="O121">
            <v>0.51239999999999997</v>
          </cell>
          <cell r="P121">
            <v>0.75649999999999995</v>
          </cell>
          <cell r="Q121">
            <v>70.528599999999997</v>
          </cell>
          <cell r="R121">
            <v>25.4893</v>
          </cell>
        </row>
        <row r="122">
          <cell r="H122">
            <v>6.1085000000000003</v>
          </cell>
          <cell r="I122">
            <v>2.6374</v>
          </cell>
          <cell r="J122">
            <v>3.4711000000000003</v>
          </cell>
          <cell r="K122">
            <v>232.61539999999999</v>
          </cell>
          <cell r="L122">
            <v>15.520200000000001</v>
          </cell>
          <cell r="M122">
            <v>217.09520000000001</v>
          </cell>
          <cell r="N122">
            <v>1.1721999999999999</v>
          </cell>
          <cell r="O122">
            <v>0.50770000000000004</v>
          </cell>
          <cell r="P122">
            <v>0.66449999999999987</v>
          </cell>
          <cell r="Q122">
            <v>68.021600000000007</v>
          </cell>
          <cell r="R122">
            <v>25.207100000000001</v>
          </cell>
        </row>
        <row r="123">
          <cell r="H123">
            <v>5.7423999999999999</v>
          </cell>
          <cell r="I123">
            <v>2.6133000000000002</v>
          </cell>
          <cell r="J123">
            <v>3.1290999999999998</v>
          </cell>
          <cell r="K123">
            <v>206.87190000000001</v>
          </cell>
          <cell r="L123">
            <v>15.382999999999999</v>
          </cell>
          <cell r="M123">
            <v>191.4889</v>
          </cell>
          <cell r="N123">
            <v>1.1005</v>
          </cell>
          <cell r="O123">
            <v>0.50319999999999998</v>
          </cell>
          <cell r="P123">
            <v>0.59730000000000005</v>
          </cell>
          <cell r="Q123">
            <v>65.759500000000003</v>
          </cell>
          <cell r="R123">
            <v>24.9299</v>
          </cell>
        </row>
        <row r="124">
          <cell r="H124">
            <v>5.4840999999999998</v>
          </cell>
          <cell r="I124">
            <v>2.5897000000000001</v>
          </cell>
          <cell r="J124">
            <v>2.8943999999999996</v>
          </cell>
          <cell r="K124">
            <v>183.40090000000001</v>
          </cell>
          <cell r="L124">
            <v>15.247999999999999</v>
          </cell>
          <cell r="M124">
            <v>168.15290000000002</v>
          </cell>
          <cell r="N124">
            <v>1.0497000000000001</v>
          </cell>
          <cell r="O124">
            <v>0.49869999999999998</v>
          </cell>
          <cell r="P124">
            <v>0.55100000000000016</v>
          </cell>
          <cell r="Q124">
            <v>63.749099999999999</v>
          </cell>
          <cell r="R124">
            <v>24.657499999999999</v>
          </cell>
        </row>
        <row r="125">
          <cell r="H125">
            <v>5.3094999999999999</v>
          </cell>
          <cell r="I125">
            <v>2.5665</v>
          </cell>
          <cell r="J125">
            <v>2.7429999999999999</v>
          </cell>
          <cell r="K125">
            <v>162.22989999999999</v>
          </cell>
          <cell r="L125">
            <v>15.1151</v>
          </cell>
          <cell r="M125">
            <v>147.11479999999997</v>
          </cell>
          <cell r="N125">
            <v>1.0152000000000001</v>
          </cell>
          <cell r="O125">
            <v>0.49430000000000002</v>
          </cell>
          <cell r="P125">
            <v>0.52090000000000014</v>
          </cell>
          <cell r="Q125">
            <v>61.983400000000003</v>
          </cell>
          <cell r="R125">
            <v>24.389800000000001</v>
          </cell>
        </row>
        <row r="126">
          <cell r="H126">
            <v>5.1965000000000003</v>
          </cell>
          <cell r="I126">
            <v>2.5436000000000001</v>
          </cell>
          <cell r="J126">
            <v>2.6529000000000003</v>
          </cell>
          <cell r="K126">
            <v>143.30590000000001</v>
          </cell>
          <cell r="L126">
            <v>14.984400000000001</v>
          </cell>
          <cell r="M126">
            <v>128.32150000000001</v>
          </cell>
          <cell r="N126">
            <v>0.99270000000000003</v>
          </cell>
          <cell r="O126">
            <v>0.4899</v>
          </cell>
          <cell r="P126">
            <v>0.50280000000000002</v>
          </cell>
          <cell r="Q126">
            <v>60.4422</v>
          </cell>
          <cell r="R126">
            <v>24.126799999999999</v>
          </cell>
        </row>
        <row r="127">
          <cell r="H127">
            <v>5.1269</v>
          </cell>
          <cell r="I127">
            <v>2.5211999999999999</v>
          </cell>
          <cell r="J127">
            <v>2.6057000000000001</v>
          </cell>
          <cell r="K127">
            <v>126.5185</v>
          </cell>
          <cell r="L127">
            <v>14.8559</v>
          </cell>
          <cell r="M127">
            <v>111.6626</v>
          </cell>
          <cell r="N127">
            <v>0.9788</v>
          </cell>
          <cell r="O127">
            <v>0.48559999999999998</v>
          </cell>
          <cell r="P127">
            <v>0.49320000000000003</v>
          </cell>
          <cell r="Q127">
            <v>59.096699999999998</v>
          </cell>
          <cell r="R127">
            <v>23.868300000000001</v>
          </cell>
        </row>
        <row r="129">
          <cell r="A129">
            <v>2025</v>
          </cell>
          <cell r="B129">
            <v>6.8387000000000002</v>
          </cell>
          <cell r="C129">
            <v>3.5091000000000001</v>
          </cell>
          <cell r="D129">
            <v>3.3296000000000001</v>
          </cell>
          <cell r="E129">
            <v>6.9664999999999999</v>
          </cell>
          <cell r="F129">
            <v>3.7282999999999999</v>
          </cell>
          <cell r="G129">
            <v>3.2382</v>
          </cell>
          <cell r="H129">
            <v>5.0646000000000004</v>
          </cell>
          <cell r="I129">
            <v>2.4773999999999998</v>
          </cell>
          <cell r="J129">
            <v>2.5872000000000006</v>
          </cell>
          <cell r="K129">
            <v>98.7547</v>
          </cell>
          <cell r="L129">
            <v>14.605</v>
          </cell>
          <cell r="M129">
            <v>84.149699999999996</v>
          </cell>
          <cell r="N129">
            <v>0.96609999999999996</v>
          </cell>
          <cell r="O129">
            <v>0.4773</v>
          </cell>
          <cell r="P129">
            <v>0.48879999999999996</v>
          </cell>
          <cell r="Q129">
            <v>56.866599999999998</v>
          </cell>
          <cell r="R129">
            <v>23.364899999999999</v>
          </cell>
          <cell r="S129">
            <v>33.5017</v>
          </cell>
        </row>
        <row r="130">
          <cell r="A130">
            <v>2026</v>
          </cell>
          <cell r="B130">
            <v>6.8257000000000003</v>
          </cell>
          <cell r="C130">
            <v>3.4807000000000001</v>
          </cell>
          <cell r="D130">
            <v>3.3450000000000002</v>
          </cell>
          <cell r="E130">
            <v>6.9522000000000004</v>
          </cell>
          <cell r="F130">
            <v>3.6999</v>
          </cell>
          <cell r="G130">
            <v>3.2523000000000004</v>
          </cell>
          <cell r="H130">
            <v>5.0536000000000003</v>
          </cell>
          <cell r="I130">
            <v>2.4561000000000002</v>
          </cell>
          <cell r="J130">
            <v>2.5975000000000001</v>
          </cell>
          <cell r="K130">
            <v>87.447599999999994</v>
          </cell>
          <cell r="L130">
            <v>14.482699999999999</v>
          </cell>
          <cell r="M130">
            <v>72.9649</v>
          </cell>
          <cell r="N130">
            <v>0.96379999999999999</v>
          </cell>
          <cell r="O130">
            <v>0.4733</v>
          </cell>
          <cell r="P130">
            <v>0.49049999999999999</v>
          </cell>
          <cell r="Q130">
            <v>55.9223</v>
          </cell>
          <cell r="R130">
            <v>23.119700000000002</v>
          </cell>
          <cell r="S130">
            <v>32.802599999999998</v>
          </cell>
        </row>
        <row r="131">
          <cell r="A131">
            <v>2027</v>
          </cell>
          <cell r="B131">
            <v>6.819</v>
          </cell>
          <cell r="C131">
            <v>3.4527000000000001</v>
          </cell>
          <cell r="D131">
            <v>3.3662999999999998</v>
          </cell>
          <cell r="E131">
            <v>6.9448999999999996</v>
          </cell>
          <cell r="F131">
            <v>3.6718000000000002</v>
          </cell>
          <cell r="G131">
            <v>3.2730999999999995</v>
          </cell>
          <cell r="H131">
            <v>5.048</v>
          </cell>
          <cell r="I131">
            <v>2.4350999999999998</v>
          </cell>
          <cell r="J131">
            <v>2.6129000000000002</v>
          </cell>
          <cell r="K131">
            <v>77.6374</v>
          </cell>
          <cell r="L131">
            <v>14.362299999999999</v>
          </cell>
          <cell r="M131">
            <v>63.275100000000002</v>
          </cell>
          <cell r="N131">
            <v>0.96260000000000001</v>
          </cell>
          <cell r="O131">
            <v>0.46929999999999999</v>
          </cell>
          <cell r="P131">
            <v>0.49330000000000002</v>
          </cell>
          <cell r="Q131">
            <v>55.058</v>
          </cell>
          <cell r="R131">
            <v>22.878900000000002</v>
          </cell>
          <cell r="S131">
            <v>32.179099999999998</v>
          </cell>
        </row>
        <row r="132">
          <cell r="A132">
            <v>2028</v>
          </cell>
          <cell r="B132">
            <v>6.8140000000000001</v>
          </cell>
          <cell r="C132">
            <v>3.4251999999999998</v>
          </cell>
          <cell r="D132">
            <v>3.3888000000000003</v>
          </cell>
          <cell r="E132">
            <v>6.9401000000000002</v>
          </cell>
          <cell r="F132">
            <v>3.6442000000000001</v>
          </cell>
          <cell r="G132">
            <v>3.2959000000000001</v>
          </cell>
          <cell r="H132">
            <v>5.0439999999999996</v>
          </cell>
          <cell r="I132">
            <v>2.4144999999999999</v>
          </cell>
          <cell r="J132">
            <v>2.6294999999999997</v>
          </cell>
          <cell r="K132">
            <v>69.168499999999995</v>
          </cell>
          <cell r="L132">
            <v>14.244</v>
          </cell>
          <cell r="M132">
            <v>54.924499999999995</v>
          </cell>
          <cell r="N132">
            <v>0.96179999999999999</v>
          </cell>
          <cell r="O132">
            <v>0.46539999999999998</v>
          </cell>
          <cell r="P132">
            <v>0.49640000000000001</v>
          </cell>
          <cell r="Q132">
            <v>54.252899999999997</v>
          </cell>
          <cell r="R132">
            <v>22.642199999999999</v>
          </cell>
          <cell r="S132">
            <v>31.610699999999998</v>
          </cell>
        </row>
        <row r="133">
          <cell r="A133">
            <v>2029</v>
          </cell>
          <cell r="B133">
            <v>6.8076999999999996</v>
          </cell>
          <cell r="C133">
            <v>3.3980999999999999</v>
          </cell>
          <cell r="D133">
            <v>3.4095999999999997</v>
          </cell>
          <cell r="E133">
            <v>6.9345999999999997</v>
          </cell>
          <cell r="F133">
            <v>3.6171000000000002</v>
          </cell>
          <cell r="G133">
            <v>3.3174999999999994</v>
          </cell>
          <cell r="H133">
            <v>5.0391000000000004</v>
          </cell>
          <cell r="I133">
            <v>2.3942999999999999</v>
          </cell>
          <cell r="J133">
            <v>2.6448000000000005</v>
          </cell>
          <cell r="K133">
            <v>61.896799999999999</v>
          </cell>
          <cell r="L133">
            <v>14.127599999999999</v>
          </cell>
          <cell r="M133">
            <v>47.769199999999998</v>
          </cell>
          <cell r="N133">
            <v>0.96089999999999998</v>
          </cell>
          <cell r="O133">
            <v>0.46150000000000002</v>
          </cell>
          <cell r="P133">
            <v>0.49939999999999996</v>
          </cell>
          <cell r="Q133">
            <v>53.490600000000001</v>
          </cell>
          <cell r="R133">
            <v>22.409600000000001</v>
          </cell>
          <cell r="S133">
            <v>31.081</v>
          </cell>
        </row>
        <row r="134">
          <cell r="A134">
            <v>2030</v>
          </cell>
          <cell r="B134">
            <v>6.798</v>
          </cell>
          <cell r="C134">
            <v>3.3715000000000002</v>
          </cell>
          <cell r="D134">
            <v>3.4264999999999999</v>
          </cell>
          <cell r="E134">
            <v>6.9261999999999997</v>
          </cell>
          <cell r="F134">
            <v>3.5903999999999998</v>
          </cell>
          <cell r="G134">
            <v>3.3357999999999999</v>
          </cell>
          <cell r="H134">
            <v>5.0316999999999998</v>
          </cell>
          <cell r="I134">
            <v>2.3744000000000001</v>
          </cell>
          <cell r="J134">
            <v>2.6572999999999998</v>
          </cell>
          <cell r="K134">
            <v>55.689300000000003</v>
          </cell>
          <cell r="L134">
            <v>14.0131</v>
          </cell>
          <cell r="M134">
            <v>41.676200000000001</v>
          </cell>
          <cell r="N134">
            <v>0.95960000000000001</v>
          </cell>
          <cell r="O134">
            <v>0.4577</v>
          </cell>
          <cell r="P134">
            <v>0.50190000000000001</v>
          </cell>
          <cell r="Q134">
            <v>52.758000000000003</v>
          </cell>
          <cell r="R134">
            <v>22.1812</v>
          </cell>
          <cell r="S134">
            <v>30.576800000000002</v>
          </cell>
        </row>
        <row r="136">
          <cell r="B136" t="str">
            <v>Steps of Conversion</v>
          </cell>
        </row>
        <row r="137">
          <cell r="B137">
            <v>151</v>
          </cell>
          <cell r="C137" t="str">
            <v>g C/m2 -yr</v>
          </cell>
        </row>
        <row r="138">
          <cell r="B138">
            <v>611081.9</v>
          </cell>
          <cell r="C138" t="str">
            <v>g C/acre -yr</v>
          </cell>
          <cell r="E138" t="str">
            <v>Cumulative Application (wet tons YT/m2/yr)</v>
          </cell>
        </row>
        <row r="139">
          <cell r="B139">
            <v>0.67360600983266827</v>
          </cell>
          <cell r="C139" t="str">
            <v>tons C/acre -yr</v>
          </cell>
          <cell r="E139" t="str">
            <v>Year</v>
          </cell>
          <cell r="F139" t="str">
            <v>Elapsed years</v>
          </cell>
          <cell r="G139" t="str">
            <v>Cumulative tons/m2</v>
          </cell>
        </row>
        <row r="140">
          <cell r="B140">
            <v>1.403345853818059</v>
          </cell>
          <cell r="C140" t="str">
            <v>tons organic matter/acre -yr</v>
          </cell>
          <cell r="E140">
            <v>1997</v>
          </cell>
          <cell r="F140">
            <v>1</v>
          </cell>
          <cell r="G140">
            <v>1.6531628029222991E-3</v>
          </cell>
        </row>
        <row r="141">
          <cell r="B141">
            <v>1.5929010826538694</v>
          </cell>
          <cell r="C141" t="str">
            <v>tons dry tons compost/acre -yr</v>
          </cell>
          <cell r="E141">
            <v>1998</v>
          </cell>
          <cell r="F141">
            <v>2</v>
          </cell>
          <cell r="G141">
            <v>3.3063256058445982E-3</v>
          </cell>
        </row>
        <row r="142">
          <cell r="B142">
            <v>3.1858021653077389</v>
          </cell>
          <cell r="C142" t="str">
            <v>wet tons/acre-yr</v>
          </cell>
          <cell r="E142">
            <v>1999</v>
          </cell>
          <cell r="F142">
            <v>3</v>
          </cell>
          <cell r="G142">
            <v>4.9594884087668968E-3</v>
          </cell>
        </row>
        <row r="143">
          <cell r="B143">
            <v>6.6901845471462522</v>
          </cell>
          <cell r="C143" t="str">
            <v>equivalent wet tons YT/acre-yr</v>
          </cell>
          <cell r="E143">
            <v>2000</v>
          </cell>
          <cell r="F143">
            <v>4</v>
          </cell>
          <cell r="G143">
            <v>6.6126512116891963E-3</v>
          </cell>
        </row>
        <row r="144">
          <cell r="B144">
            <v>1.6531628029222991E-3</v>
          </cell>
          <cell r="C144" t="str">
            <v>wet tons YT/m2/yr</v>
          </cell>
          <cell r="E144">
            <v>2001</v>
          </cell>
          <cell r="F144">
            <v>5</v>
          </cell>
          <cell r="G144">
            <v>8.2658140146114958E-3</v>
          </cell>
        </row>
        <row r="145">
          <cell r="E145">
            <v>2002</v>
          </cell>
          <cell r="F145">
            <v>6</v>
          </cell>
          <cell r="G145">
            <v>9.9189768175337936E-3</v>
          </cell>
        </row>
        <row r="146">
          <cell r="E146">
            <v>2003</v>
          </cell>
          <cell r="F146">
            <v>7</v>
          </cell>
          <cell r="G146">
            <v>1.1572139620456093E-2</v>
          </cell>
        </row>
        <row r="147">
          <cell r="E147">
            <v>2004</v>
          </cell>
          <cell r="F147">
            <v>8</v>
          </cell>
          <cell r="G147">
            <v>1.3225302423378393E-2</v>
          </cell>
        </row>
        <row r="148">
          <cell r="B148" t="str">
            <v>Conversion Factors</v>
          </cell>
          <cell r="E148">
            <v>2005</v>
          </cell>
          <cell r="F148">
            <v>9</v>
          </cell>
          <cell r="G148">
            <v>1.4878465226300692E-2</v>
          </cell>
        </row>
        <row r="149">
          <cell r="B149">
            <v>4046.9</v>
          </cell>
          <cell r="C149" t="str">
            <v>m2/acre</v>
          </cell>
          <cell r="E149">
            <v>2006</v>
          </cell>
          <cell r="F149">
            <v>10</v>
          </cell>
          <cell r="G149">
            <v>1.6531628029222992E-2</v>
          </cell>
        </row>
        <row r="150">
          <cell r="B150">
            <v>0.5</v>
          </cell>
          <cell r="C150" t="str">
            <v>dry tons/wet tons compost</v>
          </cell>
          <cell r="E150" t="str">
            <v>2007 - 2030</v>
          </cell>
          <cell r="G150">
            <v>1.6531628029222992E-2</v>
          </cell>
        </row>
        <row r="151">
          <cell r="B151">
            <v>0.88100000000000001</v>
          </cell>
          <cell r="C151" t="str">
            <v>organic matter/dry compost</v>
          </cell>
        </row>
        <row r="152">
          <cell r="B152">
            <v>0.48</v>
          </cell>
          <cell r="C152" t="str">
            <v>Carbon/organic matter</v>
          </cell>
        </row>
        <row r="153">
          <cell r="B153">
            <v>907.18</v>
          </cell>
          <cell r="C153" t="str">
            <v>kg/tons</v>
          </cell>
        </row>
        <row r="154">
          <cell r="B154">
            <v>1000</v>
          </cell>
          <cell r="C154" t="str">
            <v>g/kg</v>
          </cell>
        </row>
        <row r="155">
          <cell r="B155">
            <v>2.1</v>
          </cell>
          <cell r="C155" t="str">
            <v>YT in: compost out (ratio)</v>
          </cell>
        </row>
      </sheetData>
      <sheetData sheetId="38" refreshError="1">
        <row r="8">
          <cell r="B8" t="str">
            <v>Upper bound storage</v>
          </cell>
          <cell r="C8" t="str">
            <v>Lower bound storage</v>
          </cell>
          <cell r="D8" t="str">
            <v>Initial C allocation from Century</v>
          </cell>
          <cell r="E8" t="str">
            <v>Rate constant, yr-1</v>
          </cell>
          <cell r="F8" t="str">
            <v>Mean Residence Time</v>
          </cell>
        </row>
        <row r="9">
          <cell r="B9">
            <v>0.1</v>
          </cell>
          <cell r="C9">
            <v>0.1</v>
          </cell>
          <cell r="E9" t="str">
            <v>NA</v>
          </cell>
        </row>
        <row r="10">
          <cell r="B10">
            <v>0.3</v>
          </cell>
          <cell r="C10">
            <v>0.45</v>
          </cell>
          <cell r="D10">
            <v>0</v>
          </cell>
          <cell r="E10">
            <v>-0.2</v>
          </cell>
          <cell r="F10">
            <v>5</v>
          </cell>
        </row>
        <row r="11">
          <cell r="B11">
            <v>0.6</v>
          </cell>
          <cell r="C11">
            <v>0.45</v>
          </cell>
          <cell r="D11">
            <v>0</v>
          </cell>
          <cell r="E11">
            <v>-2.5000000000000001E-3</v>
          </cell>
          <cell r="F11">
            <v>400</v>
          </cell>
        </row>
        <row r="12">
          <cell r="B12">
            <v>1</v>
          </cell>
          <cell r="C12">
            <v>1</v>
          </cell>
          <cell r="D12">
            <v>1</v>
          </cell>
        </row>
        <row r="13">
          <cell r="C13">
            <v>0.52500000000000002</v>
          </cell>
        </row>
        <row r="14">
          <cell r="C14">
            <v>0.47499999999999998</v>
          </cell>
        </row>
        <row r="16">
          <cell r="B16">
            <v>0.10002303145853195</v>
          </cell>
        </row>
        <row r="17">
          <cell r="B17">
            <v>9.0720889532888482E-2</v>
          </cell>
          <cell r="C17" t="str">
            <v>Note: this is the maximum C storage benefit from retention of compost C.</v>
          </cell>
        </row>
        <row r="18">
          <cell r="B18" t="str">
            <v>Upper Bound Scenario - Incremental C, MTCE per wet MT YT or food scraps</v>
          </cell>
          <cell r="C18" t="str">
            <v>Lower Bound Scenario - Incremental C, MTCE per wet MT YT or food scraps</v>
          </cell>
        </row>
        <row r="19">
          <cell r="B19">
            <v>6.0013818875119168E-2</v>
          </cell>
          <cell r="C19">
            <v>4.5010364156339376E-2</v>
          </cell>
        </row>
        <row r="21">
          <cell r="B21" t="str">
            <v>For 1 short wet ton composted,</v>
          </cell>
        </row>
        <row r="22">
          <cell r="B22" t="str">
            <v>Metric tonnes C stored in year:</v>
          </cell>
        </row>
        <row r="23">
          <cell r="B23">
            <v>0</v>
          </cell>
          <cell r="C23">
            <v>1</v>
          </cell>
          <cell r="D23">
            <v>5</v>
          </cell>
          <cell r="E23">
            <v>10</v>
          </cell>
          <cell r="F23">
            <v>20</v>
          </cell>
          <cell r="G23">
            <v>30</v>
          </cell>
          <cell r="H23">
            <v>40</v>
          </cell>
          <cell r="I23">
            <v>50</v>
          </cell>
          <cell r="J23">
            <v>60</v>
          </cell>
          <cell r="K23">
            <v>100</v>
          </cell>
        </row>
        <row r="24">
          <cell r="B24">
            <v>5.4432533719733084E-2</v>
          </cell>
          <cell r="C24">
            <v>5.4296622345438784E-2</v>
          </cell>
          <cell r="D24">
            <v>5.3756361926243036E-2</v>
          </cell>
          <cell r="E24">
            <v>5.3088589673672124E-2</v>
          </cell>
          <cell r="F24">
            <v>5.1777827724337408E-2</v>
          </cell>
          <cell r="G24">
            <v>5.0499428602841685E-2</v>
          </cell>
          <cell r="H24">
            <v>4.9252593268118587E-2</v>
          </cell>
          <cell r="I24">
            <v>4.8036542407495997E-2</v>
          </cell>
          <cell r="J24">
            <v>4.6850515949600186E-2</v>
          </cell>
          <cell r="K24">
            <v>4.2392099885488775E-2</v>
          </cell>
        </row>
        <row r="25">
          <cell r="B25">
            <v>4.0824400289799813E-2</v>
          </cell>
          <cell r="C25">
            <v>4.072246675907909E-2</v>
          </cell>
          <cell r="D25">
            <v>4.0317271444682272E-2</v>
          </cell>
          <cell r="E25">
            <v>3.9816442255254089E-2</v>
          </cell>
          <cell r="F25">
            <v>3.8833370793253059E-2</v>
          </cell>
          <cell r="G25">
            <v>3.7874571452131259E-2</v>
          </cell>
          <cell r="H25">
            <v>3.6939444951088939E-2</v>
          </cell>
          <cell r="I25">
            <v>3.6027406805621998E-2</v>
          </cell>
          <cell r="J25">
            <v>3.5137886962200139E-2</v>
          </cell>
          <cell r="K25">
            <v>3.179407491411658E-2</v>
          </cell>
        </row>
        <row r="27">
          <cell r="B27">
            <v>0</v>
          </cell>
          <cell r="C27">
            <v>1</v>
          </cell>
          <cell r="D27">
            <v>5</v>
          </cell>
          <cell r="E27">
            <v>10</v>
          </cell>
          <cell r="F27">
            <v>20</v>
          </cell>
          <cell r="G27">
            <v>30</v>
          </cell>
          <cell r="H27">
            <v>40</v>
          </cell>
          <cell r="I27">
            <v>50</v>
          </cell>
          <cell r="J27">
            <v>60</v>
          </cell>
          <cell r="K27">
            <v>100</v>
          </cell>
        </row>
        <row r="28">
          <cell r="B28">
            <v>5.4432533719733084E-2</v>
          </cell>
          <cell r="C28">
            <v>5.4296622345438784E-2</v>
          </cell>
          <cell r="D28">
            <v>5.3756361926243036E-2</v>
          </cell>
          <cell r="E28">
            <v>5.3088589673672124E-2</v>
          </cell>
          <cell r="F28">
            <v>5.1777827724337408E-2</v>
          </cell>
          <cell r="G28">
            <v>5.0499428602841685E-2</v>
          </cell>
          <cell r="H28">
            <v>4.9252593268118587E-2</v>
          </cell>
          <cell r="I28">
            <v>4.8036542407495997E-2</v>
          </cell>
          <cell r="J28">
            <v>4.6850515949600186E-2</v>
          </cell>
          <cell r="K28">
            <v>4.2392099885488775E-2</v>
          </cell>
        </row>
        <row r="29">
          <cell r="B29">
            <v>4.0824400289799813E-2</v>
          </cell>
          <cell r="C29">
            <v>4.072246675907909E-2</v>
          </cell>
          <cell r="D29">
            <v>4.0317271444682272E-2</v>
          </cell>
          <cell r="E29">
            <v>3.9816442255254089E-2</v>
          </cell>
          <cell r="F29">
            <v>3.8833370793253059E-2</v>
          </cell>
          <cell r="G29">
            <v>3.7874571452131259E-2</v>
          </cell>
          <cell r="H29">
            <v>3.6939444951088939E-2</v>
          </cell>
          <cell r="I29">
            <v>3.6027406805621998E-2</v>
          </cell>
          <cell r="J29">
            <v>3.5137886962200139E-2</v>
          </cell>
          <cell r="K29">
            <v>3.179407491411658E-2</v>
          </cell>
        </row>
        <row r="30">
          <cell r="B30">
            <v>4.7628467004766445E-2</v>
          </cell>
          <cell r="C30">
            <v>4.7509544552258934E-2</v>
          </cell>
          <cell r="D30">
            <v>4.7036816685462654E-2</v>
          </cell>
          <cell r="E30">
            <v>4.6452515964463106E-2</v>
          </cell>
          <cell r="F30">
            <v>4.5305599258795237E-2</v>
          </cell>
          <cell r="G30">
            <v>4.4187000027486475E-2</v>
          </cell>
          <cell r="H30">
            <v>4.3096019109603763E-2</v>
          </cell>
          <cell r="I30">
            <v>4.2031974606558997E-2</v>
          </cell>
          <cell r="J30">
            <v>4.0994201455900159E-2</v>
          </cell>
          <cell r="K30">
            <v>3.7093087399802674E-2</v>
          </cell>
        </row>
        <row r="31">
          <cell r="B31">
            <v>0.52499999999999991</v>
          </cell>
          <cell r="C31">
            <v>0.52368913925866645</v>
          </cell>
          <cell r="D31">
            <v>0.51847834525928771</v>
          </cell>
          <cell r="E31">
            <v>0.51203770381487457</v>
          </cell>
          <cell r="F31">
            <v>0.49939544786287482</v>
          </cell>
          <cell r="G31">
            <v>0.48706533032249022</v>
          </cell>
          <cell r="H31">
            <v>0.4750396444688787</v>
          </cell>
          <cell r="I31">
            <v>0.46331087385691261</v>
          </cell>
          <cell r="J31">
            <v>0.45187168762315527</v>
          </cell>
          <cell r="K31">
            <v>0.40887041111248745</v>
          </cell>
        </row>
      </sheetData>
      <sheetData sheetId="39" refreshError="1">
        <row r="6">
          <cell r="B6" t="str">
            <v>(gm C/wet gm)</v>
          </cell>
          <cell r="C6" t="str">
            <v>short term as humus</v>
          </cell>
          <cell r="D6" t="str">
            <v>humus (yr)</v>
          </cell>
          <cell r="E6" t="str">
            <v>humus (yr-1)</v>
          </cell>
        </row>
        <row r="7">
          <cell r="B7">
            <v>0.17948</v>
          </cell>
          <cell r="C7">
            <v>0.1</v>
          </cell>
          <cell r="D7">
            <v>200</v>
          </cell>
          <cell r="E7">
            <v>-5.0000000000000001E-3</v>
          </cell>
        </row>
        <row r="8">
          <cell r="B8">
            <v>0.17948</v>
          </cell>
          <cell r="C8">
            <v>0.25</v>
          </cell>
          <cell r="D8">
            <v>200</v>
          </cell>
          <cell r="E8">
            <v>-5.0000000000000001E-3</v>
          </cell>
        </row>
        <row r="9">
          <cell r="B9">
            <v>0.17948</v>
          </cell>
          <cell r="C9">
            <v>0.1</v>
          </cell>
          <cell r="D9">
            <v>20</v>
          </cell>
          <cell r="E9">
            <v>-0.05</v>
          </cell>
        </row>
        <row r="10">
          <cell r="B10">
            <v>0.17948</v>
          </cell>
          <cell r="C10">
            <v>0.25</v>
          </cell>
          <cell r="D10">
            <v>20</v>
          </cell>
          <cell r="E10">
            <v>-0.05</v>
          </cell>
        </row>
        <row r="13">
          <cell r="B13" t="str">
            <v>For 1 short wet ton composted,</v>
          </cell>
        </row>
        <row r="14">
          <cell r="B14" t="str">
            <v>Metric tonnes C stored in year:</v>
          </cell>
        </row>
        <row r="15">
          <cell r="B15">
            <v>0</v>
          </cell>
          <cell r="C15">
            <v>1</v>
          </cell>
          <cell r="D15">
            <v>5</v>
          </cell>
          <cell r="E15">
            <v>10</v>
          </cell>
          <cell r="F15">
            <v>20</v>
          </cell>
          <cell r="G15">
            <v>30</v>
          </cell>
          <cell r="H15">
            <v>40</v>
          </cell>
          <cell r="I15">
            <v>50</v>
          </cell>
          <cell r="J15">
            <v>60</v>
          </cell>
          <cell r="K15">
            <v>100</v>
          </cell>
        </row>
        <row r="16">
          <cell r="B16">
            <v>1.6278836000000001E-2</v>
          </cell>
          <cell r="C16">
            <v>1.6197644966731088E-2</v>
          </cell>
          <cell r="D16">
            <v>1.5876910107083655E-2</v>
          </cell>
          <cell r="E16">
            <v>1.5484907799821507E-2</v>
          </cell>
          <cell r="F16">
            <v>1.4729699934870829E-2</v>
          </cell>
          <cell r="G16">
            <v>1.4011323992115384E-2</v>
          </cell>
          <cell r="H16">
            <v>1.3327983657512962E-2</v>
          </cell>
          <cell r="I16">
            <v>1.2677970224290977E-2</v>
          </cell>
          <cell r="J16">
            <v>1.2059658320289494E-2</v>
          </cell>
          <cell r="K16">
            <v>9.8736131384337678E-3</v>
          </cell>
        </row>
        <row r="17">
          <cell r="B17">
            <v>4.0697089999999998E-2</v>
          </cell>
          <cell r="C17">
            <v>4.0494112416827717E-2</v>
          </cell>
          <cell r="D17">
            <v>3.9692275267709132E-2</v>
          </cell>
          <cell r="E17">
            <v>3.871226949955376E-2</v>
          </cell>
          <cell r="F17">
            <v>3.6824249837177067E-2</v>
          </cell>
          <cell r="G17">
            <v>3.5028309980288455E-2</v>
          </cell>
          <cell r="H17">
            <v>3.3319959143782399E-2</v>
          </cell>
          <cell r="I17">
            <v>3.1694925560727442E-2</v>
          </cell>
          <cell r="J17">
            <v>3.0149145800723733E-2</v>
          </cell>
          <cell r="K17">
            <v>2.4684032846084416E-2</v>
          </cell>
        </row>
        <row r="18">
          <cell r="B18">
            <v>1.6278836000000001E-2</v>
          </cell>
          <cell r="C18">
            <v>1.5484907799821507E-2</v>
          </cell>
          <cell r="D18">
            <v>1.2677970224290977E-2</v>
          </cell>
          <cell r="E18">
            <v>9.8736131384337678E-3</v>
          </cell>
          <cell r="F18">
            <v>5.9886490906015579E-3</v>
          </cell>
          <cell r="G18">
            <v>3.6322992837100249E-3</v>
          </cell>
          <cell r="H18">
            <v>2.2031008808223677E-3</v>
          </cell>
          <cell r="I18">
            <v>1.3362482306586744E-3</v>
          </cell>
          <cell r="J18">
            <v>8.1047552088124488E-4</v>
          </cell>
          <cell r="K18">
            <v>1.0968593417480448E-4</v>
          </cell>
        </row>
        <row r="19">
          <cell r="B19">
            <v>4.0697089999999998E-2</v>
          </cell>
          <cell r="C19">
            <v>3.871226949955376E-2</v>
          </cell>
          <cell r="D19">
            <v>3.1694925560727442E-2</v>
          </cell>
          <cell r="E19">
            <v>2.4684032846084416E-2</v>
          </cell>
          <cell r="F19">
            <v>1.4971622726503894E-2</v>
          </cell>
          <cell r="G19">
            <v>9.0807482092750604E-3</v>
          </cell>
          <cell r="H19">
            <v>5.5077522020559183E-3</v>
          </cell>
          <cell r="I19">
            <v>3.3406205766466856E-3</v>
          </cell>
          <cell r="J19">
            <v>2.026188802203112E-3</v>
          </cell>
          <cell r="K19">
            <v>2.7421483543701113E-4</v>
          </cell>
        </row>
        <row r="35">
          <cell r="C35" t="str">
            <v>Delta in</v>
          </cell>
        </row>
        <row r="36">
          <cell r="B36" t="str">
            <v>Mass fraction C</v>
          </cell>
          <cell r="C36" t="str">
            <v xml:space="preserve">% C retained in </v>
          </cell>
          <cell r="D36" t="str">
            <v>Mean residence time of</v>
          </cell>
          <cell r="E36" t="str">
            <v>Rate constant,</v>
          </cell>
        </row>
        <row r="37">
          <cell r="B37" t="str">
            <v>(gm C/wet gm)</v>
          </cell>
          <cell r="C37" t="str">
            <v>short term as humus</v>
          </cell>
          <cell r="D37" t="str">
            <v>humus (yr)</v>
          </cell>
          <cell r="E37" t="str">
            <v>humus (yr-1)</v>
          </cell>
        </row>
        <row r="38">
          <cell r="B38">
            <v>0.44400000000000006</v>
          </cell>
          <cell r="C38">
            <v>0.1</v>
          </cell>
          <cell r="D38">
            <v>200</v>
          </cell>
          <cell r="E38">
            <v>-5.0000000000000001E-3</v>
          </cell>
        </row>
        <row r="39">
          <cell r="B39">
            <v>0.44400000000000006</v>
          </cell>
          <cell r="C39">
            <v>0.25</v>
          </cell>
          <cell r="D39">
            <v>200</v>
          </cell>
          <cell r="E39">
            <v>-5.0000000000000001E-3</v>
          </cell>
        </row>
        <row r="40">
          <cell r="B40">
            <v>0.44400000000000006</v>
          </cell>
          <cell r="C40">
            <v>0.1</v>
          </cell>
          <cell r="D40">
            <v>20</v>
          </cell>
          <cell r="E40">
            <v>-0.05</v>
          </cell>
        </row>
        <row r="41">
          <cell r="B41">
            <v>0.44400000000000006</v>
          </cell>
          <cell r="C41">
            <v>0.25</v>
          </cell>
          <cell r="D41">
            <v>20</v>
          </cell>
          <cell r="E41">
            <v>-0.05</v>
          </cell>
        </row>
        <row r="44">
          <cell r="B44" t="str">
            <v>For 1 short wet ton composted,</v>
          </cell>
        </row>
        <row r="45">
          <cell r="B45" t="str">
            <v>Metric tonnes C stored in year:</v>
          </cell>
        </row>
        <row r="46">
          <cell r="B46">
            <v>0</v>
          </cell>
          <cell r="C46">
            <v>1</v>
          </cell>
          <cell r="D46">
            <v>5</v>
          </cell>
          <cell r="E46">
            <v>10</v>
          </cell>
          <cell r="F46">
            <v>20</v>
          </cell>
          <cell r="G46">
            <v>30</v>
          </cell>
          <cell r="H46">
            <v>40</v>
          </cell>
          <cell r="I46">
            <v>50</v>
          </cell>
          <cell r="J46">
            <v>60</v>
          </cell>
          <cell r="K46">
            <v>100</v>
          </cell>
        </row>
        <row r="47">
          <cell r="B47">
            <v>4.0270800000000009E-2</v>
          </cell>
          <cell r="C47">
            <v>4.006994854707268E-2</v>
          </cell>
          <cell r="D47">
            <v>3.9276510405310584E-2</v>
          </cell>
          <cell r="E47">
            <v>3.8306769908183366E-2</v>
          </cell>
          <cell r="F47">
            <v>3.643852669424253E-2</v>
          </cell>
          <cell r="G47">
            <v>3.4661398777018224E-2</v>
          </cell>
          <cell r="H47">
            <v>3.2970942411052799E-2</v>
          </cell>
          <cell r="I47">
            <v>3.1362930574911942E-2</v>
          </cell>
          <cell r="J47">
            <v>2.983334240142933E-2</v>
          </cell>
          <cell r="K47">
            <v>2.4425474891155523E-2</v>
          </cell>
        </row>
        <row r="48">
          <cell r="B48">
            <v>0.10067700000000002</v>
          </cell>
          <cell r="C48">
            <v>0.10017487136768169</v>
          </cell>
          <cell r="D48">
            <v>9.8191276013276457E-2</v>
          </cell>
          <cell r="E48">
            <v>9.5766924770458395E-2</v>
          </cell>
          <cell r="F48">
            <v>9.1096316735606309E-2</v>
          </cell>
          <cell r="G48">
            <v>8.6653496942545566E-2</v>
          </cell>
          <cell r="H48">
            <v>8.2427356027631987E-2</v>
          </cell>
          <cell r="I48">
            <v>7.8407326437279837E-2</v>
          </cell>
          <cell r="J48">
            <v>7.4583356003573326E-2</v>
          </cell>
          <cell r="K48">
            <v>6.1063687227888803E-2</v>
          </cell>
        </row>
        <row r="49">
          <cell r="B49">
            <v>4.0270800000000009E-2</v>
          </cell>
          <cell r="C49">
            <v>3.8306769908183366E-2</v>
          </cell>
          <cell r="D49">
            <v>3.1362930574911942E-2</v>
          </cell>
          <cell r="E49">
            <v>2.4425474891155523E-2</v>
          </cell>
          <cell r="F49">
            <v>1.4814799399526924E-2</v>
          </cell>
          <cell r="G49">
            <v>8.9856300533053893E-3</v>
          </cell>
          <cell r="H49">
            <v>5.4500601241649843E-3</v>
          </cell>
          <cell r="I49">
            <v>3.3056285625833047E-3</v>
          </cell>
          <cell r="J49">
            <v>2.0049650728285757E-3</v>
          </cell>
          <cell r="K49">
            <v>2.713425160107711E-4</v>
          </cell>
        </row>
        <row r="50">
          <cell r="B50">
            <v>0.10067700000000002</v>
          </cell>
          <cell r="C50">
            <v>9.5766924770458395E-2</v>
          </cell>
          <cell r="D50">
            <v>7.8407326437279837E-2</v>
          </cell>
          <cell r="E50">
            <v>6.1063687227888803E-2</v>
          </cell>
          <cell r="F50">
            <v>3.7036998498817308E-2</v>
          </cell>
          <cell r="G50">
            <v>2.2464075133263473E-2</v>
          </cell>
          <cell r="H50">
            <v>1.3625150310412459E-2</v>
          </cell>
          <cell r="I50">
            <v>8.2640714064582607E-3</v>
          </cell>
          <cell r="J50">
            <v>5.0124126820714392E-3</v>
          </cell>
          <cell r="K50">
            <v>6.7835629002692768E-4</v>
          </cell>
        </row>
        <row r="66">
          <cell r="A66" t="str">
            <v>Branches</v>
          </cell>
          <cell r="C66" t="str">
            <v>Delta in</v>
          </cell>
        </row>
        <row r="67">
          <cell r="A67" t="str">
            <v>Scenario</v>
          </cell>
          <cell r="B67" t="str">
            <v>Mass fraction C</v>
          </cell>
          <cell r="C67" t="str">
            <v xml:space="preserve">% C retained in </v>
          </cell>
          <cell r="D67" t="str">
            <v>Mean residence time of</v>
          </cell>
          <cell r="E67" t="str">
            <v>Rate constant,</v>
          </cell>
        </row>
        <row r="68">
          <cell r="B68" t="str">
            <v>(gm C/wet gm)</v>
          </cell>
          <cell r="C68" t="str">
            <v>short term as humus</v>
          </cell>
          <cell r="D68" t="str">
            <v>humus (yr)</v>
          </cell>
          <cell r="E68" t="str">
            <v>humus (yr-1)</v>
          </cell>
        </row>
        <row r="69">
          <cell r="A69" t="str">
            <v>Delta C as humus=5%; t1/2=200 yrs</v>
          </cell>
          <cell r="B69">
            <v>0.2964</v>
          </cell>
          <cell r="C69">
            <v>0.1</v>
          </cell>
          <cell r="D69">
            <v>200</v>
          </cell>
          <cell r="E69">
            <v>-5.0000000000000001E-3</v>
          </cell>
        </row>
        <row r="70">
          <cell r="A70" t="str">
            <v>Delta C as humus=25%; t1/2=200 yrs</v>
          </cell>
          <cell r="B70">
            <v>0.2964</v>
          </cell>
          <cell r="C70">
            <v>0.25</v>
          </cell>
          <cell r="D70">
            <v>200</v>
          </cell>
          <cell r="E70">
            <v>-5.0000000000000001E-3</v>
          </cell>
        </row>
        <row r="71">
          <cell r="A71" t="str">
            <v>Delta C as humus=5%; t1/2=20 yrs</v>
          </cell>
          <cell r="B71">
            <v>0.2964</v>
          </cell>
          <cell r="C71">
            <v>0.1</v>
          </cell>
          <cell r="D71">
            <v>20</v>
          </cell>
          <cell r="E71">
            <v>-0.05</v>
          </cell>
        </row>
        <row r="72">
          <cell r="A72" t="str">
            <v>Delta C as humus=25%; t1/2=20 yrs</v>
          </cell>
          <cell r="B72">
            <v>0.2964</v>
          </cell>
          <cell r="C72">
            <v>0.25</v>
          </cell>
          <cell r="D72">
            <v>20</v>
          </cell>
          <cell r="E72">
            <v>-0.05</v>
          </cell>
        </row>
        <row r="75">
          <cell r="A75" t="str">
            <v>Outputs:</v>
          </cell>
          <cell r="B75" t="str">
            <v>For 1 short wet ton composted,</v>
          </cell>
        </row>
        <row r="76">
          <cell r="B76" t="str">
            <v>Metric tonnes C stored in year:</v>
          </cell>
        </row>
        <row r="77">
          <cell r="A77" t="str">
            <v>Scenario:</v>
          </cell>
          <cell r="B77">
            <v>0</v>
          </cell>
          <cell r="C77">
            <v>1</v>
          </cell>
          <cell r="D77">
            <v>5</v>
          </cell>
          <cell r="E77">
            <v>10</v>
          </cell>
          <cell r="F77">
            <v>20</v>
          </cell>
          <cell r="G77">
            <v>30</v>
          </cell>
          <cell r="H77">
            <v>40</v>
          </cell>
          <cell r="I77">
            <v>50</v>
          </cell>
          <cell r="J77">
            <v>60</v>
          </cell>
          <cell r="K77">
            <v>100</v>
          </cell>
        </row>
        <row r="78">
          <cell r="A78" t="str">
            <v>Delta C as humus=5%; t1/2=200 yrs</v>
          </cell>
          <cell r="B78">
            <v>2.6883480000000001E-2</v>
          </cell>
          <cell r="C78">
            <v>2.6749398084126894E-2</v>
          </cell>
          <cell r="D78">
            <v>2.6219724513815441E-2</v>
          </cell>
          <cell r="E78">
            <v>2.5572357208976458E-2</v>
          </cell>
          <cell r="F78">
            <v>2.432517863102136E-2</v>
          </cell>
          <cell r="G78">
            <v>2.3138825670063513E-2</v>
          </cell>
          <cell r="H78">
            <v>2.2010331825756863E-2</v>
          </cell>
          <cell r="I78">
            <v>2.0936875275684452E-2</v>
          </cell>
          <cell r="J78">
            <v>1.9915771819332549E-2</v>
          </cell>
          <cell r="K78">
            <v>1.6305654859771389E-2</v>
          </cell>
        </row>
        <row r="79">
          <cell r="A79" t="str">
            <v>Delta C as humus=25%; t1/2=200 yrs</v>
          </cell>
          <cell r="B79">
            <v>6.7208699999999996E-2</v>
          </cell>
          <cell r="C79">
            <v>6.6873495210317227E-2</v>
          </cell>
          <cell r="D79">
            <v>6.55493112845386E-2</v>
          </cell>
          <cell r="E79">
            <v>6.3930893022441135E-2</v>
          </cell>
          <cell r="F79">
            <v>6.0812946577553387E-2</v>
          </cell>
          <cell r="G79">
            <v>5.784706417515878E-2</v>
          </cell>
          <cell r="H79">
            <v>5.5025829564392156E-2</v>
          </cell>
          <cell r="I79">
            <v>5.2342188189211124E-2</v>
          </cell>
          <cell r="J79">
            <v>4.978942954833137E-2</v>
          </cell>
          <cell r="K79">
            <v>4.0764137149428462E-2</v>
          </cell>
        </row>
        <row r="80">
          <cell r="A80" t="str">
            <v>Delta C as humus=5%; t1/2=20 yrs</v>
          </cell>
          <cell r="B80">
            <v>2.6883480000000001E-2</v>
          </cell>
          <cell r="C80">
            <v>2.5572357208976458E-2</v>
          </cell>
          <cell r="D80">
            <v>2.0936875275684452E-2</v>
          </cell>
          <cell r="E80">
            <v>1.6305654859771389E-2</v>
          </cell>
          <cell r="F80">
            <v>9.8898795991436469E-3</v>
          </cell>
          <cell r="G80">
            <v>5.9985151977471106E-3</v>
          </cell>
          <cell r="H80">
            <v>3.6382833801858129E-3</v>
          </cell>
          <cell r="I80">
            <v>2.2067304188056109E-3</v>
          </cell>
          <cell r="J80">
            <v>1.338449656726103E-3</v>
          </cell>
          <cell r="K80">
            <v>1.8113946339097417E-4</v>
          </cell>
        </row>
        <row r="81">
          <cell r="A81" t="str">
            <v>Delta C as humus=25%; t1/2=20 yrs</v>
          </cell>
          <cell r="B81">
            <v>6.7208699999999996E-2</v>
          </cell>
          <cell r="C81">
            <v>6.3930893022441135E-2</v>
          </cell>
          <cell r="D81">
            <v>5.2342188189211124E-2</v>
          </cell>
          <cell r="E81">
            <v>4.0764137149428462E-2</v>
          </cell>
          <cell r="F81">
            <v>2.4724698997859115E-2</v>
          </cell>
          <cell r="G81">
            <v>1.4996287994367774E-2</v>
          </cell>
          <cell r="H81">
            <v>9.0957084504645312E-3</v>
          </cell>
          <cell r="I81">
            <v>5.5168260470140271E-3</v>
          </cell>
          <cell r="J81">
            <v>3.3461241418152573E-3</v>
          </cell>
          <cell r="K81">
            <v>4.5284865847743539E-4</v>
          </cell>
        </row>
        <row r="97">
          <cell r="A97" t="str">
            <v>Yard Trimmings</v>
          </cell>
        </row>
        <row r="98">
          <cell r="B98" t="str">
            <v>Proportion in</v>
          </cell>
          <cell r="C98" t="str">
            <v>Mass fraction</v>
          </cell>
        </row>
        <row r="99">
          <cell r="A99" t="str">
            <v>Material</v>
          </cell>
          <cell r="B99" t="str">
            <v>Yard Waste</v>
          </cell>
          <cell r="C99" t="str">
            <v>Carbon</v>
          </cell>
          <cell r="D99" t="str">
            <v>[Partial products]</v>
          </cell>
        </row>
        <row r="100">
          <cell r="A100" t="str">
            <v>Grass</v>
          </cell>
          <cell r="B100">
            <v>0.5</v>
          </cell>
          <cell r="C100">
            <v>0.17948</v>
          </cell>
          <cell r="D100">
            <v>8.974E-2</v>
          </cell>
        </row>
        <row r="101">
          <cell r="A101" t="str">
            <v>Leaves</v>
          </cell>
          <cell r="B101">
            <v>0.25</v>
          </cell>
          <cell r="C101">
            <v>0.44400000000000006</v>
          </cell>
          <cell r="D101">
            <v>0.11100000000000002</v>
          </cell>
        </row>
        <row r="102">
          <cell r="A102" t="str">
            <v>Branches</v>
          </cell>
          <cell r="B102">
            <v>0.25</v>
          </cell>
          <cell r="C102">
            <v>0.2964</v>
          </cell>
          <cell r="D102">
            <v>7.4099999999999999E-2</v>
          </cell>
        </row>
        <row r="103">
          <cell r="A103" t="str">
            <v>Wtd avg</v>
          </cell>
          <cell r="C103">
            <v>0.27484000000000003</v>
          </cell>
        </row>
        <row r="104">
          <cell r="A104" t="str">
            <v>LF C stored</v>
          </cell>
          <cell r="C104" t="e">
            <v>#REF!</v>
          </cell>
          <cell r="D104" t="str">
            <v>MTCO2E/wet short ton</v>
          </cell>
        </row>
        <row r="105">
          <cell r="A105" t="str">
            <v>LF proportion C stored</v>
          </cell>
          <cell r="C105" t="e">
            <v>#REF!</v>
          </cell>
        </row>
        <row r="106">
          <cell r="A106" t="str">
            <v xml:space="preserve">Exhibit 5-3. Incremental Humus Formation         </v>
          </cell>
        </row>
        <row r="107">
          <cell r="A107" t="str">
            <v xml:space="preserve"> (In Metric Tons of Carbon Stored Per Short Ton of Material Composted)</v>
          </cell>
        </row>
        <row r="108">
          <cell r="A108" t="str">
            <v>Scenario</v>
          </cell>
          <cell r="B108" t="str">
            <v>Time (Years)</v>
          </cell>
        </row>
        <row r="109">
          <cell r="B109">
            <v>0</v>
          </cell>
          <cell r="C109">
            <v>1</v>
          </cell>
          <cell r="D109">
            <v>5</v>
          </cell>
          <cell r="E109">
            <v>10</v>
          </cell>
          <cell r="F109">
            <v>20</v>
          </cell>
          <cell r="G109">
            <v>30</v>
          </cell>
          <cell r="H109">
            <v>40</v>
          </cell>
          <cell r="I109">
            <v>50</v>
          </cell>
          <cell r="J109">
            <v>60</v>
          </cell>
          <cell r="K109">
            <v>100</v>
          </cell>
        </row>
        <row r="110">
          <cell r="A110" t="str">
            <v>Delta C as humus=10%; MRT=200 yrs</v>
          </cell>
          <cell r="B110">
            <v>2.4927988000000002E-2</v>
          </cell>
          <cell r="C110">
            <v>2.4803659141165436E-2</v>
          </cell>
          <cell r="D110">
            <v>2.4312513783323331E-2</v>
          </cell>
          <cell r="E110">
            <v>2.3712235679200708E-2</v>
          </cell>
          <cell r="F110">
            <v>2.2555776298751388E-2</v>
          </cell>
          <cell r="G110">
            <v>2.1455718107828127E-2</v>
          </cell>
          <cell r="H110">
            <v>2.0409310387958898E-2</v>
          </cell>
          <cell r="I110">
            <v>1.9413936574794587E-2</v>
          </cell>
          <cell r="J110">
            <v>1.8467107715335215E-2</v>
          </cell>
          <cell r="K110">
            <v>1.5119589006948613E-2</v>
          </cell>
        </row>
        <row r="111">
          <cell r="A111" t="str">
            <v>Delta C as humus=25%; MRT=200 yrs</v>
          </cell>
          <cell r="B111">
            <v>6.2319970000000002E-2</v>
          </cell>
          <cell r="C111">
            <v>6.2009147852913588E-2</v>
          </cell>
          <cell r="D111">
            <v>6.0781284458308327E-2</v>
          </cell>
          <cell r="E111">
            <v>5.9280589198001762E-2</v>
          </cell>
          <cell r="F111">
            <v>5.6389440746878461E-2</v>
          </cell>
          <cell r="G111">
            <v>5.3639295269570314E-2</v>
          </cell>
          <cell r="H111">
            <v>5.1023275969897239E-2</v>
          </cell>
          <cell r="I111">
            <v>4.8534841436986463E-2</v>
          </cell>
          <cell r="J111">
            <v>4.6167769288338045E-2</v>
          </cell>
          <cell r="K111">
            <v>3.7798972517371521E-2</v>
          </cell>
        </row>
        <row r="112">
          <cell r="A112" t="str">
            <v>Delta C as humus=10%; MRT=20 yrs</v>
          </cell>
          <cell r="B112">
            <v>2.4927988000000002E-2</v>
          </cell>
          <cell r="C112">
            <v>2.3712235679200708E-2</v>
          </cell>
          <cell r="D112">
            <v>1.9413936574794587E-2</v>
          </cell>
          <cell r="E112">
            <v>1.5119589006948613E-2</v>
          </cell>
          <cell r="F112">
            <v>9.1704942949684225E-3</v>
          </cell>
          <cell r="G112">
            <v>5.562185954618137E-3</v>
          </cell>
          <cell r="H112">
            <v>3.3736363164988828E-3</v>
          </cell>
          <cell r="I112">
            <v>2.0462138606765659E-3</v>
          </cell>
          <cell r="J112">
            <v>1.2410914428292921E-3</v>
          </cell>
          <cell r="K112">
            <v>1.6796346193783854E-4</v>
          </cell>
        </row>
        <row r="113">
          <cell r="A113" t="str">
            <v>Delta C as humus=25%; MRT=20 yrs</v>
          </cell>
          <cell r="B113">
            <v>6.2319970000000002E-2</v>
          </cell>
          <cell r="C113">
            <v>5.9280589198001762E-2</v>
          </cell>
          <cell r="D113">
            <v>4.8534841436986463E-2</v>
          </cell>
          <cell r="E113">
            <v>3.7798972517371521E-2</v>
          </cell>
          <cell r="F113">
            <v>2.2926235737421054E-2</v>
          </cell>
          <cell r="G113">
            <v>1.3905464886545342E-2</v>
          </cell>
          <cell r="H113">
            <v>8.4340907912472066E-3</v>
          </cell>
          <cell r="I113">
            <v>5.1155346516914149E-3</v>
          </cell>
          <cell r="J113">
            <v>3.1027286070732301E-3</v>
          </cell>
          <cell r="K113">
            <v>4.1990865484459633E-4</v>
          </cell>
        </row>
        <row r="114">
          <cell r="A114" t="str">
            <v>Average of the 4 scenarios:</v>
          </cell>
          <cell r="B114">
            <v>4.3623979E-2</v>
          </cell>
          <cell r="C114">
            <v>4.2451407967820376E-2</v>
          </cell>
          <cell r="D114">
            <v>3.826064406335318E-2</v>
          </cell>
          <cell r="E114">
            <v>3.3977846600380654E-2</v>
          </cell>
          <cell r="F114">
            <v>2.7760486769504832E-2</v>
          </cell>
          <cell r="G114">
            <v>2.3640666054640477E-2</v>
          </cell>
          <cell r="H114">
            <v>2.0810078366400558E-2</v>
          </cell>
          <cell r="I114">
            <v>1.8777631631037257E-2</v>
          </cell>
          <cell r="J114">
            <v>1.7244674263393944E-2</v>
          </cell>
          <cell r="K114">
            <v>1.3376608410275641E-2</v>
          </cell>
        </row>
        <row r="116">
          <cell r="A116" t="str">
            <v>Baseline - yard trimmings on soil</v>
          </cell>
          <cell r="B116">
            <v>0</v>
          </cell>
          <cell r="C116">
            <v>1</v>
          </cell>
          <cell r="D116">
            <v>5</v>
          </cell>
          <cell r="E116">
            <v>10</v>
          </cell>
          <cell r="F116">
            <v>20</v>
          </cell>
          <cell r="G116">
            <v>30</v>
          </cell>
          <cell r="H116">
            <v>40</v>
          </cell>
          <cell r="I116">
            <v>50</v>
          </cell>
          <cell r="J116">
            <v>60</v>
          </cell>
          <cell r="K116">
            <v>100</v>
          </cell>
        </row>
        <row r="117">
          <cell r="A117" t="str">
            <v>Total humus formed=10% of C; t1/2=200 yrs</v>
          </cell>
          <cell r="B117">
            <v>4.9855976000000003E-2</v>
          </cell>
          <cell r="C117">
            <v>4.9607318282330871E-2</v>
          </cell>
          <cell r="D117">
            <v>4.8625027566646661E-2</v>
          </cell>
          <cell r="E117">
            <v>4.7424471358401415E-2</v>
          </cell>
          <cell r="F117">
            <v>4.5111552597502776E-2</v>
          </cell>
          <cell r="G117">
            <v>4.2911436215656254E-2</v>
          </cell>
          <cell r="H117">
            <v>4.0818620775917795E-2</v>
          </cell>
          <cell r="I117">
            <v>3.8827873149589173E-2</v>
          </cell>
          <cell r="J117">
            <v>3.6934215430670429E-2</v>
          </cell>
          <cell r="K117">
            <v>3.0239178013897226E-2</v>
          </cell>
        </row>
        <row r="118">
          <cell r="A118" t="str">
            <v>Total humus formed=50% of C; t1/2=200 yrs</v>
          </cell>
          <cell r="B118">
            <v>0.15579992500000001</v>
          </cell>
          <cell r="C118">
            <v>0.15502286963228395</v>
          </cell>
          <cell r="D118">
            <v>0.15195321114577082</v>
          </cell>
          <cell r="E118">
            <v>0.14820147299500441</v>
          </cell>
          <cell r="F118">
            <v>0.14097360186719615</v>
          </cell>
          <cell r="G118">
            <v>0.1340982381739258</v>
          </cell>
          <cell r="H118">
            <v>0.1275581899247431</v>
          </cell>
          <cell r="I118">
            <v>0.12133710359246616</v>
          </cell>
          <cell r="J118">
            <v>0.11541942322084511</v>
          </cell>
          <cell r="K118">
            <v>9.4497431293428802E-2</v>
          </cell>
        </row>
        <row r="119">
          <cell r="A119" t="str">
            <v>Total humus formed =10% of C; t1/2=20 yrs</v>
          </cell>
          <cell r="B119">
            <v>4.9855976000000003E-2</v>
          </cell>
          <cell r="C119">
            <v>4.7424471358401415E-2</v>
          </cell>
          <cell r="D119">
            <v>3.8827873149589173E-2</v>
          </cell>
          <cell r="E119">
            <v>3.0239178013897226E-2</v>
          </cell>
          <cell r="F119">
            <v>1.8340988589936845E-2</v>
          </cell>
          <cell r="G119">
            <v>1.1124371909236274E-2</v>
          </cell>
          <cell r="H119">
            <v>6.7472726329977657E-3</v>
          </cell>
          <cell r="I119">
            <v>4.0924277213531318E-3</v>
          </cell>
          <cell r="J119">
            <v>2.4821828856585841E-3</v>
          </cell>
          <cell r="K119">
            <v>3.3592692387567709E-4</v>
          </cell>
        </row>
        <row r="120">
          <cell r="H120">
            <v>2.1085226978118016E-2</v>
          </cell>
          <cell r="I120">
            <v>1.2788836629228537E-2</v>
          </cell>
          <cell r="J120">
            <v>7.7568215176830758E-3</v>
          </cell>
          <cell r="K120">
            <v>1.0497716371114909E-3</v>
          </cell>
        </row>
        <row r="129">
          <cell r="B129">
            <v>30</v>
          </cell>
          <cell r="C129">
            <v>2.3104906018664842E-2</v>
          </cell>
        </row>
        <row r="130">
          <cell r="B130">
            <v>30</v>
          </cell>
          <cell r="C130">
            <v>2.3104906018664842E-2</v>
          </cell>
        </row>
        <row r="131">
          <cell r="A131" t="str">
            <v>Easily decomposable</v>
          </cell>
          <cell r="B131">
            <v>9.4951668569855513E-3</v>
          </cell>
          <cell r="D131">
            <v>73</v>
          </cell>
          <cell r="E131">
            <v>0.2</v>
          </cell>
        </row>
        <row r="132">
          <cell r="A132" t="str">
            <v>Slowly decomposable</v>
          </cell>
          <cell r="B132">
            <v>2.3737917142463882E-2</v>
          </cell>
          <cell r="D132">
            <v>29.2</v>
          </cell>
          <cell r="E132">
            <v>0.08</v>
          </cell>
        </row>
        <row r="133">
          <cell r="A133" t="str">
            <v>Lignin</v>
          </cell>
          <cell r="B133">
            <v>0.18990333713971105</v>
          </cell>
          <cell r="D133">
            <v>3.65</v>
          </cell>
          <cell r="E133">
            <v>0.01</v>
          </cell>
        </row>
        <row r="134">
          <cell r="A134" t="str">
            <v>Active protected SOM</v>
          </cell>
          <cell r="B134">
            <v>6.3301112379903683</v>
          </cell>
          <cell r="D134">
            <v>0.10949999999999999</v>
          </cell>
          <cell r="E134">
            <v>2.9999999999999997E-4</v>
          </cell>
        </row>
        <row r="135">
          <cell r="A135" t="str">
            <v>Old organic matter</v>
          </cell>
          <cell r="B135">
            <v>2373.791714246388</v>
          </cell>
          <cell r="D135">
            <v>2.92E-4</v>
          </cell>
          <cell r="E135">
            <v>7.9999999999999996E-7</v>
          </cell>
        </row>
        <row r="136">
          <cell r="A136" t="str">
            <v>Recalcitrant plant and microbial products</v>
          </cell>
          <cell r="B136">
            <v>6.3301112379903681E-3</v>
          </cell>
          <cell r="D136">
            <v>109.5</v>
          </cell>
          <cell r="E136">
            <v>0.3</v>
          </cell>
        </row>
        <row r="137">
          <cell r="B137" t="str">
            <v>1/day*365day/yr=1/yr</v>
          </cell>
        </row>
        <row r="138">
          <cell r="B138" t="str">
            <v>C=Co*e^-kt</v>
          </cell>
        </row>
        <row r="139">
          <cell r="A139" t="str">
            <v>At C/Co=0.5</v>
          </cell>
          <cell r="B139" t="str">
            <v>ln(0.5)=-kt=-0.69</v>
          </cell>
          <cell r="C139">
            <v>-0.69314718055994529</v>
          </cell>
        </row>
        <row r="140">
          <cell r="B140" t="str">
            <v>-0.69/-k=T1/2</v>
          </cell>
        </row>
        <row r="143">
          <cell r="B143">
            <v>0</v>
          </cell>
          <cell r="C143">
            <v>1</v>
          </cell>
          <cell r="D143">
            <v>5</v>
          </cell>
          <cell r="E143">
            <v>10</v>
          </cell>
          <cell r="F143">
            <v>20</v>
          </cell>
          <cell r="G143">
            <v>365</v>
          </cell>
          <cell r="H143">
            <v>730</v>
          </cell>
        </row>
        <row r="144">
          <cell r="A144" t="str">
            <v>Easily decomposable</v>
          </cell>
          <cell r="B144">
            <v>1</v>
          </cell>
          <cell r="C144">
            <v>0.81873075307798182</v>
          </cell>
          <cell r="D144">
            <v>0.36787944117144233</v>
          </cell>
          <cell r="E144">
            <v>0.1353352832366127</v>
          </cell>
          <cell r="F144">
            <v>1.8315638888734179E-2</v>
          </cell>
          <cell r="G144">
            <v>1.9792598779469045E-32</v>
          </cell>
          <cell r="H144">
            <v>3.9174696644503952E-64</v>
          </cell>
          <cell r="I144">
            <v>2.0936875275684452E-2</v>
          </cell>
          <cell r="J144">
            <v>1.9915771819332549E-2</v>
          </cell>
          <cell r="K144">
            <v>1.6305654859771389E-2</v>
          </cell>
        </row>
        <row r="145">
          <cell r="A145" t="str">
            <v>Slowly decomposable</v>
          </cell>
          <cell r="B145">
            <v>1</v>
          </cell>
          <cell r="C145">
            <v>0.92311634638663576</v>
          </cell>
          <cell r="D145">
            <v>0.67032004603563933</v>
          </cell>
          <cell r="E145">
            <v>0.44932896411722156</v>
          </cell>
          <cell r="F145">
            <v>0.20189651799465538</v>
          </cell>
          <cell r="G145">
            <v>2.0825772910555018E-13</v>
          </cell>
          <cell r="H145">
            <v>4.3371281732200726E-26</v>
          </cell>
        </row>
        <row r="146">
          <cell r="A146" t="str">
            <v>Lignin</v>
          </cell>
          <cell r="B146">
            <v>1</v>
          </cell>
          <cell r="C146">
            <v>0.99004983374916811</v>
          </cell>
          <cell r="D146">
            <v>0.95122942450071402</v>
          </cell>
          <cell r="E146">
            <v>0.90483741803595952</v>
          </cell>
          <cell r="F146">
            <v>0.81873075307798182</v>
          </cell>
          <cell r="G146">
            <v>2.5991128778755347E-2</v>
          </cell>
          <cell r="H146">
            <v>6.7553877519384439E-4</v>
          </cell>
        </row>
        <row r="147">
          <cell r="A147" t="str">
            <v>Active protected SOM</v>
          </cell>
          <cell r="B147">
            <v>1</v>
          </cell>
          <cell r="C147">
            <v>0.99970004499550036</v>
          </cell>
          <cell r="D147">
            <v>0.99850112443771089</v>
          </cell>
          <cell r="E147">
            <v>0.997004495503373</v>
          </cell>
          <cell r="F147">
            <v>0.99401796405393528</v>
          </cell>
          <cell r="G147">
            <v>0.89628216436210895</v>
          </cell>
          <cell r="H147">
            <v>0.80332171815362652</v>
          </cell>
        </row>
        <row r="148">
          <cell r="A148" t="str">
            <v>Old organic matter</v>
          </cell>
          <cell r="B148">
            <v>1</v>
          </cell>
          <cell r="C148">
            <v>0.99999920000032005</v>
          </cell>
          <cell r="D148">
            <v>0.99999600000800004</v>
          </cell>
          <cell r="E148">
            <v>0.99999200003199995</v>
          </cell>
          <cell r="F148">
            <v>0.99998400012799926</v>
          </cell>
          <cell r="G148">
            <v>0.99970804262785073</v>
          </cell>
          <cell r="H148">
            <v>0.99941617049480869</v>
          </cell>
        </row>
        <row r="149">
          <cell r="A149" t="str">
            <v>Recalcitrant plant and microbial products</v>
          </cell>
          <cell r="B149">
            <v>1</v>
          </cell>
          <cell r="C149">
            <v>0.74081822068171788</v>
          </cell>
          <cell r="D149">
            <v>0.22313016014842982</v>
          </cell>
          <cell r="E149">
            <v>4.9787068367863944E-2</v>
          </cell>
          <cell r="F149">
            <v>2.4787521766663585E-3</v>
          </cell>
          <cell r="G149">
            <v>2.7845449412643336E-48</v>
          </cell>
          <cell r="H149">
            <v>7.7536905299207916E-96</v>
          </cell>
        </row>
        <row r="150">
          <cell r="B150">
            <v>1</v>
          </cell>
          <cell r="C150">
            <v>0.99970804262785073</v>
          </cell>
        </row>
        <row r="151">
          <cell r="B151">
            <v>1</v>
          </cell>
          <cell r="C151">
            <v>2.7845449412643336E-48</v>
          </cell>
        </row>
        <row r="154">
          <cell r="A154" t="str">
            <v>Food Scraps</v>
          </cell>
          <cell r="C154" t="str">
            <v>Delta in</v>
          </cell>
        </row>
        <row r="155">
          <cell r="A155" t="str">
            <v>Scenario</v>
          </cell>
          <cell r="B155" t="str">
            <v>Mass fraction C</v>
          </cell>
          <cell r="C155" t="str">
            <v xml:space="preserve">% C retained in </v>
          </cell>
          <cell r="D155" t="str">
            <v>Mean residence time of</v>
          </cell>
          <cell r="E155" t="str">
            <v>Rate constant,</v>
          </cell>
        </row>
        <row r="156">
          <cell r="B156" t="str">
            <v>(gm C/wet gm)</v>
          </cell>
          <cell r="C156" t="str">
            <v>short term as humus</v>
          </cell>
          <cell r="D156" t="str">
            <v>humus (yr)</v>
          </cell>
          <cell r="E156" t="str">
            <v>humus (yr-1)</v>
          </cell>
        </row>
        <row r="157">
          <cell r="A157" t="str">
            <v>Delta C as humus=5%; t1/2=200 yrs</v>
          </cell>
          <cell r="B157">
            <v>0.13600000000000001</v>
          </cell>
          <cell r="C157">
            <v>0.1</v>
          </cell>
          <cell r="D157">
            <v>200</v>
          </cell>
          <cell r="E157">
            <v>-5.0000000000000001E-3</v>
          </cell>
        </row>
        <row r="165">
          <cell r="D165">
            <v>5</v>
          </cell>
          <cell r="E165">
            <v>10</v>
          </cell>
          <cell r="F165">
            <v>20</v>
          </cell>
          <cell r="G165">
            <v>30</v>
          </cell>
          <cell r="H165">
            <v>40</v>
          </cell>
          <cell r="I165">
            <v>50</v>
          </cell>
          <cell r="J165">
            <v>60</v>
          </cell>
          <cell r="K165">
            <v>100</v>
          </cell>
        </row>
        <row r="166">
          <cell r="D166">
            <v>1.2030642826851892E-2</v>
          </cell>
          <cell r="E166">
            <v>1.173360519710121E-2</v>
          </cell>
          <cell r="F166">
            <v>1.1161350518957171E-2</v>
          </cell>
          <cell r="G166">
            <v>1.0617005030798375E-2</v>
          </cell>
          <cell r="H166">
            <v>1.0099207585367524E-2</v>
          </cell>
          <cell r="I166">
            <v>9.6066634193423955E-3</v>
          </cell>
          <cell r="J166">
            <v>9.138140915753129E-3</v>
          </cell>
          <cell r="K166">
            <v>7.4816769936872779E-3</v>
          </cell>
        </row>
        <row r="167">
          <cell r="A167" t="str">
            <v>Delta C as humus=25%; MRT=200 yrs</v>
          </cell>
          <cell r="B167">
            <v>3.0838000000000004E-2</v>
          </cell>
          <cell r="C167">
            <v>3.068419483334394E-2</v>
          </cell>
          <cell r="D167">
            <v>3.0076607067129724E-2</v>
          </cell>
          <cell r="E167">
            <v>2.9334012992753022E-2</v>
          </cell>
          <cell r="F167">
            <v>2.7903376297392923E-2</v>
          </cell>
          <cell r="G167">
            <v>2.6542512576995938E-2</v>
          </cell>
          <cell r="H167">
            <v>2.5248018963418807E-2</v>
          </cell>
          <cell r="I167">
            <v>2.4016658548355985E-2</v>
          </cell>
          <cell r="J167">
            <v>2.2845352289382819E-2</v>
          </cell>
          <cell r="K167">
            <v>1.8704192484218191E-2</v>
          </cell>
        </row>
        <row r="168">
          <cell r="A168" t="str">
            <v>Delta C as humus=10%; MRT=20 yrs</v>
          </cell>
          <cell r="B168">
            <v>1.2335200000000003E-2</v>
          </cell>
          <cell r="C168">
            <v>1.173360519710121E-2</v>
          </cell>
          <cell r="D168">
            <v>9.6066634193423955E-3</v>
          </cell>
          <cell r="E168">
            <v>7.4816769936872779E-3</v>
          </cell>
          <cell r="F168">
            <v>4.5378664827379761E-3</v>
          </cell>
          <cell r="G168">
            <v>2.7523551514629123E-3</v>
          </cell>
          <cell r="H168">
            <v>1.6693877857802653E-3</v>
          </cell>
          <cell r="I168">
            <v>1.0125348750255167E-3</v>
          </cell>
          <cell r="J168">
            <v>6.1413344573127545E-4</v>
          </cell>
          <cell r="K168">
            <v>8.3113923823119066E-5</v>
          </cell>
        </row>
        <row r="169">
          <cell r="A169" t="str">
            <v>Delta C as humus=25%; MRT=20 yrs</v>
          </cell>
          <cell r="B169">
            <v>3.0838000000000004E-2</v>
          </cell>
          <cell r="C169">
            <v>2.9334012992753022E-2</v>
          </cell>
          <cell r="D169">
            <v>2.4016658548355985E-2</v>
          </cell>
          <cell r="E169">
            <v>1.8704192484218191E-2</v>
          </cell>
          <cell r="F169">
            <v>1.134466620684494E-2</v>
          </cell>
          <cell r="G169">
            <v>6.8808878786572793E-3</v>
          </cell>
          <cell r="H169">
            <v>4.1734694644506628E-3</v>
          </cell>
          <cell r="I169">
            <v>2.5313371875637916E-3</v>
          </cell>
          <cell r="J169">
            <v>1.5353336143281886E-3</v>
          </cell>
          <cell r="K169">
            <v>2.0778480955779767E-4</v>
          </cell>
        </row>
        <row r="170">
          <cell r="A170" t="str">
            <v>Average of the 4 scenarios:</v>
          </cell>
          <cell r="B170">
            <v>2.1586600000000004E-2</v>
          </cell>
          <cell r="C170">
            <v>2.1006372739133937E-2</v>
          </cell>
          <cell r="D170">
            <v>1.893264296542E-2</v>
          </cell>
          <cell r="E170">
            <v>1.6813371916939924E-2</v>
          </cell>
          <cell r="F170">
            <v>1.3736814876483252E-2</v>
          </cell>
          <cell r="G170">
            <v>1.1698190159478625E-2</v>
          </cell>
          <cell r="H170">
            <v>1.0297520949754316E-2</v>
          </cell>
          <cell r="I170">
            <v>9.2917985075719224E-3</v>
          </cell>
          <cell r="J170">
            <v>8.5332400662988528E-3</v>
          </cell>
          <cell r="K170">
            <v>6.6191920528215964E-3</v>
          </cell>
        </row>
        <row r="195">
          <cell r="A195" t="str">
            <v>Food scraps</v>
          </cell>
          <cell r="C195" t="str">
            <v>Delta in</v>
          </cell>
        </row>
        <row r="205">
          <cell r="B205" t="str">
            <v>Metric tonnes C stored in year:</v>
          </cell>
        </row>
        <row r="206">
          <cell r="A206" t="str">
            <v>Scenario:</v>
          </cell>
          <cell r="B206">
            <v>0</v>
          </cell>
          <cell r="C206">
            <v>1</v>
          </cell>
          <cell r="D206">
            <v>5</v>
          </cell>
          <cell r="E206">
            <v>10</v>
          </cell>
          <cell r="F206">
            <v>20</v>
          </cell>
          <cell r="G206">
            <v>30</v>
          </cell>
          <cell r="H206">
            <v>40</v>
          </cell>
          <cell r="I206">
            <v>50</v>
          </cell>
          <cell r="J206">
            <v>60</v>
          </cell>
          <cell r="K206">
            <v>100</v>
          </cell>
        </row>
        <row r="207">
          <cell r="A207" t="str">
            <v>Delta C as humus=5%; t1/2=2000 yrs</v>
          </cell>
          <cell r="B207">
            <v>4.7617500000000004E-3</v>
          </cell>
          <cell r="C207">
            <v>4.7600999891480927E-3</v>
          </cell>
          <cell r="D207">
            <v>4.7535056612706345E-3</v>
          </cell>
          <cell r="E207">
            <v>4.7452755965205996E-3</v>
          </cell>
          <cell r="F207">
            <v>4.7288581901473066E-3</v>
          </cell>
          <cell r="G207">
            <v>4.7124975836851119E-3</v>
          </cell>
          <cell r="H207">
            <v>4.6961935806212537E-3</v>
          </cell>
          <cell r="I207">
            <v>4.6799459851228492E-3</v>
          </cell>
          <cell r="J207">
            <v>4.6637546020345489E-3</v>
          </cell>
          <cell r="K207">
            <v>4.5995473142578843E-3</v>
          </cell>
        </row>
        <row r="208">
          <cell r="A208" t="str">
            <v>Delta C as humus=25%; t1/2=2000 yrs</v>
          </cell>
          <cell r="B208">
            <v>2.380875E-2</v>
          </cell>
          <cell r="C208">
            <v>2.3800499945740461E-2</v>
          </cell>
          <cell r="D208">
            <v>2.3767528306353168E-2</v>
          </cell>
          <cell r="E208">
            <v>2.3726377982602999E-2</v>
          </cell>
          <cell r="F208">
            <v>2.364429095073653E-2</v>
          </cell>
          <cell r="G208">
            <v>2.3562487918425558E-2</v>
          </cell>
          <cell r="H208">
            <v>2.3480967903106265E-2</v>
          </cell>
          <cell r="I208">
            <v>2.3399729925614246E-2</v>
          </cell>
          <cell r="J208">
            <v>2.3318773010172746E-2</v>
          </cell>
          <cell r="K208">
            <v>2.2997736571289416E-2</v>
          </cell>
        </row>
        <row r="209">
          <cell r="A209" t="str">
            <v>Delta C as humus=5%; t1/2=20 yrs</v>
          </cell>
          <cell r="B209">
            <v>4.7617500000000004E-3</v>
          </cell>
          <cell r="C209">
            <v>4.5995473142578843E-3</v>
          </cell>
          <cell r="D209">
            <v>4.004138505334375E-3</v>
          </cell>
          <cell r="E209">
            <v>3.3670657153150431E-3</v>
          </cell>
          <cell r="F209">
            <v>2.3808750000000002E-3</v>
          </cell>
          <cell r="G209">
            <v>1.6835328576575216E-3</v>
          </cell>
          <cell r="H209">
            <v>1.1904375000000001E-3</v>
          </cell>
          <cell r="I209">
            <v>8.4176642882876089E-4</v>
          </cell>
          <cell r="J209">
            <v>5.9521875000000015E-4</v>
          </cell>
          <cell r="K209">
            <v>1.4880468750000007E-4</v>
          </cell>
        </row>
        <row r="210">
          <cell r="A210" t="str">
            <v>Delta C as humus=25%; t1/2=20 yrs</v>
          </cell>
          <cell r="B210">
            <v>2.380875E-2</v>
          </cell>
          <cell r="C210">
            <v>2.2997736571289416E-2</v>
          </cell>
          <cell r="D210">
            <v>2.0020692526671876E-2</v>
          </cell>
          <cell r="E210">
            <v>1.6835328576575215E-2</v>
          </cell>
          <cell r="F210">
            <v>1.1904375E-2</v>
          </cell>
          <cell r="G210">
            <v>8.4176642882876074E-3</v>
          </cell>
          <cell r="H210">
            <v>5.9521875E-3</v>
          </cell>
          <cell r="I210">
            <v>4.2088321441438046E-3</v>
          </cell>
          <cell r="J210">
            <v>2.9760937500000009E-3</v>
          </cell>
          <cell r="K210">
            <v>7.4402343750000033E-4</v>
          </cell>
        </row>
      </sheetData>
      <sheetData sheetId="40" refreshError="1">
        <row r="6">
          <cell r="B6">
            <v>0.10341999757726197</v>
          </cell>
          <cell r="C6">
            <v>0.43342579691788047</v>
          </cell>
          <cell r="D6">
            <v>0.27937979264888818</v>
          </cell>
          <cell r="E6">
            <v>0.27937979264888818</v>
          </cell>
          <cell r="F6">
            <v>0.55875958529777636</v>
          </cell>
          <cell r="G6">
            <v>0.44124041470222364</v>
          </cell>
          <cell r="H6">
            <v>0.19124497837468735</v>
          </cell>
          <cell r="J6" t="str">
            <v>Paper (average)</v>
          </cell>
          <cell r="K6">
            <v>8.4235367207751821E-2</v>
          </cell>
          <cell r="L6">
            <v>1</v>
          </cell>
        </row>
        <row r="7">
          <cell r="B7">
            <v>4.8619127516778521E-2</v>
          </cell>
          <cell r="C7">
            <v>0.49199999999999999</v>
          </cell>
          <cell r="D7">
            <v>7.4114523653625794E-2</v>
          </cell>
          <cell r="E7">
            <v>7.4114523653625794E-2</v>
          </cell>
          <cell r="F7">
            <v>0.14822904730725159</v>
          </cell>
          <cell r="G7">
            <v>0.85365853658536583</v>
          </cell>
          <cell r="H7">
            <v>0.42</v>
          </cell>
          <cell r="J7" t="str">
            <v>Newspaper</v>
          </cell>
          <cell r="K7">
            <v>-1.8875838926174504E-3</v>
          </cell>
          <cell r="L7">
            <v>1.0018875838926173</v>
          </cell>
        </row>
        <row r="8">
          <cell r="B8">
            <v>9.9659395973154374E-2</v>
          </cell>
          <cell r="C8">
            <v>0.46899999999999997</v>
          </cell>
          <cell r="D8">
            <v>0.22281449893390187</v>
          </cell>
          <cell r="E8">
            <v>0.22281449893390187</v>
          </cell>
          <cell r="F8">
            <v>0.44562899786780374</v>
          </cell>
          <cell r="G8">
            <v>0.55437100213219626</v>
          </cell>
          <cell r="H8">
            <v>0.26</v>
          </cell>
          <cell r="J8" t="str">
            <v>Boxes</v>
          </cell>
          <cell r="K8">
            <v>0.12688892545899444</v>
          </cell>
          <cell r="L8">
            <v>1</v>
          </cell>
        </row>
        <row r="9">
          <cell r="B9">
            <v>0.14219295302013424</v>
          </cell>
          <cell r="C9">
            <v>0.40300000000000002</v>
          </cell>
          <cell r="D9">
            <v>0.43796526054590568</v>
          </cell>
          <cell r="E9">
            <v>0.43796526054590568</v>
          </cell>
          <cell r="F9">
            <v>0.87593052109181135</v>
          </cell>
          <cell r="G9">
            <v>0.12406947890818859</v>
          </cell>
          <cell r="H9">
            <v>0.05</v>
          </cell>
          <cell r="J9" t="str">
            <v>Office paper</v>
          </cell>
          <cell r="K9">
            <v>0.34667635352307352</v>
          </cell>
          <cell r="L9">
            <v>1</v>
          </cell>
        </row>
        <row r="10">
          <cell r="B10">
            <v>5.5228187919463094E-2</v>
          </cell>
          <cell r="C10">
            <v>0.34300000000000003</v>
          </cell>
          <cell r="D10">
            <v>0.12076134384722251</v>
          </cell>
          <cell r="E10">
            <v>0.12076134384722251</v>
          </cell>
          <cell r="F10">
            <v>0.24152268769444502</v>
          </cell>
          <cell r="G10">
            <v>0.75847731230555504</v>
          </cell>
          <cell r="H10">
            <v>0.26</v>
          </cell>
          <cell r="J10" t="str">
            <v>Coated paper</v>
          </cell>
          <cell r="K10">
            <v>-0.2327763320093138</v>
          </cell>
          <cell r="L10">
            <v>1</v>
          </cell>
        </row>
        <row r="12">
          <cell r="B12">
            <v>0.19676677852348992</v>
          </cell>
          <cell r="C12">
            <v>0.50800000000000001</v>
          </cell>
          <cell r="D12">
            <v>0.42125984251968507</v>
          </cell>
          <cell r="E12">
            <v>0.42125984251968507</v>
          </cell>
          <cell r="F12">
            <v>0.84251968503937014</v>
          </cell>
          <cell r="G12">
            <v>0.15748031496062992</v>
          </cell>
          <cell r="H12">
            <v>0.08</v>
          </cell>
          <cell r="J12" t="str">
            <v>Food Waste</v>
          </cell>
          <cell r="K12">
            <v>0.26151541774560066</v>
          </cell>
          <cell r="L12">
            <v>1</v>
          </cell>
        </row>
        <row r="13">
          <cell r="B13">
            <v>9.4424496644295322E-2</v>
          </cell>
          <cell r="C13">
            <v>0.44869999999999999</v>
          </cell>
          <cell r="D13">
            <v>0.15783011473862602</v>
          </cell>
          <cell r="E13">
            <v>0.15783011473862602</v>
          </cell>
          <cell r="F13">
            <v>0.31566022947725203</v>
          </cell>
          <cell r="G13">
            <v>0.68433977052274797</v>
          </cell>
          <cell r="H13">
            <v>0.31</v>
          </cell>
          <cell r="J13" t="str">
            <v>Grass</v>
          </cell>
          <cell r="K13">
            <v>-2.8831613475469142E-2</v>
          </cell>
          <cell r="L13">
            <v>1</v>
          </cell>
        </row>
        <row r="14">
          <cell r="B14">
            <v>3.7167785234899331E-2</v>
          </cell>
          <cell r="C14">
            <v>0.41599999999999998</v>
          </cell>
          <cell r="D14">
            <v>0.13942307692307693</v>
          </cell>
          <cell r="E14">
            <v>0.13942307692307693</v>
          </cell>
          <cell r="F14">
            <v>0.27884615384615385</v>
          </cell>
          <cell r="G14">
            <v>0.72115384615384615</v>
          </cell>
          <cell r="H14">
            <v>0.3</v>
          </cell>
          <cell r="J14" t="str">
            <v>Leaves</v>
          </cell>
          <cell r="K14">
            <v>-0.15391747955329738</v>
          </cell>
          <cell r="L14">
            <v>1</v>
          </cell>
        </row>
        <row r="16">
          <cell r="B16" t="str">
            <v>Methane released (gm CH4/dry gm wood)</v>
          </cell>
          <cell r="D16" t="str">
            <v>Fraction carbon released as CH4</v>
          </cell>
          <cell r="E16" t="str">
            <v>Fraction carbon released as CO2 (assuming 60% CH4: 40% CO2)</v>
          </cell>
          <cell r="F16" t="str">
            <v>Total fraction released as landfill gas</v>
          </cell>
          <cell r="G16" t="str">
            <v>Fraction of carbon stored (by subtraction)</v>
          </cell>
          <cell r="H16" t="str">
            <v>Fraction of dry matter stored</v>
          </cell>
        </row>
        <row r="17">
          <cell r="B17" t="str">
            <v>0.00 - 0.013</v>
          </cell>
          <cell r="D17" t="str">
            <v>0 - 1.9%</v>
          </cell>
          <cell r="E17" t="str">
            <v>0 - 1.3%</v>
          </cell>
          <cell r="F17" t="str">
            <v>0 - 3.2%</v>
          </cell>
          <cell r="G17" t="str">
            <v>97 - 100%</v>
          </cell>
          <cell r="H17" t="str">
            <v>48 - 50%</v>
          </cell>
        </row>
        <row r="18">
          <cell r="B18">
            <v>0.09</v>
          </cell>
          <cell r="D18">
            <v>0.16</v>
          </cell>
          <cell r="E18">
            <v>0.1</v>
          </cell>
          <cell r="F18">
            <v>0.26</v>
          </cell>
          <cell r="G18">
            <v>0.74</v>
          </cell>
          <cell r="H18">
            <v>0.37</v>
          </cell>
        </row>
        <row r="19">
          <cell r="B19">
            <v>0.54</v>
          </cell>
          <cell r="D19">
            <v>0.09</v>
          </cell>
          <cell r="E19">
            <v>0.06</v>
          </cell>
          <cell r="F19">
            <v>0.16</v>
          </cell>
          <cell r="G19">
            <v>0.84</v>
          </cell>
          <cell r="H19">
            <v>0.42</v>
          </cell>
        </row>
        <row r="20">
          <cell r="B20">
            <v>0.108</v>
          </cell>
          <cell r="D20">
            <v>0.19</v>
          </cell>
          <cell r="E20">
            <v>0.13</v>
          </cell>
          <cell r="F20">
            <v>0.32</v>
          </cell>
          <cell r="G20">
            <v>0.69</v>
          </cell>
          <cell r="H20">
            <v>0.35</v>
          </cell>
        </row>
        <row r="21">
          <cell r="B21">
            <v>0.13100000000000001</v>
          </cell>
          <cell r="D21">
            <v>0.23</v>
          </cell>
          <cell r="E21">
            <v>0.15</v>
          </cell>
          <cell r="F21">
            <v>0.38</v>
          </cell>
          <cell r="G21">
            <v>0.62</v>
          </cell>
          <cell r="H21">
            <v>0.31</v>
          </cell>
        </row>
        <row r="22">
          <cell r="B22">
            <v>0.06</v>
          </cell>
          <cell r="D22">
            <v>0.11</v>
          </cell>
          <cell r="E22">
            <v>7.0000000000000007E-2</v>
          </cell>
          <cell r="F22">
            <v>0.18</v>
          </cell>
          <cell r="G22">
            <v>0.83</v>
          </cell>
          <cell r="H22">
            <v>0.42</v>
          </cell>
        </row>
        <row r="32">
          <cell r="B32" t="str">
            <v>Average Measured Methane Yield (ml per dry gm)</v>
          </cell>
          <cell r="C32" t="str">
            <v>Percentage of "Methane Potential" Accounted for</v>
          </cell>
          <cell r="D32" t="str">
            <v>"Corrected" Methane Yield (ml per dry gram)</v>
          </cell>
          <cell r="E32" t="str">
            <v>Ratio of Carbon Storage to Dry Weight (gm C/dry gm)</v>
          </cell>
          <cell r="F32" t="str">
            <v>Ratio of Carbon Storage to Wet Weight (gm C/wet gm)</v>
          </cell>
        </row>
        <row r="33">
          <cell r="B33">
            <v>152.30000000000001</v>
          </cell>
          <cell r="C33">
            <v>87.7</v>
          </cell>
          <cell r="D33" t="str">
            <v>NA</v>
          </cell>
          <cell r="E33">
            <v>0.26</v>
          </cell>
          <cell r="F33">
            <v>0.25</v>
          </cell>
          <cell r="H33" t="str">
            <v>mL per L</v>
          </cell>
          <cell r="I33">
            <v>1000</v>
          </cell>
        </row>
        <row r="34">
          <cell r="B34">
            <v>84.4</v>
          </cell>
          <cell r="C34">
            <v>83.7</v>
          </cell>
          <cell r="D34" t="str">
            <v>NA</v>
          </cell>
          <cell r="E34">
            <v>0.34</v>
          </cell>
          <cell r="F34">
            <v>0.32</v>
          </cell>
          <cell r="H34" t="str">
            <v>L/mol CH4</v>
          </cell>
          <cell r="I34">
            <v>24.45128205128205</v>
          </cell>
        </row>
        <row r="35">
          <cell r="B35">
            <v>74.3</v>
          </cell>
          <cell r="C35">
            <v>98</v>
          </cell>
          <cell r="D35" t="str">
            <v>NA</v>
          </cell>
          <cell r="E35">
            <v>0.42</v>
          </cell>
          <cell r="F35">
            <v>0.39</v>
          </cell>
          <cell r="H35" t="str">
            <v>g CH4/mol CH4</v>
          </cell>
          <cell r="I35">
            <v>16</v>
          </cell>
        </row>
        <row r="36">
          <cell r="B36">
            <v>217.3</v>
          </cell>
          <cell r="C36">
            <v>55.5</v>
          </cell>
          <cell r="D36">
            <v>346</v>
          </cell>
          <cell r="E36">
            <v>0.05</v>
          </cell>
          <cell r="F36">
            <v>0.05</v>
          </cell>
          <cell r="H36" t="str">
            <v>g C/ g CH4</v>
          </cell>
          <cell r="I36">
            <v>0.75</v>
          </cell>
        </row>
        <row r="37">
          <cell r="B37">
            <v>300.7</v>
          </cell>
          <cell r="C37">
            <v>77.400000000000006</v>
          </cell>
          <cell r="D37">
            <v>386.2</v>
          </cell>
          <cell r="E37">
            <v>0.08</v>
          </cell>
          <cell r="F37">
            <v>0.02</v>
          </cell>
        </row>
        <row r="38">
          <cell r="F38">
            <v>0.23</v>
          </cell>
        </row>
        <row r="39">
          <cell r="B39">
            <v>144.30000000000001</v>
          </cell>
          <cell r="C39">
            <v>89.3</v>
          </cell>
          <cell r="D39" t="str">
            <v>NA</v>
          </cell>
          <cell r="E39">
            <v>0.32</v>
          </cell>
          <cell r="F39">
            <v>0.13</v>
          </cell>
        </row>
        <row r="40">
          <cell r="B40">
            <v>30.6</v>
          </cell>
          <cell r="C40">
            <v>75.2</v>
          </cell>
          <cell r="D40">
            <v>56</v>
          </cell>
          <cell r="E40">
            <v>0.54</v>
          </cell>
          <cell r="F40">
            <v>0.43</v>
          </cell>
        </row>
        <row r="41">
          <cell r="B41">
            <v>62.6</v>
          </cell>
          <cell r="C41">
            <v>82.8</v>
          </cell>
          <cell r="D41">
            <v>76.3</v>
          </cell>
          <cell r="E41">
            <v>0.38</v>
          </cell>
          <cell r="F41">
            <v>0.23</v>
          </cell>
        </row>
        <row r="42">
          <cell r="B42">
            <v>92</v>
          </cell>
          <cell r="C42">
            <v>97.6</v>
          </cell>
          <cell r="D42" t="str">
            <v>NA</v>
          </cell>
          <cell r="E42">
            <v>0.13</v>
          </cell>
          <cell r="F42">
            <v>0.11</v>
          </cell>
        </row>
        <row r="43">
          <cell r="B43">
            <v>56.8</v>
          </cell>
          <cell r="C43">
            <v>105.7</v>
          </cell>
          <cell r="D43" t="str">
            <v>NA</v>
          </cell>
          <cell r="E43">
            <v>0.3</v>
          </cell>
          <cell r="F43">
            <v>0.23888888888888887</v>
          </cell>
        </row>
        <row r="46">
          <cell r="B46" t="str">
            <v>CH4 yield (ml per dry gm)</v>
          </cell>
          <cell r="D46" t="str">
            <v>Fraction carbon released as CH4</v>
          </cell>
        </row>
        <row r="47">
          <cell r="B47" t="str">
            <v>Revised WOODCARB</v>
          </cell>
          <cell r="C47" t="str">
            <v>Previous OSW</v>
          </cell>
          <cell r="D47" t="str">
            <v>Proposed WOODCARB</v>
          </cell>
          <cell r="E47" t="str">
            <v>Current OSW</v>
          </cell>
          <cell r="F47" t="str">
            <v>MTCE/wet short ton</v>
          </cell>
        </row>
        <row r="48">
          <cell r="B48">
            <v>159.69743589743584</v>
          </cell>
          <cell r="C48">
            <v>152.30000000000001</v>
          </cell>
          <cell r="D48">
            <v>0.22281449893390187</v>
          </cell>
        </row>
        <row r="49">
          <cell r="B49">
            <v>269.7282051282051</v>
          </cell>
          <cell r="C49">
            <v>346</v>
          </cell>
          <cell r="D49">
            <v>0.43796526054590568</v>
          </cell>
        </row>
        <row r="50">
          <cell r="B50">
            <v>327.03589743589748</v>
          </cell>
          <cell r="C50">
            <v>300.7</v>
          </cell>
          <cell r="D50">
            <v>0.42125984251968507</v>
          </cell>
        </row>
        <row r="51">
          <cell r="B51">
            <v>87.107692307692275</v>
          </cell>
          <cell r="C51">
            <v>76.3</v>
          </cell>
          <cell r="D51">
            <v>0.11538461538461536</v>
          </cell>
          <cell r="F51" t="e">
            <v>#REF!</v>
          </cell>
        </row>
        <row r="52">
          <cell r="B52">
            <v>92.348760773282123</v>
          </cell>
          <cell r="D52">
            <v>0.13942307692307693</v>
          </cell>
          <cell r="F52" t="e">
            <v>#REF!</v>
          </cell>
        </row>
        <row r="54">
          <cell r="A54" t="str">
            <v>Grass</v>
          </cell>
          <cell r="B54">
            <v>113.12129485179408</v>
          </cell>
          <cell r="D54">
            <v>0.15783011473862602</v>
          </cell>
          <cell r="F54" t="e">
            <v>#REF!</v>
          </cell>
        </row>
      </sheetData>
      <sheetData sheetId="41" refreshError="1">
        <row r="6">
          <cell r="B6" t="str">
            <v>Fuel</v>
          </cell>
          <cell r="C6" t="str">
            <v>Primary Energy Consumption (Quads)1</v>
          </cell>
          <cell r="D6" t="str">
            <v>Electricity Net Generation (BkWh)1</v>
          </cell>
          <cell r="E6" t="str">
            <v>Implied Heat Rate (Btu/kwh)</v>
          </cell>
          <cell r="F6" t="str">
            <v>Fossil Weighted Heat Rate (Btu/kWh)2</v>
          </cell>
          <cell r="G6" t="str">
            <v>Nat Ave Weighted Heat Rate (Btu/kWh)2</v>
          </cell>
        </row>
        <row r="7">
          <cell r="B7" t="str">
            <v>Coal</v>
          </cell>
          <cell r="C7">
            <v>20.58</v>
          </cell>
          <cell r="D7">
            <v>1954</v>
          </cell>
          <cell r="E7">
            <v>10532.24155578301</v>
          </cell>
          <cell r="F7">
            <v>6798.9822249772951</v>
          </cell>
          <cell r="G7">
            <v>4406.2369591891402</v>
          </cell>
          <cell r="I7">
            <v>0.32405257531584059</v>
          </cell>
        </row>
        <row r="8">
          <cell r="B8" t="str">
            <v>Natural Gas</v>
          </cell>
          <cell r="C8">
            <v>6.18</v>
          </cell>
          <cell r="D8">
            <v>618.6</v>
          </cell>
          <cell r="E8">
            <v>9990.3006789524734</v>
          </cell>
          <cell r="F8">
            <v>3419.9972981547003</v>
          </cell>
          <cell r="G8">
            <v>2216.4079853152675</v>
          </cell>
        </row>
        <row r="9">
          <cell r="B9" t="str">
            <v>Petroleum</v>
          </cell>
          <cell r="C9">
            <v>1.28</v>
          </cell>
          <cell r="D9">
            <v>112.5</v>
          </cell>
          <cell r="E9">
            <v>11377.777777777777</v>
          </cell>
          <cell r="F9">
            <v>137.99339245348634</v>
          </cell>
          <cell r="G9">
            <v>89.429794906468331</v>
          </cell>
        </row>
        <row r="10">
          <cell r="B10" t="str">
            <v>Nuclear</v>
          </cell>
          <cell r="C10">
            <v>8.23</v>
          </cell>
          <cell r="D10">
            <v>788.6</v>
          </cell>
          <cell r="E10">
            <v>10436.216079127567</v>
          </cell>
          <cell r="G10">
            <v>2204.2008098157362</v>
          </cell>
        </row>
        <row r="11">
          <cell r="B11" t="str">
            <v>Renewable</v>
          </cell>
          <cell r="C11">
            <v>4.2699999999999996</v>
          </cell>
          <cell r="D11">
            <v>314.8</v>
          </cell>
          <cell r="E11">
            <v>13564.167725540025</v>
          </cell>
          <cell r="G11">
            <v>1809.0142554853076</v>
          </cell>
        </row>
        <row r="12">
          <cell r="B12" t="str">
            <v>Other</v>
          </cell>
          <cell r="C12">
            <v>0.21</v>
          </cell>
        </row>
        <row r="13">
          <cell r="B13" t="str">
            <v>Total</v>
          </cell>
          <cell r="C13">
            <v>40.749999999999993</v>
          </cell>
        </row>
        <row r="15">
          <cell r="E15" t="str">
            <v>Electricity Generation Fuel Mix</v>
          </cell>
          <cell r="F15" t="str">
            <v>Fossil</v>
          </cell>
          <cell r="G15" t="str">
            <v>Nat Ave</v>
          </cell>
        </row>
        <row r="16">
          <cell r="E16" t="str">
            <v>Generated Electricity Average Heat Rate (Btu/kWh)3</v>
          </cell>
          <cell r="F16">
            <v>10356.972915585482</v>
          </cell>
          <cell r="G16">
            <v>10725.28980471192</v>
          </cell>
        </row>
        <row r="17">
          <cell r="E17" t="str">
            <v>Average Fuel Mix Carbon Coefficent (Kg CO2E/MMBtu)4</v>
          </cell>
          <cell r="F17">
            <v>80.721006781429324</v>
          </cell>
          <cell r="G17">
            <v>52.31310682893848</v>
          </cell>
        </row>
        <row r="19">
          <cell r="E19" t="str">
            <v>Generated Electricity Emission Factor (Kg CO2E/kWh)5</v>
          </cell>
          <cell r="F19">
            <v>2.9061536445842218</v>
          </cell>
          <cell r="G19">
            <v>1.9107651637650021</v>
          </cell>
        </row>
        <row r="20">
          <cell r="E20" t="str">
            <v>Generated Electricity Emission Factor (Kg CO2E/MMBtu)6</v>
          </cell>
          <cell r="F20">
            <v>851.74491341858788</v>
          </cell>
          <cell r="G20">
            <v>560.01323674238051</v>
          </cell>
        </row>
        <row r="21">
          <cell r="E21" t="str">
            <v>Generated Electricity Emission Factor (MTCO2E/MMBtu)</v>
          </cell>
          <cell r="F21">
            <v>0.85174491341858793</v>
          </cell>
          <cell r="G21">
            <v>0.56001323674238046</v>
          </cell>
        </row>
        <row r="22">
          <cell r="B22" t="str">
            <v>1 EIA. 2005.  Annual Energy Review: 2004. (Table 8.4a and 8.2b)</v>
          </cell>
        </row>
        <row r="23">
          <cell r="B23" t="str">
            <v>2 Weighted by percent of total primary energy consumption.</v>
          </cell>
        </row>
        <row r="24">
          <cell r="B24" t="str">
            <v>3 Sum of the weighted values</v>
          </cell>
        </row>
        <row r="25">
          <cell r="B25" t="str">
            <v>4 Carbon coefficient weighted average by primary energy consumption (See table 5-2)</v>
          </cell>
        </row>
        <row r="26">
          <cell r="B26" t="str">
            <v>5 Average heat rate multiplied by the avergae fuel mix carbon coefficient.  National average value is equal</v>
          </cell>
        </row>
        <row r="27">
          <cell r="B27" t="str">
            <v xml:space="preserve">  to 1.37 pounds CO2E/kWh.</v>
          </cell>
        </row>
        <row r="28">
          <cell r="B28" t="str">
            <v>6 Converted from kWh to Btu using the heatless constant of 3,412 Btu/kWh.</v>
          </cell>
        </row>
      </sheetData>
      <sheetData sheetId="42" refreshError="1">
        <row r="6">
          <cell r="H6" t="str">
            <v>Value</v>
          </cell>
          <cell r="I6" t="str">
            <v>Value</v>
          </cell>
          <cell r="K6" t="str">
            <v>Source</v>
          </cell>
        </row>
        <row r="7">
          <cell r="C7" t="str">
            <v>Kilowatt-hours per Billion Kilowatt-hours</v>
          </cell>
          <cell r="H7">
            <v>1000000000</v>
          </cell>
          <cell r="K7" t="str">
            <v>Numerical relationship.</v>
          </cell>
        </row>
        <row r="9">
          <cell r="C9" t="str">
            <v>Electric Utility Consumption of Fossil Fuels to Generate Electricity</v>
          </cell>
        </row>
        <row r="10">
          <cell r="C10" t="str">
            <v>Total Fossil Generation Energy (Quadrillion Btu)</v>
          </cell>
          <cell r="H10">
            <v>28.25</v>
          </cell>
          <cell r="K10" t="str">
            <v>DOE, EIA, "Annual Energy Review: 2004," Sept. 2005, Diagram 5.</v>
          </cell>
        </row>
        <row r="11">
          <cell r="C11" t="str">
            <v>Energy Value of one Quadrillion Btu</v>
          </cell>
          <cell r="H11">
            <v>292875000000</v>
          </cell>
          <cell r="K11" t="str">
            <v>DOE, EIA, "Form EIA 1605 (1997)," Appendix E.</v>
          </cell>
        </row>
        <row r="12">
          <cell r="C12" t="str">
            <v xml:space="preserve">   (measured in Kilowatt-hours)</v>
          </cell>
        </row>
        <row r="13">
          <cell r="C13" t="str">
            <v>Total (Billion kwh)</v>
          </cell>
          <cell r="H13">
            <v>8273.71875</v>
          </cell>
          <cell r="K13" t="str">
            <v>(21.44 Quad Btu) x (2.92875x1011 kWh/Quad Btu) / (109 kwh/Billion kwh)</v>
          </cell>
        </row>
        <row r="15">
          <cell r="C15" t="str">
            <v>Net Generation: Before Transmission and Distribution Losses (Fossil Fuels Only)</v>
          </cell>
        </row>
        <row r="16">
          <cell r="C16" t="str">
            <v xml:space="preserve">Total (Billion kwh) </v>
          </cell>
          <cell r="H16">
            <v>2687.4</v>
          </cell>
          <cell r="K16" t="str">
            <v>DOE, EIA, "Annual Energy Review: 2004," Sept.2005, Table 8.2b.</v>
          </cell>
        </row>
        <row r="18">
          <cell r="C18" t="str">
            <v>Generation Efficiency (Fossil Fuels Only)</v>
          </cell>
        </row>
        <row r="19">
          <cell r="C19" t="str">
            <v>Efficiency (Percent)</v>
          </cell>
          <cell r="H19">
            <v>0.32481162113469231</v>
          </cell>
          <cell r="K19" t="str">
            <v>Generation Output / Consumption, i.e. 2,687 / 8,274.</v>
          </cell>
        </row>
        <row r="21">
          <cell r="C21" t="str">
            <v>Efficiency of Energy Conversion From Fossil Fuels to Delivered Electricity</v>
          </cell>
        </row>
        <row r="22">
          <cell r="C22" t="str">
            <v>Transmission and Distribution Losses (TDL) (Percent)</v>
          </cell>
          <cell r="H22">
            <v>0.09</v>
          </cell>
          <cell r="K22" t="str">
            <v>DOE, EIA, "Annual Energy Review: 2004," Sept. 2005, Diagram 5.</v>
          </cell>
        </row>
        <row r="23">
          <cell r="C23" t="str">
            <v>Delivered Electricity Efficiency (Percent)</v>
          </cell>
          <cell r="H23">
            <v>0.91</v>
          </cell>
          <cell r="K23" t="str">
            <v>Calculated as 100 percent (Deliverable Electricity) - 9 percent (TDL)</v>
          </cell>
        </row>
        <row r="24">
          <cell r="C24" t="str">
            <v>Efficiency of Energy Conversion and Delivery for Fossil Fuels (Percent)</v>
          </cell>
          <cell r="H24">
            <v>0.29557857523257003</v>
          </cell>
          <cell r="K24" t="str">
            <v>Generation Efficiency x Delivered Electricity Efficiency, i.e., 0.32 x 0.91.</v>
          </cell>
        </row>
        <row r="26">
          <cell r="C26" t="str">
            <v xml:space="preserve">Estimated Emission Factor for Delivered Electricity </v>
          </cell>
        </row>
        <row r="27">
          <cell r="C27" t="str">
            <v>(MTCE/MBtu of Electricity Delivered)</v>
          </cell>
        </row>
        <row r="28">
          <cell r="C28" t="str">
            <v xml:space="preserve">Weighted Average Emission Factor of the U.S. Mix of Fuels Used to Generate Electricity </v>
          </cell>
          <cell r="H28" t="str">
            <v>All Fuels</v>
          </cell>
          <cell r="I28" t="str">
            <v>Fossil Fuels Only</v>
          </cell>
        </row>
        <row r="29">
          <cell r="C29" t="str">
            <v xml:space="preserve">   (Kilograms of CO2 per Million Btu Consumed)</v>
          </cell>
          <cell r="H29">
            <v>52.31310682893848</v>
          </cell>
          <cell r="I29">
            <v>80.721006781429324</v>
          </cell>
          <cell r="K29" t="str">
            <v>Exhibit 6-4 of this report.</v>
          </cell>
        </row>
        <row r="30">
          <cell r="C30" t="str">
            <v>Weighted Average Emission Factor (MTCO2E/million Btu)</v>
          </cell>
          <cell r="H30">
            <v>5.2313106828938478E-2</v>
          </cell>
          <cell r="I30">
            <v>8.0721006781429322E-2</v>
          </cell>
          <cell r="K30" t="str">
            <v>Converting kilograms of carbon (kg C) to metric tons of carbon (MTC).</v>
          </cell>
        </row>
        <row r="31">
          <cell r="C31" t="str">
            <v>Efficiency of Energy Conversion and Delivery (Percent)</v>
          </cell>
          <cell r="H31">
            <v>0.29557857523257003</v>
          </cell>
          <cell r="I31">
            <v>0.29557857523257003</v>
          </cell>
          <cell r="K31" t="str">
            <v>Calculated above.</v>
          </cell>
        </row>
        <row r="32">
          <cell r="C32" t="str">
            <v>Emission Factor for Delivered Electricity (MTCO2E/million Btu)</v>
          </cell>
          <cell r="H32">
            <v>0.17698544892090695</v>
          </cell>
          <cell r="I32">
            <v>0.27309491805323044</v>
          </cell>
          <cell r="K32" t="str">
            <v>Weighted Average Emission Factor (MTCE/million Btu) / Conversion Efficiency.</v>
          </cell>
        </row>
      </sheetData>
      <sheetData sheetId="43" refreshError="1">
        <row r="6">
          <cell r="B6" t="str">
            <v>Total C change in forest per tonne C in paper</v>
          </cell>
          <cell r="D6">
            <v>1.4272202219740195</v>
          </cell>
        </row>
        <row r="8">
          <cell r="F8" t="str">
            <v>For 1% (revised)</v>
          </cell>
        </row>
        <row r="9">
          <cell r="D9">
            <v>2000</v>
          </cell>
          <cell r="E9">
            <v>2005</v>
          </cell>
          <cell r="F9">
            <v>2010</v>
          </cell>
          <cell r="G9">
            <v>2015</v>
          </cell>
          <cell r="H9">
            <v>2020</v>
          </cell>
          <cell r="I9">
            <v>2025</v>
          </cell>
          <cell r="J9">
            <v>2030</v>
          </cell>
          <cell r="K9">
            <v>2035</v>
          </cell>
          <cell r="L9">
            <v>2040</v>
          </cell>
          <cell r="M9">
            <v>2045</v>
          </cell>
          <cell r="N9">
            <v>2050</v>
          </cell>
        </row>
        <row r="10">
          <cell r="B10" t="str">
            <v>tonne C per tonne paper recovered for recycling</v>
          </cell>
          <cell r="D10" t="str">
            <v>NC</v>
          </cell>
          <cell r="E10" t="str">
            <v>NC</v>
          </cell>
          <cell r="F10">
            <v>1.3771275906533531</v>
          </cell>
          <cell r="G10">
            <v>1.4309701731453512</v>
          </cell>
          <cell r="H10">
            <v>1.4392536473749278</v>
          </cell>
          <cell r="I10">
            <v>1.4661749386207004</v>
          </cell>
          <cell r="J10">
            <v>1.5075923097680832</v>
          </cell>
          <cell r="K10">
            <v>1.3812693277684092</v>
          </cell>
          <cell r="L10">
            <v>1.2611589514408512</v>
          </cell>
          <cell r="M10">
            <v>1.1917848547690217</v>
          </cell>
          <cell r="N10">
            <v>1.1514029178997891</v>
          </cell>
        </row>
        <row r="11">
          <cell r="B11" t="str">
            <v>tonne C per short ton paper recovered for recycling</v>
          </cell>
          <cell r="D11" t="str">
            <v>NC</v>
          </cell>
          <cell r="E11" t="str">
            <v>NC</v>
          </cell>
          <cell r="F11">
            <v>1.2490953203205017</v>
          </cell>
          <cell r="G11">
            <v>1.2979321298370534</v>
          </cell>
          <cell r="H11">
            <v>1.3054454851473267</v>
          </cell>
          <cell r="I11">
            <v>1.3298638899053972</v>
          </cell>
          <cell r="J11">
            <v>1.3674306664563112</v>
          </cell>
          <cell r="K11">
            <v>1.2528519979758812</v>
          </cell>
          <cell r="L11">
            <v>1.1439083459780963</v>
          </cell>
          <cell r="M11">
            <v>1.0809839952553484</v>
          </cell>
          <cell r="N11">
            <v>1.0443563881177227</v>
          </cell>
        </row>
        <row r="12">
          <cell r="B12" t="str">
            <v>Total C change in forest per tonne C in paper</v>
          </cell>
          <cell r="D12">
            <v>1.4392536473749278</v>
          </cell>
        </row>
        <row r="14">
          <cell r="F14" t="str">
            <v>For 3%</v>
          </cell>
        </row>
        <row r="15">
          <cell r="D15">
            <v>2000</v>
          </cell>
          <cell r="E15">
            <v>2005</v>
          </cell>
          <cell r="F15">
            <v>2010</v>
          </cell>
          <cell r="G15">
            <v>2015</v>
          </cell>
          <cell r="H15">
            <v>2020</v>
          </cell>
          <cell r="I15">
            <v>2025</v>
          </cell>
          <cell r="J15">
            <v>2030</v>
          </cell>
          <cell r="K15">
            <v>2035</v>
          </cell>
          <cell r="L15">
            <v>2040</v>
          </cell>
          <cell r="M15">
            <v>2045</v>
          </cell>
          <cell r="N15">
            <v>2050</v>
          </cell>
        </row>
        <row r="16">
          <cell r="B16" t="str">
            <v>tonne C per tonne paper recovered for recycling</v>
          </cell>
          <cell r="D16" t="str">
            <v>NC</v>
          </cell>
          <cell r="E16" t="str">
            <v>NC</v>
          </cell>
          <cell r="F16">
            <v>1.3840304858448489</v>
          </cell>
          <cell r="G16">
            <v>1.432005607424063</v>
          </cell>
          <cell r="H16">
            <v>1.4427050949705422</v>
          </cell>
          <cell r="I16">
            <v>1.4668652281398713</v>
          </cell>
          <cell r="J16">
            <v>1.5020699936152986</v>
          </cell>
          <cell r="K16">
            <v>1.3626315107521336</v>
          </cell>
          <cell r="L16">
            <v>1.2342376601948946</v>
          </cell>
          <cell r="M16">
            <v>1.1696955901568078</v>
          </cell>
          <cell r="N16">
            <v>1.1306942323261986</v>
          </cell>
        </row>
        <row r="17">
          <cell r="B17" t="str">
            <v>tonne C per short ton paper recovered for recycling</v>
          </cell>
          <cell r="D17" t="str">
            <v>NC</v>
          </cell>
          <cell r="E17" t="str">
            <v>NC</v>
          </cell>
          <cell r="F17">
            <v>1.31</v>
          </cell>
          <cell r="G17">
            <v>1.2988712992508509</v>
          </cell>
          <cell r="H17">
            <v>1.3085760498599022</v>
          </cell>
          <cell r="I17">
            <v>1.3304900028479558</v>
          </cell>
          <cell r="J17">
            <v>1.3624217629163704</v>
          </cell>
          <cell r="K17">
            <v>1.2359469485280123</v>
          </cell>
          <cell r="L17">
            <v>1.1194899412198589</v>
          </cell>
          <cell r="M17">
            <v>1.0609483810946103</v>
          </cell>
          <cell r="N17">
            <v>1.0255729998423568</v>
          </cell>
        </row>
        <row r="18">
          <cell r="B18" t="str">
            <v>Total C change in forest per tonne C in paper</v>
          </cell>
          <cell r="D18">
            <v>1.4427050949705422</v>
          </cell>
        </row>
        <row r="19">
          <cell r="F19" t="str">
            <v>Recycling 
MTCO2E/ton</v>
          </cell>
          <cell r="G19" t="str">
            <v>Source Reduction
MTCO2E/ton</v>
          </cell>
        </row>
        <row r="20">
          <cell r="F20">
            <v>2.0161940925110855</v>
          </cell>
          <cell r="G20">
            <v>3.8312240854614261</v>
          </cell>
          <cell r="H20" t="str">
            <v>newsprint and phonebooks</v>
          </cell>
        </row>
        <row r="21">
          <cell r="F21">
            <v>3.0561257823325922</v>
          </cell>
          <cell r="G21">
            <v>7.2591614250848071</v>
          </cell>
          <cell r="H21" t="str">
            <v>all other papers</v>
          </cell>
        </row>
      </sheetData>
      <sheetData sheetId="44" refreshError="1">
        <row r="6">
          <cell r="B6" t="str">
            <v>Forest carbon storage, tonne C per tonne pulpwood not harvested</v>
          </cell>
          <cell r="C6">
            <v>0.994538402097914</v>
          </cell>
          <cell r="D6">
            <v>1.0290124265098253</v>
          </cell>
          <cell r="E6">
            <v>1.0367008779973994</v>
          </cell>
          <cell r="F6">
            <v>1.0540618974853697</v>
          </cell>
          <cell r="G6">
            <v>1.0793593830250692</v>
          </cell>
          <cell r="H6">
            <v>0.97916149912294015</v>
          </cell>
          <cell r="I6">
            <v>0.88690008127241637</v>
          </cell>
          <cell r="J6">
            <v>0.84052135778310877</v>
          </cell>
          <cell r="K6">
            <v>0.81249571203815563</v>
          </cell>
        </row>
        <row r="9">
          <cell r="B9" t="str">
            <v>Relationship between paper recovery and pulpwood harvest</v>
          </cell>
          <cell r="L9" t="str">
            <v>Relationship between paper recovery and forest carbon storage</v>
          </cell>
          <cell r="Q9" t="str">
            <v>Relationship between paper production (100% virgin inputs) and pulpwood harvest</v>
          </cell>
          <cell r="X9" t="str">
            <v>Exhibit 5</v>
          </cell>
        </row>
        <row r="10">
          <cell r="C10" t="str">
            <v xml:space="preserve">Average Yield, pulp: finished paper </v>
          </cell>
          <cell r="D10" t="str">
            <v>Average yield, recovered paper: finished paper</v>
          </cell>
          <cell r="E10" t="str">
            <v>Marginal export rate (EX)</v>
          </cell>
          <cell r="F10" t="str">
            <v>X (=1/avg yield, pulp: finished paper)</v>
          </cell>
          <cell r="G10" t="str">
            <v>Y</v>
          </cell>
          <cell r="H10" t="str">
            <v>Avoided tonne PWH per tonne paper recovered</v>
          </cell>
          <cell r="I10" t="str">
            <v>Proportion of US production</v>
          </cell>
          <cell r="L10" t="str">
            <v>Forest carbon benefit, MTCE/ tonne paper</v>
          </cell>
          <cell r="M10" t="str">
            <v>Forest carbon benefit, MTCE/ ton paper</v>
          </cell>
          <cell r="O10" t="str">
            <v>Wtd Average</v>
          </cell>
          <cell r="Q10" t="str">
            <v xml:space="preserve">Average Yield, pulp: finished paper </v>
          </cell>
          <cell r="R10" t="str">
            <v xml:space="preserve">Tonnes Pulpwood Harvested per Tonne Paper Produced with Virgin Pulp </v>
          </cell>
          <cell r="S10" t="str">
            <v>Forest carbon benefit, MTCE/ tonne 100% virgin paper source reduced</v>
          </cell>
          <cell r="T10" t="str">
            <v>Forest carbon benefit, MTCE/ ton 100% virgin paper source reduced</v>
          </cell>
          <cell r="X10" t="str">
            <v>Paper type</v>
          </cell>
          <cell r="Y10" t="str">
            <v>Mechanical (M) or Chemical (C)</v>
          </cell>
          <cell r="Z10" t="str">
            <v>Forest carbon benefit, MTCE/ ton 100% virgin paper source reduced (a)</v>
          </cell>
          <cell r="AA10" t="str">
            <v>% of Current Production from VIrgin Inputs (b)</v>
          </cell>
          <cell r="AB10" t="str">
            <v>Forest carbon benefit, MTCE/ ton "current mix" paper source reduced (c = a*b)</v>
          </cell>
        </row>
        <row r="11">
          <cell r="B11" t="str">
            <v>Mechanical Pulp</v>
          </cell>
          <cell r="C11">
            <v>0.9</v>
          </cell>
          <cell r="D11">
            <v>0.875</v>
          </cell>
          <cell r="E11">
            <v>0.39856772441042104</v>
          </cell>
          <cell r="F11">
            <v>1.1111111111111112</v>
          </cell>
          <cell r="G11">
            <v>0.875</v>
          </cell>
          <cell r="H11">
            <v>0.58472582348986846</v>
          </cell>
          <cell r="I11">
            <v>9.1999999999999998E-2</v>
          </cell>
          <cell r="L11">
            <v>0.60618577459969902</v>
          </cell>
          <cell r="M11">
            <v>0.549871116139387</v>
          </cell>
          <cell r="Q11">
            <v>0.9</v>
          </cell>
          <cell r="R11">
            <v>1.1111111111111112</v>
          </cell>
          <cell r="S11">
            <v>1.1518898644415549</v>
          </cell>
          <cell r="T11">
            <v>1.0448792960349345</v>
          </cell>
          <cell r="X11" t="str">
            <v>Corrugated Containers</v>
          </cell>
          <cell r="Y11" t="str">
            <v>C</v>
          </cell>
          <cell r="Z11">
            <v>1.9797712977504021</v>
          </cell>
          <cell r="AA11">
            <v>0.65100000000000002</v>
          </cell>
          <cell r="AB11">
            <v>1.2888311148355118</v>
          </cell>
        </row>
        <row r="12">
          <cell r="B12" t="str">
            <v>Chemical Pulp</v>
          </cell>
          <cell r="C12">
            <v>0.47499999999999998</v>
          </cell>
          <cell r="D12">
            <v>0.7</v>
          </cell>
          <cell r="E12">
            <v>0.39856772441042104</v>
          </cell>
          <cell r="F12">
            <v>2.1052631578947367</v>
          </cell>
          <cell r="G12">
            <v>0.7</v>
          </cell>
          <cell r="H12">
            <v>0.8863212482372741</v>
          </cell>
          <cell r="I12">
            <v>0.90800000000000003</v>
          </cell>
          <cell r="L12">
            <v>0.91885001623533302</v>
          </cell>
          <cell r="M12">
            <v>0.8334888497270706</v>
          </cell>
          <cell r="O12">
            <v>0.80739601823700369</v>
          </cell>
          <cell r="Q12">
            <v>0.47499999999999998</v>
          </cell>
          <cell r="R12">
            <v>2.1052631578947367</v>
          </cell>
          <cell r="S12">
            <v>2.1825281642050514</v>
          </cell>
          <cell r="T12">
            <v>1.9797712977504021</v>
          </cell>
          <cell r="X12" t="str">
            <v>Magazines/Third-class Mail</v>
          </cell>
          <cell r="Y12" t="str">
            <v>M</v>
          </cell>
          <cell r="Z12">
            <v>1.0448792960349345</v>
          </cell>
          <cell r="AA12">
            <v>0.95899999999999996</v>
          </cell>
          <cell r="AB12">
            <v>1.0020392448975022</v>
          </cell>
        </row>
        <row r="13">
          <cell r="X13" t="str">
            <v>Newspaper</v>
          </cell>
          <cell r="Y13" t="str">
            <v>M</v>
          </cell>
          <cell r="Z13">
            <v>1.0448792960349345</v>
          </cell>
          <cell r="AA13">
            <v>0.77</v>
          </cell>
          <cell r="AB13">
            <v>0.80455705794689958</v>
          </cell>
        </row>
        <row r="14">
          <cell r="I14" t="str">
            <v xml:space="preserve">From: ECE/FAO.  Chapter 11: Woodpulp, Pulpwood, and Paper and Paperboard Supply, Trade, and Consumption. </v>
          </cell>
          <cell r="X14" t="str">
            <v>Office Paper</v>
          </cell>
          <cell r="Y14" t="str">
            <v>C</v>
          </cell>
          <cell r="Z14">
            <v>1.9797712977504021</v>
          </cell>
          <cell r="AA14">
            <v>0.95899999999999996</v>
          </cell>
          <cell r="AB14">
            <v>1.8986006745426356</v>
          </cell>
        </row>
        <row r="15">
          <cell r="C15" t="str">
            <v>PWH = Pulpwood harvest in ovendry tons</v>
          </cell>
          <cell r="I15" t="str">
            <v xml:space="preserve">Forest Products Annual Market Review, 1998-1999.  http://www.unece.org/trade/timber/docs/rev-99/chap-11.pdf </v>
          </cell>
          <cell r="X15" t="str">
            <v>Phonebooks</v>
          </cell>
          <cell r="Y15" t="str">
            <v>M</v>
          </cell>
          <cell r="Z15">
            <v>1.0448792960349345</v>
          </cell>
          <cell r="AA15">
            <v>1</v>
          </cell>
          <cell r="AB15">
            <v>1.0448792960349345</v>
          </cell>
        </row>
        <row r="16">
          <cell r="C16" t="str">
            <v>PP = paper production in tons at 3% MC</v>
          </cell>
          <cell r="X16" t="str">
            <v>Textbooks</v>
          </cell>
          <cell r="Y16" t="str">
            <v>C</v>
          </cell>
          <cell r="Z16">
            <v>1.9797712977504021</v>
          </cell>
          <cell r="AA16">
            <v>0.95899999999999996</v>
          </cell>
          <cell r="AB16">
            <v>1.8986006745426356</v>
          </cell>
        </row>
        <row r="17">
          <cell r="C17" t="str">
            <v>RPC = Recovered paper consumption at %15 MC</v>
          </cell>
        </row>
        <row r="18">
          <cell r="C18" t="str">
            <v>EX = export rate</v>
          </cell>
        </row>
        <row r="19">
          <cell r="C19" t="str">
            <v xml:space="preserve">X = tons ovendry of pulpwood receipts per ton 3% MC of paper and paperboard; X accounts for the efficiency of converting to paper and paperboard and the portion of paper and paperboard that is water and fillers  </v>
          </cell>
        </row>
        <row r="20">
          <cell r="C20" t="str">
            <v>Y = tons MC 15% of recovered paper consumed per ton MC 3% of paper and paperboard produced; Y accounts for the water in recovered paper and the efficiency of converting to paper and paperboard</v>
          </cell>
        </row>
        <row r="24">
          <cell r="C24" t="str">
            <v>PWH = X * ( PP - RPC* [1-EX] * Y)</v>
          </cell>
        </row>
        <row r="25">
          <cell r="C25" t="str">
            <v>PWH = 1.9629*(PP – [PR * {1 – EX}*0.94])</v>
          </cell>
        </row>
        <row r="33">
          <cell r="B33" t="str">
            <v>Summary of changes needed to finalize spreadsheet for transparency:</v>
          </cell>
        </row>
        <row r="34">
          <cell r="B34" t="str">
            <v>Delete all sheets related to the "+1.48% recyc harv"</v>
          </cell>
        </row>
        <row r="35">
          <cell r="B35" t="str">
            <v>Delete the "X Base" sheets; however, note that they have precedents on the ". . . harv" sheets, so rewire it so that the harv sheets don't draw from "X Base"s.</v>
          </cell>
        </row>
        <row r="36">
          <cell r="B36" t="str">
            <v>Bring in info from sheets that this links to so it's self-contained (no external links)</v>
          </cell>
        </row>
        <row r="38">
          <cell r="B38" t="str">
            <v>Color code sheets so that they are associated with "reln btwn PWH and F C" or "reln btwn PR and PWH" or "other info"</v>
          </cell>
        </row>
      </sheetData>
      <sheetData sheetId="45" refreshError="1">
        <row r="6">
          <cell r="B6">
            <v>1990</v>
          </cell>
          <cell r="C6">
            <v>2000</v>
          </cell>
          <cell r="D6">
            <v>2010</v>
          </cell>
          <cell r="E6">
            <v>2020</v>
          </cell>
          <cell r="F6">
            <v>2030</v>
          </cell>
          <cell r="G6">
            <v>2040</v>
          </cell>
        </row>
        <row r="7">
          <cell r="B7">
            <v>7.84</v>
          </cell>
          <cell r="C7">
            <v>8.2919999999999998</v>
          </cell>
          <cell r="D7">
            <v>8.7230000000000008</v>
          </cell>
          <cell r="E7">
            <v>8.9649999999999999</v>
          </cell>
          <cell r="F7">
            <v>9.0839999999999996</v>
          </cell>
          <cell r="G7">
            <v>9.1389999999999993</v>
          </cell>
        </row>
        <row r="8">
          <cell r="B8">
            <v>0.34699999999999998</v>
          </cell>
          <cell r="C8">
            <v>0.34899999999999998</v>
          </cell>
          <cell r="D8">
            <v>0.35299999999999998</v>
          </cell>
          <cell r="E8">
            <v>0.35699999999999998</v>
          </cell>
          <cell r="F8">
            <v>0.35799999999999998</v>
          </cell>
          <cell r="G8">
            <v>0.35799999999999998</v>
          </cell>
        </row>
        <row r="9">
          <cell r="B9">
            <v>13.436999999999999</v>
          </cell>
          <cell r="C9">
            <v>13.784000000000001</v>
          </cell>
          <cell r="D9">
            <v>14.090999999999999</v>
          </cell>
          <cell r="E9">
            <v>14.388999999999999</v>
          </cell>
          <cell r="F9">
            <v>14.676</v>
          </cell>
          <cell r="G9">
            <v>14.95</v>
          </cell>
        </row>
        <row r="10">
          <cell r="B10">
            <v>21.623999999999999</v>
          </cell>
          <cell r="C10">
            <v>22.425000000000001</v>
          </cell>
          <cell r="D10">
            <v>23.167000000000002</v>
          </cell>
          <cell r="E10">
            <v>23.710999999999999</v>
          </cell>
          <cell r="F10">
            <v>24.118000000000002</v>
          </cell>
          <cell r="G10">
            <v>24.446999999999999</v>
          </cell>
          <cell r="H10">
            <v>2.8230000000000004</v>
          </cell>
        </row>
        <row r="12">
          <cell r="C12" t="str">
            <v>Average Annual Carbon Flux (Teragrams/yr)</v>
          </cell>
        </row>
        <row r="14">
          <cell r="B14">
            <v>1990</v>
          </cell>
          <cell r="C14">
            <v>2000</v>
          </cell>
          <cell r="D14">
            <v>2010</v>
          </cell>
          <cell r="E14">
            <v>2020</v>
          </cell>
          <cell r="F14">
            <v>2030</v>
          </cell>
          <cell r="G14">
            <v>2040</v>
          </cell>
        </row>
        <row r="15">
          <cell r="C15">
            <v>45.244999999999997</v>
          </cell>
          <cell r="D15">
            <v>43.066000000000003</v>
          </cell>
          <cell r="E15">
            <v>24.216999999999999</v>
          </cell>
          <cell r="F15">
            <v>11.875999999999999</v>
          </cell>
          <cell r="G15">
            <v>5.4969999999999999</v>
          </cell>
        </row>
        <row r="16">
          <cell r="C16">
            <v>0.23799999999999999</v>
          </cell>
          <cell r="D16">
            <v>0.4</v>
          </cell>
          <cell r="E16">
            <v>0.34300000000000003</v>
          </cell>
          <cell r="F16">
            <v>8.2000000000000003E-2</v>
          </cell>
          <cell r="G16">
            <v>0.02</v>
          </cell>
        </row>
        <row r="17">
          <cell r="C17">
            <v>34.667999999999999</v>
          </cell>
          <cell r="D17">
            <v>30.72</v>
          </cell>
          <cell r="E17">
            <v>29.763999999999999</v>
          </cell>
          <cell r="F17">
            <v>28.706</v>
          </cell>
          <cell r="G17">
            <v>27.391999999999999</v>
          </cell>
        </row>
        <row r="18">
          <cell r="C18">
            <v>80.150999999999996</v>
          </cell>
          <cell r="D18">
            <v>74.186000000000007</v>
          </cell>
          <cell r="E18">
            <v>54.323999999999998</v>
          </cell>
          <cell r="F18">
            <v>40.664000000000001</v>
          </cell>
          <cell r="G18">
            <v>32.908999999999999</v>
          </cell>
        </row>
        <row r="19">
          <cell r="C19">
            <v>45.482999999999997</v>
          </cell>
          <cell r="D19">
            <v>43.466000000000008</v>
          </cell>
          <cell r="E19">
            <v>24.56</v>
          </cell>
          <cell r="F19">
            <v>11.958000000000002</v>
          </cell>
          <cell r="G19">
            <v>5.5169999999999995</v>
          </cell>
        </row>
        <row r="20">
          <cell r="C20" t="str">
            <v>Note: 2000 values assume 10 year time interval for 1990-2000.</v>
          </cell>
        </row>
        <row r="22">
          <cell r="B22" t="str">
            <v>HARVCARB Results: Cumulative fates of removals C (Pg)</v>
          </cell>
        </row>
        <row r="24">
          <cell r="B24">
            <v>1990</v>
          </cell>
          <cell r="C24">
            <v>2000</v>
          </cell>
          <cell r="D24">
            <v>2010</v>
          </cell>
          <cell r="E24">
            <v>2020</v>
          </cell>
          <cell r="F24">
            <v>2030</v>
          </cell>
          <cell r="G24">
            <v>2040</v>
          </cell>
        </row>
        <row r="25">
          <cell r="C25">
            <v>0.73299999999999998</v>
          </cell>
          <cell r="D25">
            <v>1.216</v>
          </cell>
          <cell r="E25">
            <v>1.6339999999999999</v>
          </cell>
          <cell r="F25">
            <v>2.028</v>
          </cell>
          <cell r="G25">
            <v>2.3809999999999998</v>
          </cell>
        </row>
        <row r="26">
          <cell r="C26">
            <v>0</v>
          </cell>
          <cell r="D26">
            <v>0.19700000000000001</v>
          </cell>
          <cell r="E26">
            <v>0.45200000000000001</v>
          </cell>
          <cell r="F26">
            <v>0.74299999999999999</v>
          </cell>
          <cell r="G26">
            <v>1.0629999999999999</v>
          </cell>
        </row>
        <row r="27">
          <cell r="C27">
            <v>0.48199999999999998</v>
          </cell>
          <cell r="D27">
            <v>1.0209999999999999</v>
          </cell>
          <cell r="E27">
            <v>1.6120000000000001</v>
          </cell>
          <cell r="F27">
            <v>2.234</v>
          </cell>
          <cell r="G27">
            <v>2.883</v>
          </cell>
        </row>
        <row r="28">
          <cell r="C28">
            <v>0.189</v>
          </cell>
          <cell r="D28">
            <v>0.47299999999999998</v>
          </cell>
          <cell r="E28">
            <v>0.82899999999999996</v>
          </cell>
          <cell r="F28">
            <v>1.228</v>
          </cell>
          <cell r="G28">
            <v>1.6779999999999999</v>
          </cell>
        </row>
        <row r="29">
          <cell r="C29">
            <v>1.4039999999999999</v>
          </cell>
          <cell r="D29">
            <v>2.907</v>
          </cell>
          <cell r="E29">
            <v>4.5270000000000001</v>
          </cell>
          <cell r="F29">
            <v>6.2329999999999997</v>
          </cell>
          <cell r="G29">
            <v>8.004999999999999</v>
          </cell>
        </row>
      </sheetData>
      <sheetData sheetId="46" refreshError="1">
        <row r="6">
          <cell r="B6">
            <v>1990</v>
          </cell>
          <cell r="C6">
            <v>2000</v>
          </cell>
          <cell r="D6">
            <v>2010</v>
          </cell>
          <cell r="E6">
            <v>2020</v>
          </cell>
          <cell r="F6">
            <v>2030</v>
          </cell>
          <cell r="G6">
            <v>2040</v>
          </cell>
        </row>
        <row r="7">
          <cell r="B7">
            <v>7.8390000000000004</v>
          </cell>
          <cell r="C7">
            <v>8.3160000000000007</v>
          </cell>
          <cell r="D7">
            <v>8.7650000000000006</v>
          </cell>
          <cell r="E7">
            <v>9.0069999999999997</v>
          </cell>
          <cell r="F7">
            <v>9.1229999999999993</v>
          </cell>
          <cell r="G7">
            <v>9.18</v>
          </cell>
        </row>
        <row r="8">
          <cell r="B8">
            <v>0.34699999999999998</v>
          </cell>
          <cell r="C8">
            <v>0.34899999999999998</v>
          </cell>
          <cell r="D8">
            <v>0.35299999999999998</v>
          </cell>
          <cell r="E8">
            <v>0.35699999999999998</v>
          </cell>
          <cell r="F8">
            <v>0.35699999999999998</v>
          </cell>
          <cell r="G8">
            <v>0.35699999999999998</v>
          </cell>
        </row>
        <row r="9">
          <cell r="B9">
            <v>13.436999999999999</v>
          </cell>
          <cell r="C9">
            <v>13.788</v>
          </cell>
          <cell r="D9">
            <v>14.102</v>
          </cell>
          <cell r="E9">
            <v>14.4</v>
          </cell>
          <cell r="F9">
            <v>14.686999999999999</v>
          </cell>
          <cell r="G9">
            <v>14.96</v>
          </cell>
        </row>
        <row r="10">
          <cell r="B10">
            <v>21.622999999999998</v>
          </cell>
          <cell r="C10">
            <v>22.453000000000003</v>
          </cell>
          <cell r="D10">
            <v>23.22</v>
          </cell>
          <cell r="E10">
            <v>23.763999999999999</v>
          </cell>
          <cell r="F10">
            <v>24.166999999999998</v>
          </cell>
          <cell r="G10">
            <v>24.497</v>
          </cell>
          <cell r="H10">
            <v>2.8740000000000023</v>
          </cell>
        </row>
        <row r="12">
          <cell r="C12" t="str">
            <v>Average Annual Carbon Flux (Teragrams/yr)</v>
          </cell>
        </row>
        <row r="14">
          <cell r="B14">
            <v>1990</v>
          </cell>
          <cell r="C14">
            <v>2000</v>
          </cell>
          <cell r="D14">
            <v>2010</v>
          </cell>
          <cell r="E14">
            <v>2020</v>
          </cell>
          <cell r="F14">
            <v>2030</v>
          </cell>
          <cell r="G14">
            <v>2040</v>
          </cell>
        </row>
        <row r="15">
          <cell r="C15">
            <v>47.683</v>
          </cell>
          <cell r="D15">
            <v>44.853999999999999</v>
          </cell>
          <cell r="E15">
            <v>24.234999999999999</v>
          </cell>
          <cell r="F15">
            <v>11.614000000000001</v>
          </cell>
          <cell r="G15">
            <v>5.7290000000000001</v>
          </cell>
        </row>
        <row r="16">
          <cell r="C16">
            <v>0.20399999999999999</v>
          </cell>
          <cell r="D16">
            <v>0.39800000000000002</v>
          </cell>
          <cell r="E16">
            <v>0.35799999999999998</v>
          </cell>
          <cell r="F16">
            <v>8.6999999999999994E-2</v>
          </cell>
          <cell r="G16">
            <v>8.9999999999999993E-3</v>
          </cell>
        </row>
        <row r="17">
          <cell r="C17">
            <v>35.101999999999997</v>
          </cell>
          <cell r="D17">
            <v>31.327999999999999</v>
          </cell>
          <cell r="E17">
            <v>29.817</v>
          </cell>
          <cell r="F17">
            <v>28.707999999999998</v>
          </cell>
          <cell r="G17">
            <v>27.318999999999999</v>
          </cell>
        </row>
        <row r="18">
          <cell r="C18">
            <v>82.989000000000004</v>
          </cell>
          <cell r="D18">
            <v>76.58</v>
          </cell>
          <cell r="E18">
            <v>54.41</v>
          </cell>
          <cell r="F18">
            <v>40.408999999999999</v>
          </cell>
          <cell r="G18">
            <v>33.057000000000002</v>
          </cell>
          <cell r="H18">
            <v>57.488999999999997</v>
          </cell>
        </row>
        <row r="19">
          <cell r="C19">
            <v>47.887000000000008</v>
          </cell>
          <cell r="D19">
            <v>45.251999999999995</v>
          </cell>
          <cell r="E19">
            <v>24.592999999999996</v>
          </cell>
          <cell r="F19">
            <v>11.701000000000001</v>
          </cell>
          <cell r="G19">
            <v>5.7380000000000031</v>
          </cell>
        </row>
        <row r="22">
          <cell r="B22" t="str">
            <v>HARVCARB Results: Cumulative fates of removals C (Pg)</v>
          </cell>
        </row>
        <row r="24">
          <cell r="B24">
            <v>1990</v>
          </cell>
          <cell r="C24">
            <v>2000</v>
          </cell>
          <cell r="D24">
            <v>2010</v>
          </cell>
          <cell r="E24">
            <v>2020</v>
          </cell>
          <cell r="F24">
            <v>2030</v>
          </cell>
          <cell r="G24">
            <v>2040</v>
          </cell>
        </row>
        <row r="25">
          <cell r="C25">
            <v>0.72599999999999998</v>
          </cell>
          <cell r="D25">
            <v>1.208</v>
          </cell>
          <cell r="E25">
            <v>1.63</v>
          </cell>
          <cell r="F25">
            <v>2.0259999999999998</v>
          </cell>
          <cell r="G25">
            <v>2.379</v>
          </cell>
        </row>
        <row r="26">
          <cell r="C26">
            <v>0</v>
          </cell>
          <cell r="D26">
            <v>0.19500000000000001</v>
          </cell>
          <cell r="E26">
            <v>0.44800000000000001</v>
          </cell>
          <cell r="F26">
            <v>0.73799999999999999</v>
          </cell>
          <cell r="G26">
            <v>1.0589999999999999</v>
          </cell>
        </row>
        <row r="27">
          <cell r="C27">
            <v>0.47699999999999998</v>
          </cell>
          <cell r="D27">
            <v>1.0129999999999999</v>
          </cell>
          <cell r="E27">
            <v>1.603</v>
          </cell>
          <cell r="F27">
            <v>2.2240000000000002</v>
          </cell>
          <cell r="G27">
            <v>2.8719999999999999</v>
          </cell>
        </row>
        <row r="28">
          <cell r="C28">
            <v>0.187</v>
          </cell>
          <cell r="D28">
            <v>0.46899999999999997</v>
          </cell>
          <cell r="E28">
            <v>0.82199999999999995</v>
          </cell>
          <cell r="F28">
            <v>1.2190000000000001</v>
          </cell>
          <cell r="G28">
            <v>1.6679999999999999</v>
          </cell>
        </row>
        <row r="29">
          <cell r="C29">
            <v>1.39</v>
          </cell>
          <cell r="D29">
            <v>2.8849999999999998</v>
          </cell>
          <cell r="E29">
            <v>4.5030000000000001</v>
          </cell>
          <cell r="F29">
            <v>6.2069999999999999</v>
          </cell>
          <cell r="G29">
            <v>7.9779999999999998</v>
          </cell>
        </row>
      </sheetData>
      <sheetData sheetId="47" refreshError="1">
        <row r="6">
          <cell r="B6">
            <v>1990</v>
          </cell>
          <cell r="C6">
            <v>2000</v>
          </cell>
          <cell r="D6">
            <v>2010</v>
          </cell>
          <cell r="E6">
            <v>2020</v>
          </cell>
          <cell r="F6">
            <v>2030</v>
          </cell>
          <cell r="G6">
            <v>2040</v>
          </cell>
        </row>
        <row r="7">
          <cell r="B7">
            <v>7.8390000000000004</v>
          </cell>
          <cell r="C7">
            <v>8.3079999999999998</v>
          </cell>
          <cell r="D7">
            <v>8.7629999999999999</v>
          </cell>
          <cell r="E7">
            <v>9.0079999999999991</v>
          </cell>
          <cell r="F7">
            <v>9.1300000000000008</v>
          </cell>
          <cell r="G7">
            <v>9.1859999999999999</v>
          </cell>
        </row>
        <row r="8">
          <cell r="B8">
            <v>0.34699999999999998</v>
          </cell>
          <cell r="C8">
            <v>0.34899999999999998</v>
          </cell>
          <cell r="D8">
            <v>0.35299999999999998</v>
          </cell>
          <cell r="E8">
            <v>0.35699999999999998</v>
          </cell>
          <cell r="F8">
            <v>0.35699999999999998</v>
          </cell>
          <cell r="G8">
            <v>0.35799999999999998</v>
          </cell>
        </row>
        <row r="9">
          <cell r="B9">
            <v>13.436999999999999</v>
          </cell>
          <cell r="C9">
            <v>13.787000000000001</v>
          </cell>
          <cell r="D9">
            <v>14.101000000000001</v>
          </cell>
          <cell r="E9">
            <v>14.398999999999999</v>
          </cell>
          <cell r="F9">
            <v>14.688000000000001</v>
          </cell>
          <cell r="G9">
            <v>14.961</v>
          </cell>
        </row>
        <row r="10">
          <cell r="B10">
            <v>21.622999999999998</v>
          </cell>
          <cell r="C10">
            <v>22.444000000000003</v>
          </cell>
          <cell r="D10">
            <v>23.216999999999999</v>
          </cell>
          <cell r="E10">
            <v>23.763999999999996</v>
          </cell>
          <cell r="F10">
            <v>24.175000000000001</v>
          </cell>
          <cell r="G10">
            <v>24.505000000000003</v>
          </cell>
          <cell r="H10">
            <v>2.882000000000005</v>
          </cell>
        </row>
        <row r="12">
          <cell r="C12" t="str">
            <v>Average Annual Carbon Flux (Teragrams/yr)</v>
          </cell>
        </row>
        <row r="14">
          <cell r="B14">
            <v>1990</v>
          </cell>
          <cell r="C14">
            <v>2000</v>
          </cell>
          <cell r="D14">
            <v>2010</v>
          </cell>
          <cell r="E14">
            <v>2020</v>
          </cell>
          <cell r="F14">
            <v>2030</v>
          </cell>
          <cell r="G14">
            <v>2040</v>
          </cell>
        </row>
        <row r="15">
          <cell r="C15">
            <v>46.84</v>
          </cell>
          <cell r="D15">
            <v>45.518000000000001</v>
          </cell>
          <cell r="E15">
            <v>24.51</v>
          </cell>
          <cell r="F15">
            <v>12.222</v>
          </cell>
          <cell r="G15">
            <v>5.5490000000000004</v>
          </cell>
        </row>
        <row r="16">
          <cell r="C16">
            <v>0.218</v>
          </cell>
          <cell r="D16">
            <v>0.38900000000000001</v>
          </cell>
          <cell r="E16">
            <v>0.35599999999999998</v>
          </cell>
          <cell r="F16">
            <v>8.7999999999999995E-2</v>
          </cell>
          <cell r="G16">
            <v>1.4E-2</v>
          </cell>
        </row>
        <row r="17">
          <cell r="C17">
            <v>34.957000000000001</v>
          </cell>
          <cell r="D17">
            <v>31.382000000000001</v>
          </cell>
          <cell r="E17">
            <v>29.84</v>
          </cell>
          <cell r="F17">
            <v>28.89</v>
          </cell>
          <cell r="G17">
            <v>27.274999999999999</v>
          </cell>
        </row>
        <row r="18">
          <cell r="C18">
            <v>82.015000000000015</v>
          </cell>
          <cell r="D18">
            <v>77.289000000000001</v>
          </cell>
          <cell r="E18">
            <v>54.706000000000003</v>
          </cell>
          <cell r="F18">
            <v>41.2</v>
          </cell>
          <cell r="G18">
            <v>32.838000000000001</v>
          </cell>
          <cell r="H18">
            <v>57.609600000000015</v>
          </cell>
        </row>
        <row r="19">
          <cell r="C19">
            <v>47.058000000000014</v>
          </cell>
          <cell r="D19">
            <v>45.906999999999996</v>
          </cell>
          <cell r="E19">
            <v>24.866000000000003</v>
          </cell>
          <cell r="F19">
            <v>12.310000000000002</v>
          </cell>
          <cell r="G19">
            <v>5.5630000000000024</v>
          </cell>
        </row>
        <row r="20">
          <cell r="C20">
            <v>82.100000000000506</v>
          </cell>
          <cell r="D20">
            <v>77.299999999999613</v>
          </cell>
          <cell r="E20">
            <v>54.699999999999704</v>
          </cell>
          <cell r="F20">
            <v>41.100000000000492</v>
          </cell>
          <cell r="G20">
            <v>33.000000000000185</v>
          </cell>
          <cell r="H20">
            <v>57.6400000000001</v>
          </cell>
        </row>
        <row r="22">
          <cell r="B22" t="str">
            <v>HARVCARB Results: Cumulative fates of removals C (Pg)</v>
          </cell>
        </row>
        <row r="24">
          <cell r="B24">
            <v>1990</v>
          </cell>
          <cell r="C24">
            <v>2000</v>
          </cell>
          <cell r="D24">
            <v>2010</v>
          </cell>
          <cell r="E24">
            <v>2020</v>
          </cell>
          <cell r="F24">
            <v>2030</v>
          </cell>
          <cell r="G24">
            <v>2040</v>
          </cell>
        </row>
        <row r="25">
          <cell r="C25">
            <v>0.72899999999999998</v>
          </cell>
          <cell r="D25">
            <v>1.206</v>
          </cell>
          <cell r="E25">
            <v>1.629</v>
          </cell>
          <cell r="F25">
            <v>2.024</v>
          </cell>
          <cell r="G25">
            <v>2.379</v>
          </cell>
        </row>
        <row r="26">
          <cell r="C26">
            <v>0</v>
          </cell>
          <cell r="D26">
            <v>0.19600000000000001</v>
          </cell>
          <cell r="E26">
            <v>0.44800000000000001</v>
          </cell>
          <cell r="F26">
            <v>0.73799999999999999</v>
          </cell>
          <cell r="G26">
            <v>1.0580000000000001</v>
          </cell>
        </row>
        <row r="27">
          <cell r="C27">
            <v>0.47899999999999998</v>
          </cell>
          <cell r="D27">
            <v>1.0129999999999999</v>
          </cell>
          <cell r="E27">
            <v>1.601</v>
          </cell>
          <cell r="F27">
            <v>2.222</v>
          </cell>
          <cell r="G27">
            <v>2.8690000000000002</v>
          </cell>
        </row>
        <row r="28">
          <cell r="C28">
            <v>0.188</v>
          </cell>
          <cell r="D28">
            <v>0.46899999999999997</v>
          </cell>
          <cell r="E28">
            <v>0.82099999999999995</v>
          </cell>
          <cell r="F28">
            <v>1.218</v>
          </cell>
          <cell r="G28">
            <v>1.6659999999999999</v>
          </cell>
        </row>
        <row r="29">
          <cell r="C29">
            <v>1.3959999999999999</v>
          </cell>
          <cell r="D29">
            <v>2.8839999999999999</v>
          </cell>
          <cell r="E29">
            <v>4.4989999999999997</v>
          </cell>
          <cell r="F29">
            <v>6.202</v>
          </cell>
          <cell r="G29">
            <v>7.9720000000000013</v>
          </cell>
        </row>
      </sheetData>
      <sheetData sheetId="48" refreshError="1">
        <row r="6">
          <cell r="B6">
            <v>1990</v>
          </cell>
          <cell r="C6">
            <v>2000</v>
          </cell>
          <cell r="D6">
            <v>2010</v>
          </cell>
          <cell r="E6">
            <v>2020</v>
          </cell>
          <cell r="F6">
            <v>2030</v>
          </cell>
          <cell r="G6">
            <v>2040</v>
          </cell>
        </row>
        <row r="7">
          <cell r="C7">
            <v>80.150999999999996</v>
          </cell>
          <cell r="D7">
            <v>74.186000000000007</v>
          </cell>
          <cell r="E7">
            <v>54.323999999999998</v>
          </cell>
          <cell r="F7">
            <v>40.664000000000001</v>
          </cell>
          <cell r="G7">
            <v>32.908999999999999</v>
          </cell>
        </row>
        <row r="8">
          <cell r="C8">
            <v>82.989000000000004</v>
          </cell>
          <cell r="D8">
            <v>76.58</v>
          </cell>
          <cell r="E8">
            <v>54.41</v>
          </cell>
          <cell r="F8">
            <v>40.408999999999999</v>
          </cell>
          <cell r="G8">
            <v>33.057000000000002</v>
          </cell>
        </row>
        <row r="9">
          <cell r="C9">
            <v>82.015000000000015</v>
          </cell>
          <cell r="D9">
            <v>77.289000000000001</v>
          </cell>
          <cell r="E9">
            <v>54.706000000000003</v>
          </cell>
          <cell r="F9">
            <v>41.2</v>
          </cell>
          <cell r="G9">
            <v>32.838000000000001</v>
          </cell>
        </row>
        <row r="11">
          <cell r="C11" t="str">
            <v>Deltas (Tg/yr)</v>
          </cell>
        </row>
        <row r="13">
          <cell r="C13">
            <v>2.8380000000000081</v>
          </cell>
          <cell r="D13">
            <v>2.3939999999999912</v>
          </cell>
          <cell r="E13">
            <v>8.5999999999998522E-2</v>
          </cell>
          <cell r="F13">
            <v>-0.25500000000000256</v>
          </cell>
          <cell r="G13">
            <v>0.14800000000000324</v>
          </cell>
        </row>
        <row r="14">
          <cell r="C14">
            <v>-0.97399999999998954</v>
          </cell>
          <cell r="D14">
            <v>0.70900000000000318</v>
          </cell>
          <cell r="E14">
            <v>0.29600000000000648</v>
          </cell>
          <cell r="F14">
            <v>0.79100000000000392</v>
          </cell>
          <cell r="G14">
            <v>-0.21900000000000119</v>
          </cell>
        </row>
        <row r="15">
          <cell r="C15">
            <v>1.8640000000000185</v>
          </cell>
          <cell r="D15">
            <v>3.1029999999999944</v>
          </cell>
          <cell r="E15">
            <v>0.382000000000005</v>
          </cell>
          <cell r="F15">
            <v>0.53600000000000136</v>
          </cell>
          <cell r="G15">
            <v>-7.0999999999997954E-2</v>
          </cell>
        </row>
        <row r="17">
          <cell r="C17" t="str">
            <v>Cumulative Delta (Tg)</v>
          </cell>
          <cell r="J17" t="str">
            <v>Derived from C inventory as check:</v>
          </cell>
        </row>
        <row r="18">
          <cell r="C18">
            <v>28.380000000000081</v>
          </cell>
          <cell r="D18">
            <v>52.319999999999993</v>
          </cell>
          <cell r="E18">
            <v>53.179999999999978</v>
          </cell>
          <cell r="F18">
            <v>50.629999999999953</v>
          </cell>
          <cell r="G18">
            <v>52.109999999999985</v>
          </cell>
          <cell r="J18">
            <v>51.000000000001933</v>
          </cell>
        </row>
        <row r="19">
          <cell r="C19">
            <v>-9.7399999999998954</v>
          </cell>
          <cell r="D19">
            <v>-2.6499999999998636</v>
          </cell>
          <cell r="E19">
            <v>0.31000000000020123</v>
          </cell>
          <cell r="F19">
            <v>8.2200000000002404</v>
          </cell>
          <cell r="G19">
            <v>6.0300000000002285</v>
          </cell>
          <cell r="J19">
            <v>8.0000000000026716</v>
          </cell>
        </row>
        <row r="20">
          <cell r="C20">
            <v>18.640000000000185</v>
          </cell>
          <cell r="D20">
            <v>49.67000000000013</v>
          </cell>
          <cell r="E20">
            <v>53.49000000000018</v>
          </cell>
          <cell r="F20">
            <v>58.850000000000193</v>
          </cell>
          <cell r="G20">
            <v>58.140000000000214</v>
          </cell>
          <cell r="J20">
            <v>59.000000000004604</v>
          </cell>
        </row>
        <row r="23">
          <cell r="C23" t="str">
            <v>Short tons paper recycled per decade</v>
          </cell>
        </row>
        <row r="25">
          <cell r="B25">
            <v>1990</v>
          </cell>
          <cell r="C25">
            <v>2000</v>
          </cell>
          <cell r="D25">
            <v>2010</v>
          </cell>
          <cell r="E25">
            <v>2020</v>
          </cell>
          <cell r="F25">
            <v>2030</v>
          </cell>
          <cell r="G25">
            <v>2040</v>
          </cell>
        </row>
        <row r="26">
          <cell r="B26">
            <v>124899000</v>
          </cell>
          <cell r="C26">
            <v>411106000</v>
          </cell>
          <cell r="D26">
            <v>606564000</v>
          </cell>
          <cell r="E26">
            <v>750704000</v>
          </cell>
          <cell r="F26">
            <v>901699000</v>
          </cell>
          <cell r="G26">
            <v>1013425000</v>
          </cell>
        </row>
        <row r="27">
          <cell r="B27">
            <v>124537000</v>
          </cell>
          <cell r="C27">
            <v>431169000</v>
          </cell>
          <cell r="D27">
            <v>633077000</v>
          </cell>
          <cell r="E27">
            <v>785933000</v>
          </cell>
          <cell r="F27">
            <v>901699000</v>
          </cell>
          <cell r="G27">
            <v>1013425000</v>
          </cell>
        </row>
        <row r="28">
          <cell r="B28">
            <v>124402000</v>
          </cell>
          <cell r="C28">
            <v>433828000</v>
          </cell>
          <cell r="D28">
            <v>643373000</v>
          </cell>
          <cell r="E28">
            <v>777315000</v>
          </cell>
          <cell r="F28">
            <v>901699000</v>
          </cell>
          <cell r="G28">
            <v>1013425000</v>
          </cell>
        </row>
        <row r="30">
          <cell r="C30" t="str">
            <v>Deltas (tons/decade)</v>
          </cell>
        </row>
        <row r="32">
          <cell r="B32">
            <v>-362000</v>
          </cell>
          <cell r="C32">
            <v>20063000</v>
          </cell>
          <cell r="D32">
            <v>26513000</v>
          </cell>
          <cell r="E32">
            <v>35229000</v>
          </cell>
          <cell r="F32">
            <v>0</v>
          </cell>
          <cell r="G32">
            <v>0</v>
          </cell>
        </row>
        <row r="33">
          <cell r="B33">
            <v>-135000</v>
          </cell>
          <cell r="C33">
            <v>2659000</v>
          </cell>
          <cell r="D33">
            <v>10296000</v>
          </cell>
          <cell r="E33">
            <v>-8618000</v>
          </cell>
          <cell r="F33">
            <v>0</v>
          </cell>
          <cell r="G33">
            <v>0</v>
          </cell>
        </row>
        <row r="34">
          <cell r="B34">
            <v>-497000</v>
          </cell>
          <cell r="C34">
            <v>22722000</v>
          </cell>
          <cell r="D34">
            <v>36809000</v>
          </cell>
          <cell r="E34">
            <v>26611000</v>
          </cell>
          <cell r="F34">
            <v>0</v>
          </cell>
          <cell r="G34">
            <v>0</v>
          </cell>
        </row>
        <row r="36">
          <cell r="C36" t="str">
            <v>Cumulative Delta (short tons)</v>
          </cell>
        </row>
        <row r="37">
          <cell r="B37">
            <v>-362000</v>
          </cell>
          <cell r="C37">
            <v>19701000</v>
          </cell>
          <cell r="D37">
            <v>46214000</v>
          </cell>
          <cell r="E37">
            <v>81443000</v>
          </cell>
          <cell r="F37">
            <v>81443000</v>
          </cell>
          <cell r="G37">
            <v>81443000</v>
          </cell>
        </row>
        <row r="38">
          <cell r="B38">
            <v>-135000</v>
          </cell>
          <cell r="C38">
            <v>2524000</v>
          </cell>
          <cell r="D38">
            <v>12820000</v>
          </cell>
          <cell r="E38">
            <v>4202000</v>
          </cell>
          <cell r="F38">
            <v>4202000</v>
          </cell>
          <cell r="G38">
            <v>4202000</v>
          </cell>
        </row>
        <row r="39">
          <cell r="B39">
            <v>-497000</v>
          </cell>
          <cell r="C39">
            <v>22225000</v>
          </cell>
          <cell r="D39">
            <v>59034000</v>
          </cell>
          <cell r="E39">
            <v>85645000</v>
          </cell>
          <cell r="F39">
            <v>85645000</v>
          </cell>
          <cell r="G39">
            <v>85645000</v>
          </cell>
        </row>
        <row r="40">
          <cell r="C40" t="str">
            <v>Forest Carbon Only</v>
          </cell>
        </row>
        <row r="41">
          <cell r="C41" t="str">
            <v>(Cumulative delta MTCE)/(Cumulative delta tons paper)</v>
          </cell>
        </row>
        <row r="42">
          <cell r="B42">
            <v>1990</v>
          </cell>
          <cell r="C42">
            <v>2000</v>
          </cell>
          <cell r="D42">
            <v>2010</v>
          </cell>
          <cell r="E42">
            <v>2020</v>
          </cell>
          <cell r="F42">
            <v>2030</v>
          </cell>
          <cell r="G42">
            <v>2040</v>
          </cell>
        </row>
        <row r="43">
          <cell r="C43">
            <v>1.4405360134003391</v>
          </cell>
          <cell r="D43">
            <v>1.1321244644480026</v>
          </cell>
          <cell r="E43">
            <v>0.6529720172390503</v>
          </cell>
          <cell r="F43">
            <v>0.62166177572044201</v>
          </cell>
          <cell r="G43">
            <v>0.6398339943273208</v>
          </cell>
        </row>
        <row r="44">
          <cell r="C44">
            <v>-3.8589540412043961</v>
          </cell>
          <cell r="D44">
            <v>-0.20670826833072259</v>
          </cell>
          <cell r="E44">
            <v>7.3774393146168779E-2</v>
          </cell>
          <cell r="F44">
            <v>1.9562113279391338</v>
          </cell>
          <cell r="G44">
            <v>1.4350309376487931</v>
          </cell>
        </row>
        <row r="45">
          <cell r="C45">
            <v>0.83869516310462033</v>
          </cell>
          <cell r="D45">
            <v>0.8413795439916002</v>
          </cell>
          <cell r="E45">
            <v>0.62455484850254162</v>
          </cell>
          <cell r="F45">
            <v>0.68713877050616146</v>
          </cell>
          <cell r="G45">
            <v>0.6788487360616523</v>
          </cell>
        </row>
        <row r="49">
          <cell r="C49" t="str">
            <v>Annual Recovery Rates (thousand short tons)</v>
          </cell>
        </row>
        <row r="50">
          <cell r="Z50" t="str">
            <v>Note that between 2010-2015 ES1 recycles more than ES2!</v>
          </cell>
        </row>
        <row r="51">
          <cell r="B51">
            <v>1986</v>
          </cell>
          <cell r="C51">
            <v>1987</v>
          </cell>
          <cell r="D51">
            <v>1988</v>
          </cell>
          <cell r="E51">
            <v>1989</v>
          </cell>
          <cell r="F51">
            <v>1990</v>
          </cell>
          <cell r="G51">
            <v>1991</v>
          </cell>
          <cell r="H51">
            <v>1992</v>
          </cell>
          <cell r="I51">
            <v>1993</v>
          </cell>
          <cell r="J51">
            <v>1994</v>
          </cell>
          <cell r="K51">
            <v>1995</v>
          </cell>
          <cell r="L51">
            <v>1996</v>
          </cell>
          <cell r="M51">
            <v>1997</v>
          </cell>
          <cell r="N51">
            <v>1998</v>
          </cell>
          <cell r="O51">
            <v>1999</v>
          </cell>
          <cell r="P51">
            <v>2000</v>
          </cell>
          <cell r="Q51">
            <v>2001</v>
          </cell>
          <cell r="R51">
            <v>2002</v>
          </cell>
          <cell r="S51">
            <v>2003</v>
          </cell>
          <cell r="T51">
            <v>2004</v>
          </cell>
          <cell r="U51">
            <v>2005</v>
          </cell>
          <cell r="V51">
            <v>2006</v>
          </cell>
          <cell r="W51">
            <v>2007</v>
          </cell>
          <cell r="X51">
            <v>2008</v>
          </cell>
          <cell r="Y51">
            <v>2009</v>
          </cell>
          <cell r="Z51">
            <v>2010</v>
          </cell>
          <cell r="AA51">
            <v>2011</v>
          </cell>
          <cell r="AB51">
            <v>2012</v>
          </cell>
          <cell r="AC51">
            <v>2013</v>
          </cell>
          <cell r="AD51">
            <v>2014</v>
          </cell>
          <cell r="AE51">
            <v>2015</v>
          </cell>
          <cell r="AF51">
            <v>2016</v>
          </cell>
          <cell r="AG51">
            <v>2017</v>
          </cell>
          <cell r="AH51">
            <v>2018</v>
          </cell>
          <cell r="AI51">
            <v>2019</v>
          </cell>
          <cell r="AJ51">
            <v>2020</v>
          </cell>
          <cell r="AK51">
            <v>2021</v>
          </cell>
          <cell r="AL51">
            <v>2022</v>
          </cell>
          <cell r="AM51">
            <v>2023</v>
          </cell>
          <cell r="AN51">
            <v>2024</v>
          </cell>
          <cell r="AO51">
            <v>2025</v>
          </cell>
          <cell r="AP51">
            <v>2026</v>
          </cell>
          <cell r="AQ51">
            <v>2027</v>
          </cell>
          <cell r="AR51">
            <v>2028</v>
          </cell>
          <cell r="AS51">
            <v>2029</v>
          </cell>
          <cell r="AT51">
            <v>2030</v>
          </cell>
          <cell r="AU51">
            <v>2031</v>
          </cell>
          <cell r="AV51">
            <v>2032</v>
          </cell>
          <cell r="AW51">
            <v>2033</v>
          </cell>
          <cell r="AX51">
            <v>2034</v>
          </cell>
          <cell r="AY51">
            <v>2035</v>
          </cell>
          <cell r="AZ51">
            <v>2036</v>
          </cell>
          <cell r="BA51">
            <v>2037</v>
          </cell>
          <cell r="BB51">
            <v>2038</v>
          </cell>
          <cell r="BC51">
            <v>2039</v>
          </cell>
          <cell r="BD51">
            <v>2040</v>
          </cell>
        </row>
        <row r="52">
          <cell r="B52">
            <v>21485</v>
          </cell>
          <cell r="C52">
            <v>22866</v>
          </cell>
          <cell r="D52">
            <v>24647</v>
          </cell>
          <cell r="E52">
            <v>26279</v>
          </cell>
          <cell r="F52">
            <v>29622</v>
          </cell>
          <cell r="G52">
            <v>31810</v>
          </cell>
          <cell r="H52">
            <v>33015</v>
          </cell>
          <cell r="I52">
            <v>35439</v>
          </cell>
          <cell r="J52">
            <v>36314</v>
          </cell>
          <cell r="K52">
            <v>40744</v>
          </cell>
          <cell r="L52">
            <v>42349</v>
          </cell>
          <cell r="M52">
            <v>44422</v>
          </cell>
          <cell r="N52">
            <v>46440</v>
          </cell>
          <cell r="O52">
            <v>49182</v>
          </cell>
          <cell r="P52">
            <v>51391</v>
          </cell>
          <cell r="Q52">
            <v>53846</v>
          </cell>
          <cell r="R52">
            <v>54912</v>
          </cell>
          <cell r="S52">
            <v>57103</v>
          </cell>
          <cell r="T52">
            <v>58721</v>
          </cell>
          <cell r="U52">
            <v>60316</v>
          </cell>
          <cell r="V52">
            <v>61753</v>
          </cell>
          <cell r="W52">
            <v>62723</v>
          </cell>
          <cell r="X52">
            <v>64392</v>
          </cell>
          <cell r="Y52">
            <v>65405</v>
          </cell>
          <cell r="Z52">
            <v>67393</v>
          </cell>
          <cell r="AA52">
            <v>67739</v>
          </cell>
          <cell r="AB52">
            <v>70323</v>
          </cell>
          <cell r="AC52">
            <v>70313</v>
          </cell>
          <cell r="AD52">
            <v>72705</v>
          </cell>
          <cell r="AE52">
            <v>72993</v>
          </cell>
          <cell r="AF52">
            <v>76119</v>
          </cell>
          <cell r="AG52">
            <v>77252</v>
          </cell>
          <cell r="AH52">
            <v>80032</v>
          </cell>
          <cell r="AI52">
            <v>80130</v>
          </cell>
          <cell r="AJ52">
            <v>83098</v>
          </cell>
          <cell r="AK52">
            <v>83844</v>
          </cell>
          <cell r="AL52">
            <v>85661</v>
          </cell>
          <cell r="AM52">
            <v>86636</v>
          </cell>
          <cell r="AN52">
            <v>89124</v>
          </cell>
          <cell r="AO52">
            <v>90134</v>
          </cell>
          <cell r="AP52">
            <v>90954</v>
          </cell>
          <cell r="AQ52">
            <v>91854</v>
          </cell>
          <cell r="AR52">
            <v>92901</v>
          </cell>
          <cell r="AS52">
            <v>95235</v>
          </cell>
          <cell r="AT52">
            <v>95356</v>
          </cell>
          <cell r="AU52">
            <v>97807</v>
          </cell>
          <cell r="AV52">
            <v>97656</v>
          </cell>
          <cell r="AW52">
            <v>99787</v>
          </cell>
          <cell r="AX52">
            <v>100335</v>
          </cell>
          <cell r="AY52">
            <v>101890</v>
          </cell>
          <cell r="AZ52">
            <v>100990</v>
          </cell>
          <cell r="BA52">
            <v>102985</v>
          </cell>
          <cell r="BB52">
            <v>102724</v>
          </cell>
          <cell r="BC52">
            <v>104488</v>
          </cell>
          <cell r="BD52">
            <v>104763</v>
          </cell>
        </row>
        <row r="53">
          <cell r="A53" t="str">
            <v>EPA-1</v>
          </cell>
          <cell r="B53">
            <v>21463</v>
          </cell>
          <cell r="C53">
            <v>22959</v>
          </cell>
          <cell r="D53">
            <v>24362</v>
          </cell>
          <cell r="E53">
            <v>26481</v>
          </cell>
          <cell r="F53">
            <v>29272</v>
          </cell>
          <cell r="G53">
            <v>31585</v>
          </cell>
          <cell r="H53">
            <v>33410</v>
          </cell>
          <cell r="I53">
            <v>36471</v>
          </cell>
          <cell r="J53">
            <v>37627</v>
          </cell>
          <cell r="K53">
            <v>42161</v>
          </cell>
          <cell r="L53">
            <v>44622</v>
          </cell>
          <cell r="M53">
            <v>48008</v>
          </cell>
          <cell r="N53">
            <v>50135</v>
          </cell>
          <cell r="O53">
            <v>52496</v>
          </cell>
          <cell r="P53">
            <v>54654</v>
          </cell>
          <cell r="Q53">
            <v>55664</v>
          </cell>
          <cell r="R53">
            <v>58271</v>
          </cell>
          <cell r="S53">
            <v>59121</v>
          </cell>
          <cell r="T53">
            <v>60332</v>
          </cell>
          <cell r="U53">
            <v>62258</v>
          </cell>
          <cell r="V53">
            <v>63748</v>
          </cell>
          <cell r="W53">
            <v>65368</v>
          </cell>
          <cell r="X53">
            <v>67646</v>
          </cell>
          <cell r="Y53">
            <v>69111</v>
          </cell>
          <cell r="Z53">
            <v>71558</v>
          </cell>
          <cell r="AA53">
            <v>73887</v>
          </cell>
          <cell r="AB53">
            <v>75548</v>
          </cell>
          <cell r="AC53">
            <v>77923</v>
          </cell>
          <cell r="AD53">
            <v>80002</v>
          </cell>
          <cell r="AE53">
            <v>81942</v>
          </cell>
          <cell r="AF53">
            <v>76119</v>
          </cell>
          <cell r="AG53">
            <v>77252</v>
          </cell>
          <cell r="AH53">
            <v>80032</v>
          </cell>
          <cell r="AI53">
            <v>80130</v>
          </cell>
          <cell r="AJ53">
            <v>83098</v>
          </cell>
          <cell r="AK53">
            <v>83844</v>
          </cell>
          <cell r="AL53">
            <v>85661</v>
          </cell>
          <cell r="AM53">
            <v>86636</v>
          </cell>
          <cell r="AN53">
            <v>89124</v>
          </cell>
          <cell r="AO53">
            <v>90134</v>
          </cell>
          <cell r="AP53">
            <v>90954</v>
          </cell>
          <cell r="AQ53">
            <v>91854</v>
          </cell>
          <cell r="AR53">
            <v>92901</v>
          </cell>
          <cell r="AS53">
            <v>95235</v>
          </cell>
          <cell r="AT53">
            <v>95356</v>
          </cell>
          <cell r="AU53">
            <v>97807</v>
          </cell>
          <cell r="AV53">
            <v>97656</v>
          </cell>
          <cell r="AW53">
            <v>99787</v>
          </cell>
          <cell r="AX53">
            <v>100335</v>
          </cell>
          <cell r="AY53">
            <v>101890</v>
          </cell>
          <cell r="AZ53">
            <v>100990</v>
          </cell>
          <cell r="BA53">
            <v>102985</v>
          </cell>
          <cell r="BB53">
            <v>102724</v>
          </cell>
          <cell r="BC53">
            <v>104488</v>
          </cell>
          <cell r="BD53">
            <v>104763</v>
          </cell>
        </row>
        <row r="54">
          <cell r="A54" t="str">
            <v>EPA-2</v>
          </cell>
          <cell r="B54">
            <v>21463</v>
          </cell>
          <cell r="C54">
            <v>22917</v>
          </cell>
          <cell r="D54">
            <v>24307</v>
          </cell>
          <cell r="E54">
            <v>26455</v>
          </cell>
          <cell r="F54">
            <v>29260</v>
          </cell>
          <cell r="G54">
            <v>31545</v>
          </cell>
          <cell r="H54">
            <v>33404</v>
          </cell>
          <cell r="I54">
            <v>36417</v>
          </cell>
          <cell r="J54">
            <v>37466</v>
          </cell>
          <cell r="K54">
            <v>42294</v>
          </cell>
          <cell r="L54">
            <v>44716</v>
          </cell>
          <cell r="M54">
            <v>47922</v>
          </cell>
          <cell r="N54">
            <v>50606</v>
          </cell>
          <cell r="O54">
            <v>53445</v>
          </cell>
          <cell r="P54">
            <v>56013</v>
          </cell>
          <cell r="Q54">
            <v>57723</v>
          </cell>
          <cell r="R54">
            <v>59348</v>
          </cell>
          <cell r="S54">
            <v>60939</v>
          </cell>
          <cell r="T54">
            <v>62213</v>
          </cell>
          <cell r="U54">
            <v>63017</v>
          </cell>
          <cell r="V54">
            <v>65120</v>
          </cell>
          <cell r="W54">
            <v>66394</v>
          </cell>
          <cell r="X54">
            <v>67900</v>
          </cell>
          <cell r="Y54">
            <v>69354</v>
          </cell>
          <cell r="Z54">
            <v>71365</v>
          </cell>
          <cell r="AA54">
            <v>72931</v>
          </cell>
          <cell r="AB54">
            <v>74505</v>
          </cell>
          <cell r="AC54">
            <v>75984</v>
          </cell>
          <cell r="AD54">
            <v>77693</v>
          </cell>
          <cell r="AE54">
            <v>79571</v>
          </cell>
          <cell r="AF54">
            <v>76119</v>
          </cell>
          <cell r="AG54">
            <v>77252</v>
          </cell>
          <cell r="AH54">
            <v>80032</v>
          </cell>
          <cell r="AI54">
            <v>80130</v>
          </cell>
          <cell r="AJ54">
            <v>83098</v>
          </cell>
          <cell r="AK54">
            <v>83844</v>
          </cell>
          <cell r="AL54">
            <v>85661</v>
          </cell>
          <cell r="AM54">
            <v>86636</v>
          </cell>
          <cell r="AN54">
            <v>89124</v>
          </cell>
          <cell r="AO54">
            <v>90134</v>
          </cell>
          <cell r="AP54">
            <v>90954</v>
          </cell>
          <cell r="AQ54">
            <v>91854</v>
          </cell>
          <cell r="AR54">
            <v>92901</v>
          </cell>
          <cell r="AS54">
            <v>95235</v>
          </cell>
          <cell r="AT54">
            <v>95356</v>
          </cell>
          <cell r="AU54">
            <v>97807</v>
          </cell>
          <cell r="AV54">
            <v>97656</v>
          </cell>
          <cell r="AW54">
            <v>99787</v>
          </cell>
          <cell r="AX54">
            <v>100335</v>
          </cell>
          <cell r="AY54">
            <v>101890</v>
          </cell>
          <cell r="AZ54">
            <v>100990</v>
          </cell>
          <cell r="BA54">
            <v>102985</v>
          </cell>
          <cell r="BB54">
            <v>102724</v>
          </cell>
          <cell r="BC54">
            <v>104488</v>
          </cell>
          <cell r="BD54">
            <v>104763</v>
          </cell>
        </row>
        <row r="55">
          <cell r="C55" t="str">
            <v>Delta (thousand short tons)</v>
          </cell>
        </row>
        <row r="56">
          <cell r="A56" t="str">
            <v>EPA-1--baseline</v>
          </cell>
          <cell r="B56">
            <v>-22</v>
          </cell>
          <cell r="C56">
            <v>93</v>
          </cell>
          <cell r="D56">
            <v>-285</v>
          </cell>
          <cell r="E56">
            <v>202</v>
          </cell>
          <cell r="F56">
            <v>-350</v>
          </cell>
          <cell r="G56">
            <v>-225</v>
          </cell>
          <cell r="H56">
            <v>395</v>
          </cell>
          <cell r="I56">
            <v>1032</v>
          </cell>
          <cell r="J56">
            <v>1313</v>
          </cell>
          <cell r="K56">
            <v>1417</v>
          </cell>
          <cell r="L56">
            <v>2273</v>
          </cell>
          <cell r="M56">
            <v>3586</v>
          </cell>
          <cell r="N56">
            <v>3695</v>
          </cell>
          <cell r="O56">
            <v>3314</v>
          </cell>
          <cell r="P56">
            <v>3263</v>
          </cell>
          <cell r="Q56">
            <v>1818</v>
          </cell>
          <cell r="R56">
            <v>3359</v>
          </cell>
          <cell r="S56">
            <v>2018</v>
          </cell>
          <cell r="T56">
            <v>1611</v>
          </cell>
          <cell r="U56">
            <v>1942</v>
          </cell>
          <cell r="V56">
            <v>1995</v>
          </cell>
          <cell r="W56">
            <v>2645</v>
          </cell>
          <cell r="X56">
            <v>3254</v>
          </cell>
          <cell r="Y56">
            <v>3706</v>
          </cell>
          <cell r="Z56">
            <v>4165</v>
          </cell>
          <cell r="AA56">
            <v>6148</v>
          </cell>
          <cell r="AB56">
            <v>5225</v>
          </cell>
          <cell r="AC56">
            <v>7610</v>
          </cell>
          <cell r="AD56">
            <v>7297</v>
          </cell>
          <cell r="AE56">
            <v>8949</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row>
        <row r="57">
          <cell r="A57" t="str">
            <v>EPA-2--EPA-1</v>
          </cell>
          <cell r="B57">
            <v>0</v>
          </cell>
          <cell r="C57">
            <v>-42</v>
          </cell>
          <cell r="D57">
            <v>-55</v>
          </cell>
          <cell r="E57">
            <v>-26</v>
          </cell>
          <cell r="F57">
            <v>-12</v>
          </cell>
          <cell r="G57">
            <v>-40</v>
          </cell>
          <cell r="H57">
            <v>-6</v>
          </cell>
          <cell r="I57">
            <v>-54</v>
          </cell>
          <cell r="J57">
            <v>-161</v>
          </cell>
          <cell r="K57">
            <v>133</v>
          </cell>
          <cell r="L57">
            <v>94</v>
          </cell>
          <cell r="M57">
            <v>-86</v>
          </cell>
          <cell r="N57">
            <v>471</v>
          </cell>
          <cell r="O57">
            <v>949</v>
          </cell>
          <cell r="P57">
            <v>1359</v>
          </cell>
          <cell r="Q57">
            <v>2059</v>
          </cell>
          <cell r="R57">
            <v>1077</v>
          </cell>
          <cell r="S57">
            <v>1818</v>
          </cell>
          <cell r="T57">
            <v>1881</v>
          </cell>
          <cell r="U57">
            <v>759</v>
          </cell>
          <cell r="V57">
            <v>1372</v>
          </cell>
          <cell r="W57">
            <v>1026</v>
          </cell>
          <cell r="X57">
            <v>254</v>
          </cell>
          <cell r="Y57">
            <v>243</v>
          </cell>
          <cell r="Z57">
            <v>-193</v>
          </cell>
          <cell r="AA57">
            <v>-956</v>
          </cell>
          <cell r="AB57">
            <v>-1043</v>
          </cell>
          <cell r="AC57">
            <v>-1939</v>
          </cell>
          <cell r="AD57">
            <v>-2309</v>
          </cell>
          <cell r="AE57">
            <v>-2371</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row>
        <row r="58">
          <cell r="A58" t="str">
            <v>EPA-2--baseline</v>
          </cell>
          <cell r="B58">
            <v>-22</v>
          </cell>
          <cell r="C58">
            <v>51</v>
          </cell>
          <cell r="D58">
            <v>-340</v>
          </cell>
          <cell r="E58">
            <v>176</v>
          </cell>
          <cell r="F58">
            <v>-362</v>
          </cell>
          <cell r="G58">
            <v>-265</v>
          </cell>
          <cell r="H58">
            <v>389</v>
          </cell>
          <cell r="I58">
            <v>978</v>
          </cell>
          <cell r="J58">
            <v>1152</v>
          </cell>
          <cell r="K58">
            <v>1550</v>
          </cell>
          <cell r="L58">
            <v>2367</v>
          </cell>
          <cell r="M58">
            <v>3500</v>
          </cell>
          <cell r="N58">
            <v>4166</v>
          </cell>
          <cell r="O58">
            <v>4263</v>
          </cell>
          <cell r="P58">
            <v>4622</v>
          </cell>
          <cell r="Q58">
            <v>3877</v>
          </cell>
          <cell r="R58">
            <v>4436</v>
          </cell>
          <cell r="S58">
            <v>3836</v>
          </cell>
          <cell r="T58">
            <v>3492</v>
          </cell>
          <cell r="U58">
            <v>2701</v>
          </cell>
          <cell r="V58">
            <v>3367</v>
          </cell>
          <cell r="W58">
            <v>3671</v>
          </cell>
          <cell r="X58">
            <v>3508</v>
          </cell>
          <cell r="Y58">
            <v>3949</v>
          </cell>
          <cell r="Z58">
            <v>3972</v>
          </cell>
          <cell r="AA58">
            <v>5192</v>
          </cell>
          <cell r="AB58">
            <v>4182</v>
          </cell>
          <cell r="AC58">
            <v>5671</v>
          </cell>
          <cell r="AD58">
            <v>4988</v>
          </cell>
          <cell r="AE58">
            <v>6578</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row>
        <row r="60">
          <cell r="C60" t="str">
            <v>Cumulative Recovery (short tons)</v>
          </cell>
        </row>
        <row r="61">
          <cell r="A61" t="str">
            <v>Baseline</v>
          </cell>
          <cell r="B61">
            <v>21485000</v>
          </cell>
          <cell r="C61">
            <v>44351000</v>
          </cell>
          <cell r="D61">
            <v>68998000</v>
          </cell>
          <cell r="E61">
            <v>95277000</v>
          </cell>
          <cell r="F61">
            <v>124899000</v>
          </cell>
          <cell r="G61">
            <v>156709000</v>
          </cell>
          <cell r="H61">
            <v>189724000</v>
          </cell>
          <cell r="I61">
            <v>225163000</v>
          </cell>
          <cell r="J61">
            <v>261477000</v>
          </cell>
          <cell r="K61">
            <v>302221000</v>
          </cell>
          <cell r="L61">
            <v>344570000</v>
          </cell>
          <cell r="M61">
            <v>388992000</v>
          </cell>
          <cell r="N61">
            <v>435432000</v>
          </cell>
          <cell r="O61">
            <v>484614000</v>
          </cell>
          <cell r="P61">
            <v>536005000</v>
          </cell>
          <cell r="Q61">
            <v>589851000</v>
          </cell>
          <cell r="R61">
            <v>644763000</v>
          </cell>
          <cell r="S61">
            <v>701866000</v>
          </cell>
          <cell r="T61">
            <v>760587000</v>
          </cell>
          <cell r="U61">
            <v>820903000</v>
          </cell>
          <cell r="V61">
            <v>882656000</v>
          </cell>
          <cell r="W61">
            <v>945379000</v>
          </cell>
          <cell r="X61">
            <v>1009771000</v>
          </cell>
          <cell r="Y61">
            <v>1075176000</v>
          </cell>
          <cell r="Z61">
            <v>1142569000</v>
          </cell>
          <cell r="AA61">
            <v>1210308000</v>
          </cell>
          <cell r="AB61">
            <v>1280631000</v>
          </cell>
          <cell r="AC61">
            <v>1350944000</v>
          </cell>
          <cell r="AD61">
            <v>1423649000</v>
          </cell>
          <cell r="AE61">
            <v>1496642000</v>
          </cell>
          <cell r="AF61">
            <v>1572761000</v>
          </cell>
          <cell r="AG61">
            <v>1650013000</v>
          </cell>
          <cell r="AH61">
            <v>1730045000</v>
          </cell>
          <cell r="AI61">
            <v>1810175000</v>
          </cell>
          <cell r="AJ61">
            <v>1893273000</v>
          </cell>
          <cell r="AK61">
            <v>1977117000</v>
          </cell>
          <cell r="AL61">
            <v>2062778000</v>
          </cell>
          <cell r="AM61">
            <v>2149414000</v>
          </cell>
          <cell r="AN61">
            <v>2238538000</v>
          </cell>
          <cell r="AO61">
            <v>2328672000</v>
          </cell>
          <cell r="AP61">
            <v>2419626000</v>
          </cell>
          <cell r="AQ61">
            <v>2511480000</v>
          </cell>
          <cell r="AR61">
            <v>2604381000</v>
          </cell>
          <cell r="AS61">
            <v>2699616000</v>
          </cell>
          <cell r="AT61">
            <v>2794972000</v>
          </cell>
          <cell r="AU61">
            <v>2892779000</v>
          </cell>
          <cell r="AV61">
            <v>2990435000</v>
          </cell>
          <cell r="AW61">
            <v>3090222000</v>
          </cell>
          <cell r="AX61">
            <v>3190557000</v>
          </cell>
          <cell r="AY61">
            <v>3292447000</v>
          </cell>
          <cell r="AZ61">
            <v>3393437000</v>
          </cell>
          <cell r="BA61">
            <v>3496422000</v>
          </cell>
          <cell r="BB61">
            <v>3599146000</v>
          </cell>
          <cell r="BC61">
            <v>3703634000</v>
          </cell>
          <cell r="BD61">
            <v>3808397000</v>
          </cell>
        </row>
        <row r="62">
          <cell r="A62" t="str">
            <v>EPA-1</v>
          </cell>
          <cell r="B62">
            <v>21463000</v>
          </cell>
          <cell r="C62">
            <v>44422000</v>
          </cell>
          <cell r="D62">
            <v>68784000</v>
          </cell>
          <cell r="E62">
            <v>95265000</v>
          </cell>
          <cell r="F62">
            <v>124537000</v>
          </cell>
          <cell r="G62">
            <v>156122000</v>
          </cell>
          <cell r="H62">
            <v>189532000</v>
          </cell>
          <cell r="I62">
            <v>226003000</v>
          </cell>
          <cell r="J62">
            <v>263630000</v>
          </cell>
          <cell r="K62">
            <v>305791000</v>
          </cell>
          <cell r="L62">
            <v>350413000</v>
          </cell>
          <cell r="M62">
            <v>398421000</v>
          </cell>
          <cell r="N62">
            <v>448556000</v>
          </cell>
          <cell r="O62">
            <v>501052000</v>
          </cell>
          <cell r="P62">
            <v>555706000</v>
          </cell>
          <cell r="Q62">
            <v>611370000</v>
          </cell>
          <cell r="R62">
            <v>669641000</v>
          </cell>
          <cell r="S62">
            <v>728762000</v>
          </cell>
          <cell r="T62">
            <v>789094000</v>
          </cell>
          <cell r="U62">
            <v>851352000</v>
          </cell>
          <cell r="V62">
            <v>915100000</v>
          </cell>
          <cell r="W62">
            <v>980468000</v>
          </cell>
          <cell r="X62">
            <v>1048114000</v>
          </cell>
          <cell r="Y62">
            <v>1117225000</v>
          </cell>
          <cell r="Z62">
            <v>1188783000</v>
          </cell>
          <cell r="AA62">
            <v>1262670000</v>
          </cell>
          <cell r="AB62">
            <v>1338218000</v>
          </cell>
          <cell r="AC62">
            <v>1416141000</v>
          </cell>
          <cell r="AD62">
            <v>1496143000</v>
          </cell>
          <cell r="AE62">
            <v>1578085000</v>
          </cell>
          <cell r="AF62">
            <v>1654204000</v>
          </cell>
          <cell r="AG62">
            <v>1731456000</v>
          </cell>
          <cell r="AH62">
            <v>1811488000</v>
          </cell>
          <cell r="AI62">
            <v>1891618000</v>
          </cell>
          <cell r="AJ62">
            <v>1974716000</v>
          </cell>
          <cell r="AK62">
            <v>2058560000</v>
          </cell>
          <cell r="AL62">
            <v>2144221000</v>
          </cell>
          <cell r="AM62">
            <v>2230857000</v>
          </cell>
          <cell r="AN62">
            <v>2319981000</v>
          </cell>
          <cell r="AO62">
            <v>2410115000</v>
          </cell>
          <cell r="AP62">
            <v>2501069000</v>
          </cell>
          <cell r="AQ62">
            <v>2592923000</v>
          </cell>
          <cell r="AR62">
            <v>2685824000</v>
          </cell>
          <cell r="AS62">
            <v>2781059000</v>
          </cell>
          <cell r="AT62">
            <v>2876415000</v>
          </cell>
          <cell r="AU62">
            <v>2974222000</v>
          </cell>
          <cell r="AV62">
            <v>3071878000</v>
          </cell>
          <cell r="AW62">
            <v>3171665000</v>
          </cell>
          <cell r="AX62">
            <v>3272000000</v>
          </cell>
          <cell r="AY62">
            <v>3373890000</v>
          </cell>
          <cell r="AZ62">
            <v>3474880000</v>
          </cell>
          <cell r="BA62">
            <v>3577865000</v>
          </cell>
          <cell r="BB62">
            <v>3680589000</v>
          </cell>
          <cell r="BC62">
            <v>3785077000</v>
          </cell>
          <cell r="BD62">
            <v>3889840000</v>
          </cell>
        </row>
        <row r="63">
          <cell r="A63" t="str">
            <v>EPA-2</v>
          </cell>
          <cell r="B63">
            <v>21463000</v>
          </cell>
          <cell r="C63">
            <v>44380000</v>
          </cell>
          <cell r="D63">
            <v>68687000</v>
          </cell>
          <cell r="E63">
            <v>95142000</v>
          </cell>
          <cell r="F63">
            <v>124402000</v>
          </cell>
          <cell r="G63">
            <v>155947000</v>
          </cell>
          <cell r="H63">
            <v>189351000</v>
          </cell>
          <cell r="I63">
            <v>225768000</v>
          </cell>
          <cell r="J63">
            <v>263234000</v>
          </cell>
          <cell r="K63">
            <v>305528000</v>
          </cell>
          <cell r="L63">
            <v>350244000</v>
          </cell>
          <cell r="M63">
            <v>398166000</v>
          </cell>
          <cell r="N63">
            <v>448772000</v>
          </cell>
          <cell r="O63">
            <v>502217000</v>
          </cell>
          <cell r="P63">
            <v>558230000</v>
          </cell>
          <cell r="Q63">
            <v>615953000</v>
          </cell>
          <cell r="R63">
            <v>675301000</v>
          </cell>
          <cell r="S63">
            <v>736240000</v>
          </cell>
          <cell r="T63">
            <v>798453000</v>
          </cell>
          <cell r="U63">
            <v>861470000</v>
          </cell>
          <cell r="V63">
            <v>926590000</v>
          </cell>
          <cell r="W63">
            <v>992984000</v>
          </cell>
          <cell r="X63">
            <v>1060884000</v>
          </cell>
          <cell r="Y63">
            <v>1130238000</v>
          </cell>
          <cell r="Z63">
            <v>1201603000</v>
          </cell>
          <cell r="AA63">
            <v>1274534000</v>
          </cell>
          <cell r="AB63">
            <v>1349039000</v>
          </cell>
          <cell r="AC63">
            <v>1425023000</v>
          </cell>
          <cell r="AD63">
            <v>1502716000</v>
          </cell>
          <cell r="AE63">
            <v>1582287000</v>
          </cell>
          <cell r="AF63">
            <v>1658406000</v>
          </cell>
          <cell r="AG63">
            <v>1735658000</v>
          </cell>
          <cell r="AH63">
            <v>1815690000</v>
          </cell>
          <cell r="AI63">
            <v>1895820000</v>
          </cell>
          <cell r="AJ63">
            <v>1978918000</v>
          </cell>
          <cell r="AK63">
            <v>2062762000</v>
          </cell>
          <cell r="AL63">
            <v>2148423000</v>
          </cell>
          <cell r="AM63">
            <v>2235059000</v>
          </cell>
          <cell r="AN63">
            <v>2324183000</v>
          </cell>
          <cell r="AO63">
            <v>2414317000</v>
          </cell>
          <cell r="AP63">
            <v>2505271000</v>
          </cell>
          <cell r="AQ63">
            <v>2597125000</v>
          </cell>
          <cell r="AR63">
            <v>2690026000</v>
          </cell>
          <cell r="AS63">
            <v>2785261000</v>
          </cell>
          <cell r="AT63">
            <v>2880617000</v>
          </cell>
          <cell r="AU63">
            <v>2978424000</v>
          </cell>
          <cell r="AV63">
            <v>3076080000</v>
          </cell>
          <cell r="AW63">
            <v>3175867000</v>
          </cell>
          <cell r="AX63">
            <v>3276202000</v>
          </cell>
          <cell r="AY63">
            <v>3378092000</v>
          </cell>
          <cell r="AZ63">
            <v>3479082000</v>
          </cell>
          <cell r="BA63">
            <v>3582067000</v>
          </cell>
          <cell r="BB63">
            <v>3684791000</v>
          </cell>
          <cell r="BC63">
            <v>3789279000</v>
          </cell>
          <cell r="BD63">
            <v>3894042000</v>
          </cell>
        </row>
        <row r="64">
          <cell r="C64" t="str">
            <v>Cumulative delta (short tons)</v>
          </cell>
        </row>
        <row r="65">
          <cell r="A65" t="str">
            <v>EPA-1--baseline</v>
          </cell>
          <cell r="B65">
            <v>-22000</v>
          </cell>
          <cell r="C65">
            <v>71000</v>
          </cell>
          <cell r="D65">
            <v>-214000</v>
          </cell>
          <cell r="E65">
            <v>-12000</v>
          </cell>
          <cell r="F65">
            <v>-362000</v>
          </cell>
          <cell r="G65">
            <v>-587000</v>
          </cell>
          <cell r="H65">
            <v>-192000</v>
          </cell>
          <cell r="I65">
            <v>840000</v>
          </cell>
          <cell r="J65">
            <v>2153000</v>
          </cell>
          <cell r="K65">
            <v>3570000</v>
          </cell>
          <cell r="L65">
            <v>5843000</v>
          </cell>
          <cell r="M65">
            <v>9429000</v>
          </cell>
          <cell r="N65">
            <v>13124000</v>
          </cell>
          <cell r="O65">
            <v>16438000</v>
          </cell>
          <cell r="P65">
            <v>19701000</v>
          </cell>
          <cell r="Q65">
            <v>21519000</v>
          </cell>
          <cell r="R65">
            <v>24878000</v>
          </cell>
          <cell r="S65">
            <v>26896000</v>
          </cell>
          <cell r="T65">
            <v>28507000</v>
          </cell>
          <cell r="U65">
            <v>30449000</v>
          </cell>
          <cell r="V65">
            <v>32444000</v>
          </cell>
          <cell r="W65">
            <v>35089000</v>
          </cell>
          <cell r="X65">
            <v>38343000</v>
          </cell>
          <cell r="Y65">
            <v>42049000</v>
          </cell>
          <cell r="Z65">
            <v>46214000</v>
          </cell>
          <cell r="AA65">
            <v>52362000</v>
          </cell>
          <cell r="AB65">
            <v>57587000</v>
          </cell>
          <cell r="AC65">
            <v>65197000</v>
          </cell>
          <cell r="AD65">
            <v>72494000</v>
          </cell>
          <cell r="AE65">
            <v>81443000</v>
          </cell>
          <cell r="AF65">
            <v>81443000</v>
          </cell>
          <cell r="AG65">
            <v>81443000</v>
          </cell>
          <cell r="AH65">
            <v>81443000</v>
          </cell>
          <cell r="AI65">
            <v>81443000</v>
          </cell>
          <cell r="AJ65">
            <v>81443000</v>
          </cell>
          <cell r="AK65">
            <v>81443000</v>
          </cell>
          <cell r="AL65">
            <v>81443000</v>
          </cell>
          <cell r="AM65">
            <v>81443000</v>
          </cell>
          <cell r="AN65">
            <v>81443000</v>
          </cell>
          <cell r="AO65">
            <v>81443000</v>
          </cell>
          <cell r="AP65">
            <v>81443000</v>
          </cell>
          <cell r="AQ65">
            <v>81443000</v>
          </cell>
          <cell r="AR65">
            <v>81443000</v>
          </cell>
          <cell r="AS65">
            <v>81443000</v>
          </cell>
          <cell r="AT65">
            <v>81443000</v>
          </cell>
          <cell r="AU65">
            <v>81443000</v>
          </cell>
          <cell r="AV65">
            <v>81443000</v>
          </cell>
          <cell r="AW65">
            <v>81443000</v>
          </cell>
          <cell r="AX65">
            <v>81443000</v>
          </cell>
          <cell r="AY65">
            <v>81443000</v>
          </cell>
          <cell r="AZ65">
            <v>81443000</v>
          </cell>
          <cell r="BA65">
            <v>81443000</v>
          </cell>
          <cell r="BB65">
            <v>81443000</v>
          </cell>
          <cell r="BC65">
            <v>81443000</v>
          </cell>
          <cell r="BD65">
            <v>81443000</v>
          </cell>
        </row>
        <row r="66">
          <cell r="A66" t="str">
            <v>EPA-2--EPA-1</v>
          </cell>
          <cell r="B66">
            <v>0</v>
          </cell>
          <cell r="C66">
            <v>-42000</v>
          </cell>
          <cell r="D66">
            <v>-97000</v>
          </cell>
          <cell r="E66">
            <v>-123000</v>
          </cell>
          <cell r="F66">
            <v>-135000</v>
          </cell>
          <cell r="G66">
            <v>-175000</v>
          </cell>
          <cell r="H66">
            <v>-181000</v>
          </cell>
          <cell r="I66">
            <v>-235000</v>
          </cell>
          <cell r="J66">
            <v>-396000</v>
          </cell>
          <cell r="K66">
            <v>-263000</v>
          </cell>
          <cell r="L66">
            <v>-169000</v>
          </cell>
          <cell r="M66">
            <v>-255000</v>
          </cell>
          <cell r="N66">
            <v>216000</v>
          </cell>
          <cell r="O66">
            <v>1165000</v>
          </cell>
          <cell r="P66">
            <v>2524000</v>
          </cell>
          <cell r="Q66">
            <v>4583000</v>
          </cell>
          <cell r="R66">
            <v>5660000</v>
          </cell>
          <cell r="S66">
            <v>7478000</v>
          </cell>
          <cell r="T66">
            <v>9359000</v>
          </cell>
          <cell r="U66">
            <v>10118000</v>
          </cell>
          <cell r="V66">
            <v>11490000</v>
          </cell>
          <cell r="W66">
            <v>12516000</v>
          </cell>
          <cell r="X66">
            <v>12770000</v>
          </cell>
          <cell r="Y66">
            <v>13013000</v>
          </cell>
          <cell r="Z66">
            <v>12820000</v>
          </cell>
          <cell r="AA66">
            <v>11864000</v>
          </cell>
          <cell r="AB66">
            <v>10821000</v>
          </cell>
          <cell r="AC66">
            <v>8882000</v>
          </cell>
          <cell r="AD66">
            <v>6573000</v>
          </cell>
          <cell r="AE66">
            <v>4202000</v>
          </cell>
          <cell r="AF66">
            <v>4202000</v>
          </cell>
          <cell r="AG66">
            <v>4202000</v>
          </cell>
          <cell r="AH66">
            <v>4202000</v>
          </cell>
          <cell r="AI66">
            <v>4202000</v>
          </cell>
          <cell r="AJ66">
            <v>4202000</v>
          </cell>
          <cell r="AK66">
            <v>4202000</v>
          </cell>
          <cell r="AL66">
            <v>4202000</v>
          </cell>
          <cell r="AM66">
            <v>4202000</v>
          </cell>
          <cell r="AN66">
            <v>4202000</v>
          </cell>
          <cell r="AO66">
            <v>4202000</v>
          </cell>
          <cell r="AP66">
            <v>4202000</v>
          </cell>
          <cell r="AQ66">
            <v>4202000</v>
          </cell>
          <cell r="AR66">
            <v>4202000</v>
          </cell>
          <cell r="AS66">
            <v>4202000</v>
          </cell>
          <cell r="AT66">
            <v>4202000</v>
          </cell>
          <cell r="AU66">
            <v>4202000</v>
          </cell>
          <cell r="AV66">
            <v>4202000</v>
          </cell>
          <cell r="AW66">
            <v>4202000</v>
          </cell>
          <cell r="AX66">
            <v>4202000</v>
          </cell>
          <cell r="AY66">
            <v>4202000</v>
          </cell>
          <cell r="AZ66">
            <v>4202000</v>
          </cell>
          <cell r="BA66">
            <v>4202000</v>
          </cell>
          <cell r="BB66">
            <v>4202000</v>
          </cell>
          <cell r="BC66">
            <v>4202000</v>
          </cell>
          <cell r="BD66">
            <v>4202000</v>
          </cell>
        </row>
        <row r="67">
          <cell r="A67" t="str">
            <v>EPA-2--baseline</v>
          </cell>
          <cell r="B67">
            <v>-22000</v>
          </cell>
          <cell r="C67">
            <v>29000</v>
          </cell>
          <cell r="D67">
            <v>-311000</v>
          </cell>
          <cell r="E67">
            <v>-135000</v>
          </cell>
          <cell r="F67">
            <v>-497000</v>
          </cell>
          <cell r="G67">
            <v>-762000</v>
          </cell>
          <cell r="H67">
            <v>-373000</v>
          </cell>
          <cell r="I67">
            <v>605000</v>
          </cell>
          <cell r="J67">
            <v>1757000</v>
          </cell>
          <cell r="K67">
            <v>3307000</v>
          </cell>
          <cell r="L67">
            <v>5674000</v>
          </cell>
          <cell r="M67">
            <v>9174000</v>
          </cell>
          <cell r="N67">
            <v>13340000</v>
          </cell>
          <cell r="O67">
            <v>17603000</v>
          </cell>
          <cell r="P67">
            <v>22225000</v>
          </cell>
          <cell r="Q67">
            <v>26102000</v>
          </cell>
          <cell r="R67">
            <v>30538000</v>
          </cell>
          <cell r="S67">
            <v>34374000</v>
          </cell>
          <cell r="T67">
            <v>37866000</v>
          </cell>
          <cell r="U67">
            <v>40567000</v>
          </cell>
          <cell r="V67">
            <v>43934000</v>
          </cell>
          <cell r="W67">
            <v>47605000</v>
          </cell>
          <cell r="X67">
            <v>51113000</v>
          </cell>
          <cell r="Y67">
            <v>55062000</v>
          </cell>
          <cell r="Z67">
            <v>59034000</v>
          </cell>
          <cell r="AA67">
            <v>64226000</v>
          </cell>
          <cell r="AB67">
            <v>68408000</v>
          </cell>
          <cell r="AC67">
            <v>74079000</v>
          </cell>
          <cell r="AD67">
            <v>79067000</v>
          </cell>
          <cell r="AE67">
            <v>85645000</v>
          </cell>
          <cell r="AF67">
            <v>85645000</v>
          </cell>
          <cell r="AG67">
            <v>85645000</v>
          </cell>
          <cell r="AH67">
            <v>85645000</v>
          </cell>
          <cell r="AI67">
            <v>85645000</v>
          </cell>
          <cell r="AJ67">
            <v>85645000</v>
          </cell>
          <cell r="AK67">
            <v>85645000</v>
          </cell>
          <cell r="AL67">
            <v>85645000</v>
          </cell>
          <cell r="AM67">
            <v>85645000</v>
          </cell>
          <cell r="AN67">
            <v>85645000</v>
          </cell>
          <cell r="AO67">
            <v>85645000</v>
          </cell>
          <cell r="AP67">
            <v>85645000</v>
          </cell>
          <cell r="AQ67">
            <v>85645000</v>
          </cell>
          <cell r="AR67">
            <v>85645000</v>
          </cell>
          <cell r="AS67">
            <v>85645000</v>
          </cell>
          <cell r="AT67">
            <v>85645000</v>
          </cell>
          <cell r="AU67">
            <v>85645000</v>
          </cell>
          <cell r="AV67">
            <v>85645000</v>
          </cell>
          <cell r="AW67">
            <v>85645000</v>
          </cell>
          <cell r="AX67">
            <v>85645000</v>
          </cell>
          <cell r="AY67">
            <v>85645000</v>
          </cell>
          <cell r="AZ67">
            <v>85645000</v>
          </cell>
          <cell r="BA67">
            <v>85645000</v>
          </cell>
          <cell r="BB67">
            <v>85645000</v>
          </cell>
          <cell r="BC67">
            <v>85645000</v>
          </cell>
          <cell r="BD67">
            <v>85645000</v>
          </cell>
        </row>
        <row r="68">
          <cell r="C68" t="str">
            <v>Cumulative delta (short tons) [check on above rows]</v>
          </cell>
        </row>
        <row r="69">
          <cell r="A69" t="str">
            <v>EPA-1--baseline</v>
          </cell>
          <cell r="B69">
            <v>-22000</v>
          </cell>
          <cell r="C69">
            <v>71000</v>
          </cell>
          <cell r="D69">
            <v>-214000</v>
          </cell>
          <cell r="E69">
            <v>-12000</v>
          </cell>
          <cell r="F69">
            <v>-362000</v>
          </cell>
          <cell r="G69">
            <v>-587000</v>
          </cell>
          <cell r="H69">
            <v>-192000</v>
          </cell>
          <cell r="I69">
            <v>840000</v>
          </cell>
          <cell r="J69">
            <v>2153000</v>
          </cell>
          <cell r="K69">
            <v>3570000</v>
          </cell>
          <cell r="L69">
            <v>5843000</v>
          </cell>
          <cell r="M69">
            <v>9429000</v>
          </cell>
          <cell r="N69">
            <v>13124000</v>
          </cell>
          <cell r="O69">
            <v>16438000</v>
          </cell>
          <cell r="P69">
            <v>19701000</v>
          </cell>
          <cell r="Q69">
            <v>21519000</v>
          </cell>
          <cell r="R69">
            <v>24878000</v>
          </cell>
          <cell r="S69">
            <v>26896000</v>
          </cell>
          <cell r="T69">
            <v>28507000</v>
          </cell>
          <cell r="U69">
            <v>30449000</v>
          </cell>
          <cell r="V69">
            <v>32444000</v>
          </cell>
          <cell r="W69">
            <v>35089000</v>
          </cell>
          <cell r="X69">
            <v>38343000</v>
          </cell>
          <cell r="Y69">
            <v>42049000</v>
          </cell>
          <cell r="Z69">
            <v>46214000</v>
          </cell>
          <cell r="AA69">
            <v>52362000</v>
          </cell>
          <cell r="AB69">
            <v>57587000</v>
          </cell>
          <cell r="AC69">
            <v>65197000</v>
          </cell>
          <cell r="AD69">
            <v>72494000</v>
          </cell>
          <cell r="AE69">
            <v>81443000</v>
          </cell>
          <cell r="AF69">
            <v>81443000</v>
          </cell>
          <cell r="AG69">
            <v>81443000</v>
          </cell>
          <cell r="AH69">
            <v>81443000</v>
          </cell>
          <cell r="AI69">
            <v>81443000</v>
          </cell>
          <cell r="AJ69">
            <v>81443000</v>
          </cell>
          <cell r="AK69">
            <v>81443000</v>
          </cell>
          <cell r="AL69">
            <v>81443000</v>
          </cell>
          <cell r="AM69">
            <v>81443000</v>
          </cell>
          <cell r="AN69">
            <v>81443000</v>
          </cell>
          <cell r="AO69">
            <v>81443000</v>
          </cell>
          <cell r="AP69">
            <v>81443000</v>
          </cell>
          <cell r="AQ69">
            <v>81443000</v>
          </cell>
          <cell r="AR69">
            <v>81443000</v>
          </cell>
          <cell r="AS69">
            <v>81443000</v>
          </cell>
          <cell r="AT69">
            <v>81443000</v>
          </cell>
          <cell r="AU69">
            <v>81443000</v>
          </cell>
          <cell r="AV69">
            <v>81443000</v>
          </cell>
          <cell r="AW69">
            <v>81443000</v>
          </cell>
          <cell r="AX69">
            <v>81443000</v>
          </cell>
          <cell r="AY69">
            <v>81443000</v>
          </cell>
          <cell r="AZ69">
            <v>81443000</v>
          </cell>
          <cell r="BA69">
            <v>81443000</v>
          </cell>
          <cell r="BB69">
            <v>81443000</v>
          </cell>
          <cell r="BC69">
            <v>81443000</v>
          </cell>
          <cell r="BD69">
            <v>81443000</v>
          </cell>
        </row>
        <row r="70">
          <cell r="A70" t="str">
            <v>EPA-2--EPA-1</v>
          </cell>
          <cell r="B70">
            <v>0</v>
          </cell>
          <cell r="C70">
            <v>-42000</v>
          </cell>
          <cell r="D70">
            <v>-97000</v>
          </cell>
          <cell r="E70">
            <v>-123000</v>
          </cell>
          <cell r="F70">
            <v>-135000</v>
          </cell>
          <cell r="G70">
            <v>-175000</v>
          </cell>
          <cell r="H70">
            <v>-181000</v>
          </cell>
          <cell r="I70">
            <v>-235000</v>
          </cell>
          <cell r="J70">
            <v>-396000</v>
          </cell>
          <cell r="K70">
            <v>-263000</v>
          </cell>
          <cell r="L70">
            <v>-169000</v>
          </cell>
          <cell r="M70">
            <v>-255000</v>
          </cell>
          <cell r="N70">
            <v>216000</v>
          </cell>
          <cell r="O70">
            <v>1165000</v>
          </cell>
          <cell r="P70">
            <v>2524000</v>
          </cell>
          <cell r="Q70">
            <v>4583000</v>
          </cell>
          <cell r="R70">
            <v>5660000</v>
          </cell>
          <cell r="S70">
            <v>7478000</v>
          </cell>
          <cell r="T70">
            <v>9359000</v>
          </cell>
          <cell r="U70">
            <v>10118000</v>
          </cell>
          <cell r="V70">
            <v>11490000</v>
          </cell>
          <cell r="W70">
            <v>12516000</v>
          </cell>
          <cell r="X70">
            <v>12770000</v>
          </cell>
          <cell r="Y70">
            <v>13013000</v>
          </cell>
          <cell r="Z70">
            <v>12820000</v>
          </cell>
          <cell r="AA70">
            <v>11864000</v>
          </cell>
          <cell r="AB70">
            <v>10821000</v>
          </cell>
          <cell r="AC70">
            <v>8882000</v>
          </cell>
          <cell r="AD70">
            <v>6573000</v>
          </cell>
          <cell r="AE70">
            <v>4202000</v>
          </cell>
          <cell r="AF70">
            <v>4202000</v>
          </cell>
          <cell r="AG70">
            <v>4202000</v>
          </cell>
          <cell r="AH70">
            <v>4202000</v>
          </cell>
          <cell r="AI70">
            <v>4202000</v>
          </cell>
          <cell r="AJ70">
            <v>4202000</v>
          </cell>
          <cell r="AK70">
            <v>4202000</v>
          </cell>
          <cell r="AL70">
            <v>4202000</v>
          </cell>
          <cell r="AM70">
            <v>4202000</v>
          </cell>
          <cell r="AN70">
            <v>4202000</v>
          </cell>
          <cell r="AO70">
            <v>4202000</v>
          </cell>
          <cell r="AP70">
            <v>4202000</v>
          </cell>
          <cell r="AQ70">
            <v>4202000</v>
          </cell>
          <cell r="AR70">
            <v>4202000</v>
          </cell>
          <cell r="AS70">
            <v>4202000</v>
          </cell>
          <cell r="AT70">
            <v>4202000</v>
          </cell>
          <cell r="AU70">
            <v>4202000</v>
          </cell>
          <cell r="AV70">
            <v>4202000</v>
          </cell>
          <cell r="AW70">
            <v>4202000</v>
          </cell>
          <cell r="AX70">
            <v>4202000</v>
          </cell>
          <cell r="AY70">
            <v>4202000</v>
          </cell>
          <cell r="AZ70">
            <v>4202000</v>
          </cell>
          <cell r="BA70">
            <v>4202000</v>
          </cell>
          <cell r="BB70">
            <v>4202000</v>
          </cell>
          <cell r="BC70">
            <v>4202000</v>
          </cell>
          <cell r="BD70">
            <v>4202000</v>
          </cell>
        </row>
        <row r="71">
          <cell r="A71" t="str">
            <v>EPA-2--baseline</v>
          </cell>
          <cell r="B71">
            <v>-22000</v>
          </cell>
          <cell r="C71">
            <v>29000</v>
          </cell>
          <cell r="D71">
            <v>-311000</v>
          </cell>
          <cell r="E71">
            <v>-135000</v>
          </cell>
          <cell r="F71">
            <v>-497000</v>
          </cell>
          <cell r="G71">
            <v>-762000</v>
          </cell>
          <cell r="H71">
            <v>-373000</v>
          </cell>
          <cell r="I71">
            <v>605000</v>
          </cell>
          <cell r="J71">
            <v>1757000</v>
          </cell>
          <cell r="K71">
            <v>3307000</v>
          </cell>
          <cell r="L71">
            <v>5674000</v>
          </cell>
          <cell r="M71">
            <v>9174000</v>
          </cell>
          <cell r="N71">
            <v>13340000</v>
          </cell>
          <cell r="O71">
            <v>17603000</v>
          </cell>
          <cell r="P71">
            <v>22225000</v>
          </cell>
          <cell r="Q71">
            <v>26102000</v>
          </cell>
          <cell r="R71">
            <v>30538000</v>
          </cell>
          <cell r="S71">
            <v>34374000</v>
          </cell>
          <cell r="T71">
            <v>37866000</v>
          </cell>
          <cell r="U71">
            <v>40567000</v>
          </cell>
          <cell r="V71">
            <v>43934000</v>
          </cell>
          <cell r="W71">
            <v>47605000</v>
          </cell>
          <cell r="X71">
            <v>51113000</v>
          </cell>
          <cell r="Y71">
            <v>55062000</v>
          </cell>
          <cell r="Z71">
            <v>59034000</v>
          </cell>
          <cell r="AA71">
            <v>64226000</v>
          </cell>
          <cell r="AB71">
            <v>68408000</v>
          </cell>
          <cell r="AC71">
            <v>74079000</v>
          </cell>
          <cell r="AD71">
            <v>79067000</v>
          </cell>
          <cell r="AE71">
            <v>85645000</v>
          </cell>
          <cell r="AF71">
            <v>85645000</v>
          </cell>
          <cell r="AG71">
            <v>85645000</v>
          </cell>
          <cell r="AH71">
            <v>85645000</v>
          </cell>
          <cell r="AI71">
            <v>85645000</v>
          </cell>
          <cell r="AJ71">
            <v>85645000</v>
          </cell>
          <cell r="AK71">
            <v>85645000</v>
          </cell>
          <cell r="AL71">
            <v>85645000</v>
          </cell>
          <cell r="AM71">
            <v>85645000</v>
          </cell>
          <cell r="AN71">
            <v>85645000</v>
          </cell>
          <cell r="AO71">
            <v>85645000</v>
          </cell>
          <cell r="AP71">
            <v>85645000</v>
          </cell>
          <cell r="AQ71">
            <v>85645000</v>
          </cell>
          <cell r="AR71">
            <v>85645000</v>
          </cell>
          <cell r="AS71">
            <v>85645000</v>
          </cell>
          <cell r="AT71">
            <v>85645000</v>
          </cell>
          <cell r="AU71">
            <v>85645000</v>
          </cell>
          <cell r="AV71">
            <v>85645000</v>
          </cell>
          <cell r="AW71">
            <v>85645000</v>
          </cell>
          <cell r="AX71">
            <v>85645000</v>
          </cell>
          <cell r="AY71">
            <v>85645000</v>
          </cell>
          <cell r="AZ71">
            <v>85645000</v>
          </cell>
          <cell r="BA71">
            <v>85645000</v>
          </cell>
          <cell r="BB71">
            <v>85645000</v>
          </cell>
          <cell r="BC71">
            <v>85645000</v>
          </cell>
          <cell r="BD71">
            <v>85645000</v>
          </cell>
        </row>
        <row r="74">
          <cell r="B74" t="str">
            <v>HARVCARB Results: Cumulative fates of removals C (Pg)</v>
          </cell>
        </row>
        <row r="75">
          <cell r="C75" t="str">
            <v>Delta: ES1-base</v>
          </cell>
        </row>
        <row r="76">
          <cell r="A76" t="str">
            <v>Component/yr</v>
          </cell>
          <cell r="B76">
            <v>1990</v>
          </cell>
          <cell r="C76">
            <v>2000</v>
          </cell>
          <cell r="D76">
            <v>2010</v>
          </cell>
          <cell r="E76">
            <v>2020</v>
          </cell>
          <cell r="F76">
            <v>2030</v>
          </cell>
          <cell r="G76">
            <v>2040</v>
          </cell>
        </row>
        <row r="77">
          <cell r="A77" t="str">
            <v>In Use</v>
          </cell>
          <cell r="C77">
            <v>-7.0000000000000062E-3</v>
          </cell>
          <cell r="D77">
            <v>-8.0000000000000071E-3</v>
          </cell>
          <cell r="E77">
            <v>-4.0000000000000036E-3</v>
          </cell>
          <cell r="F77">
            <v>-2.0000000000002238E-3</v>
          </cell>
          <cell r="G77">
            <v>-1.9999999999997797E-3</v>
          </cell>
        </row>
        <row r="78">
          <cell r="A78" t="str">
            <v>Landfill</v>
          </cell>
          <cell r="C78">
            <v>0</v>
          </cell>
          <cell r="D78">
            <v>-2.0000000000000018E-3</v>
          </cell>
          <cell r="E78">
            <v>-4.0000000000000036E-3</v>
          </cell>
          <cell r="F78">
            <v>-5.0000000000000044E-3</v>
          </cell>
          <cell r="G78">
            <v>-4.0000000000000036E-3</v>
          </cell>
        </row>
        <row r="79">
          <cell r="A79" t="str">
            <v>Energy</v>
          </cell>
          <cell r="C79">
            <v>-5.0000000000000044E-3</v>
          </cell>
          <cell r="D79">
            <v>-8.0000000000000071E-3</v>
          </cell>
          <cell r="E79">
            <v>-9.000000000000119E-3</v>
          </cell>
          <cell r="F79">
            <v>-9.9999999999997868E-3</v>
          </cell>
          <cell r="G79">
            <v>-1.1000000000000121E-2</v>
          </cell>
        </row>
        <row r="80">
          <cell r="A80" t="str">
            <v>Emitted</v>
          </cell>
          <cell r="C80">
            <v>-2.0000000000000018E-3</v>
          </cell>
          <cell r="D80">
            <v>-4.0000000000000036E-3</v>
          </cell>
          <cell r="E80">
            <v>-7.0000000000000062E-3</v>
          </cell>
          <cell r="F80">
            <v>-8.999999999999897E-3</v>
          </cell>
          <cell r="G80">
            <v>-1.0000000000000009E-2</v>
          </cell>
        </row>
        <row r="81">
          <cell r="A81" t="str">
            <v>Total</v>
          </cell>
          <cell r="C81">
            <v>-1.4000000000000012E-2</v>
          </cell>
          <cell r="D81">
            <v>-2.200000000000002E-2</v>
          </cell>
          <cell r="E81">
            <v>-2.4000000000000132E-2</v>
          </cell>
          <cell r="F81">
            <v>-2.5999999999999912E-2</v>
          </cell>
          <cell r="G81">
            <v>-2.6999999999999913E-2</v>
          </cell>
        </row>
        <row r="84">
          <cell r="B84" t="str">
            <v>HARVCARB Results: Cumulative fates of removals C (Pg)</v>
          </cell>
        </row>
        <row r="85">
          <cell r="C85" t="str">
            <v>Delta: ES2-ES1</v>
          </cell>
        </row>
        <row r="86">
          <cell r="B86">
            <v>1990</v>
          </cell>
          <cell r="C86">
            <v>2000</v>
          </cell>
          <cell r="D86">
            <v>2010</v>
          </cell>
          <cell r="E86">
            <v>2020</v>
          </cell>
          <cell r="F86">
            <v>2030</v>
          </cell>
          <cell r="G86">
            <v>2040</v>
          </cell>
        </row>
        <row r="87">
          <cell r="C87">
            <v>3.0000000000000027E-3</v>
          </cell>
          <cell r="D87">
            <v>-2.0000000000000018E-3</v>
          </cell>
          <cell r="E87">
            <v>-9.9999999999988987E-4</v>
          </cell>
          <cell r="F87">
            <v>-1.9999999999997797E-3</v>
          </cell>
          <cell r="G87">
            <v>0</v>
          </cell>
        </row>
        <row r="88">
          <cell r="C88">
            <v>0</v>
          </cell>
          <cell r="D88">
            <v>1.0000000000000009E-3</v>
          </cell>
          <cell r="E88">
            <v>0</v>
          </cell>
          <cell r="F88">
            <v>0</v>
          </cell>
          <cell r="G88">
            <v>-9.9999999999988987E-4</v>
          </cell>
        </row>
        <row r="89">
          <cell r="C89">
            <v>2.0000000000000018E-3</v>
          </cell>
          <cell r="D89">
            <v>0</v>
          </cell>
          <cell r="E89">
            <v>-2.0000000000000018E-3</v>
          </cell>
          <cell r="F89">
            <v>-2.0000000000002238E-3</v>
          </cell>
          <cell r="G89">
            <v>-2.9999999999996696E-3</v>
          </cell>
        </row>
        <row r="90">
          <cell r="C90">
            <v>1.0000000000000009E-3</v>
          </cell>
          <cell r="D90">
            <v>0</v>
          </cell>
          <cell r="E90">
            <v>-1.0000000000000009E-3</v>
          </cell>
          <cell r="F90">
            <v>-1.0000000000001119E-3</v>
          </cell>
          <cell r="G90">
            <v>-2.0000000000000018E-3</v>
          </cell>
        </row>
        <row r="91">
          <cell r="A91" t="str">
            <v>Total</v>
          </cell>
          <cell r="C91">
            <v>6.0000000000000053E-3</v>
          </cell>
          <cell r="D91">
            <v>-1.0000000000000009E-3</v>
          </cell>
          <cell r="E91">
            <v>-3.9999999999998925E-3</v>
          </cell>
          <cell r="F91">
            <v>-5.0000000000001155E-3</v>
          </cell>
          <cell r="G91">
            <v>-5.9999999999995612E-3</v>
          </cell>
        </row>
        <row r="94">
          <cell r="B94" t="str">
            <v>HARVCARB Results: Cumulative fates of removals C (Pg)</v>
          </cell>
        </row>
        <row r="95">
          <cell r="C95" t="str">
            <v>Delta: ES2-base</v>
          </cell>
        </row>
        <row r="96">
          <cell r="A96" t="str">
            <v>Component/yr</v>
          </cell>
          <cell r="B96">
            <v>1990</v>
          </cell>
          <cell r="C96">
            <v>2000</v>
          </cell>
          <cell r="D96">
            <v>2010</v>
          </cell>
          <cell r="E96">
            <v>2020</v>
          </cell>
          <cell r="F96">
            <v>2030</v>
          </cell>
          <cell r="G96">
            <v>2040</v>
          </cell>
        </row>
        <row r="97">
          <cell r="A97" t="str">
            <v>In Use</v>
          </cell>
          <cell r="C97">
            <v>-4.0000000000000036E-3</v>
          </cell>
          <cell r="D97">
            <v>-1.0000000000000009E-2</v>
          </cell>
          <cell r="E97">
            <v>-4.9999999999998934E-3</v>
          </cell>
          <cell r="F97">
            <v>-4.0000000000000036E-3</v>
          </cell>
          <cell r="G97">
            <v>-1.9999999999997797E-3</v>
          </cell>
        </row>
        <row r="98">
          <cell r="A98" t="str">
            <v>Landfill</v>
          </cell>
          <cell r="C98">
            <v>0</v>
          </cell>
          <cell r="D98">
            <v>-1.0000000000000009E-3</v>
          </cell>
          <cell r="E98">
            <v>-4.0000000000000036E-3</v>
          </cell>
          <cell r="F98">
            <v>-5.0000000000000044E-3</v>
          </cell>
          <cell r="G98">
            <v>-4.9999999999998934E-3</v>
          </cell>
        </row>
        <row r="99">
          <cell r="A99" t="str">
            <v>Energy</v>
          </cell>
          <cell r="C99">
            <v>-3.0000000000000027E-3</v>
          </cell>
          <cell r="D99">
            <v>-8.0000000000000071E-3</v>
          </cell>
          <cell r="E99">
            <v>-1.1000000000000121E-2</v>
          </cell>
          <cell r="F99">
            <v>-1.2000000000000011E-2</v>
          </cell>
          <cell r="G99">
            <v>-1.399999999999979E-2</v>
          </cell>
        </row>
        <row r="100">
          <cell r="A100" t="str">
            <v>Emitted</v>
          </cell>
          <cell r="C100">
            <v>-1.0000000000000009E-3</v>
          </cell>
          <cell r="D100">
            <v>-4.0000000000000036E-3</v>
          </cell>
          <cell r="E100">
            <v>-8.0000000000000071E-3</v>
          </cell>
          <cell r="F100">
            <v>-1.0000000000000009E-2</v>
          </cell>
          <cell r="G100">
            <v>-1.2000000000000011E-2</v>
          </cell>
        </row>
        <row r="101">
          <cell r="A101" t="str">
            <v>Total</v>
          </cell>
          <cell r="C101">
            <v>-8.0000000000000071E-3</v>
          </cell>
          <cell r="D101">
            <v>-2.300000000000002E-2</v>
          </cell>
          <cell r="E101">
            <v>-2.8000000000000025E-2</v>
          </cell>
          <cell r="F101">
            <v>-3.1000000000000028E-2</v>
          </cell>
          <cell r="G101">
            <v>-3.2999999999999474E-2</v>
          </cell>
        </row>
        <row r="104">
          <cell r="C104" t="str">
            <v>Combined Effect: FORCARB + In Use</v>
          </cell>
        </row>
        <row r="105">
          <cell r="D105" t="str">
            <v>Tg (MMTCE), cumulative</v>
          </cell>
        </row>
        <row r="106">
          <cell r="B106">
            <v>1990</v>
          </cell>
          <cell r="C106">
            <v>2000</v>
          </cell>
          <cell r="D106">
            <v>2010</v>
          </cell>
          <cell r="E106">
            <v>2020</v>
          </cell>
          <cell r="F106">
            <v>2030</v>
          </cell>
          <cell r="G106">
            <v>2040</v>
          </cell>
        </row>
        <row r="107">
          <cell r="A107" t="str">
            <v>Delta: ES1-base</v>
          </cell>
          <cell r="C107">
            <v>21.380000000000074</v>
          </cell>
          <cell r="D107">
            <v>44.319999999999986</v>
          </cell>
          <cell r="E107">
            <v>49.179999999999978</v>
          </cell>
          <cell r="F107">
            <v>48.629999999999725</v>
          </cell>
          <cell r="G107">
            <v>50.110000000000205</v>
          </cell>
        </row>
        <row r="108">
          <cell r="A108" t="str">
            <v>Delta: ES2-ES1</v>
          </cell>
          <cell r="C108">
            <v>-6.7399999999998927</v>
          </cell>
          <cell r="D108">
            <v>-4.6499999999998654</v>
          </cell>
          <cell r="E108">
            <v>-0.68999999999968864</v>
          </cell>
          <cell r="F108">
            <v>6.2200000000004607</v>
          </cell>
          <cell r="G108">
            <v>6.0300000000002285</v>
          </cell>
        </row>
        <row r="109">
          <cell r="A109" t="str">
            <v>Delta: ES2-base</v>
          </cell>
          <cell r="C109">
            <v>14.640000000000182</v>
          </cell>
          <cell r="D109">
            <v>39.670000000000122</v>
          </cell>
          <cell r="E109">
            <v>48.490000000000286</v>
          </cell>
          <cell r="F109">
            <v>54.850000000000193</v>
          </cell>
          <cell r="G109">
            <v>56.140000000000434</v>
          </cell>
        </row>
        <row r="111">
          <cell r="D111" t="str">
            <v>Revised Conversion Rates, Accounting for In Use Sinks</v>
          </cell>
        </row>
        <row r="112">
          <cell r="C112" t="str">
            <v>Cumulative MTCE/cumulative ton paper recycled</v>
          </cell>
        </row>
        <row r="113">
          <cell r="B113">
            <v>1990</v>
          </cell>
          <cell r="C113">
            <v>2000</v>
          </cell>
          <cell r="D113">
            <v>2010</v>
          </cell>
          <cell r="E113">
            <v>2020</v>
          </cell>
          <cell r="F113">
            <v>2030</v>
          </cell>
          <cell r="G113">
            <v>2040</v>
          </cell>
        </row>
        <row r="114">
          <cell r="A114" t="str">
            <v>EPA-1--baseline</v>
          </cell>
          <cell r="C114">
            <v>1.0852241002994809</v>
          </cell>
          <cell r="D114">
            <v>0.95901674817154947</v>
          </cell>
          <cell r="E114">
            <v>0.60385791289613566</v>
          </cell>
          <cell r="F114">
            <v>0.59710472354898181</v>
          </cell>
          <cell r="G114">
            <v>0.61527694215586615</v>
          </cell>
        </row>
        <row r="115">
          <cell r="A115" t="str">
            <v>EPA-2--EPA-1</v>
          </cell>
          <cell r="C115">
            <v>-2.6703645007923504</v>
          </cell>
          <cell r="D115">
            <v>-0.36271450858033266</v>
          </cell>
          <cell r="E115">
            <v>-0.16420752022838853</v>
          </cell>
          <cell r="F115">
            <v>1.4802475011900194</v>
          </cell>
          <cell r="G115">
            <v>1.4350309376487931</v>
          </cell>
        </row>
        <row r="116">
          <cell r="A116" t="str">
            <v>EPA-2--baseline</v>
          </cell>
          <cell r="C116">
            <v>0.6587176602924717</v>
          </cell>
          <cell r="D116">
            <v>0.6719856353965532</v>
          </cell>
          <cell r="E116">
            <v>0.56617432424543501</v>
          </cell>
          <cell r="F116">
            <v>0.6404343511004752</v>
          </cell>
          <cell r="G116">
            <v>0.65549652635881173</v>
          </cell>
        </row>
        <row r="119">
          <cell r="C119" t="str">
            <v>Forest Carbon Only **</v>
          </cell>
        </row>
      </sheetData>
      <sheetData sheetId="49" refreshError="1">
        <row r="6">
          <cell r="C6">
            <v>45.482999999999997</v>
          </cell>
          <cell r="D6">
            <v>43.466000000000008</v>
          </cell>
          <cell r="E6">
            <v>24.56</v>
          </cell>
          <cell r="F6">
            <v>11.958000000000002</v>
          </cell>
          <cell r="G6">
            <v>5.5169999999999995</v>
          </cell>
        </row>
        <row r="7">
          <cell r="C7">
            <v>47.887000000000008</v>
          </cell>
          <cell r="D7">
            <v>45.251999999999995</v>
          </cell>
          <cell r="E7">
            <v>24.592999999999996</v>
          </cell>
          <cell r="F7">
            <v>11.701000000000001</v>
          </cell>
          <cell r="G7">
            <v>5.7380000000000031</v>
          </cell>
        </row>
        <row r="8">
          <cell r="C8">
            <v>47.058000000000014</v>
          </cell>
          <cell r="D8">
            <v>45.906999999999996</v>
          </cell>
          <cell r="E8">
            <v>24.866000000000003</v>
          </cell>
          <cell r="F8">
            <v>12.310000000000002</v>
          </cell>
          <cell r="G8">
            <v>5.5630000000000024</v>
          </cell>
        </row>
        <row r="10">
          <cell r="C10" t="str">
            <v>Deltas (Tg/yr)</v>
          </cell>
        </row>
        <row r="12">
          <cell r="C12">
            <v>2.4040000000000106</v>
          </cell>
          <cell r="D12">
            <v>1.7859999999999872</v>
          </cell>
          <cell r="E12">
            <v>3.2999999999997698E-2</v>
          </cell>
          <cell r="F12">
            <v>-0.25700000000000145</v>
          </cell>
          <cell r="G12">
            <v>0.22100000000000364</v>
          </cell>
        </row>
        <row r="13">
          <cell r="C13">
            <v>-0.82899999999999352</v>
          </cell>
          <cell r="D13">
            <v>0.65500000000000114</v>
          </cell>
          <cell r="E13">
            <v>0.27300000000000679</v>
          </cell>
          <cell r="F13">
            <v>0.60900000000000176</v>
          </cell>
          <cell r="G13">
            <v>-0.17500000000000071</v>
          </cell>
        </row>
        <row r="14">
          <cell r="C14">
            <v>1.5750000000000171</v>
          </cell>
          <cell r="D14">
            <v>2.4409999999999883</v>
          </cell>
          <cell r="E14">
            <v>0.30600000000000449</v>
          </cell>
          <cell r="F14">
            <v>0.35200000000000031</v>
          </cell>
          <cell r="G14">
            <v>4.6000000000002927E-2</v>
          </cell>
        </row>
        <row r="16">
          <cell r="C16" t="str">
            <v>Cumulative Delta (Tg)</v>
          </cell>
        </row>
        <row r="17">
          <cell r="C17">
            <v>24.040000000000106</v>
          </cell>
          <cell r="D17">
            <v>41.899999999999977</v>
          </cell>
          <cell r="E17">
            <v>42.229999999999954</v>
          </cell>
          <cell r="F17">
            <v>39.65999999999994</v>
          </cell>
          <cell r="G17">
            <v>41.869999999999976</v>
          </cell>
        </row>
        <row r="18">
          <cell r="C18">
            <v>-8.2899999999999352</v>
          </cell>
          <cell r="D18">
            <v>-1.7399999999999238</v>
          </cell>
          <cell r="E18">
            <v>0.9900000000001441</v>
          </cell>
          <cell r="F18">
            <v>7.0800000000001617</v>
          </cell>
          <cell r="G18">
            <v>5.3300000000001546</v>
          </cell>
        </row>
        <row r="19">
          <cell r="C19">
            <v>15.750000000000171</v>
          </cell>
          <cell r="D19">
            <v>40.160000000000053</v>
          </cell>
          <cell r="E19">
            <v>43.220000000000098</v>
          </cell>
          <cell r="F19">
            <v>46.740000000000101</v>
          </cell>
          <cell r="G19">
            <v>47.200000000000131</v>
          </cell>
        </row>
        <row r="22">
          <cell r="B22" t="str">
            <v>HARVCARB Results: Cumulative fates of removals C (Pg)</v>
          </cell>
        </row>
        <row r="24">
          <cell r="B24">
            <v>1990</v>
          </cell>
          <cell r="C24">
            <v>2000</v>
          </cell>
          <cell r="D24">
            <v>2010</v>
          </cell>
          <cell r="E24">
            <v>2020</v>
          </cell>
          <cell r="F24">
            <v>2030</v>
          </cell>
          <cell r="G24">
            <v>2040</v>
          </cell>
        </row>
        <row r="25">
          <cell r="C25">
            <v>-7.0000000000000062E-3</v>
          </cell>
          <cell r="D25">
            <v>-8.0000000000000071E-3</v>
          </cell>
          <cell r="E25">
            <v>-4.0000000000000036E-3</v>
          </cell>
          <cell r="F25">
            <v>-2.0000000000002238E-3</v>
          </cell>
          <cell r="G25">
            <v>-1.9999999999997797E-3</v>
          </cell>
        </row>
        <row r="26">
          <cell r="C26">
            <v>3.0000000000000027E-3</v>
          </cell>
          <cell r="D26">
            <v>-2.0000000000000018E-3</v>
          </cell>
          <cell r="E26">
            <v>-9.9999999999988987E-4</v>
          </cell>
          <cell r="F26">
            <v>-1.9999999999997797E-3</v>
          </cell>
          <cell r="G26">
            <v>0</v>
          </cell>
        </row>
        <row r="27">
          <cell r="C27">
            <v>-4.0000000000000036E-3</v>
          </cell>
          <cell r="D27">
            <v>-1.0000000000000009E-2</v>
          </cell>
          <cell r="E27">
            <v>-4.9999999999998934E-3</v>
          </cell>
          <cell r="F27">
            <v>-4.0000000000000036E-3</v>
          </cell>
          <cell r="G27">
            <v>-1.9999999999997797E-3</v>
          </cell>
        </row>
        <row r="29">
          <cell r="C29" t="str">
            <v>Forest C (- soil C) + In Use C</v>
          </cell>
        </row>
        <row r="30">
          <cell r="C30" t="str">
            <v>Delta, Cumulative MMTCE</v>
          </cell>
        </row>
        <row r="31">
          <cell r="B31">
            <v>1990</v>
          </cell>
          <cell r="C31">
            <v>2000</v>
          </cell>
          <cell r="D31">
            <v>2010</v>
          </cell>
          <cell r="E31">
            <v>2020</v>
          </cell>
          <cell r="F31">
            <v>2030</v>
          </cell>
          <cell r="G31">
            <v>2040</v>
          </cell>
        </row>
        <row r="32">
          <cell r="C32">
            <v>17.040000000000099</v>
          </cell>
          <cell r="D32">
            <v>33.89999999999997</v>
          </cell>
          <cell r="E32">
            <v>38.229999999999947</v>
          </cell>
          <cell r="F32">
            <v>37.659999999999712</v>
          </cell>
          <cell r="G32">
            <v>39.870000000000196</v>
          </cell>
        </row>
        <row r="33">
          <cell r="C33">
            <v>-5.2899999999999325</v>
          </cell>
          <cell r="D33">
            <v>-3.7399999999999256</v>
          </cell>
          <cell r="E33">
            <v>-9.9999999997457678E-3</v>
          </cell>
          <cell r="F33">
            <v>5.080000000000382</v>
          </cell>
          <cell r="G33">
            <v>5.3300000000001546</v>
          </cell>
        </row>
        <row r="34">
          <cell r="C34">
            <v>11.750000000000167</v>
          </cell>
          <cell r="D34">
            <v>30.160000000000046</v>
          </cell>
          <cell r="E34">
            <v>38.220000000000205</v>
          </cell>
          <cell r="F34">
            <v>42.740000000000094</v>
          </cell>
          <cell r="G34">
            <v>45.200000000000351</v>
          </cell>
        </row>
        <row r="37">
          <cell r="B37" t="str">
            <v>(delta, cumulative MTCE)/(delta, short tons paper recovered)</v>
          </cell>
        </row>
        <row r="38">
          <cell r="B38">
            <v>1990</v>
          </cell>
          <cell r="C38">
            <v>2000</v>
          </cell>
          <cell r="D38">
            <v>2010</v>
          </cell>
          <cell r="E38">
            <v>2020</v>
          </cell>
          <cell r="F38">
            <v>2030</v>
          </cell>
          <cell r="G38">
            <v>2040</v>
          </cell>
        </row>
        <row r="39">
          <cell r="C39">
            <v>0.86493071417695033</v>
          </cell>
          <cell r="D39">
            <v>0.73354394772146903</v>
          </cell>
          <cell r="E39">
            <v>0.46940805225740639</v>
          </cell>
          <cell r="F39">
            <v>0.46240929238853812</v>
          </cell>
          <cell r="G39">
            <v>0.48954483503800444</v>
          </cell>
        </row>
        <row r="40">
          <cell r="C40">
            <v>-2.0958795562598782</v>
          </cell>
          <cell r="D40">
            <v>-0.29173166926676486</v>
          </cell>
          <cell r="E40">
            <v>-2.3798191336853324E-3</v>
          </cell>
          <cell r="F40">
            <v>1.2089481199429752</v>
          </cell>
          <cell r="G40">
            <v>1.2684435982865669</v>
          </cell>
        </row>
        <row r="41">
          <cell r="C41">
            <v>0.52868391451069363</v>
          </cell>
          <cell r="D41">
            <v>0.51089202832266223</v>
          </cell>
          <cell r="E41">
            <v>0.44626072742133466</v>
          </cell>
          <cell r="F41">
            <v>0.49903672134975885</v>
          </cell>
          <cell r="G41">
            <v>0.52775993928425891</v>
          </cell>
        </row>
      </sheetData>
      <sheetData sheetId="50" refreshError="1">
        <row r="6">
          <cell r="D6" t="str">
            <v>Billion metric tonnes</v>
          </cell>
          <cell r="U6" t="str">
            <v>Oak-pine</v>
          </cell>
          <cell r="V6">
            <v>17.329999999999998</v>
          </cell>
        </row>
        <row r="7">
          <cell r="C7">
            <v>1990</v>
          </cell>
          <cell r="D7">
            <v>2000</v>
          </cell>
          <cell r="E7">
            <v>2010</v>
          </cell>
          <cell r="F7">
            <v>2020</v>
          </cell>
          <cell r="G7">
            <v>2030</v>
          </cell>
          <cell r="H7">
            <v>2040</v>
          </cell>
          <cell r="K7" t="str">
            <v>Conversion factors</v>
          </cell>
          <cell r="O7" t="str">
            <v>SE Pine, for comparison, from Birdsey (1992)</v>
          </cell>
          <cell r="T7" t="str">
            <v>NE/Mid-Atlantic</v>
          </cell>
          <cell r="U7" t="str">
            <v>Pines</v>
          </cell>
          <cell r="V7">
            <v>12.29</v>
          </cell>
        </row>
        <row r="8">
          <cell r="B8" t="str">
            <v>Trees</v>
          </cell>
          <cell r="C8">
            <v>7.8382199999999997</v>
          </cell>
          <cell r="D8">
            <v>8.2657799999999995</v>
          </cell>
          <cell r="E8">
            <v>8.5536100000000008</v>
          </cell>
          <cell r="F8">
            <v>8.6089699999999993</v>
          </cell>
          <cell r="G8">
            <v>8.5147899999999996</v>
          </cell>
          <cell r="H8">
            <v>8.30199</v>
          </cell>
          <cell r="K8">
            <v>31.25</v>
          </cell>
          <cell r="L8" t="str">
            <v>lb bone dry softwood/cu ft</v>
          </cell>
          <cell r="O8">
            <v>31.823999999999998</v>
          </cell>
          <cell r="U8" t="str">
            <v>Spruce-fir</v>
          </cell>
          <cell r="V8">
            <v>12</v>
          </cell>
        </row>
        <row r="9">
          <cell r="B9" t="str">
            <v>Understory</v>
          </cell>
          <cell r="C9">
            <v>0.34694000000000003</v>
          </cell>
          <cell r="D9">
            <v>0.34960000000000002</v>
          </cell>
          <cell r="E9">
            <v>0.35457</v>
          </cell>
          <cell r="F9">
            <v>0.35859000000000002</v>
          </cell>
          <cell r="G9">
            <v>0.35931999999999997</v>
          </cell>
          <cell r="H9">
            <v>0.35922999999999999</v>
          </cell>
          <cell r="K9" t="str">
            <v xml:space="preserve">1million ft3 = </v>
          </cell>
          <cell r="L9">
            <v>14178.765880217787</v>
          </cell>
          <cell r="M9" t="str">
            <v>metric tons wood</v>
          </cell>
          <cell r="O9">
            <v>14439.201451905625</v>
          </cell>
          <cell r="U9" t="str">
            <v>Oak-hickory</v>
          </cell>
          <cell r="V9">
            <v>12.16</v>
          </cell>
        </row>
        <row r="10">
          <cell r="B10" t="str">
            <v>Forest Floor</v>
          </cell>
          <cell r="C10">
            <v>1.4381699999999999</v>
          </cell>
          <cell r="D10">
            <v>1.4710399999999999</v>
          </cell>
          <cell r="E10">
            <v>1.4884500000000001</v>
          </cell>
          <cell r="F10">
            <v>1.4949699999999999</v>
          </cell>
          <cell r="G10">
            <v>1.4855700000000001</v>
          </cell>
          <cell r="H10">
            <v>1.4627300000000001</v>
          </cell>
          <cell r="K10" t="str">
            <v>1 million ft3 =</v>
          </cell>
          <cell r="L10">
            <v>15629.253629764067</v>
          </cell>
          <cell r="M10" t="str">
            <v>short tons wood</v>
          </cell>
          <cell r="O10">
            <v>15911.999999999998</v>
          </cell>
          <cell r="U10" t="str">
            <v>Maple-beech-birch</v>
          </cell>
          <cell r="V10">
            <v>12.48</v>
          </cell>
        </row>
        <row r="11">
          <cell r="K11" t="str">
            <v xml:space="preserve">1 metric ton wood = </v>
          </cell>
          <cell r="M11">
            <v>0.5</v>
          </cell>
          <cell r="N11" t="str">
            <v>MT carbon</v>
          </cell>
          <cell r="O11">
            <v>0.53100000000000003</v>
          </cell>
          <cell r="T11" t="str">
            <v>N Central/Central</v>
          </cell>
          <cell r="U11" t="str">
            <v>Pines</v>
          </cell>
          <cell r="V11">
            <v>13.69</v>
          </cell>
        </row>
        <row r="12">
          <cell r="K12" t="str">
            <v xml:space="preserve">1million ft3 = </v>
          </cell>
          <cell r="L12">
            <v>7089.3829401088933</v>
          </cell>
          <cell r="M12" t="str">
            <v>MT carbon</v>
          </cell>
          <cell r="O12">
            <v>7667.2159709618873</v>
          </cell>
          <cell r="P12" t="str">
            <v>MT carbon</v>
          </cell>
          <cell r="U12" t="str">
            <v>Spruce-fir</v>
          </cell>
          <cell r="V12">
            <v>11.41</v>
          </cell>
        </row>
        <row r="13">
          <cell r="B13" t="str">
            <v>Trees</v>
          </cell>
          <cell r="C13">
            <v>7.8382199999999997</v>
          </cell>
          <cell r="D13">
            <v>8.2705099999999998</v>
          </cell>
          <cell r="E13">
            <v>8.5774799999999995</v>
          </cell>
          <cell r="F13">
            <v>8.6330100000000005</v>
          </cell>
          <cell r="G13">
            <v>8.53857</v>
          </cell>
          <cell r="H13">
            <v>8.3254300000000008</v>
          </cell>
          <cell r="T13" t="str">
            <v xml:space="preserve">Rocky Mt/Pac </v>
          </cell>
          <cell r="U13" t="str">
            <v>Douglas fir</v>
          </cell>
          <cell r="V13">
            <v>15.11</v>
          </cell>
        </row>
        <row r="14">
          <cell r="B14" t="str">
            <v>Understory</v>
          </cell>
          <cell r="C14">
            <v>0.34694000000000003</v>
          </cell>
          <cell r="D14">
            <v>0.34949999999999998</v>
          </cell>
          <cell r="E14">
            <v>0.35432000000000002</v>
          </cell>
          <cell r="F14">
            <v>0.35837000000000002</v>
          </cell>
          <cell r="G14">
            <v>0.35915000000000002</v>
          </cell>
          <cell r="H14">
            <v>0.35904999999999998</v>
          </cell>
          <cell r="U14" t="str">
            <v>Ponderosa pine</v>
          </cell>
          <cell r="V14">
            <v>13.29</v>
          </cell>
        </row>
        <row r="15">
          <cell r="B15" t="str">
            <v>Forest Floor</v>
          </cell>
          <cell r="C15">
            <v>1.4381900000000001</v>
          </cell>
          <cell r="D15">
            <v>1.47146</v>
          </cell>
          <cell r="E15">
            <v>1.4906999999999999</v>
          </cell>
          <cell r="F15">
            <v>1.4971399999999999</v>
          </cell>
          <cell r="G15">
            <v>1.48763</v>
          </cell>
          <cell r="H15">
            <v>1.46479</v>
          </cell>
        </row>
        <row r="16">
          <cell r="L16" t="str">
            <v>Growth Rates in the South:</v>
          </cell>
          <cell r="P16" t="str">
            <v>Average growth</v>
          </cell>
          <cell r="T16" t="str">
            <v>Weighting factors</v>
          </cell>
        </row>
        <row r="17">
          <cell r="L17">
            <v>7.0000000000000007E-2</v>
          </cell>
          <cell r="M17" t="str">
            <v>Forest industry</v>
          </cell>
          <cell r="P17">
            <v>15</v>
          </cell>
          <cell r="Q17" t="str">
            <v>yrs, Time interval, 1990-2009</v>
          </cell>
          <cell r="T17">
            <v>0.2</v>
          </cell>
          <cell r="U17" t="str">
            <v>2 yrs reduced harvest/10 yrs</v>
          </cell>
        </row>
        <row r="18">
          <cell r="B18" t="str">
            <v>Trees</v>
          </cell>
          <cell r="C18">
            <v>0</v>
          </cell>
          <cell r="D18">
            <v>4.730000000000345E-3</v>
          </cell>
          <cell r="E18">
            <v>2.3869999999998726E-2</v>
          </cell>
          <cell r="F18">
            <v>2.4040000000001172E-2</v>
          </cell>
          <cell r="G18">
            <v>2.3780000000000356E-2</v>
          </cell>
          <cell r="H18">
            <v>2.3440000000000794E-2</v>
          </cell>
          <cell r="L18">
            <v>4.6600000000000003E-2</v>
          </cell>
          <cell r="M18" t="str">
            <v>Private non-industrial land</v>
          </cell>
          <cell r="P18">
            <v>5</v>
          </cell>
          <cell r="Q18" t="str">
            <v>yrs, Time interval, 2000-2009</v>
          </cell>
          <cell r="T18">
            <v>0.8</v>
          </cell>
          <cell r="U18" t="str">
            <v>8 yrs reduced harvest/10 yrs</v>
          </cell>
        </row>
        <row r="19">
          <cell r="B19" t="str">
            <v>Understory</v>
          </cell>
          <cell r="C19">
            <v>0</v>
          </cell>
          <cell r="D19">
            <v>-1.000000000000445E-4</v>
          </cell>
          <cell r="E19">
            <v>-2.4999999999997247E-4</v>
          </cell>
          <cell r="F19">
            <v>-2.1999999999999797E-4</v>
          </cell>
          <cell r="G19">
            <v>-1.6999999999994797E-4</v>
          </cell>
          <cell r="H19">
            <v>-1.8000000000001348E-4</v>
          </cell>
          <cell r="L19">
            <v>5.8300000000000005E-2</v>
          </cell>
          <cell r="M19" t="str">
            <v>avg</v>
          </cell>
          <cell r="P19">
            <v>2.3395479027799349</v>
          </cell>
          <cell r="Q19" t="str">
            <v>Relative growth, interval 1</v>
          </cell>
        </row>
        <row r="20">
          <cell r="B20" t="str">
            <v>Forest Floor</v>
          </cell>
          <cell r="C20">
            <v>2.0000000000131024E-5</v>
          </cell>
          <cell r="D20">
            <v>4.2000000000008697E-4</v>
          </cell>
          <cell r="E20">
            <v>2.2499999999998632E-3</v>
          </cell>
          <cell r="F20">
            <v>2.1700000000000053E-3</v>
          </cell>
          <cell r="G20">
            <v>2.0599999999999508E-3</v>
          </cell>
          <cell r="H20">
            <v>2.0599999999999508E-3</v>
          </cell>
          <cell r="P20">
            <v>1.3275288886441838</v>
          </cell>
          <cell r="Q20" t="str">
            <v>Relative growth, interval 2</v>
          </cell>
        </row>
        <row r="21">
          <cell r="B21" t="str">
            <v>Total: trees+understory</v>
          </cell>
          <cell r="C21">
            <v>0</v>
          </cell>
          <cell r="D21">
            <v>4.6300000000003005E-3</v>
          </cell>
          <cell r="E21">
            <v>2.3619999999998753E-2</v>
          </cell>
          <cell r="F21">
            <v>2.3820000000001174E-2</v>
          </cell>
          <cell r="G21">
            <v>2.3610000000000408E-2</v>
          </cell>
          <cell r="H21">
            <v>2.326000000000078E-2</v>
          </cell>
          <cell r="T21">
            <v>1.529932691471334</v>
          </cell>
          <cell r="U21" t="str">
            <v>Weighted avg growth</v>
          </cell>
        </row>
        <row r="22">
          <cell r="B22" t="str">
            <v>Note that there is no net change in land use between the runs, per Linda Heath.</v>
          </cell>
        </row>
        <row r="23">
          <cell r="U23">
            <v>16.898544000000001</v>
          </cell>
        </row>
        <row r="25">
          <cell r="C25" t="str">
            <v>1990-1999</v>
          </cell>
          <cell r="D25" t="str">
            <v>2000-2009</v>
          </cell>
          <cell r="E25" t="str">
            <v>2010-2019</v>
          </cell>
          <cell r="F25" t="str">
            <v>2020-2029</v>
          </cell>
          <cell r="G25" t="str">
            <v>2030-2039</v>
          </cell>
          <cell r="J25" t="str">
            <v>This is the merchantable wood harvest (amount that shows up at the mill).</v>
          </cell>
        </row>
        <row r="26">
          <cell r="B26" t="str">
            <v>Hardwood Types</v>
          </cell>
          <cell r="C26">
            <v>46365.96</v>
          </cell>
          <cell r="D26">
            <v>59189.103000000003</v>
          </cell>
          <cell r="E26">
            <v>68595.577000000005</v>
          </cell>
          <cell r="F26">
            <v>70685.120999999999</v>
          </cell>
          <cell r="G26">
            <v>70781.267999999996</v>
          </cell>
        </row>
        <row r="27">
          <cell r="B27" t="str">
            <v>Softwood Types</v>
          </cell>
          <cell r="C27">
            <v>95242.27</v>
          </cell>
          <cell r="D27">
            <v>97614.725999999995</v>
          </cell>
          <cell r="E27">
            <v>100659.32</v>
          </cell>
          <cell r="F27">
            <v>109039.07</v>
          </cell>
          <cell r="G27">
            <v>119599.82</v>
          </cell>
        </row>
        <row r="28">
          <cell r="B28" t="str">
            <v>1.7%*total, prorated</v>
          </cell>
          <cell r="C28">
            <v>481.46798200000001</v>
          </cell>
          <cell r="D28">
            <v>2132.5320744000001</v>
          </cell>
          <cell r="E28">
            <v>0</v>
          </cell>
          <cell r="F28">
            <v>0</v>
          </cell>
          <cell r="G28">
            <v>0</v>
          </cell>
        </row>
        <row r="30">
          <cell r="B30" t="str">
            <v xml:space="preserve"> Harvests of hardwood types for ICF scenario are same as the base.</v>
          </cell>
        </row>
        <row r="31">
          <cell r="B31" t="str">
            <v>Softwood Types</v>
          </cell>
          <cell r="C31">
            <v>94908.68</v>
          </cell>
          <cell r="D31">
            <v>96289.373999999996</v>
          </cell>
          <cell r="E31">
            <v>100659.32</v>
          </cell>
          <cell r="F31">
            <v>109039.07</v>
          </cell>
          <cell r="G31">
            <v>119599.82</v>
          </cell>
        </row>
        <row r="32">
          <cell r="B32" t="str">
            <v>delta, ICF soft - (base soft *(100%-1.7% prorated)</v>
          </cell>
          <cell r="C32">
            <v>-9.7662820000114152</v>
          </cell>
          <cell r="D32">
            <v>2.2082736000011209</v>
          </cell>
          <cell r="E32">
            <v>0</v>
          </cell>
          <cell r="F32">
            <v>0</v>
          </cell>
          <cell r="G32">
            <v>0</v>
          </cell>
        </row>
        <row r="33">
          <cell r="B33" t="str">
            <v>delta, ICF soft - (base soft -1.7%*total prorated)</v>
          </cell>
          <cell r="C33">
            <v>147.87798199999088</v>
          </cell>
          <cell r="D33">
            <v>807.18007440000656</v>
          </cell>
          <cell r="E33">
            <v>0</v>
          </cell>
          <cell r="F33">
            <v>0</v>
          </cell>
          <cell r="G33">
            <v>0</v>
          </cell>
        </row>
        <row r="34">
          <cell r="B34" t="str">
            <v>Incremental tons, cumulative</v>
          </cell>
          <cell r="D34">
            <v>14926844.594625074</v>
          </cell>
        </row>
        <row r="35">
          <cell r="B35" t="str">
            <v>Total tons, if 1.7% had been applied to softwoods+hardwoods</v>
          </cell>
          <cell r="D35">
            <v>38880642.329652444</v>
          </cell>
        </row>
        <row r="37">
          <cell r="C37">
            <v>-333.59000000001106</v>
          </cell>
          <cell r="D37">
            <v>-1325.351999999999</v>
          </cell>
          <cell r="E37">
            <v>0</v>
          </cell>
          <cell r="F37">
            <v>0</v>
          </cell>
          <cell r="G37">
            <v>0</v>
          </cell>
        </row>
        <row r="38">
          <cell r="C38">
            <v>-333.59000000001106</v>
          </cell>
          <cell r="D38">
            <v>-1658.94200000001</v>
          </cell>
          <cell r="E38">
            <v>-1658.94200000001</v>
          </cell>
          <cell r="F38">
            <v>-1658.94200000001</v>
          </cell>
          <cell r="G38">
            <v>-1658.94200000001</v>
          </cell>
        </row>
        <row r="39">
          <cell r="C39">
            <v>-4816773.212341357</v>
          </cell>
          <cell r="D39">
            <v>-23953797.735027365</v>
          </cell>
          <cell r="E39">
            <v>-23953797.735027365</v>
          </cell>
          <cell r="F39">
            <v>-23953797.735027365</v>
          </cell>
          <cell r="G39">
            <v>-23953797.735027365</v>
          </cell>
        </row>
        <row r="40">
          <cell r="C40">
            <v>-5308084.0800001752</v>
          </cell>
          <cell r="D40">
            <v>-26397085.104000155</v>
          </cell>
          <cell r="E40">
            <v>-26397085.104000155</v>
          </cell>
          <cell r="F40">
            <v>-26397085.104000155</v>
          </cell>
          <cell r="G40">
            <v>-26397085.104000155</v>
          </cell>
        </row>
        <row r="44">
          <cell r="E44">
            <v>1.1000000000000001</v>
          </cell>
          <cell r="F44" t="str">
            <v>(i.e., every ton of product no longer manufactured translates to 1.1 ton of roundwood not harvested)</v>
          </cell>
        </row>
        <row r="45">
          <cell r="E45">
            <v>1.25</v>
          </cell>
          <cell r="F45">
            <v>0.8</v>
          </cell>
          <cell r="G45" t="str">
            <v>ton finished product/ton wood recycled</v>
          </cell>
        </row>
        <row r="46">
          <cell r="E46">
            <v>0.88000000000000012</v>
          </cell>
          <cell r="F46" t="str">
            <v>(i.e., every ton of wood recycled translates to 0.88 ton of roundwood not harvested)</v>
          </cell>
        </row>
        <row r="47">
          <cell r="B47" t="str">
            <v>Equivalent short tons (cumulative):</v>
          </cell>
          <cell r="C47" t="str">
            <v>1990-1999</v>
          </cell>
          <cell r="D47" t="str">
            <v>2000-2009</v>
          </cell>
          <cell r="E47" t="str">
            <v>2010-2019</v>
          </cell>
          <cell r="F47" t="str">
            <v>2020-2029</v>
          </cell>
          <cell r="G47" t="str">
            <v>2030-2039</v>
          </cell>
        </row>
        <row r="48">
          <cell r="B48" t="str">
            <v>Recycled</v>
          </cell>
          <cell r="C48">
            <v>-6031913.7272729259</v>
          </cell>
          <cell r="D48">
            <v>-29996687.618181989</v>
          </cell>
          <cell r="E48">
            <v>-29996687.618181989</v>
          </cell>
          <cell r="F48">
            <v>-29996687.618181989</v>
          </cell>
          <cell r="G48">
            <v>-29996687.618181989</v>
          </cell>
        </row>
        <row r="49">
          <cell r="B49" t="str">
            <v>Source Reduced</v>
          </cell>
          <cell r="C49">
            <v>-4825530.9818183407</v>
          </cell>
          <cell r="D49">
            <v>-23997350.094545592</v>
          </cell>
          <cell r="E49">
            <v>-23997350.094545592</v>
          </cell>
          <cell r="F49">
            <v>-23997350.094545592</v>
          </cell>
          <cell r="G49">
            <v>-23997350.094545592</v>
          </cell>
        </row>
        <row r="51">
          <cell r="B51" t="str">
            <v xml:space="preserve">Emission factor -- increase in forest carbon (trees + understory) per unit change in harvest </v>
          </cell>
        </row>
        <row r="52">
          <cell r="B52" t="str">
            <v>Based on density and carbon content of softwoods in Southeast &amp; South Central Region, Pine Forest Type</v>
          </cell>
        </row>
        <row r="53">
          <cell r="C53">
            <v>2000</v>
          </cell>
          <cell r="D53">
            <v>2010</v>
          </cell>
          <cell r="E53">
            <v>2020</v>
          </cell>
          <cell r="F53">
            <v>2030</v>
          </cell>
          <cell r="G53">
            <v>2040</v>
          </cell>
        </row>
        <row r="54">
          <cell r="A54" t="str">
            <v>Per ton reduced wood harvest (MTCO2E/MT)</v>
          </cell>
          <cell r="C54">
            <v>3.5244895116030759</v>
          </cell>
          <cell r="D54">
            <v>3.6155714273239496</v>
          </cell>
          <cell r="E54">
            <v>3.6461859186649144</v>
          </cell>
          <cell r="F54">
            <v>3.6140407027571739</v>
          </cell>
          <cell r="G54">
            <v>3.5604653429111912</v>
          </cell>
        </row>
        <row r="55">
          <cell r="A55" t="str">
            <v>Per ton reduced carbon harvest (MTCO2E/MT)</v>
          </cell>
          <cell r="C55">
            <v>24.337341260284891</v>
          </cell>
          <cell r="D55">
            <v>24.966281042412707</v>
          </cell>
          <cell r="E55">
            <v>25.177680543197773</v>
          </cell>
          <cell r="F55">
            <v>24.955711067375336</v>
          </cell>
          <cell r="G55">
            <v>24.585761941006339</v>
          </cell>
        </row>
        <row r="56">
          <cell r="A56" t="str">
            <v>Per ton increased recycling (MTCO2E/short ton)</v>
          </cell>
          <cell r="C56">
            <v>2.814474383131313</v>
          </cell>
          <cell r="D56">
            <v>2.8872076733621386</v>
          </cell>
          <cell r="E56">
            <v>2.9116548170826908</v>
          </cell>
          <cell r="F56">
            <v>2.885985316176328</v>
          </cell>
          <cell r="G56">
            <v>2.8432028146659247</v>
          </cell>
        </row>
        <row r="57">
          <cell r="A57" t="str">
            <v>Per ton reduced prodn of solid wood product (source reduction) (MTCO2E/short ton)</v>
          </cell>
          <cell r="C57">
            <v>3.5180929789141415</v>
          </cell>
          <cell r="D57">
            <v>3.609009591702673</v>
          </cell>
          <cell r="E57">
            <v>3.6395685213533633</v>
          </cell>
          <cell r="F57">
            <v>3.6074816452204104</v>
          </cell>
          <cell r="G57">
            <v>3.5540035183324057</v>
          </cell>
        </row>
        <row r="60">
          <cell r="B60" t="str">
            <v>Emission factor -- change in product pool carbon  per unit change in recycling or SR</v>
          </cell>
          <cell r="J60" t="str">
            <v>Check on solid wood product pool:</v>
          </cell>
          <cell r="L60" t="str">
            <v>Billion Metric Tonnes</v>
          </cell>
        </row>
        <row r="61">
          <cell r="B61" t="str">
            <v>Based on carbon content of softwoods in Southeast &amp; South Central Region, Pine Forest Type</v>
          </cell>
          <cell r="J61" t="str">
            <v>Cumulative Values for "In Use"</v>
          </cell>
          <cell r="K61">
            <v>2000</v>
          </cell>
          <cell r="L61">
            <v>2010</v>
          </cell>
          <cell r="M61">
            <v>2020</v>
          </cell>
          <cell r="N61">
            <v>2030</v>
          </cell>
          <cell r="O61">
            <v>2040</v>
          </cell>
        </row>
        <row r="62">
          <cell r="C62">
            <v>2000</v>
          </cell>
          <cell r="D62">
            <v>2010</v>
          </cell>
          <cell r="E62">
            <v>2020</v>
          </cell>
          <cell r="F62">
            <v>2030</v>
          </cell>
          <cell r="G62">
            <v>2040</v>
          </cell>
          <cell r="J62" t="str">
            <v>Base Case</v>
          </cell>
          <cell r="K62">
            <v>0.74382000000000004</v>
          </cell>
          <cell r="L62">
            <v>1.2644599999999999</v>
          </cell>
          <cell r="M62">
            <v>1.7058899999999999</v>
          </cell>
          <cell r="N62">
            <v>2.1185299999999998</v>
          </cell>
          <cell r="O62">
            <v>2.5016600000000002</v>
          </cell>
        </row>
        <row r="63">
          <cell r="A63" t="str">
            <v>Per ton increased recycling (MTCO2E/short ton)</v>
          </cell>
          <cell r="C63">
            <v>-0.3532613626054612</v>
          </cell>
          <cell r="D63">
            <v>-0.3532613626054612</v>
          </cell>
          <cell r="E63">
            <v>-0.3532613626054612</v>
          </cell>
          <cell r="F63">
            <v>-0.3532613626054612</v>
          </cell>
          <cell r="G63">
            <v>-0.3532613626054612</v>
          </cell>
          <cell r="J63" t="str">
            <v>1.7% scenario</v>
          </cell>
          <cell r="K63">
            <v>0.74226999999999999</v>
          </cell>
          <cell r="L63">
            <v>1.2579899999999999</v>
          </cell>
          <cell r="M63">
            <v>1.70326</v>
          </cell>
          <cell r="N63">
            <v>2.1185</v>
          </cell>
          <cell r="O63">
            <v>2.5031500000000002</v>
          </cell>
        </row>
        <row r="64">
          <cell r="A64" t="str">
            <v>Per ton reduced prodn of solid wood product (source reduction) (MTCO2E/short ton)</v>
          </cell>
          <cell r="C64">
            <v>-1.7663068130273065</v>
          </cell>
          <cell r="D64">
            <v>-1.7663068130273065</v>
          </cell>
          <cell r="E64">
            <v>-1.7663068130273065</v>
          </cell>
          <cell r="F64">
            <v>-1.7663068130273065</v>
          </cell>
          <cell r="G64">
            <v>-1.7663068130273065</v>
          </cell>
          <cell r="J64" t="str">
            <v>Delta, MTC</v>
          </cell>
          <cell r="K64">
            <v>-1550000.0000000512</v>
          </cell>
          <cell r="L64">
            <v>-6469999.9999999758</v>
          </cell>
          <cell r="M64">
            <v>-2629999.9999999101</v>
          </cell>
          <cell r="N64">
            <v>-29999.999999752446</v>
          </cell>
          <cell r="O64">
            <v>1489999.9999999914</v>
          </cell>
        </row>
        <row r="65">
          <cell r="J65" t="str">
            <v>Cumulative delta, MT C harvested</v>
          </cell>
          <cell r="K65">
            <v>-2557706.5757532609</v>
          </cell>
          <cell r="L65">
            <v>-12719466.597299531</v>
          </cell>
          <cell r="M65">
            <v>-12719466.597299531</v>
          </cell>
          <cell r="N65">
            <v>-12719466.597299531</v>
          </cell>
          <cell r="O65">
            <v>-12719466.597299531</v>
          </cell>
        </row>
        <row r="67">
          <cell r="B67" t="str">
            <v>Emission factor -- increase in forest + product pool carbon  per unit change in recycling or SR</v>
          </cell>
        </row>
        <row r="68">
          <cell r="B68" t="str">
            <v>Based on carbon content of softwoods in Southeast &amp; South Central Region, Pine Forest Type</v>
          </cell>
        </row>
        <row r="69">
          <cell r="C69">
            <v>2000</v>
          </cell>
          <cell r="D69">
            <v>2010</v>
          </cell>
          <cell r="E69">
            <v>2020</v>
          </cell>
          <cell r="F69">
            <v>2030</v>
          </cell>
          <cell r="G69">
            <v>2040</v>
          </cell>
        </row>
        <row r="70">
          <cell r="A70" t="str">
            <v>Per ton increased recycling (MTCO2E/short ton)</v>
          </cell>
          <cell r="C70">
            <v>2.461213020525852</v>
          </cell>
          <cell r="D70">
            <v>2.5339463107566775</v>
          </cell>
          <cell r="E70">
            <v>2.5583934544772298</v>
          </cell>
          <cell r="F70">
            <v>2.532723953570867</v>
          </cell>
          <cell r="G70">
            <v>2.4899414520604637</v>
          </cell>
        </row>
        <row r="71">
          <cell r="A71" t="str">
            <v>Per ton reduced prodn of solid wood product (source reduction) (MTCO2E/short ton)</v>
          </cell>
          <cell r="C71">
            <v>1.751786165886835</v>
          </cell>
          <cell r="D71">
            <v>1.8427027786753665</v>
          </cell>
          <cell r="E71">
            <v>1.8732617083260568</v>
          </cell>
          <cell r="F71">
            <v>1.8411748321931038</v>
          </cell>
          <cell r="G71">
            <v>1.7876967053050992</v>
          </cell>
        </row>
      </sheetData>
      <sheetData sheetId="51" refreshError="1">
        <row r="6">
          <cell r="B6">
            <v>-4.9104449096890379</v>
          </cell>
          <cell r="C6">
            <v>0</v>
          </cell>
          <cell r="D6">
            <v>0</v>
          </cell>
          <cell r="E6">
            <v>-4.9104449096890379</v>
          </cell>
        </row>
        <row r="7">
          <cell r="B7">
            <v>-3.061886354687406</v>
          </cell>
          <cell r="C7">
            <v>0</v>
          </cell>
          <cell r="D7">
            <v>0</v>
          </cell>
          <cell r="E7">
            <v>-3.061886354687406</v>
          </cell>
        </row>
        <row r="8">
          <cell r="B8">
            <v>-7.0107054917412031</v>
          </cell>
          <cell r="C8">
            <v>0</v>
          </cell>
          <cell r="D8">
            <v>0</v>
          </cell>
          <cell r="E8">
            <v>-7.0107054917412031</v>
          </cell>
        </row>
        <row r="9">
          <cell r="B9">
            <v>-0.52566554670877741</v>
          </cell>
          <cell r="C9">
            <v>0</v>
          </cell>
          <cell r="D9">
            <v>0</v>
          </cell>
          <cell r="E9">
            <v>-0.52566554670877741</v>
          </cell>
        </row>
        <row r="10">
          <cell r="B10">
            <v>-1.4692446188872095</v>
          </cell>
          <cell r="C10">
            <v>0</v>
          </cell>
          <cell r="D10">
            <v>0</v>
          </cell>
          <cell r="E10">
            <v>-1.4692446188872095</v>
          </cell>
        </row>
        <row r="11">
          <cell r="B11">
            <v>-1.7987541239290445</v>
          </cell>
          <cell r="C11">
            <v>0</v>
          </cell>
          <cell r="D11">
            <v>0</v>
          </cell>
          <cell r="E11">
            <v>-1.7987541239290445</v>
          </cell>
        </row>
        <row r="12">
          <cell r="B12">
            <v>-2.2010592879855531</v>
          </cell>
          <cell r="C12">
            <v>0</v>
          </cell>
          <cell r="D12">
            <v>0</v>
          </cell>
          <cell r="E12">
            <v>-2.2010592879855531</v>
          </cell>
        </row>
        <row r="13">
          <cell r="B13">
            <v>-1.1871089165429529</v>
          </cell>
          <cell r="C13">
            <v>-0.31504760584868063</v>
          </cell>
          <cell r="D13">
            <v>0</v>
          </cell>
          <cell r="E13">
            <v>-5.5977753984244822</v>
          </cell>
        </row>
        <row r="14">
          <cell r="B14">
            <v>-2.1034159995306343</v>
          </cell>
          <cell r="C14">
            <v>-0.46410238711042195</v>
          </cell>
          <cell r="D14">
            <v>0</v>
          </cell>
          <cell r="E14">
            <v>-8.6008494190765425</v>
          </cell>
        </row>
        <row r="15">
          <cell r="B15">
            <v>-2.0162518975960326</v>
          </cell>
          <cell r="C15">
            <v>-0.19666950305368655</v>
          </cell>
          <cell r="D15">
            <v>0</v>
          </cell>
          <cell r="E15">
            <v>-4.7696249403476445</v>
          </cell>
        </row>
        <row r="16">
          <cell r="B16">
            <v>-1.4720932547899108</v>
          </cell>
          <cell r="C16">
            <v>-0.46410238711042195</v>
          </cell>
          <cell r="D16">
            <v>0</v>
          </cell>
          <cell r="E16">
            <v>-7.9695266743358184</v>
          </cell>
        </row>
        <row r="17">
          <cell r="B17">
            <v>-2.6393232969233793</v>
          </cell>
          <cell r="C17">
            <v>-0.25541493903076173</v>
          </cell>
          <cell r="D17">
            <v>0</v>
          </cell>
          <cell r="E17">
            <v>-6.2151324433540438</v>
          </cell>
        </row>
        <row r="18">
          <cell r="B18">
            <v>-2.5704148358292644</v>
          </cell>
          <cell r="C18">
            <v>-0.46410238711042195</v>
          </cell>
          <cell r="D18">
            <v>0</v>
          </cell>
          <cell r="E18">
            <v>-9.0678482553751714</v>
          </cell>
        </row>
        <row r="19">
          <cell r="B19">
            <v>-0.30617016423990151</v>
          </cell>
          <cell r="C19">
            <v>-0.12284685191169109</v>
          </cell>
          <cell r="D19">
            <v>0</v>
          </cell>
          <cell r="E19">
            <v>-2.026026091003577</v>
          </cell>
        </row>
        <row r="20">
          <cell r="B20">
            <v>-0.5137890367757536</v>
          </cell>
          <cell r="C20">
            <v>-0.12284685191169109</v>
          </cell>
          <cell r="D20">
            <v>0</v>
          </cell>
          <cell r="E20">
            <v>-2.2336449635394287</v>
          </cell>
        </row>
        <row r="21">
          <cell r="B21">
            <v>0</v>
          </cell>
          <cell r="C21">
            <v>0</v>
          </cell>
          <cell r="D21">
            <v>0</v>
          </cell>
          <cell r="E21">
            <v>0</v>
          </cell>
        </row>
        <row r="22">
          <cell r="B22">
            <v>0</v>
          </cell>
          <cell r="C22">
            <v>0</v>
          </cell>
          <cell r="D22">
            <v>0</v>
          </cell>
          <cell r="E22">
            <v>0</v>
          </cell>
        </row>
        <row r="23">
          <cell r="B23">
            <v>0</v>
          </cell>
          <cell r="C23">
            <v>0</v>
          </cell>
          <cell r="D23">
            <v>0</v>
          </cell>
          <cell r="E23">
            <v>0</v>
          </cell>
        </row>
        <row r="24">
          <cell r="B24">
            <v>0</v>
          </cell>
          <cell r="C24">
            <v>0</v>
          </cell>
          <cell r="D24">
            <v>0</v>
          </cell>
          <cell r="E24">
            <v>0</v>
          </cell>
        </row>
        <row r="25">
          <cell r="B25">
            <v>0</v>
          </cell>
          <cell r="C25">
            <v>0</v>
          </cell>
          <cell r="D25">
            <v>0</v>
          </cell>
          <cell r="E25">
            <v>0</v>
          </cell>
        </row>
        <row r="26">
          <cell r="B26">
            <v>0</v>
          </cell>
          <cell r="C26">
            <v>0</v>
          </cell>
          <cell r="D26">
            <v>0</v>
          </cell>
          <cell r="E26">
            <v>0</v>
          </cell>
        </row>
        <row r="27">
          <cell r="B27">
            <v>0</v>
          </cell>
          <cell r="C27">
            <v>0</v>
          </cell>
          <cell r="D27">
            <v>0</v>
          </cell>
          <cell r="E27">
            <v>0</v>
          </cell>
        </row>
        <row r="28">
          <cell r="B28">
            <v>0</v>
          </cell>
          <cell r="C28">
            <v>0</v>
          </cell>
          <cell r="D28">
            <v>0</v>
          </cell>
          <cell r="E28">
            <v>0</v>
          </cell>
        </row>
        <row r="29">
          <cell r="B29">
            <v>0</v>
          </cell>
          <cell r="C29">
            <v>0</v>
          </cell>
          <cell r="D29">
            <v>0</v>
          </cell>
          <cell r="E29">
            <v>0</v>
          </cell>
        </row>
        <row r="30">
          <cell r="B30">
            <v>0</v>
          </cell>
          <cell r="C30">
            <v>0</v>
          </cell>
          <cell r="D30">
            <v>0</v>
          </cell>
          <cell r="E30">
            <v>0</v>
          </cell>
        </row>
        <row r="31">
          <cell r="B31">
            <v>0</v>
          </cell>
          <cell r="C31">
            <v>0</v>
          </cell>
          <cell r="D31">
            <v>0</v>
          </cell>
          <cell r="E31">
            <v>0</v>
          </cell>
        </row>
        <row r="32">
          <cell r="B32">
            <v>0</v>
          </cell>
          <cell r="C32">
            <v>0</v>
          </cell>
          <cell r="D32">
            <v>0</v>
          </cell>
          <cell r="E32">
            <v>0</v>
          </cell>
        </row>
        <row r="33">
          <cell r="B33">
            <v>0</v>
          </cell>
          <cell r="C33">
            <v>0</v>
          </cell>
          <cell r="D33">
            <v>0</v>
          </cell>
          <cell r="E33">
            <v>0</v>
          </cell>
        </row>
        <row r="34">
          <cell r="B34">
            <v>0</v>
          </cell>
          <cell r="C34">
            <v>0</v>
          </cell>
          <cell r="D34">
            <v>0</v>
          </cell>
          <cell r="E34">
            <v>0</v>
          </cell>
        </row>
        <row r="35">
          <cell r="B35">
            <v>-3.8185992981347638</v>
          </cell>
          <cell r="C35">
            <v>0</v>
          </cell>
          <cell r="D35">
            <v>0</v>
          </cell>
          <cell r="E35">
            <v>-3.8185992981347638</v>
          </cell>
        </row>
        <row r="36">
          <cell r="B36">
            <v>-50.486963654668344</v>
          </cell>
          <cell r="C36">
            <v>0</v>
          </cell>
          <cell r="D36">
            <v>0</v>
          </cell>
          <cell r="E36">
            <v>-50.486963654668344</v>
          </cell>
        </row>
        <row r="37">
          <cell r="B37">
            <v>-0.27330976660243145</v>
          </cell>
          <cell r="C37">
            <v>0</v>
          </cell>
          <cell r="D37">
            <v>0</v>
          </cell>
          <cell r="E37">
            <v>-0.27330976660243145</v>
          </cell>
        </row>
        <row r="38">
          <cell r="B38" t="str">
            <v>NA</v>
          </cell>
          <cell r="C38" t="str">
            <v>NA</v>
          </cell>
          <cell r="D38" t="str">
            <v>NA</v>
          </cell>
          <cell r="E38" t="str">
            <v>NA</v>
          </cell>
        </row>
        <row r="39">
          <cell r="B39" t="str">
            <v>NA</v>
          </cell>
          <cell r="C39" t="str">
            <v>NA</v>
          </cell>
          <cell r="D39" t="str">
            <v>NA</v>
          </cell>
          <cell r="E39" t="str">
            <v>NA</v>
          </cell>
        </row>
        <row r="40">
          <cell r="B40">
            <v>-4.2818266224497741</v>
          </cell>
          <cell r="C40">
            <v>0</v>
          </cell>
          <cell r="D40">
            <v>0</v>
          </cell>
          <cell r="E40">
            <v>-4.2818266224497741</v>
          </cell>
        </row>
        <row r="46">
          <cell r="B46" t="str">
            <v>Year One</v>
          </cell>
          <cell r="C46" t="str">
            <v>Years 2-15</v>
          </cell>
          <cell r="D46" t="str">
            <v>Years 16-30</v>
          </cell>
          <cell r="E46" t="str">
            <v>Total for 30 Years</v>
          </cell>
        </row>
        <row r="47">
          <cell r="B47">
            <v>-9.107799577537099</v>
          </cell>
          <cell r="C47">
            <v>0</v>
          </cell>
          <cell r="D47">
            <v>0</v>
          </cell>
          <cell r="E47">
            <v>-9.107799577537099</v>
          </cell>
        </row>
        <row r="48">
          <cell r="B48">
            <v>-1.8122705074770458</v>
          </cell>
          <cell r="C48">
            <v>0</v>
          </cell>
          <cell r="D48">
            <v>0</v>
          </cell>
          <cell r="E48">
            <v>-1.8122705074770458</v>
          </cell>
        </row>
        <row r="49">
          <cell r="B49">
            <v>-4.7071546723673707</v>
          </cell>
          <cell r="C49">
            <v>0</v>
          </cell>
          <cell r="D49">
            <v>0</v>
          </cell>
          <cell r="E49">
            <v>-4.7071546723673707</v>
          </cell>
        </row>
        <row r="50">
          <cell r="B50">
            <v>-0.27652247316904294</v>
          </cell>
          <cell r="C50">
            <v>0</v>
          </cell>
          <cell r="D50">
            <v>0</v>
          </cell>
          <cell r="E50">
            <v>-0.27652247316904294</v>
          </cell>
        </row>
        <row r="51">
          <cell r="B51">
            <v>-0.86868705060174922</v>
          </cell>
          <cell r="C51">
            <v>0</v>
          </cell>
          <cell r="D51">
            <v>0</v>
          </cell>
          <cell r="E51">
            <v>-0.86868705060174922</v>
          </cell>
        </row>
        <row r="52">
          <cell r="B52" t="e">
            <v>#VALUE!</v>
          </cell>
          <cell r="C52" t="e">
            <v>#VALUE!</v>
          </cell>
          <cell r="D52">
            <v>0</v>
          </cell>
          <cell r="E52" t="e">
            <v>#VALUE!</v>
          </cell>
        </row>
        <row r="53">
          <cell r="A53" t="str">
            <v>PET</v>
          </cell>
          <cell r="B53">
            <v>-1.1173153833954395</v>
          </cell>
          <cell r="C53">
            <v>0</v>
          </cell>
          <cell r="D53">
            <v>0</v>
          </cell>
          <cell r="E53">
            <v>-1.1173153833954395</v>
          </cell>
        </row>
        <row r="54">
          <cell r="A54" t="str">
            <v>Corrugated Containers</v>
          </cell>
          <cell r="B54">
            <v>-0.2682822205929874</v>
          </cell>
          <cell r="C54">
            <v>-0.20374171882217282</v>
          </cell>
          <cell r="D54">
            <v>0</v>
          </cell>
          <cell r="E54">
            <v>-3.120666284103407</v>
          </cell>
        </row>
        <row r="55">
          <cell r="A55" t="str">
            <v>Magazines/Third-class Mail</v>
          </cell>
          <cell r="B55">
            <v>-0.21761254618717346</v>
          </cell>
          <cell r="C55">
            <v>-0.20374171882217282</v>
          </cell>
          <cell r="D55">
            <v>0</v>
          </cell>
          <cell r="E55">
            <v>-3.069996609697593</v>
          </cell>
        </row>
        <row r="56">
          <cell r="A56" t="str">
            <v>Newspaper</v>
          </cell>
          <cell r="B56">
            <v>-0.86611785017396048</v>
          </cell>
          <cell r="C56">
            <v>-0.13441293950073904</v>
          </cell>
          <cell r="D56">
            <v>0</v>
          </cell>
          <cell r="E56">
            <v>-2.7478990031843069</v>
          </cell>
        </row>
        <row r="57">
          <cell r="A57" t="str">
            <v>Office Paper</v>
          </cell>
          <cell r="B57">
            <v>-6.8075129572919002E-3</v>
          </cell>
          <cell r="C57">
            <v>-0.20374171882217282</v>
          </cell>
          <cell r="D57">
            <v>0</v>
          </cell>
          <cell r="E57">
            <v>-2.8591915764677114</v>
          </cell>
        </row>
        <row r="58">
          <cell r="A58" t="str">
            <v>Phonebooks</v>
          </cell>
          <cell r="B58">
            <v>-0.75374538134802549</v>
          </cell>
          <cell r="C58">
            <v>-0.13441293950073904</v>
          </cell>
          <cell r="D58">
            <v>0</v>
          </cell>
          <cell r="E58">
            <v>-2.6355265343583723</v>
          </cell>
        </row>
        <row r="59">
          <cell r="A59" t="str">
            <v>Textbooks</v>
          </cell>
          <cell r="B59">
            <v>-0.25361568991078465</v>
          </cell>
          <cell r="C59">
            <v>-0.20374171882217282</v>
          </cell>
          <cell r="D59">
            <v>0</v>
          </cell>
          <cell r="E59">
            <v>-3.1059997534212043</v>
          </cell>
        </row>
        <row r="60">
          <cell r="A60" t="str">
            <v>Dimensional Lumber</v>
          </cell>
          <cell r="B60">
            <v>-9.6595135027922774E-2</v>
          </cell>
          <cell r="C60">
            <v>-0.16892975405044516</v>
          </cell>
          <cell r="D60">
            <v>0</v>
          </cell>
          <cell r="E60">
            <v>-2.4616116917341553</v>
          </cell>
        </row>
        <row r="61">
          <cell r="A61" t="str">
            <v>Medium-density Fiberboard</v>
          </cell>
          <cell r="B61">
            <v>-0.10561734619108516</v>
          </cell>
          <cell r="C61">
            <v>-0.16892975405044516</v>
          </cell>
          <cell r="D61">
            <v>0</v>
          </cell>
          <cell r="E61">
            <v>-2.4706339028973177</v>
          </cell>
        </row>
        <row r="62">
          <cell r="A62" t="str">
            <v>Food Waste</v>
          </cell>
          <cell r="B62">
            <v>1.9533937541226856E-2</v>
          </cell>
          <cell r="C62">
            <v>0</v>
          </cell>
          <cell r="D62">
            <v>0</v>
          </cell>
          <cell r="E62">
            <v>1.9533937541226856E-2</v>
          </cell>
        </row>
        <row r="63">
          <cell r="A63" t="str">
            <v>Yard Trimmings</v>
          </cell>
          <cell r="B63">
            <v>7.829087373207641E-2</v>
          </cell>
          <cell r="C63">
            <v>-1.6043063809150451E-2</v>
          </cell>
          <cell r="D63">
            <v>0</v>
          </cell>
          <cell r="E63">
            <v>-0.14631201959602991</v>
          </cell>
        </row>
        <row r="64">
          <cell r="A64" t="str">
            <v>Grass</v>
          </cell>
          <cell r="B64">
            <v>7.829087373207641E-2</v>
          </cell>
          <cell r="C64">
            <v>-1.6043063809150451E-2</v>
          </cell>
          <cell r="D64">
            <v>0</v>
          </cell>
          <cell r="E64">
            <v>-0.14631201959602991</v>
          </cell>
        </row>
        <row r="65">
          <cell r="A65" t="str">
            <v>Leaves</v>
          </cell>
          <cell r="B65">
            <v>7.829087373207641E-2</v>
          </cell>
          <cell r="C65">
            <v>-1.6043063809150451E-2</v>
          </cell>
          <cell r="D65">
            <v>0</v>
          </cell>
          <cell r="E65">
            <v>-0.14631201959602991</v>
          </cell>
        </row>
        <row r="66">
          <cell r="A66" t="str">
            <v>Branches</v>
          </cell>
          <cell r="B66">
            <v>7.829087373207641E-2</v>
          </cell>
          <cell r="C66">
            <v>-1.6043063809150451E-2</v>
          </cell>
          <cell r="D66">
            <v>0</v>
          </cell>
          <cell r="E66">
            <v>-0.14631201959602991</v>
          </cell>
        </row>
        <row r="67">
          <cell r="A67" t="str">
            <v xml:space="preserve">Mixed Paper </v>
          </cell>
          <cell r="B67">
            <v>0</v>
          </cell>
          <cell r="C67">
            <v>0</v>
          </cell>
          <cell r="D67">
            <v>0</v>
          </cell>
          <cell r="E67">
            <v>0</v>
          </cell>
        </row>
        <row r="68">
          <cell r="A68" t="str">
            <v>Mixed Paper (general)</v>
          </cell>
          <cell r="B68">
            <v>-0.6784136615642794</v>
          </cell>
          <cell r="C68">
            <v>-0.20374171882217282</v>
          </cell>
          <cell r="D68">
            <v>0</v>
          </cell>
          <cell r="E68">
            <v>-3.5307977250746987</v>
          </cell>
        </row>
        <row r="69">
          <cell r="A69" t="str">
            <v>Mixed Paper (primarily residential)</v>
          </cell>
          <cell r="B69">
            <v>-0.6784136615642794</v>
          </cell>
          <cell r="C69">
            <v>-0.20374171882217282</v>
          </cell>
          <cell r="D69">
            <v>0</v>
          </cell>
          <cell r="E69">
            <v>-3.5307977250746987</v>
          </cell>
        </row>
        <row r="70">
          <cell r="A70" t="str">
            <v>Mixed Paper (primarily from offices)</v>
          </cell>
          <cell r="B70">
            <v>-0.73367010300006941</v>
          </cell>
          <cell r="C70">
            <v>-0.20374171882217282</v>
          </cell>
          <cell r="D70">
            <v>0</v>
          </cell>
          <cell r="E70">
            <v>-3.5860541665104888</v>
          </cell>
        </row>
        <row r="71">
          <cell r="A71" t="str">
            <v>Mixed Metals</v>
          </cell>
          <cell r="B71">
            <v>-4.3404241456166677</v>
          </cell>
          <cell r="C71">
            <v>0</v>
          </cell>
          <cell r="D71">
            <v>0</v>
          </cell>
          <cell r="E71">
            <v>-4.3404241456166677</v>
          </cell>
        </row>
        <row r="72">
          <cell r="A72" t="str">
            <v>Mixed Plastics</v>
          </cell>
          <cell r="B72">
            <v>-1.0228366169338372</v>
          </cell>
          <cell r="C72">
            <v>0</v>
          </cell>
          <cell r="D72">
            <v>0</v>
          </cell>
          <cell r="E72">
            <v>-1.0228366169338372</v>
          </cell>
        </row>
        <row r="73">
          <cell r="A73" t="str">
            <v>Mixed Recyclables</v>
          </cell>
          <cell r="B73">
            <v>-0.49050099558614901</v>
          </cell>
          <cell r="C73">
            <v>-0.16674772089555384</v>
          </cell>
          <cell r="D73">
            <v>0</v>
          </cell>
          <cell r="E73">
            <v>-2.8249690881239027</v>
          </cell>
        </row>
        <row r="74">
          <cell r="A74" t="str">
            <v>Mixed Organics</v>
          </cell>
          <cell r="B74" t="str">
            <v>N/A</v>
          </cell>
          <cell r="C74" t="str">
            <v>N/A</v>
          </cell>
          <cell r="D74">
            <v>0</v>
          </cell>
          <cell r="E74" t="str">
            <v>N/A</v>
          </cell>
        </row>
        <row r="75">
          <cell r="A75" t="str">
            <v>Mixed MSW</v>
          </cell>
          <cell r="B75" t="str">
            <v>N/A</v>
          </cell>
          <cell r="C75" t="str">
            <v>N/A</v>
          </cell>
          <cell r="D75">
            <v>0</v>
          </cell>
          <cell r="E75" t="str">
            <v>N/A</v>
          </cell>
        </row>
        <row r="76">
          <cell r="A76" t="str">
            <v>Carpet</v>
          </cell>
          <cell r="B76">
            <v>-2.3580317140332059</v>
          </cell>
          <cell r="C76">
            <v>0</v>
          </cell>
          <cell r="D76">
            <v>0</v>
          </cell>
          <cell r="E76">
            <v>-2.3580317140332059</v>
          </cell>
        </row>
        <row r="77">
          <cell r="A77" t="str">
            <v>Personal Computers</v>
          </cell>
          <cell r="B77">
            <v>-2.5041000762874193</v>
          </cell>
          <cell r="C77">
            <v>0</v>
          </cell>
          <cell r="D77">
            <v>0</v>
          </cell>
          <cell r="E77">
            <v>-2.5041000762874193</v>
          </cell>
        </row>
        <row r="78">
          <cell r="A78" t="str">
            <v>Clay Bricks</v>
          </cell>
          <cell r="B78" t="str">
            <v>NA</v>
          </cell>
          <cell r="C78" t="str">
            <v>NA</v>
          </cell>
          <cell r="D78" t="str">
            <v>NA</v>
          </cell>
          <cell r="E78" t="str">
            <v>NA</v>
          </cell>
        </row>
        <row r="79">
          <cell r="A79" t="str">
            <v>Aggregate</v>
          </cell>
          <cell r="B79">
            <v>-7.9565158594323455E-3</v>
          </cell>
          <cell r="C79">
            <v>0</v>
          </cell>
          <cell r="D79">
            <v>0</v>
          </cell>
          <cell r="E79">
            <v>-7.9565158594323455E-3</v>
          </cell>
        </row>
        <row r="80">
          <cell r="A80" t="str">
            <v>Fly Ash</v>
          </cell>
          <cell r="B80">
            <v>-0.86757417398485015</v>
          </cell>
          <cell r="C80">
            <v>0</v>
          </cell>
          <cell r="D80">
            <v>0</v>
          </cell>
          <cell r="E80">
            <v>-0.86757417398485015</v>
          </cell>
        </row>
        <row r="81">
          <cell r="A81" t="str">
            <v>Tires</v>
          </cell>
          <cell r="B81">
            <v>-0.37616048668732771</v>
          </cell>
          <cell r="C81">
            <v>0</v>
          </cell>
          <cell r="D81">
            <v>0</v>
          </cell>
          <cell r="E81">
            <v>-0.37616048668732771</v>
          </cell>
        </row>
        <row r="87">
          <cell r="B87" t="str">
            <v>Year One</v>
          </cell>
          <cell r="C87" t="str">
            <v>Years 2-15</v>
          </cell>
          <cell r="D87" t="str">
            <v>Years 16-30</v>
          </cell>
          <cell r="E87" t="str">
            <v>Total for 30 Years</v>
          </cell>
        </row>
        <row r="88">
          <cell r="B88">
            <v>3.540283999631616E-2</v>
          </cell>
          <cell r="C88">
            <v>0</v>
          </cell>
          <cell r="D88">
            <v>0</v>
          </cell>
          <cell r="E88">
            <v>3.540283999631616E-2</v>
          </cell>
        </row>
        <row r="89">
          <cell r="B89">
            <v>-1.5728717738351012</v>
          </cell>
          <cell r="C89">
            <v>0</v>
          </cell>
          <cell r="D89">
            <v>0</v>
          </cell>
          <cell r="E89">
            <v>-1.5728717738351012</v>
          </cell>
        </row>
        <row r="90">
          <cell r="B90">
            <v>3.0476826877984618E-2</v>
          </cell>
          <cell r="C90">
            <v>0</v>
          </cell>
          <cell r="D90">
            <v>0</v>
          </cell>
          <cell r="E90">
            <v>3.0476826877984618E-2</v>
          </cell>
        </row>
        <row r="91">
          <cell r="A91" t="str">
            <v>Glass</v>
          </cell>
          <cell r="B91">
            <v>2.7521219006985689E-2</v>
          </cell>
          <cell r="C91">
            <v>0</v>
          </cell>
          <cell r="D91">
            <v>0</v>
          </cell>
          <cell r="E91">
            <v>2.7521219006985689E-2</v>
          </cell>
        </row>
        <row r="92">
          <cell r="A92" t="str">
            <v>HDPE</v>
          </cell>
          <cell r="B92">
            <v>1.2280151252900477</v>
          </cell>
          <cell r="C92">
            <v>0</v>
          </cell>
          <cell r="D92">
            <v>0</v>
          </cell>
          <cell r="E92">
            <v>1.2280151252900477</v>
          </cell>
        </row>
        <row r="93">
          <cell r="A93" t="str">
            <v>LDPE</v>
          </cell>
          <cell r="B93">
            <v>1.2365272759585244</v>
          </cell>
          <cell r="C93">
            <v>0</v>
          </cell>
          <cell r="D93">
            <v>0</v>
          </cell>
          <cell r="E93">
            <v>1.2365272759585244</v>
          </cell>
        </row>
        <row r="94">
          <cell r="A94" t="str">
            <v>PET</v>
          </cell>
          <cell r="B94">
            <v>1.2109542194255063</v>
          </cell>
          <cell r="C94">
            <v>0</v>
          </cell>
          <cell r="D94">
            <v>0</v>
          </cell>
          <cell r="E94">
            <v>1.2109542194255063</v>
          </cell>
        </row>
        <row r="95">
          <cell r="A95" t="str">
            <v>Corrugated Containers</v>
          </cell>
          <cell r="B95">
            <v>-0.50943648992981905</v>
          </cell>
          <cell r="C95">
            <v>0</v>
          </cell>
          <cell r="D95">
            <v>0</v>
          </cell>
          <cell r="E95">
            <v>-0.50943648992981905</v>
          </cell>
        </row>
        <row r="96">
          <cell r="A96" t="str">
            <v>Magazines/Third-class Mail</v>
          </cell>
          <cell r="B96">
            <v>-0.3687495552702702</v>
          </cell>
          <cell r="C96">
            <v>0</v>
          </cell>
          <cell r="D96">
            <v>0</v>
          </cell>
          <cell r="E96">
            <v>-0.3687495552702702</v>
          </cell>
        </row>
        <row r="97">
          <cell r="A97" t="str">
            <v>Newspaper</v>
          </cell>
          <cell r="B97">
            <v>-0.58092279230304644</v>
          </cell>
          <cell r="C97">
            <v>0</v>
          </cell>
          <cell r="D97">
            <v>0</v>
          </cell>
          <cell r="E97">
            <v>-0.58092279230304644</v>
          </cell>
        </row>
        <row r="98">
          <cell r="A98" t="str">
            <v>Office Paper</v>
          </cell>
          <cell r="B98">
            <v>-0.49028415092574595</v>
          </cell>
          <cell r="C98">
            <v>0</v>
          </cell>
          <cell r="D98">
            <v>0</v>
          </cell>
          <cell r="E98">
            <v>-0.49028415092574595</v>
          </cell>
        </row>
        <row r="99">
          <cell r="A99" t="str">
            <v>Phonebooks</v>
          </cell>
          <cell r="B99">
            <v>-0.58092279230304644</v>
          </cell>
          <cell r="C99">
            <v>0</v>
          </cell>
          <cell r="D99">
            <v>0</v>
          </cell>
          <cell r="E99">
            <v>-0.58092279230304644</v>
          </cell>
        </row>
        <row r="100">
          <cell r="A100" t="str">
            <v>Textbooks</v>
          </cell>
          <cell r="B100">
            <v>-0.49028415092574595</v>
          </cell>
          <cell r="C100">
            <v>0</v>
          </cell>
          <cell r="D100">
            <v>0</v>
          </cell>
          <cell r="E100">
            <v>-0.49028415092574595</v>
          </cell>
        </row>
        <row r="101">
          <cell r="A101" t="str">
            <v>Dimensional Lumber</v>
          </cell>
          <cell r="B101">
            <v>-0.60850846576570317</v>
          </cell>
          <cell r="C101">
            <v>0</v>
          </cell>
          <cell r="D101">
            <v>0</v>
          </cell>
          <cell r="E101">
            <v>-0.60850846576570317</v>
          </cell>
        </row>
        <row r="102">
          <cell r="A102" t="str">
            <v>Medium-density Fiberboard</v>
          </cell>
          <cell r="B102">
            <v>-0.60850846576570317</v>
          </cell>
          <cell r="C102">
            <v>0</v>
          </cell>
          <cell r="D102">
            <v>0</v>
          </cell>
          <cell r="E102">
            <v>-0.60850846576570317</v>
          </cell>
        </row>
        <row r="103">
          <cell r="A103" t="str">
            <v>Food Waste</v>
          </cell>
          <cell r="B103">
            <v>0</v>
          </cell>
          <cell r="C103">
            <v>0</v>
          </cell>
          <cell r="D103">
            <v>0</v>
          </cell>
          <cell r="E103">
            <v>0</v>
          </cell>
        </row>
        <row r="104">
          <cell r="A104" t="str">
            <v>Yard Trimmings</v>
          </cell>
          <cell r="B104">
            <v>-0.1750193113525273</v>
          </cell>
          <cell r="C104">
            <v>0</v>
          </cell>
          <cell r="D104">
            <v>0</v>
          </cell>
          <cell r="E104">
            <v>-0.1750193113525273</v>
          </cell>
        </row>
        <row r="105">
          <cell r="A105" t="str">
            <v>Grass</v>
          </cell>
          <cell r="B105">
            <v>-0.1750193113525273</v>
          </cell>
          <cell r="C105">
            <v>0</v>
          </cell>
          <cell r="D105">
            <v>0</v>
          </cell>
          <cell r="E105">
            <v>-0.1750193113525273</v>
          </cell>
        </row>
        <row r="106">
          <cell r="A106" t="str">
            <v>Leaves</v>
          </cell>
          <cell r="B106">
            <v>-0.1750193113525273</v>
          </cell>
          <cell r="C106">
            <v>0</v>
          </cell>
          <cell r="D106">
            <v>0</v>
          </cell>
          <cell r="E106">
            <v>-0.1750193113525273</v>
          </cell>
        </row>
        <row r="107">
          <cell r="A107" t="str">
            <v>Branches</v>
          </cell>
          <cell r="B107">
            <v>-0.1750193113525273</v>
          </cell>
          <cell r="C107">
            <v>0</v>
          </cell>
          <cell r="D107">
            <v>0</v>
          </cell>
          <cell r="E107">
            <v>-0.1750193113525273</v>
          </cell>
        </row>
        <row r="108">
          <cell r="A108" t="str">
            <v xml:space="preserve">Mixed Paper </v>
          </cell>
          <cell r="B108">
            <v>0</v>
          </cell>
          <cell r="C108">
            <v>0</v>
          </cell>
          <cell r="D108">
            <v>0</v>
          </cell>
          <cell r="E108">
            <v>0</v>
          </cell>
        </row>
        <row r="109">
          <cell r="A109" t="str">
            <v>Mixed Paper (general)</v>
          </cell>
          <cell r="B109">
            <v>-0.51150777992581509</v>
          </cell>
          <cell r="C109">
            <v>0</v>
          </cell>
          <cell r="D109">
            <v>0</v>
          </cell>
          <cell r="E109">
            <v>-0.51150777992581509</v>
          </cell>
        </row>
        <row r="110">
          <cell r="A110" t="str">
            <v>Mixed Paper (primarily residential)</v>
          </cell>
          <cell r="B110">
            <v>-0.50912831854913632</v>
          </cell>
          <cell r="C110">
            <v>0</v>
          </cell>
          <cell r="D110">
            <v>0</v>
          </cell>
          <cell r="E110">
            <v>-0.50912831854913632</v>
          </cell>
        </row>
        <row r="111">
          <cell r="A111" t="str">
            <v>Mixed Paper (primarily from offices)</v>
          </cell>
          <cell r="B111">
            <v>-0.46652342812921144</v>
          </cell>
          <cell r="C111">
            <v>0</v>
          </cell>
          <cell r="D111">
            <v>0</v>
          </cell>
          <cell r="E111">
            <v>-0.46652342812921144</v>
          </cell>
        </row>
        <row r="112">
          <cell r="A112" t="str">
            <v>Mixed Metals</v>
          </cell>
          <cell r="B112">
            <v>-1.0155488878539172</v>
          </cell>
          <cell r="C112">
            <v>0</v>
          </cell>
          <cell r="D112">
            <v>0</v>
          </cell>
          <cell r="E112">
            <v>-1.0155488878539172</v>
          </cell>
        </row>
        <row r="113">
          <cell r="A113" t="str">
            <v>Mixed Plastics</v>
          </cell>
          <cell r="B113">
            <v>1.2174373636540317</v>
          </cell>
          <cell r="C113">
            <v>0</v>
          </cell>
          <cell r="D113">
            <v>0</v>
          </cell>
          <cell r="E113">
            <v>1.2174373636540317</v>
          </cell>
        </row>
        <row r="114">
          <cell r="A114" t="str">
            <v>Mixed Recyclables</v>
          </cell>
          <cell r="B114">
            <v>-0.44359697778577156</v>
          </cell>
          <cell r="C114">
            <v>0</v>
          </cell>
          <cell r="D114">
            <v>0</v>
          </cell>
          <cell r="E114">
            <v>-0.44359697778577156</v>
          </cell>
        </row>
        <row r="115">
          <cell r="A115" t="str">
            <v>Mixed Organics</v>
          </cell>
          <cell r="B115">
            <v>-0.15739372395963197</v>
          </cell>
          <cell r="C115">
            <v>0</v>
          </cell>
          <cell r="D115">
            <v>0</v>
          </cell>
          <cell r="E115">
            <v>-0.15739372395963197</v>
          </cell>
        </row>
        <row r="116">
          <cell r="A116" t="str">
            <v>Mixed MSW</v>
          </cell>
          <cell r="B116">
            <v>-6.5531612137649992E-2</v>
          </cell>
          <cell r="C116">
            <v>0</v>
          </cell>
          <cell r="D116">
            <v>0</v>
          </cell>
          <cell r="E116">
            <v>-6.5531612137649992E-2</v>
          </cell>
        </row>
        <row r="117">
          <cell r="A117" t="str">
            <v>Carpet</v>
          </cell>
          <cell r="B117">
            <v>1.0760471867025654</v>
          </cell>
          <cell r="C117">
            <v>0</v>
          </cell>
          <cell r="D117">
            <v>0</v>
          </cell>
          <cell r="E117">
            <v>1.0760471867025654</v>
          </cell>
        </row>
        <row r="118">
          <cell r="A118" t="str">
            <v>Personal Computers</v>
          </cell>
          <cell r="B118">
            <v>-0.18779678745191503</v>
          </cell>
          <cell r="C118">
            <v>0</v>
          </cell>
          <cell r="D118">
            <v>0</v>
          </cell>
          <cell r="E118">
            <v>-0.18779678745191503</v>
          </cell>
        </row>
        <row r="119">
          <cell r="A119" t="str">
            <v>Clay Bricks</v>
          </cell>
          <cell r="B119" t="str">
            <v>NA</v>
          </cell>
          <cell r="C119" t="str">
            <v>NA</v>
          </cell>
          <cell r="D119" t="str">
            <v>NA</v>
          </cell>
          <cell r="E119" t="str">
            <v>NA</v>
          </cell>
        </row>
        <row r="129">
          <cell r="A129" t="str">
            <v>Aluminum Cans</v>
          </cell>
          <cell r="B129">
            <v>2.0254519141196047E-2</v>
          </cell>
          <cell r="C129">
            <v>0</v>
          </cell>
          <cell r="D129">
            <v>0</v>
          </cell>
          <cell r="E129">
            <v>2.0254519141196047E-2</v>
          </cell>
        </row>
        <row r="130">
          <cell r="A130" t="str">
            <v>Steel Cans</v>
          </cell>
          <cell r="B130">
            <v>2.0254519141196047E-2</v>
          </cell>
          <cell r="C130">
            <v>0</v>
          </cell>
          <cell r="D130">
            <v>0</v>
          </cell>
          <cell r="E130">
            <v>2.0254519141196047E-2</v>
          </cell>
        </row>
        <row r="131">
          <cell r="A131" t="str">
            <v>Copper Wire</v>
          </cell>
          <cell r="B131">
            <v>2.0254519141196047E-2</v>
          </cell>
          <cell r="C131">
            <v>0</v>
          </cell>
          <cell r="D131">
            <v>0</v>
          </cell>
          <cell r="E131">
            <v>2.0254519141196047E-2</v>
          </cell>
        </row>
        <row r="132">
          <cell r="A132" t="str">
            <v>Glass</v>
          </cell>
          <cell r="B132">
            <v>2.0254519141196047E-2</v>
          </cell>
          <cell r="C132">
            <v>0</v>
          </cell>
          <cell r="D132">
            <v>0</v>
          </cell>
          <cell r="E132">
            <v>2.0254519141196047E-2</v>
          </cell>
        </row>
        <row r="133">
          <cell r="A133" t="str">
            <v>HDPE</v>
          </cell>
          <cell r="B133">
            <v>2.0254519141196047E-2</v>
          </cell>
          <cell r="C133">
            <v>0</v>
          </cell>
          <cell r="D133">
            <v>0</v>
          </cell>
          <cell r="E133">
            <v>2.0254519141196047E-2</v>
          </cell>
        </row>
        <row r="134">
          <cell r="A134" t="str">
            <v>LDPE</v>
          </cell>
          <cell r="B134">
            <v>2.0254519141196047E-2</v>
          </cell>
          <cell r="C134">
            <v>0</v>
          </cell>
          <cell r="D134">
            <v>0</v>
          </cell>
          <cell r="E134">
            <v>2.0254519141196047E-2</v>
          </cell>
        </row>
        <row r="135">
          <cell r="A135" t="str">
            <v>PET</v>
          </cell>
          <cell r="B135">
            <v>2.0254519141196047E-2</v>
          </cell>
          <cell r="C135">
            <v>0</v>
          </cell>
          <cell r="D135">
            <v>0</v>
          </cell>
          <cell r="E135">
            <v>2.0254519141196047E-2</v>
          </cell>
        </row>
        <row r="136">
          <cell r="A136" t="str">
            <v>Corrugated Containers</v>
          </cell>
          <cell r="B136">
            <v>-8.2372349030471415E-2</v>
          </cell>
          <cell r="C136">
            <v>1.0940775340856378E-2</v>
          </cell>
          <cell r="D136">
            <v>1.0940775340856378E-2</v>
          </cell>
          <cell r="E136">
            <v>0.23491013585436352</v>
          </cell>
        </row>
        <row r="137">
          <cell r="A137" t="str">
            <v>Magazines/Third-class Mail</v>
          </cell>
          <cell r="B137">
            <v>-4.1279227647594008E-2</v>
          </cell>
          <cell r="C137">
            <v>-1.2143669371083774E-2</v>
          </cell>
          <cell r="D137">
            <v>-1.2143669371083774E-2</v>
          </cell>
          <cell r="E137">
            <v>-0.39344563940902344</v>
          </cell>
        </row>
        <row r="138">
          <cell r="A138" t="str">
            <v>Newspaper</v>
          </cell>
          <cell r="B138">
            <v>-5.4060466163975515E-2</v>
          </cell>
          <cell r="C138">
            <v>-2.6502885011213985E-2</v>
          </cell>
          <cell r="D138">
            <v>-2.6502885011213985E-2</v>
          </cell>
          <cell r="E138">
            <v>-0.82264413148918103</v>
          </cell>
        </row>
        <row r="139">
          <cell r="A139" t="str">
            <v>Office Paper</v>
          </cell>
          <cell r="B139">
            <v>-0.10948104793164447</v>
          </cell>
          <cell r="C139">
            <v>4.5799613923317453E-2</v>
          </cell>
          <cell r="D139">
            <v>4.5799613923317453E-2</v>
          </cell>
          <cell r="E139">
            <v>1.2187077558445618</v>
          </cell>
        </row>
        <row r="140">
          <cell r="A140" t="str">
            <v>Phonebooks</v>
          </cell>
          <cell r="B140">
            <v>-5.4060466163975515E-2</v>
          </cell>
          <cell r="C140">
            <v>-2.6502885011213985E-2</v>
          </cell>
          <cell r="D140">
            <v>-2.6502885011213985E-2</v>
          </cell>
          <cell r="E140">
            <v>-0.82264413148918103</v>
          </cell>
        </row>
        <row r="141">
          <cell r="A141" t="str">
            <v>Textbooks</v>
          </cell>
          <cell r="B141">
            <v>-0.10948104793164447</v>
          </cell>
          <cell r="C141">
            <v>4.5799613923317453E-2</v>
          </cell>
          <cell r="D141">
            <v>4.5799613923317453E-2</v>
          </cell>
          <cell r="E141">
            <v>1.2187077558445618</v>
          </cell>
        </row>
        <row r="142">
          <cell r="A142" t="str">
            <v>Dimensional Lumber</v>
          </cell>
          <cell r="B142">
            <v>-2.1329590013066807E-2</v>
          </cell>
          <cell r="C142">
            <v>-3.4186256412455561E-2</v>
          </cell>
          <cell r="D142">
            <v>-3.4186256412455561E-2</v>
          </cell>
          <cell r="E142">
            <v>-1.0127310259742781</v>
          </cell>
        </row>
        <row r="143">
          <cell r="A143" t="str">
            <v>Medium-density Fiberboard</v>
          </cell>
          <cell r="B143">
            <v>-1.2364156283822907E-2</v>
          </cell>
          <cell r="C143">
            <v>-3.0067704053790511E-2</v>
          </cell>
          <cell r="D143">
            <v>-3.0067704053790511E-2</v>
          </cell>
          <cell r="E143">
            <v>-0.88432757384374772</v>
          </cell>
        </row>
        <row r="144">
          <cell r="A144" t="str">
            <v>Food Waste</v>
          </cell>
          <cell r="B144">
            <v>0</v>
          </cell>
          <cell r="C144">
            <v>0</v>
          </cell>
          <cell r="D144">
            <v>0</v>
          </cell>
          <cell r="E144">
            <v>0</v>
          </cell>
        </row>
        <row r="145">
          <cell r="A145" t="str">
            <v>Yard Trimmings</v>
          </cell>
          <cell r="B145">
            <v>-1.4496133212735733E-2</v>
          </cell>
          <cell r="C145">
            <v>-5.7005434250393811E-3</v>
          </cell>
          <cell r="D145">
            <v>-5.7005434250393811E-3</v>
          </cell>
          <cell r="E145">
            <v>-0.1798118925388778</v>
          </cell>
        </row>
        <row r="146">
          <cell r="A146" t="str">
            <v>Grass</v>
          </cell>
          <cell r="B146">
            <v>6.4203405002876707E-3</v>
          </cell>
          <cell r="C146">
            <v>4.3053022959908139E-3</v>
          </cell>
          <cell r="D146">
            <v>4.3053022959908139E-3</v>
          </cell>
          <cell r="E146">
            <v>0.13127410708402126</v>
          </cell>
        </row>
        <row r="147">
          <cell r="A147" t="str">
            <v>Leaves</v>
          </cell>
          <cell r="B147">
            <v>-2.1604468629341816E-2</v>
          </cell>
          <cell r="C147">
            <v>-1.7027053104600544E-2</v>
          </cell>
          <cell r="D147">
            <v>-1.7027053104600544E-2</v>
          </cell>
          <cell r="E147">
            <v>-0.5153890086627575</v>
          </cell>
        </row>
        <row r="148">
          <cell r="A148" t="str">
            <v>Branches</v>
          </cell>
          <cell r="B148">
            <v>-5.5722488396490889E-2</v>
          </cell>
          <cell r="C148">
            <v>-1.5594373712466022E-2</v>
          </cell>
          <cell r="D148">
            <v>-1.5594373712466022E-2</v>
          </cell>
          <cell r="E148">
            <v>-0.50795932605800553</v>
          </cell>
        </row>
        <row r="149">
          <cell r="A149" t="str">
            <v xml:space="preserve">Mixed Paper </v>
          </cell>
          <cell r="B149">
            <v>0</v>
          </cell>
          <cell r="C149">
            <v>0</v>
          </cell>
          <cell r="D149">
            <v>0</v>
          </cell>
          <cell r="E149">
            <v>0</v>
          </cell>
        </row>
        <row r="150">
          <cell r="A150" t="str">
            <v>Mixed Paper (general)</v>
          </cell>
          <cell r="B150">
            <v>-7.7756073872922979E-2</v>
          </cell>
          <cell r="C150">
            <v>7.0435413887539912E-3</v>
          </cell>
          <cell r="D150">
            <v>7.0435413887539912E-3</v>
          </cell>
          <cell r="E150">
            <v>0.12650662640094279</v>
          </cell>
        </row>
        <row r="151">
          <cell r="A151" t="str">
            <v>Mixed Paper (primarily residential)</v>
          </cell>
          <cell r="B151">
            <v>-7.5641991626735169E-2</v>
          </cell>
          <cell r="C151">
            <v>4.8508567027685662E-3</v>
          </cell>
          <cell r="D151">
            <v>4.8508567027685662E-3</v>
          </cell>
          <cell r="E151">
            <v>6.503285275355325E-2</v>
          </cell>
        </row>
        <row r="152">
          <cell r="A152" t="str">
            <v>Mixed Paper (primarily from offices)</v>
          </cell>
          <cell r="B152">
            <v>-7.0420533611613823E-2</v>
          </cell>
          <cell r="C152">
            <v>8.2204234990333851E-3</v>
          </cell>
          <cell r="D152">
            <v>8.2204234990333851E-3</v>
          </cell>
          <cell r="E152">
            <v>0.16797174786035435</v>
          </cell>
        </row>
        <row r="153">
          <cell r="A153" t="str">
            <v>Mixed Metals</v>
          </cell>
          <cell r="B153">
            <v>2.0254519141196047E-2</v>
          </cell>
          <cell r="C153">
            <v>0</v>
          </cell>
          <cell r="D153">
            <v>0</v>
          </cell>
          <cell r="E153">
            <v>2.0254519141196047E-2</v>
          </cell>
        </row>
        <row r="154">
          <cell r="A154" t="str">
            <v>Mixed Plastics</v>
          </cell>
          <cell r="B154">
            <v>2.0254519141196047E-2</v>
          </cell>
          <cell r="C154">
            <v>0</v>
          </cell>
          <cell r="D154">
            <v>0</v>
          </cell>
          <cell r="E154">
            <v>2.0254519141196047E-2</v>
          </cell>
        </row>
        <row r="155">
          <cell r="A155" t="str">
            <v>Mixed Recyclables</v>
          </cell>
          <cell r="B155">
            <v>-5.1037267658123442E-2</v>
          </cell>
          <cell r="C155">
            <v>3.209527347232656E-3</v>
          </cell>
          <cell r="D155">
            <v>3.209527347232656E-3</v>
          </cell>
          <cell r="E155">
            <v>4.2039025411623583E-2</v>
          </cell>
        </row>
        <row r="156">
          <cell r="A156" t="str">
            <v>Mixed Organics</v>
          </cell>
          <cell r="B156">
            <v>-1.8759001628440658E-2</v>
          </cell>
          <cell r="C156">
            <v>7.6794703231706611E-3</v>
          </cell>
          <cell r="D156">
            <v>7.6794703231706611E-3</v>
          </cell>
          <cell r="E156">
            <v>0.20394563774350849</v>
          </cell>
        </row>
        <row r="157">
          <cell r="A157" t="str">
            <v>Mixed MSW</v>
          </cell>
          <cell r="B157">
            <v>-4.109018618968055E-2</v>
          </cell>
          <cell r="C157">
            <v>1.3386304764844474E-2</v>
          </cell>
          <cell r="D157">
            <v>1.3386304764844474E-2</v>
          </cell>
          <cell r="E157">
            <v>0.34711265199080921</v>
          </cell>
        </row>
        <row r="162">
          <cell r="D162">
            <v>0</v>
          </cell>
          <cell r="E162">
            <v>2.0254519141196047E-2</v>
          </cell>
        </row>
        <row r="163">
          <cell r="D163">
            <v>0</v>
          </cell>
          <cell r="E163">
            <v>2.0254519141196047E-2</v>
          </cell>
        </row>
      </sheetData>
      <sheetData sheetId="52" refreshError="1">
        <row r="8">
          <cell r="B8" t="str">
            <v>Combustion Transportation CO2 Emissions Assumptions</v>
          </cell>
          <cell r="J8" t="str">
            <v>Transporation Mode</v>
          </cell>
          <cell r="K8" t="str">
            <v>gal/ton-mile</v>
          </cell>
          <cell r="L8" t="str">
            <v>liter/metric ton-km</v>
          </cell>
          <cell r="N8" t="str">
            <v>Fuel Types</v>
          </cell>
          <cell r="O8" t="str">
            <v>Heating Value (Btu/Gal)</v>
          </cell>
        </row>
        <row r="9">
          <cell r="B9" t="str">
            <v>MSW Collection to WTE Facility</v>
          </cell>
          <cell r="C9" t="str">
            <v>Ash Landfill Disposal</v>
          </cell>
          <cell r="D9" t="str">
            <v xml:space="preserve">Total </v>
          </cell>
          <cell r="E9" t="str">
            <v>MSW Collection to WTE Facility</v>
          </cell>
          <cell r="F9" t="str">
            <v>Ash Landfill Disposal</v>
          </cell>
          <cell r="J9" t="str">
            <v>truck fuel use</v>
          </cell>
          <cell r="K9">
            <v>1.3383230794442234E-2</v>
          </cell>
          <cell r="L9">
            <v>3.4700000000000002E-2</v>
          </cell>
          <cell r="N9" t="str">
            <v>Diesel</v>
          </cell>
          <cell r="O9">
            <v>140000</v>
          </cell>
        </row>
        <row r="10">
          <cell r="B10" t="str">
            <v>(lbs of CO2/ton of MSW)</v>
          </cell>
          <cell r="C10" t="str">
            <v>(lbs of CO2/ton of MSW)</v>
          </cell>
          <cell r="D10" t="str">
            <v>(lbs of CO2/ton of MSW)</v>
          </cell>
          <cell r="E10" t="str">
            <v>(MTCO2E/ton of MSW)</v>
          </cell>
          <cell r="F10" t="str">
            <v>(MTCO2E/ton of MSW)</v>
          </cell>
          <cell r="J10" t="str">
            <v>rail fuel use</v>
          </cell>
          <cell r="K10">
            <v>3.0999999999999999E-3</v>
          </cell>
          <cell r="L10">
            <v>8.0376705484800793E-3</v>
          </cell>
          <cell r="N10" t="str">
            <v>Distillate Oil</v>
          </cell>
          <cell r="O10">
            <v>140000</v>
          </cell>
        </row>
        <row r="11">
          <cell r="B11">
            <v>47.3</v>
          </cell>
          <cell r="C11">
            <v>12.6</v>
          </cell>
          <cell r="D11">
            <v>59.9</v>
          </cell>
          <cell r="E11">
            <v>2.1455139254286489E-2</v>
          </cell>
          <cell r="F11">
            <v>5.7153225074843507E-3</v>
          </cell>
          <cell r="J11" t="str">
            <v>water</v>
          </cell>
          <cell r="K11">
            <v>1E-3</v>
          </cell>
          <cell r="L11">
            <v>2.5927969511226065E-3</v>
          </cell>
          <cell r="N11" t="str">
            <v>Residual Oil</v>
          </cell>
          <cell r="O11">
            <v>150000</v>
          </cell>
        </row>
        <row r="12">
          <cell r="B12" t="str">
            <v>Combustion data obtained from Franklin Associates, Ltd., The Role of Recycling in Integrated Solid Waste Management to the Year 2000 (Stamford, CT: Keep America Beautiful, Inc.) September 1994, p. I-24.</v>
          </cell>
          <cell r="J12">
            <v>0</v>
          </cell>
          <cell r="K12" t="str">
            <v>gal/ton-mile</v>
          </cell>
          <cell r="L12" t="str">
            <v>liter/metric ton-km</v>
          </cell>
          <cell r="N12" t="str">
            <v>Gasoline</v>
          </cell>
          <cell r="O12">
            <v>121000</v>
          </cell>
        </row>
        <row r="13">
          <cell r="J13" t="str">
            <v>Barge, Diesel</v>
          </cell>
          <cell r="K13">
            <v>2E-3</v>
          </cell>
          <cell r="L13">
            <v>5.1855939022452131E-3</v>
          </cell>
          <cell r="N13" t="str">
            <v>LPG</v>
          </cell>
          <cell r="O13">
            <v>95000</v>
          </cell>
        </row>
        <row r="14">
          <cell r="B14" t="str">
            <v>Landfill Transportation CO2 Emissions Assumptions</v>
          </cell>
          <cell r="J14" t="str">
            <v>Barge, Residual Oil</v>
          </cell>
          <cell r="K14">
            <v>5.9999999999999995E-4</v>
          </cell>
          <cell r="L14">
            <v>1.5556781706735636E-3</v>
          </cell>
          <cell r="N14" t="str">
            <v>Water (Diesel/Residual Oil)</v>
          </cell>
          <cell r="O14">
            <v>145000</v>
          </cell>
        </row>
        <row r="15">
          <cell r="C15" t="str">
            <v>Diesel Fuel (gallons/ 103 lbs of MSW landfilled)</v>
          </cell>
          <cell r="D15" t="str">
            <v>Total Energy (BTU/103 lb of MSW landfilled)</v>
          </cell>
          <cell r="E15" t="str">
            <v>Total Energy (BTU/ton of MSW landfilled)</v>
          </cell>
          <cell r="F15" t="str">
            <v>MTCO2E (per million BTUs)</v>
          </cell>
          <cell r="G15" t="str">
            <v>Total (MTCO2E/ton)</v>
          </cell>
          <cell r="J15" t="str">
            <v>Barge, average mix</v>
          </cell>
          <cell r="K15">
            <v>1.2999999999999999E-3</v>
          </cell>
          <cell r="L15">
            <v>3.3706360364593878E-3</v>
          </cell>
        </row>
        <row r="16">
          <cell r="B16" t="str">
            <v>Collection Vehicles</v>
          </cell>
          <cell r="C16">
            <v>0.9</v>
          </cell>
          <cell r="D16">
            <v>148300</v>
          </cell>
          <cell r="E16">
            <v>296600</v>
          </cell>
          <cell r="F16">
            <v>7.3528734690733552E-2</v>
          </cell>
          <cell r="G16">
            <v>2.1808622709271572E-2</v>
          </cell>
          <cell r="J16" t="str">
            <v>Ocean Freighter, Diesel</v>
          </cell>
          <cell r="K16">
            <v>1E-4</v>
          </cell>
          <cell r="L16">
            <v>2.5927969511226067E-4</v>
          </cell>
        </row>
        <row r="17">
          <cell r="B17" t="str">
            <v>Collection Vehicles</v>
          </cell>
          <cell r="C17">
            <v>0.13383230794442233</v>
          </cell>
          <cell r="D17">
            <v>18736.523112219125</v>
          </cell>
          <cell r="E17">
            <v>37473.046224438251</v>
          </cell>
          <cell r="J17" t="str">
            <v>Ocean Freighter, Residual Oil</v>
          </cell>
          <cell r="K17">
            <v>1E-3</v>
          </cell>
          <cell r="L17">
            <v>2.5927969511226065E-3</v>
          </cell>
        </row>
        <row r="18">
          <cell r="B18" t="str">
            <v>Landfill Equipment</v>
          </cell>
          <cell r="C18">
            <v>0.7</v>
          </cell>
          <cell r="D18">
            <v>115400</v>
          </cell>
          <cell r="E18">
            <v>230800</v>
          </cell>
          <cell r="G18">
            <v>1.6970431966621305E-2</v>
          </cell>
          <cell r="J18" t="str">
            <v>Ocean Freighter, average mix</v>
          </cell>
          <cell r="K18">
            <v>5.5000000000000003E-4</v>
          </cell>
          <cell r="L18">
            <v>1.4260383231174333E-3</v>
          </cell>
        </row>
        <row r="19">
          <cell r="B19" t="str">
            <v>Landfill data obtained from Franklin Associates, Ltd., The Role of Recycling in Integrated Solid Waste Management to the Year 2000 (Stamford, CT: Keep America Beautiful, Inc.) September 1994, p. I-5.</v>
          </cell>
        </row>
        <row r="20">
          <cell r="E20">
            <v>22063.211909694768</v>
          </cell>
          <cell r="G20">
            <v>5.1818181818181815E-3</v>
          </cell>
        </row>
        <row r="21">
          <cell r="B21" t="str">
            <v>Composting Transportation CO2 Emissions Assumptions</v>
          </cell>
          <cell r="J21" t="str">
            <v>Combination Truck EF calcs</v>
          </cell>
        </row>
        <row r="22">
          <cell r="C22" t="str">
            <v>Diesel fuel required to collect and transport one ton  (million BTU)*</v>
          </cell>
          <cell r="D22" t="str">
            <v>Diesel fuel required to turn the compost piles (million BTU)*</v>
          </cell>
          <cell r="E22" t="str">
            <v>Total energy required for composting (million BTU)</v>
          </cell>
          <cell r="F22" t="str">
            <v>Total CO2 emissions from transportation (MTCO2E)</v>
          </cell>
          <cell r="G22" t="str">
            <v>Total CO2 emissions from processing (MTCO2E)</v>
          </cell>
          <cell r="J22" t="str">
            <v>gal/ton-mile</v>
          </cell>
          <cell r="K22" t="str">
            <v>litre/ton-mile</v>
          </cell>
          <cell r="L22" t="str">
            <v>pre-comb factor</v>
          </cell>
          <cell r="M22" t="str">
            <v>litre/ton-mile (includes upstream</v>
          </cell>
          <cell r="N22" t="str">
            <v>MT CO2/litre (includes upstream)</v>
          </cell>
          <cell r="O22" t="str">
            <v>MTCO2/ton-mile</v>
          </cell>
          <cell r="P22" t="str">
            <v>MTCE/ton-mile</v>
          </cell>
          <cell r="Q22" t="str">
            <v>Diesel Fuel Required to Collect and Transport One Short Ton (Million Btu)</v>
          </cell>
        </row>
        <row r="23">
          <cell r="B23" t="str">
            <v>Net Flux in MT of CO2 per ton YT</v>
          </cell>
          <cell r="C23">
            <v>0.36299999999999999</v>
          </cell>
          <cell r="D23">
            <v>0.221</v>
          </cell>
          <cell r="E23">
            <v>0.58399999999999996</v>
          </cell>
          <cell r="F23">
            <v>2.669093069273628E-2</v>
          </cell>
          <cell r="G23">
            <v>1.6249850366652115E-2</v>
          </cell>
          <cell r="J23">
            <v>1.3383230794442234E-2</v>
          </cell>
          <cell r="K23">
            <v>5.0661039503740388E-2</v>
          </cell>
          <cell r="L23">
            <v>1.1850000000000001</v>
          </cell>
          <cell r="M23">
            <v>6.0033331811932364E-2</v>
          </cell>
          <cell r="N23">
            <v>2.735219814937866E-3</v>
          </cell>
          <cell r="O23">
            <v>1.6420435872873713E-4</v>
          </cell>
          <cell r="P23">
            <v>4.4783006926019215E-5</v>
          </cell>
          <cell r="Q23">
            <v>3.7473046224438249E-2</v>
          </cell>
        </row>
        <row r="24">
          <cell r="B24" t="str">
            <v xml:space="preserve">*Based on estimates provided by Franklin Associates.  Found in "The Role of Recycling in Integrated Solid Waste Management </v>
          </cell>
          <cell r="J24" t="str">
            <v>NREL, 2015</v>
          </cell>
        </row>
        <row r="25">
          <cell r="B25" t="str">
            <v>to the Year 2000,"  (Stamford, CT: Keep America Beautiful), September 1994.</v>
          </cell>
          <cell r="J25" t="str">
            <v>NREL 2015 https://www.lcacommons.gov/nrel/process/show/54320?qlookup=&amp;max=35&amp;hfacet=%22Truck+Transportation%2FGeneral+Freight+Trucking%22&amp;hfacetCat=%22Truck+Transportation%22&amp;loc=&amp;year=&amp;dtype=&amp;crop=&amp;index=25&amp;numfound=102&amp;offset=</v>
          </cell>
        </row>
        <row r="30">
          <cell r="B30" t="str">
            <v>GHG Emissions</v>
          </cell>
          <cell r="E30" t="str">
            <v>Landfilling equipment (MTCO2e/ton)</v>
          </cell>
          <cell r="G30" t="str">
            <v>Combustion</v>
          </cell>
          <cell r="I30" t="str">
            <v>Composting</v>
          </cell>
          <cell r="K30" t="str">
            <v xml:space="preserve">Anaerobic Digestion </v>
          </cell>
        </row>
        <row r="31">
          <cell r="D31" t="str">
            <v>Miles assumed</v>
          </cell>
          <cell r="E31" t="str">
            <v>Landfilling equipment (MTCO2e/ton)</v>
          </cell>
          <cell r="F31" t="str">
            <v>Collection Vehicles (MTCO2e/ton)</v>
          </cell>
          <cell r="G31" t="str">
            <v>Combusting Equipment (MTCO2e/ton)</v>
          </cell>
          <cell r="H31" t="str">
            <v>Combustion Transportation (MTCO2e/ton)</v>
          </cell>
          <cell r="I31" t="str">
            <v>Composting Equipment (MTCO2e/ton)</v>
          </cell>
          <cell r="J31" t="str">
            <v>Composting Transportation (MTCO2e/ton)</v>
          </cell>
          <cell r="K31" t="str">
            <v>Anaerobic Digestion Transportation (MTCO2e/ton)</v>
          </cell>
        </row>
        <row r="32">
          <cell r="B32" t="str">
            <v>Category</v>
          </cell>
          <cell r="C32" t="str">
            <v>Material</v>
          </cell>
          <cell r="D32">
            <v>20</v>
          </cell>
          <cell r="E32">
            <v>1.6970431966621305E-2</v>
          </cell>
          <cell r="F32">
            <v>3.2840871745747425E-3</v>
          </cell>
          <cell r="G32">
            <v>5.7153225074843507E-3</v>
          </cell>
          <cell r="H32">
            <v>3.2840871745747425E-3</v>
          </cell>
          <cell r="I32" t="str">
            <v>NA</v>
          </cell>
          <cell r="J32" t="str">
            <v>NA</v>
          </cell>
          <cell r="K32">
            <v>3.2840871745747425E-3</v>
          </cell>
        </row>
        <row r="33">
          <cell r="B33" t="str">
            <v>Inorganics</v>
          </cell>
          <cell r="C33" t="str">
            <v>Aluminum Cans</v>
          </cell>
          <cell r="D33">
            <v>20</v>
          </cell>
          <cell r="E33">
            <v>1.6970431966621305E-2</v>
          </cell>
          <cell r="F33">
            <v>3.2840871745747425E-3</v>
          </cell>
          <cell r="G33">
            <v>5.7153225074843507E-3</v>
          </cell>
          <cell r="H33">
            <v>3.2840871745747425E-3</v>
          </cell>
          <cell r="I33" t="str">
            <v>NA</v>
          </cell>
          <cell r="J33" t="str">
            <v>NA</v>
          </cell>
          <cell r="K33">
            <v>3.2840871745747425E-3</v>
          </cell>
        </row>
        <row r="34">
          <cell r="C34" t="str">
            <v>Steel Cans</v>
          </cell>
          <cell r="D34">
            <v>20</v>
          </cell>
          <cell r="E34">
            <v>1.6970431966621305E-2</v>
          </cell>
          <cell r="F34">
            <v>3.2840871745747425E-3</v>
          </cell>
          <cell r="G34">
            <v>5.7153225074843507E-3</v>
          </cell>
          <cell r="H34">
            <v>3.2840871745747425E-3</v>
          </cell>
          <cell r="I34" t="str">
            <v>NA</v>
          </cell>
          <cell r="J34" t="str">
            <v>NA</v>
          </cell>
          <cell r="K34">
            <v>3.2840871745747425E-3</v>
          </cell>
        </row>
        <row r="35">
          <cell r="C35" t="str">
            <v>Copper Wire</v>
          </cell>
          <cell r="D35">
            <v>20</v>
          </cell>
          <cell r="E35">
            <v>1.6970431966621305E-2</v>
          </cell>
          <cell r="F35">
            <v>3.2840871745747425E-3</v>
          </cell>
          <cell r="G35">
            <v>5.7153225074843507E-3</v>
          </cell>
          <cell r="H35">
            <v>3.2840871745747425E-3</v>
          </cell>
          <cell r="I35" t="str">
            <v>NA</v>
          </cell>
          <cell r="J35" t="str">
            <v>NA</v>
          </cell>
          <cell r="K35">
            <v>3.2840871745747425E-3</v>
          </cell>
        </row>
        <row r="36">
          <cell r="C36" t="str">
            <v>Glass</v>
          </cell>
          <cell r="D36">
            <v>20</v>
          </cell>
          <cell r="E36">
            <v>1.6970431966621305E-2</v>
          </cell>
          <cell r="F36">
            <v>3.2840871745747425E-3</v>
          </cell>
          <cell r="G36">
            <v>5.7153225074843507E-3</v>
          </cell>
          <cell r="H36">
            <v>3.2840871745747425E-3</v>
          </cell>
          <cell r="I36" t="str">
            <v>NA</v>
          </cell>
          <cell r="J36" t="str">
            <v>NA</v>
          </cell>
          <cell r="K36">
            <v>3.2840871745747425E-3</v>
          </cell>
        </row>
        <row r="37">
          <cell r="B37" t="str">
            <v>Plastics</v>
          </cell>
          <cell r="C37" t="str">
            <v>HDPE</v>
          </cell>
          <cell r="D37">
            <v>20</v>
          </cell>
          <cell r="E37">
            <v>1.6970431966621305E-2</v>
          </cell>
          <cell r="F37">
            <v>3.2840871745747425E-3</v>
          </cell>
          <cell r="G37">
            <v>5.7153225074843507E-3</v>
          </cell>
          <cell r="H37">
            <v>3.2840871745747425E-3</v>
          </cell>
          <cell r="I37" t="str">
            <v>NA</v>
          </cell>
          <cell r="J37" t="str">
            <v>NA</v>
          </cell>
          <cell r="K37">
            <v>3.2840871745747425E-3</v>
          </cell>
        </row>
        <row r="38">
          <cell r="C38" t="str">
            <v>LDPE</v>
          </cell>
          <cell r="D38">
            <v>20</v>
          </cell>
          <cell r="E38">
            <v>1.6970431966621305E-2</v>
          </cell>
          <cell r="F38">
            <v>3.2840871745747425E-3</v>
          </cell>
          <cell r="G38">
            <v>5.7153225074843507E-3</v>
          </cell>
          <cell r="H38">
            <v>3.2840871745747425E-3</v>
          </cell>
          <cell r="I38" t="str">
            <v>NA</v>
          </cell>
          <cell r="J38" t="str">
            <v>NA</v>
          </cell>
          <cell r="K38">
            <v>3.2840871745747425E-3</v>
          </cell>
        </row>
        <row r="39">
          <cell r="C39" t="str">
            <v>PET</v>
          </cell>
          <cell r="D39">
            <v>20</v>
          </cell>
          <cell r="E39">
            <v>1.6970431966621305E-2</v>
          </cell>
          <cell r="F39">
            <v>3.2840871745747425E-3</v>
          </cell>
          <cell r="G39">
            <v>5.7153225074843507E-3</v>
          </cell>
          <cell r="H39">
            <v>3.2840871745747425E-3</v>
          </cell>
          <cell r="I39" t="str">
            <v>NA</v>
          </cell>
          <cell r="J39" t="str">
            <v>NA</v>
          </cell>
          <cell r="K39">
            <v>3.2840871745747425E-3</v>
          </cell>
        </row>
        <row r="40">
          <cell r="B40" t="str">
            <v>Paper and Wood</v>
          </cell>
          <cell r="C40" t="str">
            <v>Corrugated Containers</v>
          </cell>
          <cell r="D40">
            <v>20</v>
          </cell>
          <cell r="E40">
            <v>1.6970431966621305E-2</v>
          </cell>
          <cell r="F40">
            <v>3.2840871745747425E-3</v>
          </cell>
          <cell r="G40">
            <v>5.7153225074843507E-3</v>
          </cell>
          <cell r="H40">
            <v>3.2840871745747425E-3</v>
          </cell>
          <cell r="I40" t="str">
            <v>NA</v>
          </cell>
          <cell r="J40" t="str">
            <v>NA</v>
          </cell>
          <cell r="K40">
            <v>3.2840871745747425E-3</v>
          </cell>
        </row>
        <row r="41">
          <cell r="C41" t="str">
            <v>Magazines/Third-class Mail</v>
          </cell>
          <cell r="D41">
            <v>20</v>
          </cell>
          <cell r="E41">
            <v>1.6970431966621305E-2</v>
          </cell>
          <cell r="F41">
            <v>3.2840871745747425E-3</v>
          </cell>
          <cell r="G41">
            <v>5.7153225074843507E-3</v>
          </cell>
          <cell r="H41">
            <v>3.2840871745747425E-3</v>
          </cell>
          <cell r="I41" t="str">
            <v>NA</v>
          </cell>
          <cell r="J41" t="str">
            <v>NA</v>
          </cell>
          <cell r="K41">
            <v>3.2840871745747425E-3</v>
          </cell>
        </row>
        <row r="42">
          <cell r="C42" t="str">
            <v>Newspaper</v>
          </cell>
          <cell r="D42">
            <v>20</v>
          </cell>
          <cell r="E42">
            <v>1.6970431966621305E-2</v>
          </cell>
          <cell r="F42">
            <v>3.2840871745747425E-3</v>
          </cell>
          <cell r="G42">
            <v>5.7153225074843507E-3</v>
          </cell>
          <cell r="H42">
            <v>3.2840871745747425E-3</v>
          </cell>
          <cell r="I42" t="str">
            <v>NA</v>
          </cell>
          <cell r="J42" t="str">
            <v>NA</v>
          </cell>
          <cell r="K42">
            <v>3.2840871745747425E-3</v>
          </cell>
        </row>
        <row r="43">
          <cell r="C43" t="str">
            <v>Office Paper</v>
          </cell>
          <cell r="D43">
            <v>20</v>
          </cell>
          <cell r="E43">
            <v>1.6970431966621305E-2</v>
          </cell>
          <cell r="F43">
            <v>3.2840871745747425E-3</v>
          </cell>
          <cell r="G43">
            <v>5.7153225074843507E-3</v>
          </cell>
          <cell r="H43">
            <v>3.2840871745747425E-3</v>
          </cell>
          <cell r="I43" t="str">
            <v>NA</v>
          </cell>
          <cell r="J43" t="str">
            <v>NA</v>
          </cell>
          <cell r="K43">
            <v>3.2840871745747425E-3</v>
          </cell>
        </row>
        <row r="44">
          <cell r="C44" t="str">
            <v>Phonebooks</v>
          </cell>
          <cell r="D44">
            <v>20</v>
          </cell>
          <cell r="E44">
            <v>1.6970431966621305E-2</v>
          </cell>
          <cell r="F44">
            <v>3.2840871745747425E-3</v>
          </cell>
          <cell r="G44">
            <v>5.7153225074843507E-3</v>
          </cell>
          <cell r="H44">
            <v>3.2840871745747425E-3</v>
          </cell>
          <cell r="I44" t="str">
            <v>NA</v>
          </cell>
          <cell r="J44" t="str">
            <v>NA</v>
          </cell>
          <cell r="K44">
            <v>3.2840871745747425E-3</v>
          </cell>
        </row>
        <row r="45">
          <cell r="C45" t="str">
            <v>Textbooks</v>
          </cell>
          <cell r="D45">
            <v>20</v>
          </cell>
          <cell r="E45">
            <v>1.6970431966621305E-2</v>
          </cell>
          <cell r="F45">
            <v>3.2840871745747425E-3</v>
          </cell>
          <cell r="G45">
            <v>5.7153225074843507E-3</v>
          </cell>
          <cell r="H45">
            <v>3.2840871745747425E-3</v>
          </cell>
          <cell r="I45" t="str">
            <v>NA</v>
          </cell>
          <cell r="J45" t="str">
            <v>NA</v>
          </cell>
          <cell r="K45">
            <v>3.2840871745747425E-3</v>
          </cell>
        </row>
        <row r="46">
          <cell r="C46" t="str">
            <v>Dimensional Lumber</v>
          </cell>
          <cell r="D46">
            <v>20</v>
          </cell>
          <cell r="E46">
            <v>1.6970431966621305E-2</v>
          </cell>
          <cell r="F46">
            <v>3.2840871745747425E-3</v>
          </cell>
          <cell r="G46">
            <v>5.7153225074843507E-3</v>
          </cell>
          <cell r="H46">
            <v>3.2840871745747425E-3</v>
          </cell>
          <cell r="I46" t="str">
            <v>NA</v>
          </cell>
          <cell r="J46" t="str">
            <v>NA</v>
          </cell>
          <cell r="K46">
            <v>3.2840871745747425E-3</v>
          </cell>
        </row>
        <row r="47">
          <cell r="C47" t="str">
            <v>Medium-density Fiberboard</v>
          </cell>
          <cell r="D47">
            <v>20</v>
          </cell>
          <cell r="E47">
            <v>1.6970431966621305E-2</v>
          </cell>
          <cell r="F47">
            <v>3.2840871745747425E-3</v>
          </cell>
          <cell r="G47">
            <v>5.7153225074843507E-3</v>
          </cell>
          <cell r="H47">
            <v>3.2840871745747425E-3</v>
          </cell>
          <cell r="I47" t="str">
            <v>NA</v>
          </cell>
          <cell r="J47" t="str">
            <v>NA</v>
          </cell>
          <cell r="K47">
            <v>3.2840871745747425E-3</v>
          </cell>
        </row>
        <row r="48">
          <cell r="B48" t="str">
            <v>Other Organics</v>
          </cell>
          <cell r="C48" t="str">
            <v>Food Waste (inactive)</v>
          </cell>
          <cell r="D48">
            <v>20</v>
          </cell>
          <cell r="E48">
            <v>1.6970431966621305E-2</v>
          </cell>
          <cell r="F48">
            <v>3.2840871745747425E-3</v>
          </cell>
          <cell r="G48">
            <v>5.7153225074843507E-3</v>
          </cell>
          <cell r="H48">
            <v>3.2840871745747425E-3</v>
          </cell>
          <cell r="K48">
            <v>3.2840871745747425E-3</v>
          </cell>
        </row>
        <row r="49">
          <cell r="C49" t="str">
            <v>Yard Trimmings</v>
          </cell>
          <cell r="D49">
            <v>20</v>
          </cell>
          <cell r="E49">
            <v>1.6970431966621305E-2</v>
          </cell>
          <cell r="F49">
            <v>3.2840871745747425E-3</v>
          </cell>
          <cell r="G49">
            <v>5.7153225074843507E-3</v>
          </cell>
          <cell r="H49">
            <v>3.2840871745747425E-3</v>
          </cell>
          <cell r="I49">
            <v>1.6249850366652115E-2</v>
          </cell>
          <cell r="J49">
            <v>3.2840871745747425E-3</v>
          </cell>
          <cell r="K49">
            <v>3.2840871745747425E-3</v>
          </cell>
        </row>
        <row r="50">
          <cell r="C50" t="str">
            <v>Grass</v>
          </cell>
          <cell r="D50">
            <v>20</v>
          </cell>
          <cell r="E50">
            <v>1.6970431966621305E-2</v>
          </cell>
          <cell r="F50">
            <v>3.2840871745747425E-3</v>
          </cell>
          <cell r="G50">
            <v>5.7153225074843507E-3</v>
          </cell>
          <cell r="H50">
            <v>3.2840871745747425E-3</v>
          </cell>
          <cell r="I50">
            <v>1.6249850366652115E-2</v>
          </cell>
          <cell r="J50">
            <v>3.2840871745747425E-3</v>
          </cell>
          <cell r="K50">
            <v>3.2840871745747425E-3</v>
          </cell>
        </row>
        <row r="51">
          <cell r="C51" t="str">
            <v>Leaves</v>
          </cell>
          <cell r="D51">
            <v>20</v>
          </cell>
          <cell r="E51">
            <v>1.6970431966621305E-2</v>
          </cell>
          <cell r="F51">
            <v>3.2840871745747425E-3</v>
          </cell>
          <cell r="G51">
            <v>5.7153225074843507E-3</v>
          </cell>
          <cell r="H51">
            <v>3.2840871745747425E-3</v>
          </cell>
          <cell r="I51">
            <v>1.6249850366652115E-2</v>
          </cell>
          <cell r="J51">
            <v>3.2840871745747425E-3</v>
          </cell>
          <cell r="K51">
            <v>3.2840871745747425E-3</v>
          </cell>
        </row>
        <row r="52">
          <cell r="C52" t="str">
            <v>Branches</v>
          </cell>
          <cell r="D52">
            <v>20</v>
          </cell>
          <cell r="E52">
            <v>1.6970431966621305E-2</v>
          </cell>
          <cell r="F52">
            <v>3.2840871745747425E-3</v>
          </cell>
          <cell r="G52">
            <v>5.7153225074843507E-3</v>
          </cell>
          <cell r="H52">
            <v>3.2840871745747425E-3</v>
          </cell>
          <cell r="I52">
            <v>1.6249850366652115E-2</v>
          </cell>
          <cell r="J52">
            <v>3.2840871745747425E-3</v>
          </cell>
          <cell r="K52">
            <v>3.2840871745747425E-3</v>
          </cell>
        </row>
        <row r="53">
          <cell r="B53" t="str">
            <v>Mixed Materials</v>
          </cell>
          <cell r="C53" t="str">
            <v xml:space="preserve">Mixed Paper </v>
          </cell>
          <cell r="D53">
            <v>20</v>
          </cell>
          <cell r="E53">
            <v>1.6970431966621305E-2</v>
          </cell>
          <cell r="F53">
            <v>3.2840871745747425E-3</v>
          </cell>
          <cell r="G53">
            <v>5.7153225074843507E-3</v>
          </cell>
          <cell r="H53">
            <v>3.2840871745747425E-3</v>
          </cell>
          <cell r="I53">
            <v>1.6249850366652115E-2</v>
          </cell>
          <cell r="J53">
            <v>3.2840871745747425E-3</v>
          </cell>
          <cell r="K53">
            <v>3.2840871745747425E-3</v>
          </cell>
        </row>
        <row r="54">
          <cell r="C54" t="str">
            <v>Mixed Paper (general)</v>
          </cell>
          <cell r="D54">
            <v>20</v>
          </cell>
          <cell r="E54">
            <v>1.6970431966621305E-2</v>
          </cell>
          <cell r="F54">
            <v>3.2840871745747425E-3</v>
          </cell>
          <cell r="G54">
            <v>5.7153225074843507E-3</v>
          </cell>
          <cell r="H54">
            <v>3.2840871745747425E-3</v>
          </cell>
          <cell r="I54" t="str">
            <v>NA</v>
          </cell>
          <cell r="J54" t="str">
            <v>NA</v>
          </cell>
          <cell r="K54">
            <v>3.2840871745747425E-3</v>
          </cell>
        </row>
        <row r="55">
          <cell r="C55" t="str">
            <v>Mixed Paper (primarily residential)</v>
          </cell>
          <cell r="D55">
            <v>20</v>
          </cell>
          <cell r="E55">
            <v>1.6970431966621305E-2</v>
          </cell>
          <cell r="F55">
            <v>3.2840871745747425E-3</v>
          </cell>
          <cell r="G55">
            <v>5.7153225074843507E-3</v>
          </cell>
          <cell r="H55">
            <v>3.2840871745747425E-3</v>
          </cell>
          <cell r="I55" t="str">
            <v>NA</v>
          </cell>
          <cell r="J55" t="str">
            <v>NA</v>
          </cell>
          <cell r="K55">
            <v>3.2840871745747425E-3</v>
          </cell>
        </row>
        <row r="56">
          <cell r="C56" t="str">
            <v>Mixed Paper (primarily from offices)</v>
          </cell>
          <cell r="D56">
            <v>20</v>
          </cell>
          <cell r="E56">
            <v>1.6970431966621305E-2</v>
          </cell>
          <cell r="F56">
            <v>3.2840871745747425E-3</v>
          </cell>
          <cell r="G56">
            <v>5.7153225074843507E-3</v>
          </cell>
          <cell r="H56">
            <v>3.2840871745747425E-3</v>
          </cell>
          <cell r="I56" t="str">
            <v>NA</v>
          </cell>
          <cell r="J56" t="str">
            <v>NA</v>
          </cell>
          <cell r="K56">
            <v>3.2840871745747425E-3</v>
          </cell>
        </row>
        <row r="57">
          <cell r="C57" t="str">
            <v>Mixed Metals</v>
          </cell>
          <cell r="D57">
            <v>20</v>
          </cell>
          <cell r="E57">
            <v>1.6970431966621305E-2</v>
          </cell>
          <cell r="F57">
            <v>3.2840871745747425E-3</v>
          </cell>
          <cell r="G57">
            <v>5.7153225074843507E-3</v>
          </cell>
          <cell r="H57">
            <v>3.2840871745747425E-3</v>
          </cell>
          <cell r="I57" t="str">
            <v>NA</v>
          </cell>
          <cell r="J57" t="str">
            <v>NA</v>
          </cell>
          <cell r="K57">
            <v>3.2840871745747425E-3</v>
          </cell>
        </row>
        <row r="58">
          <cell r="C58" t="str">
            <v>Mixed Plastics</v>
          </cell>
          <cell r="D58">
            <v>20</v>
          </cell>
          <cell r="E58">
            <v>1.6970431966621305E-2</v>
          </cell>
          <cell r="F58">
            <v>3.2840871745747425E-3</v>
          </cell>
          <cell r="G58">
            <v>5.7153225074843507E-3</v>
          </cell>
          <cell r="H58">
            <v>3.2840871745747425E-3</v>
          </cell>
          <cell r="I58" t="str">
            <v>NA</v>
          </cell>
          <cell r="J58" t="str">
            <v>NA</v>
          </cell>
          <cell r="K58">
            <v>3.2840871745747425E-3</v>
          </cell>
        </row>
        <row r="59">
          <cell r="C59" t="str">
            <v>Mixed Recyclables</v>
          </cell>
          <cell r="D59">
            <v>20</v>
          </cell>
          <cell r="E59">
            <v>1.6970431966621305E-2</v>
          </cell>
          <cell r="F59">
            <v>3.2840871745747425E-3</v>
          </cell>
          <cell r="G59">
            <v>5.7153225074843507E-3</v>
          </cell>
          <cell r="H59">
            <v>3.2840871745747425E-3</v>
          </cell>
          <cell r="I59" t="str">
            <v>NA</v>
          </cell>
          <cell r="J59" t="str">
            <v>NA</v>
          </cell>
          <cell r="K59">
            <v>3.2840871745747425E-3</v>
          </cell>
        </row>
        <row r="60">
          <cell r="C60" t="str">
            <v>Mixed Organics</v>
          </cell>
          <cell r="D60">
            <v>20</v>
          </cell>
          <cell r="E60">
            <v>1.6970431966621305E-2</v>
          </cell>
          <cell r="F60">
            <v>3.2840871745747425E-3</v>
          </cell>
          <cell r="G60">
            <v>5.7153225074843507E-3</v>
          </cell>
          <cell r="H60">
            <v>3.2840871745747425E-3</v>
          </cell>
          <cell r="I60">
            <v>1.6249850366652115E-2</v>
          </cell>
          <cell r="J60">
            <v>3.2840871745747425E-3</v>
          </cell>
          <cell r="K60">
            <v>3.2840871745747425E-3</v>
          </cell>
        </row>
        <row r="61">
          <cell r="C61" t="str">
            <v>Mixed MSW</v>
          </cell>
          <cell r="D61">
            <v>20</v>
          </cell>
          <cell r="E61">
            <v>1.6970431966621305E-2</v>
          </cell>
          <cell r="F61">
            <v>3.2840871745747425E-3</v>
          </cell>
          <cell r="G61">
            <v>5.7153225074843507E-3</v>
          </cell>
          <cell r="H61">
            <v>3.2840871745747425E-3</v>
          </cell>
          <cell r="I61" t="str">
            <v>NA</v>
          </cell>
          <cell r="J61" t="str">
            <v>NA</v>
          </cell>
          <cell r="K61">
            <v>3.2840871745747425E-3</v>
          </cell>
        </row>
        <row r="62">
          <cell r="B62" t="str">
            <v>Composite Materials</v>
          </cell>
          <cell r="C62" t="str">
            <v>Carpet</v>
          </cell>
          <cell r="D62">
            <v>20</v>
          </cell>
          <cell r="E62">
            <v>1.6970431966621305E-2</v>
          </cell>
          <cell r="F62">
            <v>3.2840871745747425E-3</v>
          </cell>
          <cell r="G62">
            <v>5.7153225074843507E-3</v>
          </cell>
          <cell r="H62">
            <v>3.2840871745747425E-3</v>
          </cell>
          <cell r="I62" t="str">
            <v>NA</v>
          </cell>
          <cell r="J62" t="str">
            <v>NA</v>
          </cell>
          <cell r="K62">
            <v>3.2840871745747425E-3</v>
          </cell>
        </row>
        <row r="63">
          <cell r="C63" t="str">
            <v>Personal Computers</v>
          </cell>
          <cell r="D63">
            <v>20</v>
          </cell>
          <cell r="E63">
            <v>1.6970431966621305E-2</v>
          </cell>
          <cell r="F63">
            <v>3.2840871745747425E-3</v>
          </cell>
          <cell r="G63">
            <v>5.7153225074843507E-3</v>
          </cell>
          <cell r="H63">
            <v>3.2840871745747425E-3</v>
          </cell>
          <cell r="I63" t="str">
            <v>NA</v>
          </cell>
          <cell r="J63" t="str">
            <v>NA</v>
          </cell>
          <cell r="K63">
            <v>3.2840871745747425E-3</v>
          </cell>
        </row>
        <row r="64">
          <cell r="B64" t="str">
            <v>C&amp;D Materials</v>
          </cell>
          <cell r="C64" t="str">
            <v>Clay Bricks</v>
          </cell>
          <cell r="D64">
            <v>20</v>
          </cell>
          <cell r="E64">
            <v>1.6970431966621305E-2</v>
          </cell>
          <cell r="F64">
            <v>3.2840871745747425E-3</v>
          </cell>
          <cell r="G64">
            <v>5.7153225074843507E-3</v>
          </cell>
          <cell r="H64">
            <v>3.2840871745747425E-3</v>
          </cell>
          <cell r="I64" t="str">
            <v>NA</v>
          </cell>
          <cell r="J64" t="str">
            <v>NA</v>
          </cell>
          <cell r="K64">
            <v>3.2840871745747425E-3</v>
          </cell>
        </row>
        <row r="65">
          <cell r="C65" t="str">
            <v>Concrete</v>
          </cell>
          <cell r="D65">
            <v>20</v>
          </cell>
          <cell r="E65">
            <v>1.6970431966621305E-2</v>
          </cell>
          <cell r="F65">
            <v>3.2840871745747425E-3</v>
          </cell>
          <cell r="G65">
            <v>5.7153225074843507E-3</v>
          </cell>
          <cell r="H65">
            <v>3.2840871745747425E-3</v>
          </cell>
          <cell r="I65" t="str">
            <v>NA</v>
          </cell>
          <cell r="J65" t="str">
            <v>NA</v>
          </cell>
          <cell r="K65">
            <v>3.2840871745747425E-3</v>
          </cell>
        </row>
        <row r="66">
          <cell r="C66" t="str">
            <v>Fly Ash</v>
          </cell>
          <cell r="D66">
            <v>20</v>
          </cell>
          <cell r="E66">
            <v>1.6970431966621305E-2</v>
          </cell>
          <cell r="F66">
            <v>3.2840871745747425E-3</v>
          </cell>
          <cell r="G66">
            <v>5.7153225074843507E-3</v>
          </cell>
          <cell r="H66">
            <v>3.2840871745747425E-3</v>
          </cell>
          <cell r="I66" t="str">
            <v>NA</v>
          </cell>
          <cell r="J66" t="str">
            <v>NA</v>
          </cell>
          <cell r="K66">
            <v>3.2840871745747425E-3</v>
          </cell>
        </row>
        <row r="67">
          <cell r="C67" t="str">
            <v>Tires</v>
          </cell>
          <cell r="D67">
            <v>20</v>
          </cell>
          <cell r="E67">
            <v>1.6970431966621305E-2</v>
          </cell>
          <cell r="F67">
            <v>3.2840871745747425E-3</v>
          </cell>
          <cell r="G67">
            <v>5.7153225074843507E-3</v>
          </cell>
          <cell r="H67">
            <v>3.2840871745747425E-3</v>
          </cell>
          <cell r="I67" t="str">
            <v>NA</v>
          </cell>
          <cell r="J67" t="str">
            <v>NA</v>
          </cell>
          <cell r="K67">
            <v>3.2840871745747425E-3</v>
          </cell>
        </row>
        <row r="68">
          <cell r="C68" t="str">
            <v>Asphalt Concrete</v>
          </cell>
          <cell r="D68">
            <v>20</v>
          </cell>
          <cell r="E68">
            <v>1.6970431966621305E-2</v>
          </cell>
          <cell r="F68">
            <v>3.2840871745747425E-3</v>
          </cell>
          <cell r="G68">
            <v>5.7153225074843507E-3</v>
          </cell>
          <cell r="H68">
            <v>3.2840871745747425E-3</v>
          </cell>
          <cell r="I68" t="str">
            <v>NA</v>
          </cell>
          <cell r="J68" t="str">
            <v>NA</v>
          </cell>
          <cell r="K68">
            <v>3.2840871745747425E-3</v>
          </cell>
        </row>
        <row r="69">
          <cell r="C69" t="str">
            <v>Asphalt Shingles</v>
          </cell>
          <cell r="D69">
            <v>20</v>
          </cell>
          <cell r="E69">
            <v>1.6970431966621305E-2</v>
          </cell>
          <cell r="F69">
            <v>3.2840871745747425E-3</v>
          </cell>
          <cell r="G69">
            <v>5.7153225074843507E-3</v>
          </cell>
          <cell r="H69">
            <v>3.2840871745747425E-3</v>
          </cell>
          <cell r="I69" t="str">
            <v>NA</v>
          </cell>
          <cell r="J69" t="str">
            <v>NA</v>
          </cell>
          <cell r="K69">
            <v>3.2840871745747425E-3</v>
          </cell>
        </row>
        <row r="70">
          <cell r="C70" t="str">
            <v>Drywall</v>
          </cell>
          <cell r="D70">
            <v>20</v>
          </cell>
          <cell r="E70">
            <v>1.6970431966621305E-2</v>
          </cell>
          <cell r="F70">
            <v>3.2840871745747425E-3</v>
          </cell>
          <cell r="G70">
            <v>5.7153225074843507E-3</v>
          </cell>
          <cell r="H70">
            <v>3.2840871745747425E-3</v>
          </cell>
          <cell r="I70">
            <v>1.6249850366652115E-2</v>
          </cell>
          <cell r="J70">
            <v>3.2840871745747425E-3</v>
          </cell>
          <cell r="K70">
            <v>3.2840871745747425E-3</v>
          </cell>
        </row>
        <row r="71">
          <cell r="C71" t="str">
            <v>Fiberglass Insulation</v>
          </cell>
          <cell r="D71">
            <v>20</v>
          </cell>
          <cell r="E71">
            <v>1.6970431966621305E-2</v>
          </cell>
          <cell r="F71">
            <v>3.2840871745747425E-3</v>
          </cell>
          <cell r="G71">
            <v>5.7153225074843507E-3</v>
          </cell>
          <cell r="H71">
            <v>3.2840871745747425E-3</v>
          </cell>
          <cell r="I71" t="str">
            <v>NA</v>
          </cell>
          <cell r="J71" t="str">
            <v>NA</v>
          </cell>
          <cell r="K71">
            <v>3.2840871745747425E-3</v>
          </cell>
        </row>
        <row r="72">
          <cell r="C72" t="str">
            <v>Vinyl Flooring</v>
          </cell>
          <cell r="D72">
            <v>20</v>
          </cell>
          <cell r="E72">
            <v>1.6970431966621305E-2</v>
          </cell>
          <cell r="F72">
            <v>3.2840871745747425E-3</v>
          </cell>
          <cell r="G72">
            <v>5.7153225074843507E-3</v>
          </cell>
          <cell r="H72">
            <v>3.2840871745747425E-3</v>
          </cell>
          <cell r="I72" t="str">
            <v>NA</v>
          </cell>
          <cell r="J72" t="str">
            <v>NA</v>
          </cell>
          <cell r="K72">
            <v>3.2840871745747425E-3</v>
          </cell>
        </row>
        <row r="73">
          <cell r="C73" t="str">
            <v>Wood Flooring</v>
          </cell>
          <cell r="D73">
            <v>20</v>
          </cell>
          <cell r="E73">
            <v>1.6970431966621305E-2</v>
          </cell>
          <cell r="F73">
            <v>3.2840871745747425E-3</v>
          </cell>
          <cell r="G73">
            <v>2.0003059633333334E-2</v>
          </cell>
          <cell r="H73">
            <v>2.7170461761770841E-2</v>
          </cell>
          <cell r="I73">
            <v>2.0003059633333334E-2</v>
          </cell>
          <cell r="J73">
            <v>2.7170461761770841E-2</v>
          </cell>
          <cell r="K73">
            <v>3.2840871745747425E-3</v>
          </cell>
        </row>
        <row r="74">
          <cell r="B74" t="str">
            <v>Inorganics</v>
          </cell>
          <cell r="C74" t="str">
            <v>Aluminum Ingot</v>
          </cell>
          <cell r="D74">
            <v>20</v>
          </cell>
          <cell r="E74">
            <v>1.6970431966621305E-2</v>
          </cell>
          <cell r="F74">
            <v>3.2840871745747425E-3</v>
          </cell>
          <cell r="G74">
            <v>5.7153225074843507E-3</v>
          </cell>
          <cell r="H74">
            <v>3.2840871745747425E-3</v>
          </cell>
          <cell r="I74" t="str">
            <v>NA</v>
          </cell>
          <cell r="J74" t="str">
            <v>NA</v>
          </cell>
          <cell r="K74">
            <v>3.2840871745747425E-3</v>
          </cell>
        </row>
        <row r="75">
          <cell r="B75" t="str">
            <v>PLA</v>
          </cell>
          <cell r="C75" t="str">
            <v>PLA</v>
          </cell>
          <cell r="D75">
            <v>20</v>
          </cell>
          <cell r="E75">
            <v>1.6970431966621305E-2</v>
          </cell>
          <cell r="F75">
            <v>3.2840871745747425E-3</v>
          </cell>
          <cell r="G75">
            <v>5.7153225074843507E-3</v>
          </cell>
          <cell r="H75">
            <v>3.2840871745747425E-3</v>
          </cell>
          <cell r="I75">
            <v>1.6249850366652115E-2</v>
          </cell>
          <cell r="J75">
            <v>3.2840871745747425E-3</v>
          </cell>
          <cell r="K75">
            <v>3.2840871745747425E-3</v>
          </cell>
        </row>
        <row r="76">
          <cell r="B76" t="str">
            <v>Plastics</v>
          </cell>
          <cell r="C76" t="str">
            <v>LLDPE</v>
          </cell>
          <cell r="D76">
            <v>20</v>
          </cell>
          <cell r="E76">
            <v>1.6970431966621305E-2</v>
          </cell>
          <cell r="F76">
            <v>3.2840871745747425E-3</v>
          </cell>
          <cell r="G76">
            <v>5.7153225074843507E-3</v>
          </cell>
          <cell r="H76">
            <v>3.2840871745747425E-3</v>
          </cell>
          <cell r="I76" t="str">
            <v>NA</v>
          </cell>
          <cell r="J76" t="str">
            <v>NA</v>
          </cell>
          <cell r="K76">
            <v>3.2840871745747425E-3</v>
          </cell>
        </row>
        <row r="77">
          <cell r="C77" t="str">
            <v>PP</v>
          </cell>
          <cell r="D77">
            <v>20</v>
          </cell>
          <cell r="E77">
            <v>1.6970431966621305E-2</v>
          </cell>
          <cell r="F77">
            <v>3.2840871745747425E-3</v>
          </cell>
          <cell r="G77">
            <v>5.7153225074843507E-3</v>
          </cell>
          <cell r="H77">
            <v>3.2840871745747425E-3</v>
          </cell>
          <cell r="I77" t="str">
            <v>NA</v>
          </cell>
          <cell r="J77" t="str">
            <v>NA</v>
          </cell>
          <cell r="K77">
            <v>3.2840871745747425E-3</v>
          </cell>
        </row>
        <row r="78">
          <cell r="C78" t="str">
            <v>PS</v>
          </cell>
          <cell r="D78">
            <v>20</v>
          </cell>
          <cell r="E78">
            <v>1.6970431966621305E-2</v>
          </cell>
          <cell r="F78">
            <v>3.2840871745747425E-3</v>
          </cell>
          <cell r="G78">
            <v>5.7153225074843507E-3</v>
          </cell>
          <cell r="H78">
            <v>3.2840871745747425E-3</v>
          </cell>
          <cell r="I78" t="str">
            <v>NA</v>
          </cell>
          <cell r="J78" t="str">
            <v>NA</v>
          </cell>
          <cell r="K78">
            <v>3.2840871745747425E-3</v>
          </cell>
        </row>
        <row r="79">
          <cell r="C79" t="str">
            <v>PVC</v>
          </cell>
          <cell r="D79">
            <v>20</v>
          </cell>
          <cell r="E79">
            <v>1.6970431966621305E-2</v>
          </cell>
          <cell r="F79">
            <v>3.2840871745747425E-3</v>
          </cell>
          <cell r="G79">
            <v>5.7153225074843507E-3</v>
          </cell>
          <cell r="H79">
            <v>3.2840871745747425E-3</v>
          </cell>
          <cell r="I79" t="str">
            <v>NA</v>
          </cell>
          <cell r="J79" t="str">
            <v>NA</v>
          </cell>
          <cell r="K79">
            <v>3.2840871745747425E-3</v>
          </cell>
        </row>
        <row r="80">
          <cell r="B80" t="str">
            <v>Food Waste</v>
          </cell>
          <cell r="C80" t="str">
            <v>Food Waste</v>
          </cell>
          <cell r="D80">
            <v>20</v>
          </cell>
          <cell r="E80">
            <v>1.6970431966621305E-2</v>
          </cell>
          <cell r="F80">
            <v>3.2840871745747425E-3</v>
          </cell>
          <cell r="G80">
            <v>5.7153225074843507E-3</v>
          </cell>
          <cell r="H80">
            <v>3.2840871745747425E-3</v>
          </cell>
          <cell r="I80">
            <v>1.6249850366652115E-2</v>
          </cell>
          <cell r="J80">
            <v>3.2840871745747425E-3</v>
          </cell>
          <cell r="K80">
            <v>3.2840871745747425E-3</v>
          </cell>
        </row>
        <row r="81">
          <cell r="C81" t="str">
            <v>Dairy Products</v>
          </cell>
          <cell r="D81">
            <v>20</v>
          </cell>
          <cell r="E81">
            <v>1.6970431966621305E-2</v>
          </cell>
          <cell r="F81">
            <v>3.2840871745747425E-3</v>
          </cell>
          <cell r="G81">
            <v>5.7153225074843507E-3</v>
          </cell>
          <cell r="H81">
            <v>3.2840871745747425E-3</v>
          </cell>
          <cell r="I81">
            <v>1.6249850366652115E-2</v>
          </cell>
          <cell r="J81">
            <v>3.2840871745747425E-3</v>
          </cell>
          <cell r="K81">
            <v>3.2840871745747425E-3</v>
          </cell>
        </row>
        <row r="82">
          <cell r="C82" t="str">
            <v>Grains</v>
          </cell>
          <cell r="D82">
            <v>20</v>
          </cell>
          <cell r="E82">
            <v>1.6970431966621305E-2</v>
          </cell>
          <cell r="F82">
            <v>3.2840871745747425E-3</v>
          </cell>
          <cell r="G82">
            <v>5.7153225074843507E-3</v>
          </cell>
          <cell r="H82">
            <v>3.2840871745747425E-3</v>
          </cell>
          <cell r="I82">
            <v>1.6249850366652115E-2</v>
          </cell>
          <cell r="J82">
            <v>3.2840871745747425E-3</v>
          </cell>
          <cell r="K82">
            <v>3.2840871745747425E-3</v>
          </cell>
        </row>
        <row r="83">
          <cell r="C83" t="str">
            <v>Bread</v>
          </cell>
          <cell r="D83">
            <v>20</v>
          </cell>
          <cell r="E83">
            <v>1.6970431966621305E-2</v>
          </cell>
          <cell r="F83">
            <v>3.2840871745747425E-3</v>
          </cell>
          <cell r="G83">
            <v>5.7153225074843507E-3</v>
          </cell>
          <cell r="H83">
            <v>3.2840871745747425E-3</v>
          </cell>
          <cell r="I83">
            <v>1.6249850366652115E-2</v>
          </cell>
          <cell r="J83">
            <v>3.2840871745747425E-3</v>
          </cell>
          <cell r="K83">
            <v>3.2840871745747425E-3</v>
          </cell>
        </row>
        <row r="84">
          <cell r="C84" t="str">
            <v>Fruits and Vegetables</v>
          </cell>
          <cell r="D84">
            <v>20</v>
          </cell>
          <cell r="E84">
            <v>1.6970431966621305E-2</v>
          </cell>
          <cell r="F84">
            <v>3.2840871745747425E-3</v>
          </cell>
          <cell r="G84">
            <v>5.7153225074843507E-3</v>
          </cell>
          <cell r="H84">
            <v>3.2840871745747425E-3</v>
          </cell>
          <cell r="I84">
            <v>1.6249850366652115E-2</v>
          </cell>
          <cell r="J84">
            <v>3.2840871745747425E-3</v>
          </cell>
          <cell r="K84">
            <v>3.2840871745747425E-3</v>
          </cell>
        </row>
        <row r="85">
          <cell r="C85" t="str">
            <v>Beef</v>
          </cell>
          <cell r="D85">
            <v>20</v>
          </cell>
          <cell r="E85">
            <v>1.6970431966621305E-2</v>
          </cell>
          <cell r="F85">
            <v>3.2840871745747425E-3</v>
          </cell>
          <cell r="G85">
            <v>5.7153225074843507E-3</v>
          </cell>
          <cell r="H85">
            <v>3.2840871745747425E-3</v>
          </cell>
          <cell r="I85">
            <v>1.6249850366652115E-2</v>
          </cell>
          <cell r="J85">
            <v>3.2840871745747425E-3</v>
          </cell>
          <cell r="K85">
            <v>3.2840871745747425E-3</v>
          </cell>
        </row>
        <row r="86">
          <cell r="C86" t="str">
            <v>Poultry</v>
          </cell>
          <cell r="D86">
            <v>20</v>
          </cell>
          <cell r="E86">
            <v>1.6970431966621305E-2</v>
          </cell>
          <cell r="F86">
            <v>3.2840871745747425E-3</v>
          </cell>
          <cell r="G86">
            <v>5.7153225074843507E-3</v>
          </cell>
          <cell r="H86">
            <v>3.2840871745747425E-3</v>
          </cell>
          <cell r="I86">
            <v>1.6249850366652115E-2</v>
          </cell>
          <cell r="J86">
            <v>3.2840871745747425E-3</v>
          </cell>
          <cell r="K86">
            <v>3.2840871745747425E-3</v>
          </cell>
        </row>
        <row r="87">
          <cell r="C87" t="str">
            <v>Food Waste (meat only)</v>
          </cell>
          <cell r="D87">
            <v>20</v>
          </cell>
          <cell r="E87">
            <v>1.6970431966621305E-2</v>
          </cell>
          <cell r="F87">
            <v>3.2840871745747425E-3</v>
          </cell>
          <cell r="G87">
            <v>5.7153225074843507E-3</v>
          </cell>
          <cell r="H87">
            <v>3.2840871745747425E-3</v>
          </cell>
          <cell r="I87">
            <v>1.6249850366652115E-2</v>
          </cell>
          <cell r="J87">
            <v>3.2840871745747425E-3</v>
          </cell>
          <cell r="K87">
            <v>3.2840871745747425E-3</v>
          </cell>
        </row>
        <row r="88">
          <cell r="C88" t="str">
            <v>Food Waste (non-meat)</v>
          </cell>
          <cell r="D88">
            <v>20</v>
          </cell>
          <cell r="E88">
            <v>1.6970431966621305E-2</v>
          </cell>
          <cell r="F88">
            <v>3.2840871745747425E-3</v>
          </cell>
          <cell r="G88">
            <v>5.7153225074843507E-3</v>
          </cell>
          <cell r="H88">
            <v>3.2840871745747425E-3</v>
          </cell>
          <cell r="I88">
            <v>1.6249850366652115E-2</v>
          </cell>
          <cell r="J88">
            <v>3.2840871745747425E-3</v>
          </cell>
          <cell r="K88">
            <v>3.2840871745747425E-3</v>
          </cell>
        </row>
        <row r="93">
          <cell r="B93" t="str">
            <v>Energy</v>
          </cell>
          <cell r="E93" t="str">
            <v>Landfilling equipment (Avoided in Million Btu/Ton)</v>
          </cell>
          <cell r="H93" t="str">
            <v>Combustion (Avoided in Million Btu/Ton)</v>
          </cell>
          <cell r="K93" t="str">
            <v>Composting (Avoided in Million Btu/Ton)</v>
          </cell>
          <cell r="N93" t="str">
            <v>Anaerobic Digestion (Avoided in Million Btu/Ton)</v>
          </cell>
        </row>
        <row r="94">
          <cell r="B94" t="str">
            <v>Avoided in Million Btu/Ton</v>
          </cell>
          <cell r="D94" t="str">
            <v>Miles assumed</v>
          </cell>
          <cell r="E94" t="str">
            <v>Landfilling equipment (MTCO2e/ton)</v>
          </cell>
          <cell r="F94" t="str">
            <v>Landfilling Transportation (MTCO2e/ton)</v>
          </cell>
          <cell r="G94" t="str">
            <v xml:space="preserve">Total </v>
          </cell>
          <cell r="H94" t="str">
            <v>Combusting Equipment (MTCO2e/ton)</v>
          </cell>
          <cell r="I94" t="str">
            <v>Combustion Transportation (MTCO2e/ton)</v>
          </cell>
          <cell r="J94" t="str">
            <v xml:space="preserve">Total </v>
          </cell>
          <cell r="K94" t="str">
            <v>Composting Equipment (MTCO2e/ton)</v>
          </cell>
          <cell r="L94" t="str">
            <v>Composting Transportation (MTCO2e/ton)</v>
          </cell>
          <cell r="M94" t="str">
            <v xml:space="preserve">Total </v>
          </cell>
          <cell r="N94" t="str">
            <v>Anaerobic Digestion Transportation (MTCO2e/ton)</v>
          </cell>
        </row>
        <row r="95">
          <cell r="B95" t="str">
            <v>Category</v>
          </cell>
          <cell r="C95" t="str">
            <v>Material</v>
          </cell>
          <cell r="D95">
            <v>20</v>
          </cell>
          <cell r="E95">
            <v>0.23080000000000001</v>
          </cell>
          <cell r="F95">
            <v>3.7473046224438249E-2</v>
          </cell>
          <cell r="G95">
            <v>0.26827304622443826</v>
          </cell>
          <cell r="H95">
            <v>0.23080000000000001</v>
          </cell>
          <cell r="I95">
            <v>3.7473046224438249E-2</v>
          </cell>
          <cell r="J95">
            <v>0.26827304622443826</v>
          </cell>
          <cell r="K95" t="str">
            <v>NA</v>
          </cell>
          <cell r="L95" t="str">
            <v>NA</v>
          </cell>
          <cell r="M95" t="str">
            <v>NA</v>
          </cell>
          <cell r="N95">
            <v>3.7473046224438249E-2</v>
          </cell>
        </row>
        <row r="96">
          <cell r="B96" t="str">
            <v>Inorganics</v>
          </cell>
          <cell r="C96" t="str">
            <v>Aluminum Cans</v>
          </cell>
          <cell r="D96">
            <v>20</v>
          </cell>
          <cell r="E96">
            <v>0.23080000000000001</v>
          </cell>
          <cell r="F96">
            <v>3.7473046224438249E-2</v>
          </cell>
          <cell r="G96">
            <v>0.26827304622443826</v>
          </cell>
          <cell r="H96">
            <v>0.23080000000000001</v>
          </cell>
          <cell r="I96">
            <v>3.7473046224438249E-2</v>
          </cell>
          <cell r="J96">
            <v>0.26827304622443826</v>
          </cell>
          <cell r="K96" t="str">
            <v>NA</v>
          </cell>
          <cell r="L96" t="str">
            <v>NA</v>
          </cell>
          <cell r="M96" t="str">
            <v>NA</v>
          </cell>
          <cell r="N96">
            <v>3.7473046224438249E-2</v>
          </cell>
        </row>
        <row r="97">
          <cell r="C97" t="str">
            <v>Steel Cans</v>
          </cell>
          <cell r="D97">
            <v>20</v>
          </cell>
          <cell r="E97">
            <v>0.23080000000000001</v>
          </cell>
          <cell r="F97">
            <v>3.7473046224438249E-2</v>
          </cell>
          <cell r="G97">
            <v>0.26827304622443826</v>
          </cell>
          <cell r="H97">
            <v>0.23080000000000001</v>
          </cell>
          <cell r="I97">
            <v>3.7473046224438249E-2</v>
          </cell>
          <cell r="J97">
            <v>0.26827304622443826</v>
          </cell>
          <cell r="K97" t="str">
            <v>NA</v>
          </cell>
          <cell r="L97" t="str">
            <v>NA</v>
          </cell>
          <cell r="M97" t="str">
            <v>NA</v>
          </cell>
          <cell r="N97">
            <v>3.7473046224438249E-2</v>
          </cell>
        </row>
        <row r="98">
          <cell r="C98" t="str">
            <v>Copper Wire</v>
          </cell>
          <cell r="D98">
            <v>20</v>
          </cell>
          <cell r="E98">
            <v>0.23080000000000001</v>
          </cell>
          <cell r="F98">
            <v>3.7473046224438249E-2</v>
          </cell>
          <cell r="G98">
            <v>0.26827304622443826</v>
          </cell>
          <cell r="H98">
            <v>0.23080000000000001</v>
          </cell>
          <cell r="I98">
            <v>3.7473046224438249E-2</v>
          </cell>
          <cell r="J98">
            <v>0.26827304622443826</v>
          </cell>
          <cell r="K98" t="str">
            <v>NA</v>
          </cell>
          <cell r="L98" t="str">
            <v>NA</v>
          </cell>
          <cell r="M98" t="str">
            <v>NA</v>
          </cell>
          <cell r="N98">
            <v>3.7473046224438249E-2</v>
          </cell>
        </row>
        <row r="99">
          <cell r="C99" t="str">
            <v>Glass</v>
          </cell>
          <cell r="D99">
            <v>20</v>
          </cell>
          <cell r="E99">
            <v>0.23080000000000001</v>
          </cell>
          <cell r="F99">
            <v>3.7473046224438249E-2</v>
          </cell>
          <cell r="G99">
            <v>0.26827304622443826</v>
          </cell>
          <cell r="H99">
            <v>0.23080000000000001</v>
          </cell>
          <cell r="I99">
            <v>3.7473046224438249E-2</v>
          </cell>
          <cell r="J99">
            <v>0.26827304622443826</v>
          </cell>
          <cell r="K99" t="str">
            <v>NA</v>
          </cell>
          <cell r="L99" t="str">
            <v>NA</v>
          </cell>
          <cell r="M99" t="str">
            <v>NA</v>
          </cell>
          <cell r="N99">
            <v>3.7473046224438249E-2</v>
          </cell>
        </row>
        <row r="100">
          <cell r="B100" t="str">
            <v>Plastics</v>
          </cell>
          <cell r="C100" t="str">
            <v>HDPE</v>
          </cell>
          <cell r="D100">
            <v>20</v>
          </cell>
          <cell r="E100">
            <v>0.23080000000000001</v>
          </cell>
          <cell r="F100">
            <v>3.7473046224438249E-2</v>
          </cell>
          <cell r="G100">
            <v>0.26827304622443826</v>
          </cell>
          <cell r="H100">
            <v>0.23080000000000001</v>
          </cell>
          <cell r="I100">
            <v>3.7473046224438249E-2</v>
          </cell>
          <cell r="J100">
            <v>0.26827304622443826</v>
          </cell>
          <cell r="K100" t="str">
            <v>NA</v>
          </cell>
          <cell r="L100" t="str">
            <v>NA</v>
          </cell>
          <cell r="M100" t="str">
            <v>NA</v>
          </cell>
          <cell r="N100">
            <v>3.7473046224438249E-2</v>
          </cell>
        </row>
        <row r="101">
          <cell r="C101" t="str">
            <v>LDPE</v>
          </cell>
          <cell r="D101">
            <v>20</v>
          </cell>
          <cell r="E101">
            <v>0.23080000000000001</v>
          </cell>
          <cell r="F101">
            <v>3.7473046224438249E-2</v>
          </cell>
          <cell r="G101">
            <v>0.26827304622443826</v>
          </cell>
          <cell r="H101">
            <v>0.23080000000000001</v>
          </cell>
          <cell r="I101">
            <v>3.7473046224438249E-2</v>
          </cell>
          <cell r="J101">
            <v>0.26827304622443826</v>
          </cell>
          <cell r="K101" t="str">
            <v>NA</v>
          </cell>
          <cell r="L101" t="str">
            <v>NA</v>
          </cell>
          <cell r="M101" t="str">
            <v>NA</v>
          </cell>
          <cell r="N101">
            <v>3.7473046224438249E-2</v>
          </cell>
        </row>
        <row r="102">
          <cell r="C102" t="str">
            <v>PET</v>
          </cell>
          <cell r="D102">
            <v>20</v>
          </cell>
          <cell r="E102">
            <v>0.23080000000000001</v>
          </cell>
          <cell r="F102">
            <v>3.7473046224438249E-2</v>
          </cell>
          <cell r="G102">
            <v>0.26827304622443826</v>
          </cell>
          <cell r="H102">
            <v>0.23080000000000001</v>
          </cell>
          <cell r="I102">
            <v>3.7473046224438249E-2</v>
          </cell>
          <cell r="J102">
            <v>0.26827304622443826</v>
          </cell>
          <cell r="K102" t="str">
            <v>NA</v>
          </cell>
          <cell r="L102" t="str">
            <v>NA</v>
          </cell>
          <cell r="M102" t="str">
            <v>NA</v>
          </cell>
          <cell r="N102">
            <v>3.7473046224438249E-2</v>
          </cell>
        </row>
        <row r="103">
          <cell r="B103" t="str">
            <v>Paper and Wood</v>
          </cell>
          <cell r="C103" t="str">
            <v>Corrugated Containers</v>
          </cell>
          <cell r="D103">
            <v>20</v>
          </cell>
          <cell r="E103">
            <v>0.23080000000000001</v>
          </cell>
          <cell r="F103">
            <v>3.7473046224438249E-2</v>
          </cell>
          <cell r="G103">
            <v>0.26827304622443826</v>
          </cell>
          <cell r="H103">
            <v>0.23080000000000001</v>
          </cell>
          <cell r="I103">
            <v>3.7473046224438249E-2</v>
          </cell>
          <cell r="J103">
            <v>0.26827304622443826</v>
          </cell>
          <cell r="K103" t="str">
            <v>NA</v>
          </cell>
          <cell r="L103" t="str">
            <v>NA</v>
          </cell>
          <cell r="M103" t="str">
            <v>NA</v>
          </cell>
          <cell r="N103">
            <v>3.7473046224438249E-2</v>
          </cell>
        </row>
        <row r="104">
          <cell r="C104" t="str">
            <v>Magazines/Third-class Mail</v>
          </cell>
          <cell r="D104">
            <v>20</v>
          </cell>
          <cell r="E104">
            <v>0.23080000000000001</v>
          </cell>
          <cell r="F104">
            <v>3.7473046224438249E-2</v>
          </cell>
          <cell r="G104">
            <v>0.26827304622443826</v>
          </cell>
          <cell r="H104">
            <v>0.23080000000000001</v>
          </cell>
          <cell r="I104">
            <v>3.7473046224438249E-2</v>
          </cell>
          <cell r="J104">
            <v>0.26827304622443826</v>
          </cell>
          <cell r="K104" t="str">
            <v>NA</v>
          </cell>
          <cell r="L104" t="str">
            <v>NA</v>
          </cell>
          <cell r="M104" t="str">
            <v>NA</v>
          </cell>
          <cell r="N104">
            <v>3.7473046224438249E-2</v>
          </cell>
        </row>
        <row r="105">
          <cell r="C105" t="str">
            <v>Newspaper</v>
          </cell>
          <cell r="D105">
            <v>20</v>
          </cell>
          <cell r="E105">
            <v>0.23080000000000001</v>
          </cell>
          <cell r="F105">
            <v>3.7473046224438249E-2</v>
          </cell>
          <cell r="G105">
            <v>0.26827304622443826</v>
          </cell>
          <cell r="H105">
            <v>0.23080000000000001</v>
          </cell>
          <cell r="I105">
            <v>3.7473046224438249E-2</v>
          </cell>
          <cell r="J105">
            <v>0.26827304622443826</v>
          </cell>
          <cell r="K105" t="str">
            <v>NA</v>
          </cell>
          <cell r="L105" t="str">
            <v>NA</v>
          </cell>
          <cell r="M105" t="str">
            <v>NA</v>
          </cell>
          <cell r="N105">
            <v>3.7473046224438249E-2</v>
          </cell>
        </row>
        <row r="106">
          <cell r="C106" t="str">
            <v>Office Paper</v>
          </cell>
          <cell r="D106">
            <v>20</v>
          </cell>
          <cell r="E106">
            <v>0.23080000000000001</v>
          </cell>
          <cell r="F106">
            <v>3.7473046224438249E-2</v>
          </cell>
          <cell r="G106">
            <v>0.26827304622443826</v>
          </cell>
          <cell r="H106">
            <v>0.23080000000000001</v>
          </cell>
          <cell r="I106">
            <v>3.7473046224438249E-2</v>
          </cell>
          <cell r="J106">
            <v>0.26827304622443826</v>
          </cell>
          <cell r="K106" t="str">
            <v>NA</v>
          </cell>
          <cell r="L106" t="str">
            <v>NA</v>
          </cell>
          <cell r="M106" t="str">
            <v>NA</v>
          </cell>
          <cell r="N106">
            <v>3.7473046224438249E-2</v>
          </cell>
        </row>
        <row r="107">
          <cell r="C107" t="str">
            <v>Phonebooks</v>
          </cell>
          <cell r="D107">
            <v>20</v>
          </cell>
          <cell r="E107">
            <v>0.23080000000000001</v>
          </cell>
          <cell r="F107">
            <v>3.7473046224438249E-2</v>
          </cell>
          <cell r="G107">
            <v>0.26827304622443826</v>
          </cell>
          <cell r="H107">
            <v>0.23080000000000001</v>
          </cell>
          <cell r="I107">
            <v>3.7473046224438249E-2</v>
          </cell>
          <cell r="J107">
            <v>0.26827304622443826</v>
          </cell>
          <cell r="K107" t="str">
            <v>NA</v>
          </cell>
          <cell r="L107" t="str">
            <v>NA</v>
          </cell>
          <cell r="M107" t="str">
            <v>NA</v>
          </cell>
          <cell r="N107">
            <v>3.7473046224438249E-2</v>
          </cell>
        </row>
        <row r="108">
          <cell r="C108" t="str">
            <v>Textbooks</v>
          </cell>
          <cell r="D108">
            <v>20</v>
          </cell>
          <cell r="E108">
            <v>0.23080000000000001</v>
          </cell>
          <cell r="F108">
            <v>3.7473046224438249E-2</v>
          </cell>
          <cell r="G108">
            <v>0.26827304622443826</v>
          </cell>
          <cell r="H108">
            <v>0.23080000000000001</v>
          </cell>
          <cell r="I108">
            <v>3.7473046224438249E-2</v>
          </cell>
          <cell r="J108">
            <v>0.26827304622443826</v>
          </cell>
          <cell r="K108" t="str">
            <v>NA</v>
          </cell>
          <cell r="L108" t="str">
            <v>NA</v>
          </cell>
          <cell r="M108" t="str">
            <v>NA</v>
          </cell>
          <cell r="N108">
            <v>3.7473046224438249E-2</v>
          </cell>
        </row>
        <row r="109">
          <cell r="C109" t="str">
            <v>Dimensional Lumber</v>
          </cell>
          <cell r="D109">
            <v>20</v>
          </cell>
          <cell r="E109">
            <v>0.23080000000000001</v>
          </cell>
          <cell r="F109">
            <v>3.7473046224438249E-2</v>
          </cell>
          <cell r="G109">
            <v>0.26827304622443826</v>
          </cell>
          <cell r="H109">
            <v>0.23080000000000001</v>
          </cell>
          <cell r="I109">
            <v>3.7473046224438249E-2</v>
          </cell>
          <cell r="J109">
            <v>0.26827304622443826</v>
          </cell>
          <cell r="K109" t="str">
            <v>NA</v>
          </cell>
          <cell r="L109" t="str">
            <v>NA</v>
          </cell>
          <cell r="M109" t="str">
            <v>NA</v>
          </cell>
          <cell r="N109">
            <v>3.7473046224438249E-2</v>
          </cell>
        </row>
        <row r="110">
          <cell r="C110" t="str">
            <v>Medium-density Fiberboard</v>
          </cell>
          <cell r="D110">
            <v>20</v>
          </cell>
          <cell r="E110">
            <v>0.23080000000000001</v>
          </cell>
          <cell r="F110">
            <v>3.7473046224438249E-2</v>
          </cell>
          <cell r="G110">
            <v>0.26827304622443826</v>
          </cell>
          <cell r="H110">
            <v>0.23080000000000001</v>
          </cell>
          <cell r="I110">
            <v>3.7473046224438249E-2</v>
          </cell>
          <cell r="J110">
            <v>0.26827304622443826</v>
          </cell>
          <cell r="K110" t="str">
            <v>NA</v>
          </cell>
          <cell r="L110" t="str">
            <v>NA</v>
          </cell>
          <cell r="M110" t="str">
            <v>NA</v>
          </cell>
          <cell r="N110">
            <v>3.7473046224438249E-2</v>
          </cell>
        </row>
        <row r="111">
          <cell r="B111" t="str">
            <v>Other Organics</v>
          </cell>
          <cell r="C111" t="str">
            <v>Food Waste (inactive)</v>
          </cell>
          <cell r="D111">
            <v>20</v>
          </cell>
          <cell r="E111">
            <v>0.23080000000000001</v>
          </cell>
          <cell r="F111">
            <v>3.7473046224438249E-2</v>
          </cell>
          <cell r="G111">
            <v>0.26827304622443826</v>
          </cell>
          <cell r="H111">
            <v>0.23080000000000001</v>
          </cell>
          <cell r="I111">
            <v>3.7473046224438249E-2</v>
          </cell>
          <cell r="J111">
            <v>0.26827304622443826</v>
          </cell>
          <cell r="N111">
            <v>3.7473046224438249E-2</v>
          </cell>
        </row>
        <row r="112">
          <cell r="C112" t="str">
            <v>Yard Trimmings</v>
          </cell>
          <cell r="D112">
            <v>20</v>
          </cell>
          <cell r="E112">
            <v>0.23080000000000001</v>
          </cell>
          <cell r="F112">
            <v>3.7473046224438249E-2</v>
          </cell>
          <cell r="G112">
            <v>0.26827304622443826</v>
          </cell>
          <cell r="H112">
            <v>0.23080000000000001</v>
          </cell>
          <cell r="I112">
            <v>3.7473046224438249E-2</v>
          </cell>
          <cell r="J112">
            <v>0.26827304622443826</v>
          </cell>
          <cell r="K112">
            <v>0.221</v>
          </cell>
          <cell r="L112">
            <v>3.7473046224438249E-2</v>
          </cell>
          <cell r="M112">
            <v>0.25847304622443823</v>
          </cell>
          <cell r="N112">
            <v>3.7473046224438249E-2</v>
          </cell>
        </row>
        <row r="113">
          <cell r="C113" t="str">
            <v>Grass</v>
          </cell>
          <cell r="D113">
            <v>20</v>
          </cell>
          <cell r="E113">
            <v>0.23080000000000001</v>
          </cell>
          <cell r="F113">
            <v>3.7473046224438249E-2</v>
          </cell>
          <cell r="G113">
            <v>0.26827304622443826</v>
          </cell>
          <cell r="H113">
            <v>0.23080000000000001</v>
          </cell>
          <cell r="I113">
            <v>3.7473046224438249E-2</v>
          </cell>
          <cell r="J113">
            <v>0.26827304622443826</v>
          </cell>
          <cell r="K113">
            <v>0.221</v>
          </cell>
          <cell r="L113">
            <v>3.7473046224438249E-2</v>
          </cell>
          <cell r="M113">
            <v>0.25847304622443823</v>
          </cell>
          <cell r="N113">
            <v>3.7473046224438249E-2</v>
          </cell>
        </row>
        <row r="114">
          <cell r="C114" t="str">
            <v>Leaves</v>
          </cell>
          <cell r="D114">
            <v>20</v>
          </cell>
          <cell r="E114">
            <v>0.23080000000000001</v>
          </cell>
          <cell r="F114">
            <v>3.7473046224438249E-2</v>
          </cell>
          <cell r="G114">
            <v>0.26827304622443826</v>
          </cell>
          <cell r="H114">
            <v>0.23080000000000001</v>
          </cell>
          <cell r="I114">
            <v>3.7473046224438249E-2</v>
          </cell>
          <cell r="J114">
            <v>0.26827304622443826</v>
          </cell>
          <cell r="K114">
            <v>0.221</v>
          </cell>
          <cell r="L114">
            <v>3.7473046224438249E-2</v>
          </cell>
          <cell r="M114">
            <v>0.25847304622443823</v>
          </cell>
          <cell r="N114">
            <v>3.7473046224438249E-2</v>
          </cell>
        </row>
        <row r="115">
          <cell r="C115" t="str">
            <v>Branches</v>
          </cell>
          <cell r="D115">
            <v>20</v>
          </cell>
          <cell r="E115">
            <v>0.23080000000000001</v>
          </cell>
          <cell r="F115">
            <v>3.7473046224438249E-2</v>
          </cell>
          <cell r="G115">
            <v>0.26827304622443826</v>
          </cell>
          <cell r="H115">
            <v>0.23080000000000001</v>
          </cell>
          <cell r="I115">
            <v>3.7473046224438249E-2</v>
          </cell>
          <cell r="J115">
            <v>0.26827304622443826</v>
          </cell>
          <cell r="K115">
            <v>0.221</v>
          </cell>
          <cell r="L115">
            <v>3.7473046224438249E-2</v>
          </cell>
          <cell r="M115">
            <v>0.25847304622443823</v>
          </cell>
          <cell r="N115">
            <v>3.7473046224438249E-2</v>
          </cell>
        </row>
        <row r="116">
          <cell r="B116" t="str">
            <v>Mixed Materials</v>
          </cell>
          <cell r="C116" t="str">
            <v xml:space="preserve">Mixed Paper </v>
          </cell>
          <cell r="D116">
            <v>20</v>
          </cell>
          <cell r="E116">
            <v>0.23080000000000001</v>
          </cell>
          <cell r="F116">
            <v>3.7473046224438249E-2</v>
          </cell>
          <cell r="G116">
            <v>0.26827304622443826</v>
          </cell>
          <cell r="H116">
            <v>0.23080000000000001</v>
          </cell>
          <cell r="I116">
            <v>3.7473046224438249E-2</v>
          </cell>
          <cell r="J116">
            <v>0.26827304622443826</v>
          </cell>
          <cell r="K116">
            <v>0.221</v>
          </cell>
          <cell r="L116">
            <v>3.7473046224438249E-2</v>
          </cell>
          <cell r="M116">
            <v>0.25847304622443823</v>
          </cell>
          <cell r="N116">
            <v>3.7473046224438249E-2</v>
          </cell>
        </row>
        <row r="117">
          <cell r="C117" t="str">
            <v>Mixed Paper (general)</v>
          </cell>
          <cell r="D117">
            <v>20</v>
          </cell>
          <cell r="E117">
            <v>0.23080000000000001</v>
          </cell>
          <cell r="F117">
            <v>3.7473046224438249E-2</v>
          </cell>
          <cell r="G117">
            <v>0.26827304622443826</v>
          </cell>
          <cell r="H117">
            <v>0.23080000000000001</v>
          </cell>
          <cell r="I117">
            <v>3.7473046224438249E-2</v>
          </cell>
          <cell r="J117">
            <v>0.26827304622443826</v>
          </cell>
          <cell r="K117" t="str">
            <v>NA</v>
          </cell>
          <cell r="L117" t="str">
            <v>NA</v>
          </cell>
          <cell r="M117" t="str">
            <v>NA</v>
          </cell>
          <cell r="N117">
            <v>3.7473046224438249E-2</v>
          </cell>
        </row>
        <row r="118">
          <cell r="C118" t="str">
            <v>Mixed Paper (primarily residential)</v>
          </cell>
          <cell r="D118">
            <v>20</v>
          </cell>
          <cell r="E118">
            <v>0.23080000000000001</v>
          </cell>
          <cell r="F118">
            <v>3.7473046224438249E-2</v>
          </cell>
          <cell r="G118">
            <v>0.26827304622443826</v>
          </cell>
          <cell r="H118">
            <v>0.23080000000000001</v>
          </cell>
          <cell r="I118">
            <v>3.7473046224438249E-2</v>
          </cell>
          <cell r="J118">
            <v>0.26827304622443826</v>
          </cell>
          <cell r="K118" t="str">
            <v>NA</v>
          </cell>
          <cell r="L118" t="str">
            <v>NA</v>
          </cell>
          <cell r="M118" t="str">
            <v>NA</v>
          </cell>
          <cell r="N118">
            <v>3.7473046224438249E-2</v>
          </cell>
        </row>
        <row r="119">
          <cell r="C119" t="str">
            <v>Mixed Paper (primarily from offices)</v>
          </cell>
          <cell r="D119">
            <v>20</v>
          </cell>
          <cell r="E119">
            <v>0.23080000000000001</v>
          </cell>
          <cell r="F119">
            <v>3.7473046224438249E-2</v>
          </cell>
          <cell r="G119">
            <v>0.26827304622443826</v>
          </cell>
          <cell r="H119">
            <v>0.23080000000000001</v>
          </cell>
          <cell r="I119">
            <v>3.7473046224438249E-2</v>
          </cell>
          <cell r="J119">
            <v>0.26827304622443826</v>
          </cell>
          <cell r="K119" t="str">
            <v>NA</v>
          </cell>
          <cell r="L119" t="str">
            <v>NA</v>
          </cell>
          <cell r="M119" t="str">
            <v>NA</v>
          </cell>
          <cell r="N119">
            <v>3.7473046224438249E-2</v>
          </cell>
        </row>
        <row r="120">
          <cell r="H120">
            <v>0.23080000000000001</v>
          </cell>
          <cell r="I120">
            <v>3.7473046224438249E-2</v>
          </cell>
          <cell r="J120">
            <v>0.26827304622443826</v>
          </cell>
          <cell r="K120" t="str">
            <v>NA</v>
          </cell>
          <cell r="L120" t="str">
            <v>NA</v>
          </cell>
          <cell r="M120" t="str">
            <v>NA</v>
          </cell>
          <cell r="N120">
            <v>3.7473046224438249E-2</v>
          </cell>
        </row>
        <row r="121">
          <cell r="H121">
            <v>0.23080000000000001</v>
          </cell>
          <cell r="I121">
            <v>3.7473046224438249E-2</v>
          </cell>
          <cell r="J121">
            <v>0.26827304622443826</v>
          </cell>
          <cell r="K121" t="str">
            <v>NA</v>
          </cell>
          <cell r="L121" t="str">
            <v>NA</v>
          </cell>
          <cell r="M121" t="str">
            <v>NA</v>
          </cell>
          <cell r="N121">
            <v>3.7473046224438249E-2</v>
          </cell>
        </row>
        <row r="122">
          <cell r="H122">
            <v>0.23080000000000001</v>
          </cell>
          <cell r="I122">
            <v>3.7473046224438249E-2</v>
          </cell>
          <cell r="J122">
            <v>0.26827304622443826</v>
          </cell>
          <cell r="K122" t="str">
            <v>NA</v>
          </cell>
          <cell r="L122" t="str">
            <v>NA</v>
          </cell>
          <cell r="M122" t="str">
            <v>NA</v>
          </cell>
          <cell r="N122">
            <v>3.7473046224438249E-2</v>
          </cell>
        </row>
        <row r="123">
          <cell r="H123">
            <v>0.23080000000000001</v>
          </cell>
          <cell r="I123">
            <v>3.7473046224438249E-2</v>
          </cell>
          <cell r="J123">
            <v>0.26827304622443826</v>
          </cell>
          <cell r="K123">
            <v>0.221</v>
          </cell>
          <cell r="L123">
            <v>3.7473046224438249E-2</v>
          </cell>
          <cell r="M123">
            <v>0.25847304622443823</v>
          </cell>
          <cell r="N123">
            <v>3.7473046224438249E-2</v>
          </cell>
        </row>
        <row r="124">
          <cell r="H124">
            <v>0.23080000000000001</v>
          </cell>
          <cell r="I124">
            <v>3.7473046224438249E-2</v>
          </cell>
          <cell r="J124">
            <v>0.26827304622443826</v>
          </cell>
          <cell r="K124" t="str">
            <v>NA</v>
          </cell>
          <cell r="L124" t="str">
            <v>NA</v>
          </cell>
          <cell r="M124" t="str">
            <v>NA</v>
          </cell>
          <cell r="N124">
            <v>3.7473046224438249E-2</v>
          </cell>
        </row>
        <row r="125">
          <cell r="H125">
            <v>0.23080000000000001</v>
          </cell>
          <cell r="I125">
            <v>3.7473046224438249E-2</v>
          </cell>
          <cell r="J125">
            <v>0.26827304622443826</v>
          </cell>
          <cell r="K125" t="str">
            <v>NA</v>
          </cell>
          <cell r="L125" t="str">
            <v>NA</v>
          </cell>
          <cell r="M125" t="str">
            <v>NA</v>
          </cell>
          <cell r="N125">
            <v>3.7473046224438249E-2</v>
          </cell>
        </row>
        <row r="126">
          <cell r="H126">
            <v>0.23080000000000001</v>
          </cell>
          <cell r="I126">
            <v>3.7473046224438249E-2</v>
          </cell>
          <cell r="J126">
            <v>0.26827304622443826</v>
          </cell>
          <cell r="K126" t="str">
            <v>NA</v>
          </cell>
          <cell r="L126" t="str">
            <v>NA</v>
          </cell>
          <cell r="M126" t="str">
            <v>NA</v>
          </cell>
          <cell r="N126">
            <v>3.7473046224438249E-2</v>
          </cell>
        </row>
        <row r="127">
          <cell r="H127">
            <v>0.23080000000000001</v>
          </cell>
          <cell r="I127">
            <v>3.7473046224438249E-2</v>
          </cell>
          <cell r="J127">
            <v>0.26827304622443826</v>
          </cell>
          <cell r="K127" t="str">
            <v>NA</v>
          </cell>
          <cell r="L127" t="str">
            <v>NA</v>
          </cell>
          <cell r="M127" t="str">
            <v>NA</v>
          </cell>
          <cell r="N127">
            <v>3.7473046224438249E-2</v>
          </cell>
        </row>
        <row r="129">
          <cell r="C129" t="str">
            <v>Fly Ash</v>
          </cell>
          <cell r="D129">
            <v>20</v>
          </cell>
          <cell r="E129">
            <v>0.23080000000000001</v>
          </cell>
          <cell r="F129">
            <v>3.7473046224438249E-2</v>
          </cell>
          <cell r="G129">
            <v>0.26827304622443826</v>
          </cell>
          <cell r="H129">
            <v>0.23080000000000001</v>
          </cell>
          <cell r="I129">
            <v>3.7473046224438249E-2</v>
          </cell>
          <cell r="J129">
            <v>0.26827304622443826</v>
          </cell>
          <cell r="K129" t="str">
            <v>NA</v>
          </cell>
          <cell r="L129" t="str">
            <v>NA</v>
          </cell>
          <cell r="M129" t="str">
            <v>NA</v>
          </cell>
          <cell r="N129">
            <v>3.7473046224438249E-2</v>
          </cell>
        </row>
        <row r="130">
          <cell r="C130" t="str">
            <v>Tires</v>
          </cell>
          <cell r="D130">
            <v>20</v>
          </cell>
          <cell r="E130">
            <v>0.23080000000000001</v>
          </cell>
          <cell r="F130">
            <v>3.7473046224438249E-2</v>
          </cell>
          <cell r="G130">
            <v>0.26827304622443826</v>
          </cell>
          <cell r="H130">
            <v>0.23080000000000001</v>
          </cell>
          <cell r="I130">
            <v>3.7473046224438249E-2</v>
          </cell>
          <cell r="J130">
            <v>0.26827304622443826</v>
          </cell>
          <cell r="K130" t="str">
            <v>NA</v>
          </cell>
          <cell r="L130" t="str">
            <v>NA</v>
          </cell>
          <cell r="M130" t="str">
            <v>NA</v>
          </cell>
          <cell r="N130">
            <v>3.7473046224438249E-2</v>
          </cell>
        </row>
        <row r="131">
          <cell r="C131" t="str">
            <v>Asphalt Concrete</v>
          </cell>
          <cell r="D131">
            <v>20</v>
          </cell>
          <cell r="E131">
            <v>0.23080000000000001</v>
          </cell>
          <cell r="F131">
            <v>3.7473046224438249E-2</v>
          </cell>
          <cell r="G131">
            <v>0.26827304622443826</v>
          </cell>
          <cell r="H131">
            <v>0.23080000000000001</v>
          </cell>
          <cell r="I131">
            <v>3.7473046224438249E-2</v>
          </cell>
          <cell r="J131">
            <v>0.26827304622443826</v>
          </cell>
          <cell r="K131" t="str">
            <v>NA</v>
          </cell>
          <cell r="L131" t="str">
            <v>NA</v>
          </cell>
          <cell r="M131" t="str">
            <v>NA</v>
          </cell>
          <cell r="N131">
            <v>3.7473046224438249E-2</v>
          </cell>
        </row>
        <row r="132">
          <cell r="C132" t="str">
            <v>Asphalt Shingles</v>
          </cell>
          <cell r="D132">
            <v>20</v>
          </cell>
          <cell r="E132">
            <v>0.23080000000000001</v>
          </cell>
          <cell r="F132">
            <v>3.7473046224438249E-2</v>
          </cell>
          <cell r="G132">
            <v>0.26827304622443826</v>
          </cell>
          <cell r="H132">
            <v>0.23080000000000001</v>
          </cell>
          <cell r="I132">
            <v>3.7473046224438249E-2</v>
          </cell>
          <cell r="J132">
            <v>0.26827304622443826</v>
          </cell>
          <cell r="K132" t="str">
            <v>NA</v>
          </cell>
          <cell r="L132" t="str">
            <v>NA</v>
          </cell>
          <cell r="M132" t="str">
            <v>NA</v>
          </cell>
          <cell r="N132">
            <v>3.7473046224438249E-2</v>
          </cell>
        </row>
        <row r="133">
          <cell r="C133" t="str">
            <v>Drywall</v>
          </cell>
          <cell r="D133">
            <v>20</v>
          </cell>
          <cell r="E133">
            <v>0.23080000000000001</v>
          </cell>
          <cell r="F133">
            <v>3.7473046224438249E-2</v>
          </cell>
          <cell r="G133">
            <v>0.26827304622443826</v>
          </cell>
          <cell r="H133">
            <v>0.23080000000000001</v>
          </cell>
          <cell r="I133">
            <v>3.7473046224438249E-2</v>
          </cell>
          <cell r="J133">
            <v>0.26827304622443826</v>
          </cell>
          <cell r="K133">
            <v>0.221</v>
          </cell>
          <cell r="L133">
            <v>3.7473046224438249E-2</v>
          </cell>
          <cell r="M133">
            <v>0.25847304622443823</v>
          </cell>
          <cell r="N133">
            <v>3.7473046224438249E-2</v>
          </cell>
        </row>
        <row r="134">
          <cell r="C134" t="str">
            <v>Fiberglass Insulation</v>
          </cell>
          <cell r="D134">
            <v>20</v>
          </cell>
          <cell r="E134">
            <v>0.23080000000000001</v>
          </cell>
          <cell r="F134">
            <v>3.7473046224438249E-2</v>
          </cell>
          <cell r="G134">
            <v>0.26827304622443826</v>
          </cell>
          <cell r="H134">
            <v>0.23080000000000001</v>
          </cell>
          <cell r="I134">
            <v>3.7473046224438249E-2</v>
          </cell>
          <cell r="J134">
            <v>0.26827304622443826</v>
          </cell>
          <cell r="K134" t="str">
            <v>NA</v>
          </cell>
          <cell r="L134" t="str">
            <v>NA</v>
          </cell>
          <cell r="M134" t="str">
            <v>NA</v>
          </cell>
          <cell r="N134">
            <v>3.7473046224438249E-2</v>
          </cell>
        </row>
        <row r="135">
          <cell r="C135" t="str">
            <v>Vinyl Flooring</v>
          </cell>
          <cell r="D135">
            <v>20</v>
          </cell>
          <cell r="E135">
            <v>0.23080000000000001</v>
          </cell>
          <cell r="F135">
            <v>3.7473046224438249E-2</v>
          </cell>
          <cell r="G135">
            <v>0.26827304622443826</v>
          </cell>
          <cell r="H135">
            <v>0.23080000000000001</v>
          </cell>
          <cell r="I135">
            <v>3.7473046224438249E-2</v>
          </cell>
          <cell r="J135">
            <v>0.26827304622443826</v>
          </cell>
          <cell r="K135" t="str">
            <v>NA</v>
          </cell>
          <cell r="L135" t="str">
            <v>NA</v>
          </cell>
          <cell r="M135" t="str">
            <v>NA</v>
          </cell>
          <cell r="N135">
            <v>3.7473046224438249E-2</v>
          </cell>
        </row>
        <row r="136">
          <cell r="C136" t="str">
            <v>Wood Flooring</v>
          </cell>
          <cell r="D136">
            <v>20</v>
          </cell>
          <cell r="E136">
            <v>0.23080000000000001</v>
          </cell>
          <cell r="F136">
            <v>3.7473046224438249E-2</v>
          </cell>
          <cell r="G136">
            <v>0.26827304622443826</v>
          </cell>
          <cell r="H136">
            <v>0.23080000000000001</v>
          </cell>
          <cell r="I136">
            <v>3.7473046224438249E-2</v>
          </cell>
          <cell r="J136">
            <v>0.26827304622443826</v>
          </cell>
          <cell r="K136">
            <v>0.221</v>
          </cell>
          <cell r="L136">
            <v>3.7473046224438249E-2</v>
          </cell>
          <cell r="M136">
            <v>0.25847304622443823</v>
          </cell>
          <cell r="N136">
            <v>3.7473046224438249E-2</v>
          </cell>
        </row>
        <row r="137">
          <cell r="B137" t="str">
            <v>Inorganics</v>
          </cell>
          <cell r="C137" t="str">
            <v>Aluminum Ingot</v>
          </cell>
          <cell r="D137">
            <v>20</v>
          </cell>
          <cell r="E137">
            <v>0.23080000000000001</v>
          </cell>
          <cell r="F137">
            <v>3.7473046224438249E-2</v>
          </cell>
          <cell r="G137">
            <v>0.26827304622443826</v>
          </cell>
          <cell r="H137">
            <v>0.23080000000000001</v>
          </cell>
          <cell r="I137">
            <v>3.7473046224438249E-2</v>
          </cell>
          <cell r="J137">
            <v>0.26827304622443826</v>
          </cell>
          <cell r="K137" t="str">
            <v>NA</v>
          </cell>
          <cell r="L137" t="str">
            <v>NA</v>
          </cell>
          <cell r="M137" t="str">
            <v>NA</v>
          </cell>
          <cell r="N137">
            <v>3.7473046224438249E-2</v>
          </cell>
        </row>
        <row r="138">
          <cell r="B138" t="str">
            <v>PLA</v>
          </cell>
          <cell r="C138" t="str">
            <v>PLA</v>
          </cell>
          <cell r="D138">
            <v>20</v>
          </cell>
          <cell r="E138">
            <v>0.23080000000000001</v>
          </cell>
          <cell r="F138">
            <v>3.7473046224438249E-2</v>
          </cell>
          <cell r="G138">
            <v>0.26827304622443826</v>
          </cell>
          <cell r="H138">
            <v>0.23080000000000001</v>
          </cell>
          <cell r="I138">
            <v>3.7473046224438249E-2</v>
          </cell>
          <cell r="J138">
            <v>0.26827304622443826</v>
          </cell>
          <cell r="K138">
            <v>0.221</v>
          </cell>
          <cell r="L138">
            <v>3.7473046224438249E-2</v>
          </cell>
          <cell r="M138">
            <v>0.25847304622443823</v>
          </cell>
          <cell r="N138">
            <v>3.7473046224438249E-2</v>
          </cell>
        </row>
        <row r="139">
          <cell r="B139" t="str">
            <v>Plastics</v>
          </cell>
          <cell r="C139" t="str">
            <v>LLDPE</v>
          </cell>
          <cell r="D139">
            <v>20</v>
          </cell>
          <cell r="E139">
            <v>0.23080000000000001</v>
          </cell>
          <cell r="F139">
            <v>3.7473046224438249E-2</v>
          </cell>
          <cell r="G139">
            <v>0.26827304622443826</v>
          </cell>
          <cell r="H139">
            <v>0.23080000000000001</v>
          </cell>
          <cell r="I139">
            <v>3.7473046224438249E-2</v>
          </cell>
          <cell r="J139">
            <v>0.26827304622443826</v>
          </cell>
          <cell r="K139" t="str">
            <v>NA</v>
          </cell>
          <cell r="L139" t="str">
            <v>NA</v>
          </cell>
          <cell r="M139" t="str">
            <v>NA</v>
          </cell>
          <cell r="N139">
            <v>3.7473046224438249E-2</v>
          </cell>
        </row>
        <row r="140">
          <cell r="C140" t="str">
            <v>PP</v>
          </cell>
          <cell r="D140">
            <v>20</v>
          </cell>
          <cell r="E140">
            <v>0.23080000000000001</v>
          </cell>
          <cell r="F140">
            <v>3.7473046224438249E-2</v>
          </cell>
          <cell r="G140">
            <v>0.26827304622443826</v>
          </cell>
          <cell r="H140">
            <v>0.23080000000000001</v>
          </cell>
          <cell r="I140">
            <v>3.7473046224438249E-2</v>
          </cell>
          <cell r="J140">
            <v>0.26827304622443826</v>
          </cell>
          <cell r="K140" t="str">
            <v>NA</v>
          </cell>
          <cell r="L140" t="str">
            <v>NA</v>
          </cell>
          <cell r="M140" t="str">
            <v>NA</v>
          </cell>
          <cell r="N140">
            <v>3.7473046224438249E-2</v>
          </cell>
        </row>
        <row r="141">
          <cell r="C141" t="str">
            <v>PS</v>
          </cell>
          <cell r="D141">
            <v>20</v>
          </cell>
          <cell r="E141">
            <v>0.23080000000000001</v>
          </cell>
          <cell r="F141">
            <v>3.7473046224438249E-2</v>
          </cell>
          <cell r="G141">
            <v>0.26827304622443826</v>
          </cell>
          <cell r="H141">
            <v>0.23080000000000001</v>
          </cell>
          <cell r="I141">
            <v>3.7473046224438249E-2</v>
          </cell>
          <cell r="J141">
            <v>0.26827304622443826</v>
          </cell>
          <cell r="K141" t="str">
            <v>NA</v>
          </cell>
          <cell r="L141" t="str">
            <v>NA</v>
          </cell>
          <cell r="M141" t="str">
            <v>NA</v>
          </cell>
          <cell r="N141">
            <v>3.7473046224438249E-2</v>
          </cell>
        </row>
        <row r="142">
          <cell r="C142" t="str">
            <v>PVC</v>
          </cell>
          <cell r="D142">
            <v>20</v>
          </cell>
          <cell r="E142">
            <v>0.23080000000000001</v>
          </cell>
          <cell r="F142">
            <v>3.7473046224438249E-2</v>
          </cell>
          <cell r="G142">
            <v>0.26827304622443826</v>
          </cell>
          <cell r="H142">
            <v>0.23080000000000001</v>
          </cell>
          <cell r="I142">
            <v>3.7473046224438249E-2</v>
          </cell>
          <cell r="J142">
            <v>0.26827304622443826</v>
          </cell>
          <cell r="K142" t="str">
            <v>NA</v>
          </cell>
          <cell r="L142" t="str">
            <v>NA</v>
          </cell>
          <cell r="M142" t="str">
            <v>NA</v>
          </cell>
          <cell r="N142">
            <v>3.7473046224438249E-2</v>
          </cell>
        </row>
        <row r="143">
          <cell r="B143" t="str">
            <v>Food Waste</v>
          </cell>
          <cell r="C143" t="str">
            <v>Food Waste</v>
          </cell>
          <cell r="D143">
            <v>20</v>
          </cell>
          <cell r="E143">
            <v>0.23080000000000001</v>
          </cell>
          <cell r="F143">
            <v>3.7473046224438249E-2</v>
          </cell>
          <cell r="G143">
            <v>0.26827304622443826</v>
          </cell>
          <cell r="H143">
            <v>0.23080000000000001</v>
          </cell>
          <cell r="I143">
            <v>3.7473046224438249E-2</v>
          </cell>
          <cell r="J143">
            <v>0.26827304622443826</v>
          </cell>
          <cell r="K143">
            <v>0.221</v>
          </cell>
          <cell r="L143">
            <v>3.7473046224438249E-2</v>
          </cell>
          <cell r="M143">
            <v>0.25847304622443823</v>
          </cell>
          <cell r="N143">
            <v>3.7473046224438249E-2</v>
          </cell>
        </row>
        <row r="144">
          <cell r="C144" t="str">
            <v>Dairy Products</v>
          </cell>
          <cell r="D144">
            <v>20</v>
          </cell>
          <cell r="E144">
            <v>0.23080000000000001</v>
          </cell>
          <cell r="F144">
            <v>3.7473046224438249E-2</v>
          </cell>
          <cell r="G144">
            <v>0.26827304622443826</v>
          </cell>
          <cell r="H144">
            <v>0.23080000000000001</v>
          </cell>
          <cell r="I144">
            <v>3.7473046224438249E-2</v>
          </cell>
          <cell r="J144">
            <v>0.26827304622443826</v>
          </cell>
          <cell r="K144">
            <v>0.221</v>
          </cell>
          <cell r="L144">
            <v>3.7473046224438249E-2</v>
          </cell>
          <cell r="M144">
            <v>0.25847304622443823</v>
          </cell>
          <cell r="N144">
            <v>3.7473046224438249E-2</v>
          </cell>
        </row>
        <row r="145">
          <cell r="C145" t="str">
            <v>Grains</v>
          </cell>
          <cell r="D145">
            <v>20</v>
          </cell>
          <cell r="E145">
            <v>0.23080000000000001</v>
          </cell>
          <cell r="F145">
            <v>3.7473046224438249E-2</v>
          </cell>
          <cell r="G145">
            <v>0.26827304622443826</v>
          </cell>
          <cell r="H145">
            <v>0.23080000000000001</v>
          </cell>
          <cell r="I145">
            <v>3.7473046224438249E-2</v>
          </cell>
          <cell r="J145">
            <v>0.26827304622443826</v>
          </cell>
          <cell r="K145">
            <v>0.221</v>
          </cell>
          <cell r="L145">
            <v>3.7473046224438249E-2</v>
          </cell>
          <cell r="M145">
            <v>0.25847304622443823</v>
          </cell>
          <cell r="N145">
            <v>3.7473046224438249E-2</v>
          </cell>
        </row>
        <row r="146">
          <cell r="C146" t="str">
            <v>Bread</v>
          </cell>
          <cell r="D146">
            <v>20</v>
          </cell>
          <cell r="E146">
            <v>0.23080000000000001</v>
          </cell>
          <cell r="F146">
            <v>3.7473046224438249E-2</v>
          </cell>
          <cell r="G146">
            <v>0.26827304622443826</v>
          </cell>
          <cell r="H146">
            <v>0.23080000000000001</v>
          </cell>
          <cell r="I146">
            <v>3.7473046224438249E-2</v>
          </cell>
          <cell r="J146">
            <v>0.26827304622443826</v>
          </cell>
          <cell r="K146">
            <v>0.221</v>
          </cell>
          <cell r="L146">
            <v>3.7473046224438249E-2</v>
          </cell>
          <cell r="M146">
            <v>0.25847304622443823</v>
          </cell>
          <cell r="N146">
            <v>3.7473046224438249E-2</v>
          </cell>
        </row>
        <row r="147">
          <cell r="C147" t="str">
            <v>Fruits and Vegetables</v>
          </cell>
          <cell r="D147">
            <v>20</v>
          </cell>
          <cell r="E147">
            <v>0.23080000000000001</v>
          </cell>
          <cell r="F147">
            <v>3.7473046224438249E-2</v>
          </cell>
          <cell r="G147">
            <v>0.26827304622443826</v>
          </cell>
          <cell r="H147">
            <v>0.23080000000000001</v>
          </cell>
          <cell r="I147">
            <v>3.7473046224438249E-2</v>
          </cell>
          <cell r="J147">
            <v>0.26827304622443826</v>
          </cell>
          <cell r="K147">
            <v>0.221</v>
          </cell>
          <cell r="L147">
            <v>3.7473046224438249E-2</v>
          </cell>
          <cell r="M147">
            <v>0.25847304622443823</v>
          </cell>
          <cell r="N147">
            <v>3.7473046224438249E-2</v>
          </cell>
        </row>
        <row r="148">
          <cell r="C148" t="str">
            <v>Beef</v>
          </cell>
          <cell r="D148">
            <v>20</v>
          </cell>
          <cell r="E148">
            <v>0.23080000000000001</v>
          </cell>
          <cell r="F148">
            <v>3.7473046224438249E-2</v>
          </cell>
          <cell r="G148">
            <v>0.26827304622443826</v>
          </cell>
          <cell r="H148">
            <v>0.23080000000000001</v>
          </cell>
          <cell r="I148">
            <v>3.7473046224438249E-2</v>
          </cell>
          <cell r="J148">
            <v>0.26827304622443826</v>
          </cell>
          <cell r="K148">
            <v>0.221</v>
          </cell>
          <cell r="L148">
            <v>3.7473046224438249E-2</v>
          </cell>
          <cell r="M148">
            <v>0.25847304622443823</v>
          </cell>
          <cell r="N148">
            <v>3.7473046224438249E-2</v>
          </cell>
        </row>
        <row r="149">
          <cell r="C149" t="str">
            <v>Poultry</v>
          </cell>
          <cell r="D149">
            <v>20</v>
          </cell>
          <cell r="E149">
            <v>0.23080000000000001</v>
          </cell>
          <cell r="F149">
            <v>3.7473046224438249E-2</v>
          </cell>
          <cell r="G149">
            <v>0.26827304622443826</v>
          </cell>
          <cell r="H149">
            <v>0.23080000000000001</v>
          </cell>
          <cell r="I149">
            <v>3.7473046224438249E-2</v>
          </cell>
          <cell r="J149">
            <v>0.26827304622443826</v>
          </cell>
          <cell r="K149">
            <v>0.221</v>
          </cell>
          <cell r="L149">
            <v>3.7473046224438249E-2</v>
          </cell>
          <cell r="M149">
            <v>0.25847304622443823</v>
          </cell>
          <cell r="N149">
            <v>3.7473046224438249E-2</v>
          </cell>
        </row>
        <row r="150">
          <cell r="C150" t="str">
            <v>Food Waste (meat only)</v>
          </cell>
          <cell r="D150">
            <v>20</v>
          </cell>
          <cell r="E150">
            <v>0.23080000000000001</v>
          </cell>
          <cell r="F150">
            <v>3.7473046224438249E-2</v>
          </cell>
          <cell r="G150">
            <v>0.26827304622443826</v>
          </cell>
          <cell r="H150">
            <v>0.23080000000000001</v>
          </cell>
          <cell r="I150">
            <v>3.7473046224438249E-2</v>
          </cell>
          <cell r="J150">
            <v>0.26827304622443826</v>
          </cell>
          <cell r="K150">
            <v>0.221</v>
          </cell>
          <cell r="L150">
            <v>3.7473046224438249E-2</v>
          </cell>
          <cell r="M150">
            <v>0.25847304622443823</v>
          </cell>
          <cell r="N150">
            <v>3.7473046224438249E-2</v>
          </cell>
        </row>
        <row r="151">
          <cell r="C151" t="str">
            <v>Food Waste (non-meat)</v>
          </cell>
          <cell r="D151">
            <v>20</v>
          </cell>
          <cell r="E151">
            <v>0.23080000000000001</v>
          </cell>
          <cell r="F151">
            <v>3.7473046224438249E-2</v>
          </cell>
          <cell r="G151">
            <v>0.26827304622443826</v>
          </cell>
          <cell r="H151">
            <v>0.23080000000000001</v>
          </cell>
          <cell r="I151">
            <v>3.7473046224438249E-2</v>
          </cell>
          <cell r="J151">
            <v>0.26827304622443826</v>
          </cell>
          <cell r="K151">
            <v>0.221</v>
          </cell>
          <cell r="L151">
            <v>3.7473046224438249E-2</v>
          </cell>
          <cell r="M151">
            <v>0.25847304622443823</v>
          </cell>
          <cell r="N151">
            <v>3.7473046224438249E-2</v>
          </cell>
        </row>
      </sheetData>
      <sheetData sheetId="53" refreshError="1">
        <row r="6">
          <cell r="B6">
            <v>0.53937768773294736</v>
          </cell>
          <cell r="C6">
            <v>1.0880074025987124E-2</v>
          </cell>
          <cell r="D6">
            <v>3.9893604761952785E-2</v>
          </cell>
        </row>
        <row r="7">
          <cell r="B7">
            <v>0.53937768773294736</v>
          </cell>
          <cell r="C7">
            <v>1.0880074025987124E-2</v>
          </cell>
          <cell r="D7">
            <v>3.9893604761952785E-2</v>
          </cell>
        </row>
        <row r="8">
          <cell r="B8">
            <v>0.73255520969766519</v>
          </cell>
          <cell r="C8">
            <v>1.4776760498071048E-2</v>
          </cell>
          <cell r="D8">
            <v>5.4181455159593842E-2</v>
          </cell>
        </row>
        <row r="9">
          <cell r="B9">
            <v>0.27891361317377766</v>
          </cell>
          <cell r="C9">
            <v>5.6261147377840871E-3</v>
          </cell>
          <cell r="D9">
            <v>2.0629087371874986E-2</v>
          </cell>
        </row>
        <row r="10">
          <cell r="B10">
            <v>0.27891361317377766</v>
          </cell>
          <cell r="C10">
            <v>5.6261147377840871E-3</v>
          </cell>
          <cell r="D10">
            <v>2.0629087371874986E-2</v>
          </cell>
        </row>
        <row r="11">
          <cell r="B11">
            <v>0.27891361317377766</v>
          </cell>
          <cell r="C11">
            <v>5.6261147377840871E-3</v>
          </cell>
          <cell r="D11">
            <v>2.0629087371874986E-2</v>
          </cell>
        </row>
        <row r="12">
          <cell r="B12">
            <v>0.59255576962211132</v>
          </cell>
          <cell r="C12">
            <v>1.1952757380661915E-2</v>
          </cell>
          <cell r="D12">
            <v>4.3826777062427019E-2</v>
          </cell>
        </row>
        <row r="13">
          <cell r="B13">
            <v>0.59255576962211132</v>
          </cell>
          <cell r="C13">
            <v>1.1952757380661915E-2</v>
          </cell>
          <cell r="D13">
            <v>4.3826777062427019E-2</v>
          </cell>
        </row>
        <row r="14">
          <cell r="B14">
            <v>0.26697567642314901</v>
          </cell>
          <cell r="C14">
            <v>5.3853082704081153E-3</v>
          </cell>
          <cell r="D14">
            <v>1.9746130324829754E-2</v>
          </cell>
        </row>
        <row r="15">
          <cell r="B15">
            <v>0.73255520969766519</v>
          </cell>
          <cell r="C15">
            <v>1.4776760498071048E-2</v>
          </cell>
          <cell r="D15">
            <v>5.4181455159593842E-2</v>
          </cell>
        </row>
        <row r="16">
          <cell r="B16">
            <v>0.73255520969766519</v>
          </cell>
          <cell r="C16">
            <v>1.4776760498071048E-2</v>
          </cell>
          <cell r="D16">
            <v>5.4181455159593842E-2</v>
          </cell>
        </row>
        <row r="17">
          <cell r="B17">
            <v>0.73255520969766519</v>
          </cell>
          <cell r="C17">
            <v>1.4776760498071048E-2</v>
          </cell>
          <cell r="D17">
            <v>5.4181455159593842E-2</v>
          </cell>
          <cell r="I17" t="str">
            <v>Material</v>
          </cell>
          <cell r="J17" t="str">
            <v>2-digit code</v>
          </cell>
          <cell r="K17" t="str">
            <v>Description</v>
          </cell>
        </row>
        <row r="18">
          <cell r="B18">
            <v>8.4650824231730204E-2</v>
          </cell>
          <cell r="C18">
            <v>1.7075367686659876E-3</v>
          </cell>
          <cell r="D18">
            <v>6.2609681517752872E-3</v>
          </cell>
          <cell r="I18" t="str">
            <v>Asphalt Concrete</v>
          </cell>
          <cell r="J18">
            <v>19</v>
          </cell>
          <cell r="K18" t="str">
            <v>Coal and petroleum products, n.e.c.</v>
          </cell>
        </row>
        <row r="19">
          <cell r="B19">
            <v>0.38635504392943526</v>
          </cell>
          <cell r="C19">
            <v>7.7933729441678409E-3</v>
          </cell>
          <cell r="D19">
            <v>2.8575700795282082E-2</v>
          </cell>
          <cell r="I19" t="str">
            <v>Asphalt Shingles</v>
          </cell>
          <cell r="J19">
            <v>31</v>
          </cell>
          <cell r="K19" t="str">
            <v>Non-metallic mineral products</v>
          </cell>
        </row>
        <row r="20">
          <cell r="B20">
            <v>0.38635504392943526</v>
          </cell>
          <cell r="C20">
            <v>7.7933729441678409E-3</v>
          </cell>
          <cell r="D20">
            <v>2.8575700795282082E-2</v>
          </cell>
          <cell r="I20" t="str">
            <v>Ceiling Tiles</v>
          </cell>
          <cell r="J20">
            <v>31</v>
          </cell>
          <cell r="K20" t="str">
            <v>Non-metallic mineral products</v>
          </cell>
        </row>
        <row r="21">
          <cell r="B21">
            <v>0.38635504392943526</v>
          </cell>
          <cell r="C21">
            <v>7.7933729441678409E-3</v>
          </cell>
          <cell r="D21">
            <v>2.8575700795282082E-2</v>
          </cell>
          <cell r="I21" t="str">
            <v>Drywall</v>
          </cell>
          <cell r="J21">
            <v>31</v>
          </cell>
          <cell r="K21" t="str">
            <v>Non-metallic mineral products</v>
          </cell>
        </row>
        <row r="22">
          <cell r="B22">
            <v>0.38635504392943526</v>
          </cell>
          <cell r="C22">
            <v>7.7933729441678409E-3</v>
          </cell>
          <cell r="D22">
            <v>2.8575700795282082E-2</v>
          </cell>
          <cell r="I22" t="str">
            <v>Fiberglass</v>
          </cell>
          <cell r="J22">
            <v>31</v>
          </cell>
          <cell r="K22" t="str">
            <v>Non-metallic mineral products</v>
          </cell>
        </row>
        <row r="23">
          <cell r="B23">
            <v>0.53937768773294736</v>
          </cell>
          <cell r="C23">
            <v>1.0880074025987124E-2</v>
          </cell>
          <cell r="D23">
            <v>3.9893604761952785E-2</v>
          </cell>
          <cell r="I23" t="str">
            <v>Tires</v>
          </cell>
          <cell r="J23">
            <v>24</v>
          </cell>
          <cell r="K23" t="str">
            <v>Plastics and Rubber</v>
          </cell>
        </row>
        <row r="24">
          <cell r="B24">
            <v>0.31798322435765308</v>
          </cell>
          <cell r="C24">
            <v>6.4142086310145421E-3</v>
          </cell>
          <cell r="D24">
            <v>2.3518764980386655E-2</v>
          </cell>
          <cell r="I24" t="str">
            <v>Wood Flooring</v>
          </cell>
          <cell r="J24">
            <v>26</v>
          </cell>
          <cell r="K24" t="str">
            <v>Wood Products</v>
          </cell>
        </row>
        <row r="25">
          <cell r="B25">
            <v>0.53937768773294736</v>
          </cell>
          <cell r="C25">
            <v>1.0880074025987124E-2</v>
          </cell>
          <cell r="D25">
            <v>3.9893604761952785E-2</v>
          </cell>
          <cell r="I25" t="str">
            <v>Vinyl Flooring</v>
          </cell>
          <cell r="J25">
            <v>24</v>
          </cell>
          <cell r="K25" t="str">
            <v>Plastics and Rubber</v>
          </cell>
        </row>
        <row r="26">
          <cell r="B26">
            <v>0.28325468108309715</v>
          </cell>
          <cell r="C26">
            <v>5.713680725920804E-3</v>
          </cell>
          <cell r="D26">
            <v>2.0950162661709616E-2</v>
          </cell>
          <cell r="I26" t="str">
            <v>Gypsum for Ag purposes</v>
          </cell>
          <cell r="J26">
            <v>13</v>
          </cell>
          <cell r="K26" t="str">
            <v>Non-metallic minerals, n.e.c.</v>
          </cell>
        </row>
        <row r="27">
          <cell r="B27">
            <v>0.35922336949618838</v>
          </cell>
          <cell r="C27">
            <v>7.2460855183133568E-3</v>
          </cell>
          <cell r="D27">
            <v>2.6568980233815639E-2</v>
          </cell>
          <cell r="I27" t="str">
            <v>Fruits and Vegetables</v>
          </cell>
          <cell r="J27">
            <v>3</v>
          </cell>
          <cell r="K27" t="str">
            <v>Agricultural products (excludes animal feed, cereal grains, and forage products)</v>
          </cell>
        </row>
        <row r="28">
          <cell r="B28">
            <v>0.53937768773294736</v>
          </cell>
          <cell r="C28">
            <v>1.0880074025987124E-2</v>
          </cell>
          <cell r="D28">
            <v>3.9893604761952785E-2</v>
          </cell>
          <cell r="I28" t="str">
            <v>Grains</v>
          </cell>
          <cell r="J28">
            <v>2</v>
          </cell>
          <cell r="K28" t="str">
            <v>Cereal grains (includes seed)</v>
          </cell>
        </row>
        <row r="29">
          <cell r="B29">
            <v>0.53937768773294736</v>
          </cell>
          <cell r="C29">
            <v>1.0880074025987124E-2</v>
          </cell>
          <cell r="D29">
            <v>3.9893604761952785E-2</v>
          </cell>
          <cell r="I29" t="str">
            <v>Bread</v>
          </cell>
          <cell r="J29">
            <v>6</v>
          </cell>
          <cell r="K29" t="str">
            <v>Milled grain products and preparations and bakery products</v>
          </cell>
        </row>
        <row r="30">
          <cell r="B30">
            <v>0.53937768773294736</v>
          </cell>
          <cell r="C30">
            <v>1.0880074025987124E-2</v>
          </cell>
          <cell r="D30">
            <v>3.9893604761952785E-2</v>
          </cell>
          <cell r="I30" t="str">
            <v xml:space="preserve">source: 2012 Commodity Flow Survey Standard Classification of Transported Goods (SCTG), Commodity Codes.  US Census. </v>
          </cell>
        </row>
        <row r="31">
          <cell r="B31">
            <v>0.53937768773294736</v>
          </cell>
          <cell r="C31">
            <v>1.0880074025987124E-2</v>
          </cell>
          <cell r="D31">
            <v>3.9893604761952785E-2</v>
          </cell>
        </row>
        <row r="32">
          <cell r="B32">
            <v>0.53937768773294736</v>
          </cell>
          <cell r="C32">
            <v>1.0880074025987124E-2</v>
          </cell>
          <cell r="D32">
            <v>3.9893604761952785E-2</v>
          </cell>
        </row>
        <row r="33">
          <cell r="B33">
            <v>0.55999776030221515</v>
          </cell>
          <cell r="C33">
            <v>1.1296012469636532E-2</v>
          </cell>
          <cell r="D33">
            <v>4.1418712388667282E-2</v>
          </cell>
        </row>
        <row r="34">
          <cell r="B34">
            <v>0.55999776030221515</v>
          </cell>
          <cell r="C34">
            <v>1.1296012469636532E-2</v>
          </cell>
          <cell r="D34">
            <v>4.1418712388667282E-2</v>
          </cell>
        </row>
        <row r="35">
          <cell r="B35">
            <v>0.55999776030221515</v>
          </cell>
          <cell r="C35">
            <v>1.1296012469636532E-2</v>
          </cell>
          <cell r="D35">
            <v>4.1418712388667282E-2</v>
          </cell>
        </row>
        <row r="36">
          <cell r="B36">
            <v>0.55999776030221515</v>
          </cell>
          <cell r="C36">
            <v>1.1296012469636532E-2</v>
          </cell>
          <cell r="D36">
            <v>4.1418712388667282E-2</v>
          </cell>
        </row>
        <row r="37">
          <cell r="B37">
            <v>0.55999776030221515</v>
          </cell>
          <cell r="C37">
            <v>1.1296012469636532E-2</v>
          </cell>
          <cell r="D37">
            <v>4.1418712388667282E-2</v>
          </cell>
        </row>
        <row r="38">
          <cell r="B38">
            <v>0.28759574899241669</v>
          </cell>
          <cell r="C38">
            <v>5.8012467140575209E-3</v>
          </cell>
          <cell r="D38">
            <v>2.1271237951544241E-2</v>
          </cell>
        </row>
        <row r="39">
          <cell r="B39">
            <v>0.18341011916874872</v>
          </cell>
          <cell r="C39">
            <v>3.6996629987763058E-3</v>
          </cell>
          <cell r="D39">
            <v>1.3565430995513121E-2</v>
          </cell>
          <cell r="R39" t="str">
            <v>SHOULD THIS BE DIESEL?</v>
          </cell>
        </row>
        <row r="42">
          <cell r="B42" t="str">
            <v>Commodity Type (in Commodity Flow Survey)</v>
          </cell>
          <cell r="C42" t="str">
            <v>Average Miles per Shipment</v>
          </cell>
          <cell r="D42" t="str">
            <v>Miles Traveled Truck</v>
          </cell>
          <cell r="E42" t="str">
            <v>Miles Traveled Rail</v>
          </cell>
          <cell r="F42" t="str">
            <v>Miles Traveled Water</v>
          </cell>
          <cell r="G42" t="str">
            <v>Miles Other Modes</v>
          </cell>
          <cell r="H42" t="str">
            <v>Gal/ton Used Truck</v>
          </cell>
          <cell r="I42" t="str">
            <v>Gal/ton Used Rail</v>
          </cell>
          <cell r="J42" t="str">
            <v>Gal/ton Used Water</v>
          </cell>
          <cell r="K42" t="str">
            <v>Gal/ton Used Other</v>
          </cell>
          <cell r="L42" t="str">
            <v>MMBtus/Ton Truck</v>
          </cell>
          <cell r="M42" t="str">
            <v>MMBtus/Ton Rail</v>
          </cell>
          <cell r="N42" t="str">
            <v>MMBtus/Ton Water</v>
          </cell>
          <cell r="O42" t="str">
            <v>MMBtus/Ton Other</v>
          </cell>
          <cell r="P42" t="str">
            <v>Total MMBtus/Ton</v>
          </cell>
          <cell r="Q42" t="str">
            <v>Transport EF</v>
          </cell>
          <cell r="R42" t="str">
            <v>Emission Factor Truck (MTCE per Ton)</v>
          </cell>
          <cell r="S42" t="str">
            <v>Emission Factor Rail (MTCE per Ton)</v>
          </cell>
          <cell r="T42" t="str">
            <v>Emission Factor Water (MTCE per Ton)</v>
          </cell>
          <cell r="U42" t="str">
            <v>Emission Factor Other (MTCE per Ton)</v>
          </cell>
          <cell r="V42" t="str">
            <v>Composite Emission Factor (MTCE per Ton)</v>
          </cell>
        </row>
        <row r="43">
          <cell r="B43" t="str">
            <v>Base Metal in primary or semi-finished forms and in finished basic shapes</v>
          </cell>
          <cell r="C43">
            <v>331</v>
          </cell>
          <cell r="D43">
            <v>126.06645548076223</v>
          </cell>
          <cell r="E43">
            <v>147.33205479105428</v>
          </cell>
          <cell r="F43">
            <v>20.770943823866617</v>
          </cell>
          <cell r="G43">
            <v>0</v>
          </cell>
          <cell r="H43">
            <v>1.687176469136318</v>
          </cell>
          <cell r="I43">
            <v>0.45672936985226825</v>
          </cell>
          <cell r="J43">
            <v>2.0770943823866617E-2</v>
          </cell>
          <cell r="K43">
            <v>0</v>
          </cell>
          <cell r="L43">
            <v>0.27990257622971515</v>
          </cell>
          <cell r="M43">
            <v>7.5771402458491316E-2</v>
          </cell>
          <cell r="N43">
            <v>3.5493908079818875E-3</v>
          </cell>
          <cell r="O43">
            <v>0</v>
          </cell>
          <cell r="P43">
            <v>0.35922336949618838</v>
          </cell>
          <cell r="Q43">
            <v>0.42565662181273139</v>
          </cell>
          <cell r="R43">
            <v>5.6456349625533548E-3</v>
          </cell>
          <cell r="S43">
            <v>1.5283091875877698E-3</v>
          </cell>
          <cell r="T43">
            <v>7.2141368172231877E-5</v>
          </cell>
          <cell r="U43">
            <v>0</v>
          </cell>
          <cell r="V43">
            <v>7.2460855183133568E-3</v>
          </cell>
        </row>
        <row r="44">
          <cell r="B44" t="str">
            <v>Base Metal in primary or semi-finished forms and in finished basic shapes</v>
          </cell>
          <cell r="C44">
            <v>331</v>
          </cell>
          <cell r="D44">
            <v>126.06645548076223</v>
          </cell>
          <cell r="E44">
            <v>147.33205479105428</v>
          </cell>
          <cell r="F44">
            <v>20.770943823866617</v>
          </cell>
          <cell r="G44">
            <v>0</v>
          </cell>
          <cell r="H44">
            <v>1.687176469136318</v>
          </cell>
          <cell r="I44">
            <v>0.45672936985226825</v>
          </cell>
          <cell r="J44">
            <v>2.0770943823866617E-2</v>
          </cell>
          <cell r="K44">
            <v>0</v>
          </cell>
          <cell r="L44">
            <v>0.27990257622971515</v>
          </cell>
          <cell r="M44">
            <v>7.5771402458491316E-2</v>
          </cell>
          <cell r="N44">
            <v>3.5493908079818875E-3</v>
          </cell>
          <cell r="O44">
            <v>0</v>
          </cell>
          <cell r="P44">
            <v>0.35922336949618838</v>
          </cell>
          <cell r="Q44">
            <v>0.42565662181273139</v>
          </cell>
          <cell r="R44">
            <v>5.6456349625533548E-3</v>
          </cell>
          <cell r="S44">
            <v>1.5283091875877698E-3</v>
          </cell>
          <cell r="T44">
            <v>7.2141368172231877E-5</v>
          </cell>
          <cell r="U44">
            <v>0</v>
          </cell>
          <cell r="V44">
            <v>7.2460855183133568E-3</v>
          </cell>
        </row>
        <row r="45">
          <cell r="B45" t="str">
            <v>Nonmetallic Mineral Products</v>
          </cell>
          <cell r="C45">
            <v>356</v>
          </cell>
          <cell r="D45">
            <v>135.58809109109171</v>
          </cell>
          <cell r="E45">
            <v>158.45985349128497</v>
          </cell>
          <cell r="F45">
            <v>22.339746227481921</v>
          </cell>
          <cell r="G45">
            <v>0</v>
          </cell>
          <cell r="H45">
            <v>1.8146067160499373</v>
          </cell>
          <cell r="I45">
            <v>0.49122554582298339</v>
          </cell>
          <cell r="J45">
            <v>2.2339746227481923E-2</v>
          </cell>
          <cell r="K45">
            <v>0</v>
          </cell>
          <cell r="L45">
            <v>0.30104325419268463</v>
          </cell>
          <cell r="M45">
            <v>8.1494318052032944E-2</v>
          </cell>
          <cell r="N45">
            <v>3.8174716847176795E-3</v>
          </cell>
          <cell r="O45">
            <v>0</v>
          </cell>
          <cell r="P45">
            <v>0.38635504392943526</v>
          </cell>
          <cell r="Q45">
            <v>0.45780591349043015</v>
          </cell>
          <cell r="R45">
            <v>6.0720424370664496E-3</v>
          </cell>
          <cell r="S45">
            <v>1.6437403951095047E-3</v>
          </cell>
          <cell r="T45">
            <v>7.7590111991886841E-5</v>
          </cell>
          <cell r="U45">
            <v>0</v>
          </cell>
          <cell r="V45">
            <v>7.7933729441678409E-3</v>
          </cell>
        </row>
        <row r="46">
          <cell r="B46" t="str">
            <v>Plastics and Rubber</v>
          </cell>
          <cell r="C46">
            <v>497</v>
          </cell>
          <cell r="D46">
            <v>189.29011593334994</v>
          </cell>
          <cell r="E46">
            <v>221.22063816058602</v>
          </cell>
          <cell r="F46">
            <v>31.187791783872232</v>
          </cell>
          <cell r="G46">
            <v>0</v>
          </cell>
          <cell r="H46">
            <v>2.5333133086427493</v>
          </cell>
          <cell r="I46">
            <v>0.68578397829781668</v>
          </cell>
          <cell r="J46">
            <v>3.1187791783872234E-2</v>
          </cell>
          <cell r="K46">
            <v>0</v>
          </cell>
          <cell r="L46">
            <v>0.42027667790383211</v>
          </cell>
          <cell r="M46">
            <v>0.11377156199960779</v>
          </cell>
          <cell r="N46">
            <v>5.329447829507547E-3</v>
          </cell>
          <cell r="O46">
            <v>0</v>
          </cell>
          <cell r="P46">
            <v>0.53937768773294736</v>
          </cell>
          <cell r="Q46">
            <v>0.63912791855265094</v>
          </cell>
          <cell r="R46">
            <v>8.4769805933202942E-3</v>
          </cell>
          <cell r="S46">
            <v>2.2947724055320893E-3</v>
          </cell>
          <cell r="T46">
            <v>1.0832102713474091E-4</v>
          </cell>
          <cell r="U46">
            <v>0</v>
          </cell>
          <cell r="V46">
            <v>1.0880074025987124E-2</v>
          </cell>
        </row>
        <row r="47">
          <cell r="B47" t="str">
            <v>Plastics and Rubber</v>
          </cell>
          <cell r="C47">
            <v>497</v>
          </cell>
          <cell r="D47">
            <v>189.29011593334994</v>
          </cell>
          <cell r="E47">
            <v>221.22063816058602</v>
          </cell>
          <cell r="F47">
            <v>31.187791783872232</v>
          </cell>
          <cell r="G47">
            <v>0</v>
          </cell>
          <cell r="H47">
            <v>2.5333133086427493</v>
          </cell>
          <cell r="I47">
            <v>0.68578397829781668</v>
          </cell>
          <cell r="J47">
            <v>3.1187791783872234E-2</v>
          </cell>
          <cell r="K47">
            <v>0</v>
          </cell>
          <cell r="L47">
            <v>0.42027667790383211</v>
          </cell>
          <cell r="M47">
            <v>0.11377156199960779</v>
          </cell>
          <cell r="N47">
            <v>5.329447829507547E-3</v>
          </cell>
          <cell r="O47">
            <v>0</v>
          </cell>
          <cell r="P47">
            <v>0.53937768773294736</v>
          </cell>
          <cell r="Q47">
            <v>0.63912791855265094</v>
          </cell>
          <cell r="R47">
            <v>8.4769805933202942E-3</v>
          </cell>
          <cell r="S47">
            <v>2.2947724055320893E-3</v>
          </cell>
          <cell r="T47">
            <v>1.0832102713474091E-4</v>
          </cell>
          <cell r="U47">
            <v>0</v>
          </cell>
          <cell r="V47">
            <v>1.0880074025987124E-2</v>
          </cell>
        </row>
        <row r="48">
          <cell r="B48" t="str">
            <v>Plastics and Rubber</v>
          </cell>
          <cell r="C48">
            <v>497</v>
          </cell>
          <cell r="D48">
            <v>189.29011593334994</v>
          </cell>
          <cell r="E48">
            <v>221.22063816058602</v>
          </cell>
          <cell r="F48">
            <v>31.187791783872232</v>
          </cell>
          <cell r="G48">
            <v>0</v>
          </cell>
          <cell r="H48">
            <v>2.5333133086427493</v>
          </cell>
          <cell r="I48">
            <v>0.68578397829781668</v>
          </cell>
          <cell r="J48">
            <v>3.1187791783872234E-2</v>
          </cell>
          <cell r="K48">
            <v>0</v>
          </cell>
          <cell r="L48">
            <v>0.42027667790383211</v>
          </cell>
          <cell r="M48">
            <v>0.11377156199960779</v>
          </cell>
          <cell r="N48">
            <v>5.329447829507547E-3</v>
          </cell>
          <cell r="O48">
            <v>0</v>
          </cell>
          <cell r="P48">
            <v>0.53937768773294736</v>
          </cell>
          <cell r="Q48">
            <v>0.63912791855265094</v>
          </cell>
          <cell r="R48">
            <v>8.4769805933202942E-3</v>
          </cell>
          <cell r="S48">
            <v>2.2947724055320893E-3</v>
          </cell>
          <cell r="T48">
            <v>1.0832102713474091E-4</v>
          </cell>
          <cell r="U48">
            <v>0</v>
          </cell>
          <cell r="V48">
            <v>1.0880074025987124E-2</v>
          </cell>
        </row>
        <row r="49">
          <cell r="B49" t="str">
            <v>Paper or Paperboard articles</v>
          </cell>
          <cell r="C49">
            <v>675</v>
          </cell>
          <cell r="D49">
            <v>257.08416147889579</v>
          </cell>
          <cell r="E49">
            <v>300.45056490622852</v>
          </cell>
          <cell r="F49">
            <v>42.357664897613191</v>
          </cell>
          <cell r="G49">
            <v>0</v>
          </cell>
          <cell r="H49">
            <v>3.4406166666677183</v>
          </cell>
          <cell r="I49">
            <v>0.93139675120930843</v>
          </cell>
          <cell r="J49">
            <v>4.2357664897613188E-2</v>
          </cell>
          <cell r="K49">
            <v>0</v>
          </cell>
          <cell r="L49">
            <v>0.57079830500017459</v>
          </cell>
          <cell r="M49">
            <v>0.15451872102562428</v>
          </cell>
          <cell r="N49">
            <v>7.2381836718663868E-3</v>
          </cell>
          <cell r="O49">
            <v>0</v>
          </cell>
          <cell r="P49">
            <v>0.73255520969766519</v>
          </cell>
          <cell r="Q49">
            <v>0.86803087529786616</v>
          </cell>
          <cell r="R49">
            <v>1.1513001811853522E-2</v>
          </cell>
          <cell r="S49">
            <v>3.1166426030868419E-3</v>
          </cell>
          <cell r="T49">
            <v>1.4711608313068434E-4</v>
          </cell>
          <cell r="U49">
            <v>0</v>
          </cell>
          <cell r="V49">
            <v>1.4776760498071048E-2</v>
          </cell>
        </row>
        <row r="50">
          <cell r="B50" t="str">
            <v>Pulp,newsprint, paper, and paperboard</v>
          </cell>
          <cell r="C50">
            <v>257</v>
          </cell>
          <cell r="D50">
            <v>97.882414074186983</v>
          </cell>
          <cell r="E50">
            <v>114.39377063837145</v>
          </cell>
          <cell r="F50">
            <v>16.12728870916532</v>
          </cell>
          <cell r="G50">
            <v>0</v>
          </cell>
          <cell r="H50">
            <v>1.3099829382720052</v>
          </cell>
          <cell r="I50">
            <v>0.35462068897895149</v>
          </cell>
          <cell r="J50">
            <v>1.612728870916532E-2</v>
          </cell>
          <cell r="K50">
            <v>0</v>
          </cell>
          <cell r="L50">
            <v>0.21732616945932567</v>
          </cell>
          <cell r="M50">
            <v>5.8831572301608057E-2</v>
          </cell>
          <cell r="N50">
            <v>2.7558714128439426E-3</v>
          </cell>
          <cell r="O50">
            <v>0</v>
          </cell>
          <cell r="P50">
            <v>0.27891361317377766</v>
          </cell>
          <cell r="Q50">
            <v>0.33049471844674305</v>
          </cell>
          <cell r="R50">
            <v>4.3834688379945997E-3</v>
          </cell>
          <cell r="S50">
            <v>1.1866328133234346E-3</v>
          </cell>
          <cell r="T50">
            <v>5.6013086466053143E-5</v>
          </cell>
          <cell r="U50">
            <v>0</v>
          </cell>
          <cell r="V50">
            <v>5.6261147377840871E-3</v>
          </cell>
        </row>
        <row r="51">
          <cell r="B51" t="str">
            <v>Pulp,newsprint, paper, and paperboard</v>
          </cell>
          <cell r="C51">
            <v>257</v>
          </cell>
          <cell r="D51">
            <v>97.882414074186983</v>
          </cell>
          <cell r="E51">
            <v>114.39377063837145</v>
          </cell>
          <cell r="F51">
            <v>16.12728870916532</v>
          </cell>
          <cell r="G51">
            <v>0</v>
          </cell>
          <cell r="H51">
            <v>1.3099829382720052</v>
          </cell>
          <cell r="I51">
            <v>0.35462068897895149</v>
          </cell>
          <cell r="J51">
            <v>1.612728870916532E-2</v>
          </cell>
          <cell r="K51">
            <v>0</v>
          </cell>
          <cell r="L51">
            <v>0.21732616945932567</v>
          </cell>
          <cell r="M51">
            <v>5.8831572301608057E-2</v>
          </cell>
          <cell r="N51">
            <v>2.7558714128439426E-3</v>
          </cell>
          <cell r="O51">
            <v>0</v>
          </cell>
          <cell r="P51">
            <v>0.27891361317377766</v>
          </cell>
          <cell r="Q51">
            <v>0.33049471844674305</v>
          </cell>
          <cell r="R51">
            <v>4.3834688379945997E-3</v>
          </cell>
          <cell r="S51">
            <v>1.1866328133234346E-3</v>
          </cell>
          <cell r="T51">
            <v>5.6013086466053143E-5</v>
          </cell>
          <cell r="U51">
            <v>0</v>
          </cell>
          <cell r="V51">
            <v>5.6261147377840871E-3</v>
          </cell>
        </row>
        <row r="52">
          <cell r="B52" t="str">
            <v>Pulp,newsprint, paper, and paperboard</v>
          </cell>
          <cell r="C52">
            <v>257</v>
          </cell>
          <cell r="D52">
            <v>97.882414074186983</v>
          </cell>
          <cell r="E52">
            <v>114.39377063837145</v>
          </cell>
          <cell r="F52">
            <v>16.12728870916532</v>
          </cell>
          <cell r="G52">
            <v>0</v>
          </cell>
          <cell r="H52">
            <v>1.3099829382720052</v>
          </cell>
          <cell r="I52">
            <v>0.35462068897895149</v>
          </cell>
          <cell r="J52">
            <v>1.612728870916532E-2</v>
          </cell>
          <cell r="K52">
            <v>0</v>
          </cell>
          <cell r="L52">
            <v>0.21732616945932567</v>
          </cell>
          <cell r="M52">
            <v>5.8831572301608057E-2</v>
          </cell>
          <cell r="N52">
            <v>2.7558714128439426E-3</v>
          </cell>
          <cell r="O52">
            <v>0</v>
          </cell>
          <cell r="P52">
            <v>0.27891361317377766</v>
          </cell>
          <cell r="Q52">
            <v>0.33049471844674305</v>
          </cell>
          <cell r="R52">
            <v>4.3834688379945997E-3</v>
          </cell>
          <cell r="S52">
            <v>1.1866328133234346E-3</v>
          </cell>
          <cell r="T52">
            <v>5.6013086466053143E-5</v>
          </cell>
          <cell r="U52">
            <v>0</v>
          </cell>
          <cell r="V52">
            <v>5.6261147377840871E-3</v>
          </cell>
        </row>
        <row r="53">
          <cell r="A53" t="str">
            <v>Phonebooks</v>
          </cell>
          <cell r="B53" t="str">
            <v>Printed Products</v>
          </cell>
          <cell r="C53">
            <v>546</v>
          </cell>
          <cell r="D53">
            <v>207.9525217295957</v>
          </cell>
          <cell r="E53">
            <v>243.03112361303818</v>
          </cell>
          <cell r="F53">
            <v>34.262644494958224</v>
          </cell>
          <cell r="G53">
            <v>0</v>
          </cell>
          <cell r="H53">
            <v>2.7830765925934431</v>
          </cell>
          <cell r="I53">
            <v>0.7533964832004183</v>
          </cell>
          <cell r="J53">
            <v>3.4262644494958222E-2</v>
          </cell>
          <cell r="K53">
            <v>0</v>
          </cell>
          <cell r="L53">
            <v>0.46171240671125224</v>
          </cell>
          <cell r="M53">
            <v>0.1249884765629494</v>
          </cell>
          <cell r="N53">
            <v>5.8548863479096986E-3</v>
          </cell>
          <cell r="O53">
            <v>0</v>
          </cell>
          <cell r="P53">
            <v>0.59255576962211132</v>
          </cell>
          <cell r="Q53">
            <v>0.70214053024094059</v>
          </cell>
          <cell r="R53">
            <v>9.3127392433659598E-3</v>
          </cell>
          <cell r="S53">
            <v>2.5210175722746894E-3</v>
          </cell>
          <cell r="T53">
            <v>1.1900056502126464E-4</v>
          </cell>
          <cell r="U53">
            <v>0</v>
          </cell>
          <cell r="V53">
            <v>1.1952757380661915E-2</v>
          </cell>
        </row>
        <row r="54">
          <cell r="A54" t="str">
            <v>Textbooks</v>
          </cell>
          <cell r="B54" t="str">
            <v>Printed Products</v>
          </cell>
          <cell r="C54">
            <v>546</v>
          </cell>
          <cell r="D54">
            <v>207.9525217295957</v>
          </cell>
          <cell r="E54">
            <v>243.03112361303818</v>
          </cell>
          <cell r="F54">
            <v>34.262644494958224</v>
          </cell>
          <cell r="G54">
            <v>0</v>
          </cell>
          <cell r="H54">
            <v>2.7830765925934431</v>
          </cell>
          <cell r="I54">
            <v>0.7533964832004183</v>
          </cell>
          <cell r="J54">
            <v>3.4262644494958222E-2</v>
          </cell>
          <cell r="K54">
            <v>0</v>
          </cell>
          <cell r="L54">
            <v>0.46171240671125224</v>
          </cell>
          <cell r="M54">
            <v>0.1249884765629494</v>
          </cell>
          <cell r="N54">
            <v>5.8548863479096986E-3</v>
          </cell>
          <cell r="O54">
            <v>0</v>
          </cell>
          <cell r="P54">
            <v>0.59255576962211132</v>
          </cell>
          <cell r="Q54">
            <v>0.70214053024094059</v>
          </cell>
          <cell r="R54">
            <v>9.3127392433659598E-3</v>
          </cell>
          <cell r="S54">
            <v>2.5210175722746894E-3</v>
          </cell>
          <cell r="T54">
            <v>1.1900056502126464E-4</v>
          </cell>
          <cell r="U54">
            <v>0</v>
          </cell>
          <cell r="V54">
            <v>1.1952757380661915E-2</v>
          </cell>
        </row>
        <row r="55">
          <cell r="A55" t="str">
            <v>Dimensional Lumber</v>
          </cell>
          <cell r="B55" t="str">
            <v>Logs and other wood in the rough</v>
          </cell>
          <cell r="C55">
            <v>246</v>
          </cell>
          <cell r="D55">
            <v>93.692894405642022</v>
          </cell>
          <cell r="E55">
            <v>109.49753921026995</v>
          </cell>
          <cell r="F55">
            <v>15.437015651574585</v>
          </cell>
          <cell r="G55">
            <v>0</v>
          </cell>
          <cell r="H55">
            <v>1.2539136296300128</v>
          </cell>
          <cell r="I55">
            <v>0.33944237155183682</v>
          </cell>
          <cell r="J55">
            <v>1.5437015651574586E-2</v>
          </cell>
          <cell r="K55">
            <v>0</v>
          </cell>
          <cell r="L55">
            <v>0.20802427115561914</v>
          </cell>
          <cell r="M55">
            <v>5.6313489440449727E-2</v>
          </cell>
          <cell r="N55">
            <v>2.6379158270801945E-3</v>
          </cell>
          <cell r="O55">
            <v>0</v>
          </cell>
          <cell r="P55">
            <v>0.26697567642314901</v>
          </cell>
          <cell r="Q55">
            <v>0.31634903010855564</v>
          </cell>
          <cell r="R55">
            <v>4.1958495492088388E-3</v>
          </cell>
          <cell r="S55">
            <v>1.1358430820138713E-3</v>
          </cell>
          <cell r="T55">
            <v>5.3615639185404964E-5</v>
          </cell>
          <cell r="U55">
            <v>0</v>
          </cell>
          <cell r="V55">
            <v>5.3853082704081153E-3</v>
          </cell>
        </row>
        <row r="56">
          <cell r="A56" t="str">
            <v>Medium-density Fiberboard</v>
          </cell>
          <cell r="B56" t="str">
            <v>Paper or Paperboard articles</v>
          </cell>
          <cell r="C56">
            <v>675</v>
          </cell>
          <cell r="D56">
            <v>257.08416147889579</v>
          </cell>
          <cell r="E56">
            <v>300.45056490622852</v>
          </cell>
          <cell r="F56">
            <v>42.357664897613191</v>
          </cell>
          <cell r="G56">
            <v>0</v>
          </cell>
          <cell r="H56">
            <v>3.4406166666677183</v>
          </cell>
          <cell r="I56">
            <v>0.93139675120930843</v>
          </cell>
          <cell r="J56">
            <v>4.2357664897613188E-2</v>
          </cell>
          <cell r="K56">
            <v>0</v>
          </cell>
          <cell r="L56">
            <v>0.57079830500017459</v>
          </cell>
          <cell r="M56">
            <v>0.15451872102562428</v>
          </cell>
          <cell r="N56">
            <v>7.2381836718663868E-3</v>
          </cell>
          <cell r="O56">
            <v>0</v>
          </cell>
          <cell r="P56">
            <v>0.73255520969766519</v>
          </cell>
          <cell r="Q56">
            <v>0.86803087529786616</v>
          </cell>
          <cell r="R56">
            <v>1.1513001811853522E-2</v>
          </cell>
          <cell r="S56">
            <v>3.1166426030868419E-3</v>
          </cell>
          <cell r="T56">
            <v>1.4711608313068434E-4</v>
          </cell>
          <cell r="U56">
            <v>0</v>
          </cell>
          <cell r="V56">
            <v>1.4776760498071048E-2</v>
          </cell>
        </row>
        <row r="57">
          <cell r="A57" t="str">
            <v>Boxboard</v>
          </cell>
          <cell r="B57" t="str">
            <v>Paper or Paperboard articles</v>
          </cell>
          <cell r="C57">
            <v>675</v>
          </cell>
          <cell r="D57">
            <v>257.08416147889579</v>
          </cell>
          <cell r="E57">
            <v>300.45056490622852</v>
          </cell>
          <cell r="F57">
            <v>42.357664897613191</v>
          </cell>
          <cell r="G57">
            <v>0</v>
          </cell>
          <cell r="H57">
            <v>3.4406166666677183</v>
          </cell>
          <cell r="I57">
            <v>0.93139675120930843</v>
          </cell>
          <cell r="J57">
            <v>4.2357664897613188E-2</v>
          </cell>
          <cell r="K57">
            <v>0</v>
          </cell>
          <cell r="L57">
            <v>0.57079830500017459</v>
          </cell>
          <cell r="M57">
            <v>0.15451872102562428</v>
          </cell>
          <cell r="N57">
            <v>7.2381836718663868E-3</v>
          </cell>
          <cell r="O57">
            <v>0</v>
          </cell>
          <cell r="P57">
            <v>0.73255520969766519</v>
          </cell>
          <cell r="Q57">
            <v>0.86803087529786616</v>
          </cell>
          <cell r="R57">
            <v>1.1513001811853522E-2</v>
          </cell>
          <cell r="S57">
            <v>3.1166426030868419E-3</v>
          </cell>
          <cell r="T57">
            <v>1.4711608313068434E-4</v>
          </cell>
          <cell r="U57">
            <v>0</v>
          </cell>
          <cell r="V57">
            <v>1.4776760498071048E-2</v>
          </cell>
        </row>
        <row r="58">
          <cell r="A58" t="str">
            <v>Paper Towels</v>
          </cell>
          <cell r="B58" t="str">
            <v>Paper or Paperboard articles</v>
          </cell>
          <cell r="C58">
            <v>675</v>
          </cell>
          <cell r="D58">
            <v>257.08416147889579</v>
          </cell>
          <cell r="E58">
            <v>300.45056490622852</v>
          </cell>
          <cell r="F58">
            <v>42.357664897613191</v>
          </cell>
          <cell r="G58">
            <v>0</v>
          </cell>
          <cell r="H58">
            <v>3.4406166666677183</v>
          </cell>
          <cell r="I58">
            <v>0.93139675120930843</v>
          </cell>
          <cell r="J58">
            <v>4.2357664897613188E-2</v>
          </cell>
          <cell r="K58">
            <v>0</v>
          </cell>
          <cell r="L58">
            <v>0.57079830500017459</v>
          </cell>
          <cell r="M58">
            <v>0.15451872102562428</v>
          </cell>
          <cell r="N58">
            <v>7.2381836718663868E-3</v>
          </cell>
          <cell r="O58">
            <v>0</v>
          </cell>
          <cell r="P58">
            <v>0.73255520969766519</v>
          </cell>
          <cell r="Q58">
            <v>0.86803087529786616</v>
          </cell>
          <cell r="R58">
            <v>1.1513001811853522E-2</v>
          </cell>
          <cell r="S58">
            <v>3.1166426030868419E-3</v>
          </cell>
          <cell r="T58">
            <v>1.4711608313068434E-4</v>
          </cell>
          <cell r="U58">
            <v>0</v>
          </cell>
          <cell r="V58">
            <v>1.4776760498071048E-2</v>
          </cell>
        </row>
        <row r="59">
          <cell r="A59" t="str">
            <v>Asphalt Concrete</v>
          </cell>
          <cell r="B59" t="str">
            <v>Coal and petroleum products, n.e.c.</v>
          </cell>
          <cell r="C59">
            <v>78</v>
          </cell>
          <cell r="D59">
            <v>29.707503104227957</v>
          </cell>
          <cell r="E59">
            <v>34.718731944719742</v>
          </cell>
          <cell r="F59">
            <v>4.8946634992797469</v>
          </cell>
          <cell r="G59">
            <v>0</v>
          </cell>
          <cell r="H59">
            <v>0.39758237037049182</v>
          </cell>
          <cell r="I59">
            <v>0.1076280690286312</v>
          </cell>
          <cell r="J59">
            <v>4.8946634992797474E-3</v>
          </cell>
          <cell r="K59">
            <v>0</v>
          </cell>
          <cell r="L59">
            <v>6.5958915244464608E-2</v>
          </cell>
          <cell r="M59">
            <v>1.7855496651849916E-2</v>
          </cell>
          <cell r="N59">
            <v>8.3641233541567161E-4</v>
          </cell>
          <cell r="O59">
            <v>0</v>
          </cell>
          <cell r="P59">
            <v>8.4650824231730204E-2</v>
          </cell>
          <cell r="Q59">
            <v>0.1003057900344201</v>
          </cell>
          <cell r="R59">
            <v>1.3303913204808513E-3</v>
          </cell>
          <cell r="S59">
            <v>3.6014536746781283E-4</v>
          </cell>
          <cell r="T59">
            <v>1.7000080717323528E-5</v>
          </cell>
          <cell r="U59">
            <v>0</v>
          </cell>
          <cell r="V59">
            <v>1.7075367686659876E-3</v>
          </cell>
        </row>
        <row r="60">
          <cell r="A60" t="str">
            <v>Asphalt Shingles</v>
          </cell>
          <cell r="B60" t="str">
            <v>Non-metallic mineral products</v>
          </cell>
          <cell r="C60">
            <v>356</v>
          </cell>
          <cell r="D60">
            <v>135.58809109109171</v>
          </cell>
          <cell r="E60">
            <v>158.45985349128497</v>
          </cell>
          <cell r="F60">
            <v>22.339746227481921</v>
          </cell>
          <cell r="G60">
            <v>0</v>
          </cell>
          <cell r="H60">
            <v>1.8146067160499373</v>
          </cell>
          <cell r="I60">
            <v>0.49122554582298339</v>
          </cell>
          <cell r="J60">
            <v>2.2339746227481923E-2</v>
          </cell>
          <cell r="K60">
            <v>0</v>
          </cell>
          <cell r="L60">
            <v>0.30104325419268463</v>
          </cell>
          <cell r="M60">
            <v>8.1494318052032944E-2</v>
          </cell>
          <cell r="N60">
            <v>3.8174716847176795E-3</v>
          </cell>
          <cell r="O60">
            <v>0</v>
          </cell>
          <cell r="P60">
            <v>0.38635504392943526</v>
          </cell>
          <cell r="Q60">
            <v>0.45780591349043015</v>
          </cell>
          <cell r="R60">
            <v>6.0720424370664496E-3</v>
          </cell>
          <cell r="S60">
            <v>1.6437403951095047E-3</v>
          </cell>
          <cell r="T60">
            <v>7.7590111991886841E-5</v>
          </cell>
          <cell r="U60">
            <v>0</v>
          </cell>
          <cell r="V60">
            <v>7.7933729441678409E-3</v>
          </cell>
        </row>
        <row r="61">
          <cell r="A61" t="str">
            <v>Ceiling Tiles</v>
          </cell>
          <cell r="B61" t="str">
            <v>Non-metallic mineral products</v>
          </cell>
          <cell r="C61">
            <v>356</v>
          </cell>
          <cell r="D61">
            <v>135.58809109109171</v>
          </cell>
          <cell r="E61">
            <v>158.45985349128497</v>
          </cell>
          <cell r="F61">
            <v>22.339746227481921</v>
          </cell>
          <cell r="G61">
            <v>0</v>
          </cell>
          <cell r="H61">
            <v>1.8146067160499373</v>
          </cell>
          <cell r="I61">
            <v>0.49122554582298339</v>
          </cell>
          <cell r="J61">
            <v>2.2339746227481923E-2</v>
          </cell>
          <cell r="K61">
            <v>0</v>
          </cell>
          <cell r="L61">
            <v>0.30104325419268463</v>
          </cell>
          <cell r="M61">
            <v>8.1494318052032944E-2</v>
          </cell>
          <cell r="N61">
            <v>3.8174716847176795E-3</v>
          </cell>
          <cell r="O61">
            <v>0</v>
          </cell>
          <cell r="P61">
            <v>0.38635504392943526</v>
          </cell>
          <cell r="Q61">
            <v>0.45780591349043015</v>
          </cell>
          <cell r="R61">
            <v>6.0720424370664496E-3</v>
          </cell>
          <cell r="S61">
            <v>1.6437403951095047E-3</v>
          </cell>
          <cell r="T61">
            <v>7.7590111991886841E-5</v>
          </cell>
          <cell r="U61">
            <v>0</v>
          </cell>
          <cell r="V61">
            <v>7.7933729441678409E-3</v>
          </cell>
        </row>
        <row r="62">
          <cell r="A62" t="str">
            <v>Drywall</v>
          </cell>
          <cell r="B62" t="str">
            <v>Non-metallic mineral products</v>
          </cell>
          <cell r="C62">
            <v>356</v>
          </cell>
          <cell r="D62">
            <v>135.58809109109171</v>
          </cell>
          <cell r="E62">
            <v>158.45985349128497</v>
          </cell>
          <cell r="F62">
            <v>22.339746227481921</v>
          </cell>
          <cell r="G62">
            <v>0</v>
          </cell>
          <cell r="H62">
            <v>1.8146067160499373</v>
          </cell>
          <cell r="I62">
            <v>0.49122554582298339</v>
          </cell>
          <cell r="J62">
            <v>2.2339746227481923E-2</v>
          </cell>
          <cell r="K62">
            <v>0</v>
          </cell>
          <cell r="L62">
            <v>0.30104325419268463</v>
          </cell>
          <cell r="M62">
            <v>8.1494318052032944E-2</v>
          </cell>
          <cell r="N62">
            <v>3.8174716847176795E-3</v>
          </cell>
          <cell r="O62">
            <v>0</v>
          </cell>
          <cell r="P62">
            <v>0.38635504392943526</v>
          </cell>
          <cell r="Q62">
            <v>0.45780591349043015</v>
          </cell>
          <cell r="R62">
            <v>6.0720424370664496E-3</v>
          </cell>
          <cell r="S62">
            <v>1.6437403951095047E-3</v>
          </cell>
          <cell r="T62">
            <v>7.7590111991886841E-5</v>
          </cell>
          <cell r="U62">
            <v>0</v>
          </cell>
          <cell r="V62">
            <v>7.7933729441678409E-3</v>
          </cell>
        </row>
        <row r="63">
          <cell r="A63" t="str">
            <v>Fiberglass Insulation</v>
          </cell>
          <cell r="B63" t="e">
            <v>#N/A</v>
          </cell>
          <cell r="C63">
            <v>356</v>
          </cell>
          <cell r="D63">
            <v>135.58809109109171</v>
          </cell>
          <cell r="E63">
            <v>158.45985349128497</v>
          </cell>
          <cell r="F63">
            <v>22.339746227481921</v>
          </cell>
          <cell r="G63">
            <v>0</v>
          </cell>
          <cell r="H63">
            <v>1.8146067160499373</v>
          </cell>
          <cell r="I63">
            <v>0.49122554582298339</v>
          </cell>
          <cell r="J63">
            <v>2.2339746227481923E-2</v>
          </cell>
          <cell r="K63">
            <v>0</v>
          </cell>
          <cell r="L63">
            <v>0.30104325419268463</v>
          </cell>
          <cell r="M63">
            <v>8.1494318052032944E-2</v>
          </cell>
          <cell r="N63">
            <v>3.8174716847176795E-3</v>
          </cell>
          <cell r="O63">
            <v>0</v>
          </cell>
          <cell r="P63">
            <v>0.38635504392943526</v>
          </cell>
          <cell r="Q63">
            <v>0.45780591349043015</v>
          </cell>
          <cell r="R63">
            <v>6.0720424370664496E-3</v>
          </cell>
          <cell r="S63">
            <v>1.6437403951095047E-3</v>
          </cell>
          <cell r="T63">
            <v>7.7590111991886841E-5</v>
          </cell>
          <cell r="U63">
            <v>0</v>
          </cell>
          <cell r="V63">
            <v>7.7933729441678409E-3</v>
          </cell>
        </row>
        <row r="64">
          <cell r="A64" t="str">
            <v>Tires</v>
          </cell>
          <cell r="B64" t="str">
            <v>Plastics and Rubber</v>
          </cell>
          <cell r="C64">
            <v>497</v>
          </cell>
          <cell r="D64">
            <v>189.29011593334994</v>
          </cell>
          <cell r="E64">
            <v>221.22063816058602</v>
          </cell>
          <cell r="F64">
            <v>31.187791783872232</v>
          </cell>
          <cell r="G64">
            <v>0</v>
          </cell>
          <cell r="H64">
            <v>2.5333133086427493</v>
          </cell>
          <cell r="I64">
            <v>0.68578397829781668</v>
          </cell>
          <cell r="J64">
            <v>3.1187791783872234E-2</v>
          </cell>
          <cell r="K64">
            <v>0</v>
          </cell>
          <cell r="L64">
            <v>0.42027667790383211</v>
          </cell>
          <cell r="M64">
            <v>0.11377156199960779</v>
          </cell>
          <cell r="N64">
            <v>5.329447829507547E-3</v>
          </cell>
          <cell r="O64">
            <v>0</v>
          </cell>
          <cell r="P64">
            <v>0.53937768773294736</v>
          </cell>
          <cell r="Q64">
            <v>0.63912791855265094</v>
          </cell>
          <cell r="R64">
            <v>8.4769805933202942E-3</v>
          </cell>
          <cell r="S64">
            <v>2.2947724055320893E-3</v>
          </cell>
          <cell r="T64">
            <v>1.0832102713474091E-4</v>
          </cell>
          <cell r="U64">
            <v>0</v>
          </cell>
          <cell r="V64">
            <v>1.0880074025987124E-2</v>
          </cell>
        </row>
        <row r="65">
          <cell r="A65" t="str">
            <v>Wood Flooring</v>
          </cell>
          <cell r="B65" t="str">
            <v>Wood Products</v>
          </cell>
          <cell r="C65">
            <v>293</v>
          </cell>
          <cell r="D65">
            <v>111.59356935306143</v>
          </cell>
          <cell r="E65">
            <v>130.41780076670364</v>
          </cell>
          <cell r="F65">
            <v>18.386364170371355</v>
          </cell>
          <cell r="G65">
            <v>0</v>
          </cell>
          <cell r="H65">
            <v>1.4934824938276168</v>
          </cell>
          <cell r="I65">
            <v>0.40429518237678125</v>
          </cell>
          <cell r="J65">
            <v>1.8386364170371355E-2</v>
          </cell>
          <cell r="K65">
            <v>0</v>
          </cell>
          <cell r="L65">
            <v>0.2477687457260016</v>
          </cell>
          <cell r="M65">
            <v>6.7072570756308014E-2</v>
          </cell>
          <cell r="N65">
            <v>3.1419078753434828E-3</v>
          </cell>
          <cell r="O65">
            <v>0</v>
          </cell>
          <cell r="P65">
            <v>0.31798322435765308</v>
          </cell>
          <cell r="Q65">
            <v>0.37678969846262922</v>
          </cell>
          <cell r="R65">
            <v>4.9974956012934528E-3</v>
          </cell>
          <cell r="S65">
            <v>1.3528537521547328E-3</v>
          </cell>
          <cell r="T65">
            <v>6.3859277566356306E-5</v>
          </cell>
          <cell r="U65">
            <v>0</v>
          </cell>
          <cell r="V65">
            <v>6.4142086310145421E-3</v>
          </cell>
        </row>
        <row r="66">
          <cell r="A66" t="str">
            <v>Vinyl Flooring</v>
          </cell>
          <cell r="B66" t="str">
            <v>Plastics and Rubber</v>
          </cell>
          <cell r="C66">
            <v>497</v>
          </cell>
          <cell r="D66">
            <v>189.29011593334994</v>
          </cell>
          <cell r="E66">
            <v>221.22063816058602</v>
          </cell>
          <cell r="F66">
            <v>31.187791783872232</v>
          </cell>
          <cell r="G66">
            <v>0</v>
          </cell>
          <cell r="H66">
            <v>2.5333133086427493</v>
          </cell>
          <cell r="I66">
            <v>0.68578397829781668</v>
          </cell>
          <cell r="J66">
            <v>3.1187791783872234E-2</v>
          </cell>
          <cell r="K66">
            <v>0</v>
          </cell>
          <cell r="L66">
            <v>0.42027667790383211</v>
          </cell>
          <cell r="M66">
            <v>0.11377156199960779</v>
          </cell>
          <cell r="N66">
            <v>5.329447829507547E-3</v>
          </cell>
          <cell r="O66">
            <v>0</v>
          </cell>
          <cell r="P66">
            <v>0.53937768773294736</v>
          </cell>
          <cell r="Q66">
            <v>0.63912791855265094</v>
          </cell>
          <cell r="R66">
            <v>8.4769805933202942E-3</v>
          </cell>
          <cell r="S66">
            <v>2.2947724055320893E-3</v>
          </cell>
          <cell r="T66">
            <v>1.0832102713474091E-4</v>
          </cell>
          <cell r="U66">
            <v>0</v>
          </cell>
          <cell r="V66">
            <v>1.0880074025987124E-2</v>
          </cell>
        </row>
        <row r="67">
          <cell r="A67" t="str">
            <v>Gypsum for Ag purposes</v>
          </cell>
          <cell r="B67" t="str">
            <v>Non-metallic minerals, n.e.c.</v>
          </cell>
          <cell r="C67">
            <v>261</v>
          </cell>
          <cell r="D67">
            <v>99.405875771839703</v>
          </cell>
          <cell r="E67">
            <v>116.17421843040836</v>
          </cell>
          <cell r="F67">
            <v>16.378297093743768</v>
          </cell>
          <cell r="G67">
            <v>0</v>
          </cell>
          <cell r="H67">
            <v>1.3303717777781843</v>
          </cell>
          <cell r="I67">
            <v>0.36014007713426588</v>
          </cell>
          <cell r="J67">
            <v>1.637829709374377E-2</v>
          </cell>
          <cell r="K67">
            <v>0</v>
          </cell>
          <cell r="L67">
            <v>0.22070867793340079</v>
          </cell>
          <cell r="M67">
            <v>5.974723879657471E-2</v>
          </cell>
          <cell r="N67">
            <v>2.7987643531216695E-3</v>
          </cell>
          <cell r="O67">
            <v>0</v>
          </cell>
          <cell r="P67">
            <v>0.28325468108309715</v>
          </cell>
          <cell r="Q67">
            <v>0.3356386051151749</v>
          </cell>
          <cell r="R67">
            <v>4.4516940339166941E-3</v>
          </cell>
          <cell r="S67">
            <v>1.205101806526912E-3</v>
          </cell>
          <cell r="T67">
            <v>5.6884885477197946E-5</v>
          </cell>
          <cell r="U67">
            <v>0</v>
          </cell>
          <cell r="V67">
            <v>5.713680725920804E-3</v>
          </cell>
        </row>
        <row r="68">
          <cell r="A68" t="str">
            <v>Potatoes</v>
          </cell>
          <cell r="B68" t="str">
            <v>Agricultural products (excludes animal feed, cereal grains, and forage products)</v>
          </cell>
          <cell r="C68">
            <v>516</v>
          </cell>
          <cell r="D68">
            <v>196.52655899720034</v>
          </cell>
          <cell r="E68">
            <v>229.67776517276135</v>
          </cell>
          <cell r="F68">
            <v>32.380081610619861</v>
          </cell>
          <cell r="G68">
            <v>0</v>
          </cell>
          <cell r="H68">
            <v>2.6301602962970998</v>
          </cell>
          <cell r="I68">
            <v>0.71200107203556018</v>
          </cell>
          <cell r="J68">
            <v>3.2380081610619858E-2</v>
          </cell>
          <cell r="K68">
            <v>0</v>
          </cell>
          <cell r="L68">
            <v>0.43634359315568888</v>
          </cell>
          <cell r="M68">
            <v>0.11812097785069943</v>
          </cell>
          <cell r="N68">
            <v>5.5331892958267485E-3</v>
          </cell>
          <cell r="O68">
            <v>0</v>
          </cell>
          <cell r="P68">
            <v>0.55999776030221515</v>
          </cell>
          <cell r="Q68">
            <v>0.66356138022770195</v>
          </cell>
          <cell r="R68">
            <v>8.8010502739502457E-3</v>
          </cell>
          <cell r="S68">
            <v>2.3825001232486076E-3</v>
          </cell>
          <cell r="T68">
            <v>1.1246207243767868E-4</v>
          </cell>
          <cell r="U68">
            <v>0</v>
          </cell>
          <cell r="V68">
            <v>1.1296012469636532E-2</v>
          </cell>
        </row>
        <row r="69">
          <cell r="A69" t="str">
            <v>Tomatoes</v>
          </cell>
          <cell r="B69" t="str">
            <v>Agricultural products (excludes animal feed, cereal grains, and forage products)</v>
          </cell>
          <cell r="C69">
            <v>516</v>
          </cell>
          <cell r="D69">
            <v>196.52655899720034</v>
          </cell>
          <cell r="E69">
            <v>229.67776517276135</v>
          </cell>
          <cell r="F69">
            <v>32.380081610619861</v>
          </cell>
          <cell r="G69">
            <v>0</v>
          </cell>
          <cell r="H69">
            <v>2.6301602962970998</v>
          </cell>
          <cell r="I69">
            <v>0.71200107203556018</v>
          </cell>
          <cell r="J69">
            <v>3.2380081610619858E-2</v>
          </cell>
          <cell r="K69">
            <v>0</v>
          </cell>
          <cell r="L69">
            <v>0.43634359315568888</v>
          </cell>
          <cell r="M69">
            <v>0.11812097785069943</v>
          </cell>
          <cell r="N69">
            <v>5.5331892958267485E-3</v>
          </cell>
          <cell r="O69">
            <v>0</v>
          </cell>
          <cell r="P69">
            <v>0.55999776030221515</v>
          </cell>
          <cell r="Q69">
            <v>0.66356138022770195</v>
          </cell>
          <cell r="R69">
            <v>8.8010502739502457E-3</v>
          </cell>
          <cell r="S69">
            <v>2.3825001232486076E-3</v>
          </cell>
          <cell r="T69">
            <v>1.1246207243767868E-4</v>
          </cell>
          <cell r="U69">
            <v>0</v>
          </cell>
          <cell r="V69">
            <v>1.1296012469636532E-2</v>
          </cell>
        </row>
        <row r="70">
          <cell r="A70" t="str">
            <v>Citrus</v>
          </cell>
          <cell r="B70" t="str">
            <v>Agricultural products (excludes animal feed, cereal grains, and forage products)</v>
          </cell>
          <cell r="C70">
            <v>516</v>
          </cell>
          <cell r="D70">
            <v>196.52655899720034</v>
          </cell>
          <cell r="E70">
            <v>229.67776517276135</v>
          </cell>
          <cell r="F70">
            <v>32.380081610619861</v>
          </cell>
          <cell r="G70">
            <v>0</v>
          </cell>
          <cell r="H70">
            <v>2.6301602962970998</v>
          </cell>
          <cell r="I70">
            <v>0.71200107203556018</v>
          </cell>
          <cell r="J70">
            <v>3.2380081610619858E-2</v>
          </cell>
          <cell r="K70">
            <v>0</v>
          </cell>
          <cell r="L70">
            <v>0.43634359315568888</v>
          </cell>
          <cell r="M70">
            <v>0.11812097785069943</v>
          </cell>
          <cell r="N70">
            <v>5.5331892958267485E-3</v>
          </cell>
          <cell r="O70">
            <v>0</v>
          </cell>
          <cell r="P70">
            <v>0.55999776030221515</v>
          </cell>
          <cell r="Q70">
            <v>0.66356138022770195</v>
          </cell>
          <cell r="R70">
            <v>8.8010502739502457E-3</v>
          </cell>
          <cell r="S70">
            <v>2.3825001232486076E-3</v>
          </cell>
          <cell r="T70">
            <v>1.1246207243767868E-4</v>
          </cell>
          <cell r="U70">
            <v>0</v>
          </cell>
          <cell r="V70">
            <v>1.1296012469636532E-2</v>
          </cell>
        </row>
        <row r="71">
          <cell r="A71" t="str">
            <v>Melons</v>
          </cell>
          <cell r="B71" t="str">
            <v>Agricultural products (excludes animal feed, cereal grains, and forage products)</v>
          </cell>
          <cell r="C71">
            <v>516</v>
          </cell>
          <cell r="D71">
            <v>196.52655899720034</v>
          </cell>
          <cell r="E71">
            <v>229.67776517276135</v>
          </cell>
          <cell r="F71">
            <v>32.380081610619861</v>
          </cell>
          <cell r="G71">
            <v>0</v>
          </cell>
          <cell r="H71">
            <v>2.6301602962970998</v>
          </cell>
          <cell r="I71">
            <v>0.71200107203556018</v>
          </cell>
          <cell r="J71">
            <v>3.2380081610619858E-2</v>
          </cell>
          <cell r="K71">
            <v>0</v>
          </cell>
          <cell r="L71">
            <v>0.43634359315568888</v>
          </cell>
          <cell r="M71">
            <v>0.11812097785069943</v>
          </cell>
          <cell r="N71">
            <v>5.5331892958267485E-3</v>
          </cell>
          <cell r="O71">
            <v>0</v>
          </cell>
          <cell r="P71">
            <v>0.55999776030221515</v>
          </cell>
          <cell r="Q71">
            <v>0.66356138022770195</v>
          </cell>
          <cell r="R71">
            <v>8.8010502739502457E-3</v>
          </cell>
          <cell r="S71">
            <v>2.3825001232486076E-3</v>
          </cell>
          <cell r="T71">
            <v>1.1246207243767868E-4</v>
          </cell>
          <cell r="U71">
            <v>0</v>
          </cell>
          <cell r="V71">
            <v>1.1296012469636532E-2</v>
          </cell>
        </row>
        <row r="72">
          <cell r="A72" t="str">
            <v>Apples</v>
          </cell>
          <cell r="B72" t="str">
            <v>Agricultural products (excludes animal feed, cereal grains, and forage products)</v>
          </cell>
          <cell r="C72">
            <v>516</v>
          </cell>
          <cell r="D72">
            <v>196.52655899720034</v>
          </cell>
          <cell r="E72">
            <v>229.67776517276135</v>
          </cell>
          <cell r="F72">
            <v>32.380081610619861</v>
          </cell>
          <cell r="G72">
            <v>0</v>
          </cell>
          <cell r="H72">
            <v>2.6301602962970998</v>
          </cell>
          <cell r="I72">
            <v>0.71200107203556018</v>
          </cell>
          <cell r="J72">
            <v>3.2380081610619858E-2</v>
          </cell>
          <cell r="K72">
            <v>0</v>
          </cell>
          <cell r="L72">
            <v>0.43634359315568888</v>
          </cell>
          <cell r="M72">
            <v>0.11812097785069943</v>
          </cell>
          <cell r="N72">
            <v>5.5331892958267485E-3</v>
          </cell>
          <cell r="O72">
            <v>0</v>
          </cell>
          <cell r="P72">
            <v>0.55999776030221515</v>
          </cell>
          <cell r="Q72">
            <v>0.66356138022770195</v>
          </cell>
          <cell r="R72">
            <v>8.8010502739502457E-3</v>
          </cell>
          <cell r="S72">
            <v>2.3825001232486076E-3</v>
          </cell>
          <cell r="T72">
            <v>1.1246207243767868E-4</v>
          </cell>
          <cell r="U72">
            <v>0</v>
          </cell>
          <cell r="V72">
            <v>1.1296012469636532E-2</v>
          </cell>
        </row>
        <row r="73">
          <cell r="A73" t="str">
            <v>Bananas (domestic ground transport)</v>
          </cell>
          <cell r="B73" t="str">
            <v>Agricultural products (excludes animal feed, cereal grains, and forage products)</v>
          </cell>
          <cell r="C73">
            <v>516</v>
          </cell>
          <cell r="D73">
            <v>196.52655899720034</v>
          </cell>
          <cell r="E73">
            <v>229.67776517276135</v>
          </cell>
          <cell r="F73">
            <v>32.380081610619861</v>
          </cell>
          <cell r="G73">
            <v>0</v>
          </cell>
          <cell r="H73">
            <v>2.6301602962970998</v>
          </cell>
          <cell r="I73">
            <v>0.71200107203556018</v>
          </cell>
          <cell r="J73">
            <v>3.2380081610619858E-2</v>
          </cell>
          <cell r="K73">
            <v>0</v>
          </cell>
          <cell r="L73">
            <v>0.43634359315568888</v>
          </cell>
          <cell r="M73">
            <v>0.11812097785069943</v>
          </cell>
          <cell r="N73">
            <v>5.5331892958267485E-3</v>
          </cell>
          <cell r="O73">
            <v>0</v>
          </cell>
          <cell r="P73">
            <v>0.55999776030221515</v>
          </cell>
          <cell r="Q73">
            <v>0.66356138022770195</v>
          </cell>
          <cell r="R73">
            <v>8.8010502739502457E-3</v>
          </cell>
          <cell r="S73">
            <v>2.3825001232486076E-3</v>
          </cell>
          <cell r="T73">
            <v>1.1246207243767868E-4</v>
          </cell>
          <cell r="U73">
            <v>0</v>
          </cell>
          <cell r="V73">
            <v>1.1296012469636532E-2</v>
          </cell>
        </row>
        <row r="74">
          <cell r="A74" t="str">
            <v>Grains</v>
          </cell>
          <cell r="B74" t="str">
            <v>Cereal grains (includes seed)</v>
          </cell>
          <cell r="C74">
            <v>265</v>
          </cell>
          <cell r="D74">
            <v>100.92933746949242</v>
          </cell>
          <cell r="E74">
            <v>117.95466622244527</v>
          </cell>
          <cell r="F74">
            <v>16.629305478322216</v>
          </cell>
          <cell r="G74">
            <v>0</v>
          </cell>
          <cell r="H74">
            <v>1.3507606172843634</v>
          </cell>
          <cell r="I74">
            <v>0.36565946528958032</v>
          </cell>
          <cell r="J74">
            <v>1.6629305478322216E-2</v>
          </cell>
          <cell r="K74">
            <v>0</v>
          </cell>
          <cell r="L74">
            <v>0.22409118640747588</v>
          </cell>
          <cell r="M74">
            <v>6.0662905291541377E-2</v>
          </cell>
          <cell r="N74">
            <v>2.841657293399396E-3</v>
          </cell>
          <cell r="O74">
            <v>0</v>
          </cell>
          <cell r="P74">
            <v>0.28759574899241669</v>
          </cell>
          <cell r="Q74">
            <v>0.3407824917836067</v>
          </cell>
          <cell r="R74">
            <v>4.5199192298387885E-3</v>
          </cell>
          <cell r="S74">
            <v>1.2235707997303898E-3</v>
          </cell>
          <cell r="T74">
            <v>5.7756684488342729E-5</v>
          </cell>
          <cell r="U74">
            <v>0</v>
          </cell>
          <cell r="V74">
            <v>5.8012467140575209E-3</v>
          </cell>
        </row>
        <row r="75">
          <cell r="A75" t="str">
            <v>Bread</v>
          </cell>
          <cell r="B75" t="str">
            <v>Milled grain products and preparations and bakery products</v>
          </cell>
          <cell r="C75">
            <v>169</v>
          </cell>
          <cell r="D75">
            <v>64.366256725827242</v>
          </cell>
          <cell r="E75">
            <v>75.223919213559441</v>
          </cell>
          <cell r="F75">
            <v>10.605104248439451</v>
          </cell>
          <cell r="G75">
            <v>0</v>
          </cell>
          <cell r="H75">
            <v>0.86142846913606563</v>
          </cell>
          <cell r="I75">
            <v>0.23319414956203427</v>
          </cell>
          <cell r="J75">
            <v>1.0605104248439452E-2</v>
          </cell>
          <cell r="K75">
            <v>0</v>
          </cell>
          <cell r="L75">
            <v>0.14291098302967328</v>
          </cell>
          <cell r="M75">
            <v>3.8686909412341486E-2</v>
          </cell>
          <cell r="N75">
            <v>1.8122267267339548E-3</v>
          </cell>
          <cell r="O75">
            <v>0</v>
          </cell>
          <cell r="P75">
            <v>0.18341011916874872</v>
          </cell>
          <cell r="Q75">
            <v>0.21732921174124345</v>
          </cell>
          <cell r="R75">
            <v>2.8825145277085102E-3</v>
          </cell>
          <cell r="S75">
            <v>7.8031496284692778E-4</v>
          </cell>
          <cell r="T75">
            <v>3.6833508220867637E-5</v>
          </cell>
          <cell r="U75">
            <v>0</v>
          </cell>
          <cell r="V75">
            <v>3.6996629987763058E-3</v>
          </cell>
        </row>
        <row r="80">
          <cell r="A80" t="str">
            <v>Transportation Fuel Efficiency</v>
          </cell>
        </row>
        <row r="81">
          <cell r="A81" t="str">
            <v>Transporation Mode</v>
          </cell>
          <cell r="B81" t="str">
            <v>gal/ton-mile</v>
          </cell>
          <cell r="C81" t="str">
            <v>liter/metric ton-km</v>
          </cell>
          <cell r="E81" t="str">
            <v>gallons</v>
          </cell>
          <cell r="F81" t="str">
            <v>=</v>
          </cell>
          <cell r="G81" t="str">
            <v>liters</v>
          </cell>
          <cell r="J81" t="str">
            <v>Fuel Types</v>
          </cell>
          <cell r="K81" t="str">
            <v>Heating Value (Btu/Gal)</v>
          </cell>
          <cell r="M81" t="str">
            <v>Mode of Transportation</v>
          </cell>
          <cell r="N81" t="str">
            <v>Million Ton-Miles</v>
          </cell>
          <cell r="O81" t="str">
            <v>Average Miles Per shipment</v>
          </cell>
          <cell r="P81" t="str">
            <v>Percent of Total</v>
          </cell>
          <cell r="Q81" t="str">
            <v>Average Miles per Shipment</v>
          </cell>
        </row>
        <row r="82">
          <cell r="B82">
            <v>1.3383230794442234E-2</v>
          </cell>
          <cell r="C82">
            <v>3.4700000000000002E-2</v>
          </cell>
          <cell r="E82">
            <v>1</v>
          </cell>
          <cell r="G82">
            <v>3.78541178</v>
          </cell>
          <cell r="J82" t="str">
            <v>Diesel</v>
          </cell>
          <cell r="K82">
            <v>140000</v>
          </cell>
          <cell r="M82" t="str">
            <v>Truck</v>
          </cell>
          <cell r="N82">
            <v>1264346</v>
          </cell>
          <cell r="P82">
            <v>0.38086542441317894</v>
          </cell>
          <cell r="Q82">
            <v>216</v>
          </cell>
        </row>
        <row r="83">
          <cell r="B83">
            <v>3.0999999999999999E-3</v>
          </cell>
          <cell r="C83">
            <v>8.0376705484800793E-3</v>
          </cell>
          <cell r="E83" t="str">
            <v>metric tons</v>
          </cell>
          <cell r="G83" t="str">
            <v>short tons</v>
          </cell>
          <cell r="J83" t="str">
            <v>Distillate Oil</v>
          </cell>
          <cell r="K83">
            <v>140000</v>
          </cell>
          <cell r="M83" t="str">
            <v>For-Hire</v>
          </cell>
          <cell r="N83">
            <v>1071878</v>
          </cell>
          <cell r="O83">
            <v>489</v>
          </cell>
        </row>
        <row r="84">
          <cell r="B84">
            <v>1E-3</v>
          </cell>
          <cell r="C84">
            <v>2.5927969511226065E-3</v>
          </cell>
          <cell r="E84">
            <v>1</v>
          </cell>
          <cell r="F84" t="str">
            <v>=</v>
          </cell>
          <cell r="G84">
            <v>1.1023113099999999</v>
          </cell>
          <cell r="J84" t="str">
            <v>Residual Oil</v>
          </cell>
          <cell r="K84">
            <v>150000</v>
          </cell>
          <cell r="M84" t="str">
            <v>Private</v>
          </cell>
          <cell r="N84">
            <v>192468</v>
          </cell>
          <cell r="O84">
            <v>46</v>
          </cell>
        </row>
        <row r="85">
          <cell r="B85" t="str">
            <v>gal/ton-mile</v>
          </cell>
          <cell r="C85" t="str">
            <v>liter/metric ton-km</v>
          </cell>
          <cell r="E85" t="str">
            <v>km</v>
          </cell>
          <cell r="G85" t="str">
            <v>mile</v>
          </cell>
          <cell r="J85" t="str">
            <v>Gasoline</v>
          </cell>
          <cell r="K85">
            <v>121000</v>
          </cell>
          <cell r="M85" t="str">
            <v>Rail</v>
          </cell>
          <cell r="N85">
            <v>1477623</v>
          </cell>
          <cell r="O85">
            <v>811</v>
          </cell>
          <cell r="P85">
            <v>0.44511194800922743</v>
          </cell>
          <cell r="Q85">
            <v>811</v>
          </cell>
        </row>
        <row r="86">
          <cell r="B86">
            <v>2E-3</v>
          </cell>
          <cell r="C86">
            <v>5.1855939022452131E-3</v>
          </cell>
          <cell r="E86">
            <v>1</v>
          </cell>
          <cell r="F86" t="str">
            <v>=</v>
          </cell>
          <cell r="G86">
            <v>0.62137119200000002</v>
          </cell>
          <cell r="J86" t="str">
            <v>LPG</v>
          </cell>
          <cell r="K86">
            <v>95000</v>
          </cell>
          <cell r="M86" t="str">
            <v>Water</v>
          </cell>
          <cell r="N86">
            <v>208316</v>
          </cell>
          <cell r="O86">
            <v>842</v>
          </cell>
          <cell r="P86">
            <v>6.2752096144612135E-2</v>
          </cell>
        </row>
        <row r="87">
          <cell r="B87">
            <v>5.9999999999999995E-4</v>
          </cell>
          <cell r="C87">
            <v>1.5556781706735636E-3</v>
          </cell>
          <cell r="E87" t="str">
            <v>cu ft</v>
          </cell>
          <cell r="G87" t="str">
            <v>cu meters</v>
          </cell>
          <cell r="J87" t="str">
            <v>Water (Diesel/Residual Oil)</v>
          </cell>
          <cell r="K87">
            <v>145000</v>
          </cell>
          <cell r="M87" t="str">
            <v>Shallow Draft</v>
          </cell>
          <cell r="N87">
            <v>198455</v>
          </cell>
          <cell r="O87">
            <v>323</v>
          </cell>
          <cell r="Q87">
            <v>323</v>
          </cell>
        </row>
        <row r="88">
          <cell r="B88">
            <v>1.2999999999999999E-3</v>
          </cell>
          <cell r="C88">
            <v>3.3706360364593878E-3</v>
          </cell>
          <cell r="E88">
            <v>1</v>
          </cell>
          <cell r="F88" t="str">
            <v>=</v>
          </cell>
          <cell r="G88">
            <v>2.8316846600000001E-2</v>
          </cell>
          <cell r="M88" t="str">
            <v>Great Lakes</v>
          </cell>
          <cell r="N88">
            <v>9861</v>
          </cell>
          <cell r="O88">
            <v>385</v>
          </cell>
          <cell r="Q88">
            <v>385</v>
          </cell>
        </row>
        <row r="89">
          <cell r="B89">
            <v>1E-4</v>
          </cell>
          <cell r="C89">
            <v>2.5927969511226067E-4</v>
          </cell>
          <cell r="M89" t="str">
            <v>Deep Draft</v>
          </cell>
          <cell r="N89" t="str">
            <v>NA</v>
          </cell>
          <cell r="O89">
            <v>976</v>
          </cell>
          <cell r="Q89">
            <v>976</v>
          </cell>
        </row>
        <row r="90">
          <cell r="B90">
            <v>1E-3</v>
          </cell>
          <cell r="C90">
            <v>2.5927969511226065E-3</v>
          </cell>
          <cell r="M90" t="str">
            <v>Air (includes truck and air)</v>
          </cell>
          <cell r="N90">
            <v>6341</v>
          </cell>
          <cell r="O90">
            <v>1299</v>
          </cell>
          <cell r="P90">
            <v>1.910131922910317E-3</v>
          </cell>
          <cell r="Q90">
            <v>1771</v>
          </cell>
        </row>
        <row r="91">
          <cell r="A91" t="str">
            <v>Ocean Freighter, average mix</v>
          </cell>
          <cell r="B91">
            <v>5.5000000000000003E-4</v>
          </cell>
          <cell r="C91">
            <v>1.4260383231174333E-3</v>
          </cell>
          <cell r="M91" t="str">
            <v>Multiple Modes</v>
          </cell>
          <cell r="N91">
            <v>310752</v>
          </cell>
          <cell r="Q91">
            <v>880</v>
          </cell>
        </row>
        <row r="92">
          <cell r="B92" t="str">
            <v>BTU/ton-mile</v>
          </cell>
          <cell r="C92" t="str">
            <v>BTU/metric ton-km</v>
          </cell>
          <cell r="M92" t="str">
            <v>Parcel, U.S. Postal Service or courier</v>
          </cell>
          <cell r="N92">
            <v>20581</v>
          </cell>
          <cell r="O92">
            <v>879</v>
          </cell>
          <cell r="P92">
            <v>6.1997200923225408E-3</v>
          </cell>
          <cell r="Q92">
            <v>910</v>
          </cell>
        </row>
        <row r="93">
          <cell r="A93" t="str">
            <v>natural gas- pipline</v>
          </cell>
          <cell r="B93">
            <v>2724.9015487009638</v>
          </cell>
          <cell r="C93">
            <v>1866.4063087955853</v>
          </cell>
          <cell r="M93" t="str">
            <v>Truck and Rail</v>
          </cell>
          <cell r="N93">
            <v>216306</v>
          </cell>
          <cell r="O93">
            <v>1004</v>
          </cell>
          <cell r="P93">
            <v>6.5158964787421392E-2</v>
          </cell>
          <cell r="Q93">
            <v>1004</v>
          </cell>
        </row>
        <row r="94">
          <cell r="B94" t="str">
            <v>BTU/ton-mile</v>
          </cell>
          <cell r="C94" t="str">
            <v>BTU/metric ton-km</v>
          </cell>
          <cell r="M94" t="str">
            <v>Truck and water</v>
          </cell>
          <cell r="N94">
            <v>47890</v>
          </cell>
          <cell r="O94">
            <v>1818</v>
          </cell>
          <cell r="P94">
            <v>1.4426150100642654E-2</v>
          </cell>
          <cell r="Q94">
            <v>1818</v>
          </cell>
        </row>
        <row r="95">
          <cell r="A95" t="str">
            <v>petroleum products- pipeline</v>
          </cell>
          <cell r="B95">
            <v>253</v>
          </cell>
          <cell r="C95">
            <v>173.29095664039471</v>
          </cell>
          <cell r="M95" t="str">
            <v>Rail and Water</v>
          </cell>
          <cell r="N95">
            <v>25448</v>
          </cell>
          <cell r="O95">
            <v>663</v>
          </cell>
          <cell r="P95">
            <v>7.6658314420788116E-3</v>
          </cell>
          <cell r="Q95">
            <v>663</v>
          </cell>
        </row>
        <row r="96">
          <cell r="E96" t="str">
            <v>Natural Gas pipeline energy</v>
          </cell>
          <cell r="M96" t="str">
            <v>Other Multiple Modes</v>
          </cell>
          <cell r="P96">
            <v>0</v>
          </cell>
          <cell r="Q96" t="str">
            <v>N/A</v>
          </cell>
        </row>
        <row r="97">
          <cell r="E97" t="str">
            <v>Year</v>
          </cell>
          <cell r="F97" t="str">
            <v>natural gas consumption (cubic feet)</v>
          </cell>
          <cell r="G97" t="str">
            <v>electricity consumption (kWh)</v>
          </cell>
          <cell r="H97" t="str">
            <v>total US pipeline ton-miles</v>
          </cell>
          <cell r="M97" t="str">
            <v>Other and unknown modes</v>
          </cell>
          <cell r="N97">
            <v>279</v>
          </cell>
          <cell r="O97">
            <v>2</v>
          </cell>
        </row>
        <row r="98">
          <cell r="E98">
            <v>2001</v>
          </cell>
          <cell r="F98">
            <v>624964000000</v>
          </cell>
          <cell r="G98">
            <v>2832300000</v>
          </cell>
          <cell r="H98">
            <v>267000000000</v>
          </cell>
          <cell r="M98" t="str">
            <v>Total (includes hidden ton miles not listed)</v>
          </cell>
          <cell r="N98">
            <v>3319666</v>
          </cell>
        </row>
        <row r="99">
          <cell r="E99" t="str">
            <v>Sources:</v>
          </cell>
          <cell r="M99" t="str">
            <v>Source: 2012 US Census Commodity Flow Survey http://www.rita.dot.gov/bts/sites/rita.dot.gov.bts/files/publications/commodity_flow_survey/2012/united_states/table1.html</v>
          </cell>
        </row>
        <row r="100">
          <cell r="E100" t="str">
            <v>http://www.bts.gov/programs/bts_working_papers/2004/paper_02/html/figure_07_table.html</v>
          </cell>
        </row>
        <row r="101">
          <cell r="E101" t="str">
            <v xml:space="preserve">Transportation Energy Data Book: Edition 26 , ORNL, Stacy Davis and Susan Diegel, Oak Ridge National Laboratory. </v>
          </cell>
        </row>
        <row r="102">
          <cell r="E102" t="str">
            <v>Methodology on page A-14 and data on page A-15</v>
          </cell>
        </row>
        <row r="103">
          <cell r="E103" t="str">
            <v>http://cta.ornl.gov/data/tedb26/Edition26_Appendix_A.pdf</v>
          </cell>
        </row>
        <row r="107">
          <cell r="A107" t="str">
            <v xml:space="preserve">Pre-Combustion Scale up Factors </v>
          </cell>
        </row>
        <row r="108">
          <cell r="A108" t="str">
            <v>Fuel</v>
          </cell>
          <cell r="B108" t="str">
            <v>Scale up Factor</v>
          </cell>
        </row>
        <row r="109">
          <cell r="A109" t="str">
            <v>Diesel</v>
          </cell>
          <cell r="B109">
            <v>1.1850000000000001</v>
          </cell>
        </row>
        <row r="110">
          <cell r="A110" t="str">
            <v>Distillate Oil</v>
          </cell>
          <cell r="B110">
            <v>1.1850000000000001</v>
          </cell>
        </row>
        <row r="111">
          <cell r="A111" t="str">
            <v>Residual Oil</v>
          </cell>
          <cell r="B111">
            <v>1.1719999999999999</v>
          </cell>
        </row>
        <row r="112">
          <cell r="A112" t="str">
            <v>Gasoline</v>
          </cell>
          <cell r="B112">
            <v>1.2050000000000001</v>
          </cell>
        </row>
        <row r="113">
          <cell r="A113" t="str">
            <v>LPG</v>
          </cell>
          <cell r="B113">
            <v>1.121</v>
          </cell>
        </row>
        <row r="114">
          <cell r="A114" t="str">
            <v>Water (Diesel/Residual Oil)</v>
          </cell>
          <cell r="B114">
            <v>1.1785000000000001</v>
          </cell>
        </row>
        <row r="116">
          <cell r="A116" t="str">
            <v>Carbon Coefficients</v>
          </cell>
        </row>
        <row r="117">
          <cell r="A117" t="str">
            <v>Fuel</v>
          </cell>
          <cell r="B117" t="str">
            <v>Total kg CE Emitted per Million BTU Consumed</v>
          </cell>
        </row>
        <row r="118">
          <cell r="A118" t="str">
            <v>Diesel</v>
          </cell>
          <cell r="B118">
            <v>20.170000000000002</v>
          </cell>
        </row>
        <row r="119">
          <cell r="A119" t="str">
            <v>Distillate Oil</v>
          </cell>
          <cell r="B119">
            <v>20.170000000000002</v>
          </cell>
        </row>
      </sheetData>
      <sheetData sheetId="54" refreshError="1">
        <row r="6">
          <cell r="B6" t="str">
            <v>Drew</v>
          </cell>
          <cell r="C6" t="str">
            <v>Chapter 7</v>
          </cell>
          <cell r="D6" t="str">
            <v>AL11</v>
          </cell>
          <cell r="E6" t="str">
            <v>Linked cell AL11 to cell N31 on "Assumptions" sheet to reflect any ripple effect in a change in WTE combustion assumptions.</v>
          </cell>
        </row>
        <row r="7">
          <cell r="B7" t="str">
            <v>Drew</v>
          </cell>
          <cell r="C7" t="str">
            <v>Exhibit 6-2</v>
          </cell>
          <cell r="D7" t="str">
            <v>E7</v>
          </cell>
          <cell r="E7" t="str">
            <v>Added "WTE" to cell title to clarify "combustion system efficiency".</v>
          </cell>
        </row>
        <row r="8">
          <cell r="B8" t="str">
            <v>Drew</v>
          </cell>
          <cell r="C8" t="str">
            <v xml:space="preserve">Exhibit 6-1 and </v>
          </cell>
          <cell r="D8" t="str">
            <v>B,C &amp; D11-21</v>
          </cell>
          <cell r="E8" t="str">
            <v xml:space="preserve">Hardwired these cells (except for HDPE, LDPE, AND PET) so that cells AR, AS, and AT11-21 of Ex. 7 (sum. exhibits) can be linked to these values. </v>
          </cell>
        </row>
        <row r="9">
          <cell r="C9" t="str">
            <v>Sum. Exhibits Ex. 7</v>
          </cell>
          <cell r="D9" t="str">
            <v>AR, AS &amp; AT11-21</v>
          </cell>
          <cell r="E9" t="str">
            <v>Consider calculating values used in Ex. 6-1 cells B,C &amp;D11-21 on "Assumptions " sheet and then linking these calculations back to Ex.6-1 for ripple effect.</v>
          </cell>
        </row>
        <row r="10">
          <cell r="E10" t="str">
            <v xml:space="preserve">Column "d" is completed (see comments for 11/18/97). </v>
          </cell>
        </row>
        <row r="11">
          <cell r="B11" t="str">
            <v>Drew</v>
          </cell>
          <cell r="C11" t="str">
            <v>Assumptions</v>
          </cell>
          <cell r="E11" t="str">
            <v xml:space="preserve">Added new table:"Product and Type of Recycling Assumptions" containing data on office paper (and tissue paper) and corrugated cardboard (and folding boxes) used for calculations in Summary Exhibits Ex. 5. </v>
          </cell>
        </row>
        <row r="12">
          <cell r="B12" t="str">
            <v>Drew</v>
          </cell>
          <cell r="C12" t="str">
            <v>Sum. Exhibits Ex. 5</v>
          </cell>
          <cell r="D12" t="str">
            <v>AF, AG, AH12&amp;13</v>
          </cell>
          <cell r="E12" t="str">
            <v xml:space="preserve">Rewired cells such that the formulas used to calculate values for "Recycled Input Credit: Process Energy GHG", "Recycled Input Credit:Transportation Energy, and "Recycled Input Credit: Process Non-Energy", draw from appropriate data sources &amp; assumptions </v>
          </cell>
        </row>
        <row r="13">
          <cell r="B13" t="str">
            <v>Drew</v>
          </cell>
          <cell r="C13" t="str">
            <v>Assumptions</v>
          </cell>
          <cell r="E13" t="str">
            <v>Added new table: "Combustion Transportation CO2 Emissions Assumptions".</v>
          </cell>
        </row>
        <row r="14">
          <cell r="B14" t="str">
            <v>Drew</v>
          </cell>
          <cell r="C14" t="str">
            <v>Exhibit 6-1</v>
          </cell>
          <cell r="D14" t="str">
            <v>D11-21</v>
          </cell>
          <cell r="E14" t="str">
            <v>Rewired cells to draw from Assumptions table "Combustion Transportation CO2 Emissions Assumptions".</v>
          </cell>
        </row>
        <row r="15">
          <cell r="B15" t="str">
            <v>Drew</v>
          </cell>
          <cell r="C15" t="str">
            <v>Assumptions</v>
          </cell>
          <cell r="E15" t="str">
            <v>Added new table: "Landfill Transportation CO2 Emissions Assumptions".</v>
          </cell>
        </row>
        <row r="16">
          <cell r="B16" t="str">
            <v>Drew</v>
          </cell>
          <cell r="C16" t="str">
            <v>Chapter 7 Ex. 7-5</v>
          </cell>
          <cell r="D16" t="str">
            <v>AQ46-60</v>
          </cell>
          <cell r="E16" t="str">
            <v>Rewired cells to draw from Assumptions table "Landfill Transportation CO2 Emissions Assumptions".</v>
          </cell>
        </row>
        <row r="17">
          <cell r="B17" t="str">
            <v>Drew</v>
          </cell>
          <cell r="C17" t="str">
            <v xml:space="preserve">Assumptions and </v>
          </cell>
          <cell r="E17" t="str">
            <v xml:space="preserve">Added new table: "Non-Biomass Combustion CO2 Assumptions" </v>
          </cell>
        </row>
        <row r="18">
          <cell r="C18" t="str">
            <v>Exhibit 6-1</v>
          </cell>
          <cell r="D18" t="str">
            <v>B16, 17, 18 and 21</v>
          </cell>
          <cell r="E18" t="str">
            <v xml:space="preserve">and linked cells B16, 17, 18, and 21 from Ex. 6-1 to this new "Assumptions" table. </v>
          </cell>
        </row>
        <row r="19">
          <cell r="B19" t="str">
            <v>Drew</v>
          </cell>
          <cell r="C19" t="str">
            <v>Exhibit 6-3</v>
          </cell>
          <cell r="D19" t="str">
            <v>C11 and C17</v>
          </cell>
          <cell r="E19" t="str">
            <v xml:space="preserve">Linked these cells from column C: "Avoided CO2 Emissions Per Ton of Steel Recovered" to Summary Exhibits Ex. 5 (Recycling of Post Consumer Material), cell AF15 (Recycled Input Credit Process Energy GHG). </v>
          </cell>
        </row>
        <row r="20">
          <cell r="B20" t="str">
            <v>Drew</v>
          </cell>
          <cell r="C20" t="str">
            <v>Forest Carb. 1,2 &amp; 3</v>
          </cell>
          <cell r="D20" t="str">
            <v>C19 through G19</v>
          </cell>
          <cell r="E20" t="str">
            <v>This row used to deduct forest floor carbon. We now include forest floor carbon, so row 19 now repeats the information in row 18. Eventually, Row 19 should be eliminated.</v>
          </cell>
        </row>
        <row r="21">
          <cell r="B21" t="str">
            <v>Drew</v>
          </cell>
          <cell r="C21" t="str">
            <v>Chapter 8 (Exhibit 8-4)</v>
          </cell>
          <cell r="D21" t="str">
            <v>AI and AJ 12-19</v>
          </cell>
          <cell r="E21" t="str">
            <v>Changed landfill carbon sequestration to a negative (-) sign convention. Consequently, I changed the formula used to calculate "Net Carbon (Post-Consumer).</v>
          </cell>
        </row>
        <row r="22">
          <cell r="B22" t="str">
            <v>Drew/Holly</v>
          </cell>
          <cell r="C22" t="str">
            <v>Exhibits 3-5, 3-6, &amp; 3-8</v>
          </cell>
          <cell r="E22" t="str">
            <v xml:space="preserve">Updated these exhibits to include forest floor and soil carbon, and linked these exhibits to draw data from Forest Carbon Sheets 1,2, and 5. </v>
          </cell>
        </row>
        <row r="23">
          <cell r="B23" t="str">
            <v>Drew</v>
          </cell>
          <cell r="C23" t="str">
            <v>Franklin Data</v>
          </cell>
          <cell r="E23" t="str">
            <v>Added preliminary (draft) Franklin Glass data. Used some assumptions from proj_ghg to complete analysis. Added notes to explain data source.</v>
          </cell>
        </row>
        <row r="24">
          <cell r="B24" t="str">
            <v>Drew</v>
          </cell>
          <cell r="C24" t="str">
            <v>Tellus Data</v>
          </cell>
          <cell r="E24" t="str">
            <v xml:space="preserve">Set up Tellus Data sheet for glass data. Currently Tellus data are not available. </v>
          </cell>
        </row>
        <row r="25">
          <cell r="B25" t="str">
            <v>Drew</v>
          </cell>
          <cell r="C25" t="str">
            <v>Entire Workbook</v>
          </cell>
          <cell r="E25" t="str">
            <v xml:space="preserve">Entered glass values to relevant exhibits. Major limitations in glass analysis: (1) based on Franklin data only; (2) the data set contains calculation errors; (3) the data set doesn't include process non energy values; &amp; (4) loss rates are not given. </v>
          </cell>
        </row>
        <row r="26">
          <cell r="B26" t="str">
            <v>Drew</v>
          </cell>
          <cell r="C26" t="str">
            <v>Exhibit 3-7</v>
          </cell>
          <cell r="D26" t="str">
            <v>C7&amp;8 - G7&amp;8</v>
          </cell>
          <cell r="E26" t="str">
            <v>Linked these cells to their respective cells on Forcarb_sheet1&amp;2 (finishing work started on 12/4).</v>
          </cell>
        </row>
        <row r="27">
          <cell r="B27" t="str">
            <v>Drew</v>
          </cell>
          <cell r="C27" t="str">
            <v>Exhibit 3-8</v>
          </cell>
          <cell r="D27" t="str">
            <v>C5,6&amp;8 - G5,6&amp;8</v>
          </cell>
          <cell r="E27" t="str">
            <v>Linked these cells to their respective cells on Forcarb_sheet4 (finishing work started on 12/4).</v>
          </cell>
        </row>
        <row r="28">
          <cell r="B28" t="str">
            <v>Drew</v>
          </cell>
          <cell r="C28" t="str">
            <v>Assumptions</v>
          </cell>
          <cell r="E28" t="str">
            <v>Added new table: "Refuse Derived Fuel (RDF) Combustion System Efficiency Assumptions" based on RDF data.</v>
          </cell>
        </row>
        <row r="29">
          <cell r="B29" t="str">
            <v>Drew</v>
          </cell>
          <cell r="C29" t="str">
            <v>Mass Balance</v>
          </cell>
          <cell r="D29" t="str">
            <v>D7-D16</v>
          </cell>
          <cell r="E29" t="str">
            <v>Hardwired these values based on Barlaz's June 97 report "Carbon Storage During Biodegradation of Municipal Solid Waste Components in Laboratory-Scale Landfills".</v>
          </cell>
        </row>
        <row r="30">
          <cell r="B30" t="str">
            <v>Drew</v>
          </cell>
          <cell r="C30" t="str">
            <v>Forest Carb. 1, 2, &amp; 3</v>
          </cell>
          <cell r="E30" t="str">
            <v>Changed the analysis back to exclude forest floor and soil carbon.</v>
          </cell>
        </row>
        <row r="31">
          <cell r="B31" t="str">
            <v>Drew</v>
          </cell>
          <cell r="C31" t="str">
            <v>Exhibits 3-5, 3-6, &amp; 3-8</v>
          </cell>
          <cell r="E31" t="str">
            <v>(see entries on 12/4/97 and 12/11/97 as reference)</v>
          </cell>
        </row>
        <row r="32">
          <cell r="B32" t="str">
            <v>Drew</v>
          </cell>
          <cell r="C32" t="str">
            <v>ES-4</v>
          </cell>
          <cell r="D32" t="str">
            <v>A26</v>
          </cell>
          <cell r="E32" t="str">
            <v xml:space="preserve">Expanded footnote "***": to include a caveat regarding "anaerobic pockets" and for readers to see section 5.1 for a discussion on how net composting emissions were estimated. </v>
          </cell>
        </row>
        <row r="33">
          <cell r="B33" t="str">
            <v>Drew</v>
          </cell>
          <cell r="C33" t="str">
            <v>Franklin Data</v>
          </cell>
          <cell r="D33" t="str">
            <v>Glass Related</v>
          </cell>
          <cell r="E33" t="str">
            <v>Added process non-energy values to glass data.</v>
          </cell>
        </row>
        <row r="34">
          <cell r="B34" t="str">
            <v>Drew</v>
          </cell>
          <cell r="C34" t="str">
            <v>Assumptions</v>
          </cell>
          <cell r="D34" t="str">
            <v>RDF Related</v>
          </cell>
          <cell r="E34" t="str">
            <v xml:space="preserve">Changed RDF assumptions used to calculate Combustion System Efficiency to reflect data from Northern States Power Company (MN), and the Ramsey/Washington County Resource Recovery Facility. </v>
          </cell>
        </row>
        <row r="35">
          <cell r="B35" t="str">
            <v>Drew</v>
          </cell>
          <cell r="C35" t="str">
            <v>RDF</v>
          </cell>
          <cell r="D35" t="str">
            <v>RDF</v>
          </cell>
          <cell r="E35" t="str">
            <v>Created duplicates of Exhibits 6-2 to 6-4 and changed some of the values inorder to conduct RDF analysis.</v>
          </cell>
        </row>
        <row r="36">
          <cell r="B36" t="str">
            <v>Sarah</v>
          </cell>
          <cell r="C36" t="str">
            <v>Franklin Data</v>
          </cell>
          <cell r="D36" t="str">
            <v>AD19</v>
          </cell>
          <cell r="E36" t="str">
            <v>Changed from .08 to 0 because the cell should only contain post-consumer cullet (the mass balance equation is based only on post-consumer recycled inputs)</v>
          </cell>
        </row>
        <row r="37">
          <cell r="B37" t="str">
            <v>Sarah</v>
          </cell>
          <cell r="C37" t="str">
            <v>Tellus Data</v>
          </cell>
          <cell r="D37" t="str">
            <v>Glass Related</v>
          </cell>
          <cell r="E37" t="str">
            <v>Made cells draw from Franklin Data</v>
          </cell>
        </row>
        <row r="38">
          <cell r="B38" t="str">
            <v xml:space="preserve">Sarah </v>
          </cell>
          <cell r="C38" t="str">
            <v>Summary Exhibits</v>
          </cell>
          <cell r="D38" t="str">
            <v>Glass Mfg Related</v>
          </cell>
          <cell r="E38" t="str">
            <v>Changed formulas so that it is clear that only Franklin data is being used.</v>
          </cell>
        </row>
        <row r="39">
          <cell r="B39" t="str">
            <v>Sarah</v>
          </cell>
          <cell r="C39" t="str">
            <v>Chapter 2</v>
          </cell>
          <cell r="D39" t="str">
            <v>Glass related</v>
          </cell>
          <cell r="E39" t="str">
            <v>Changed cell entries for Tellus to be "NA"</v>
          </cell>
        </row>
        <row r="40">
          <cell r="B40" t="str">
            <v>Sarah</v>
          </cell>
          <cell r="C40" t="str">
            <v>Proj Grant Factors</v>
          </cell>
          <cell r="E40" t="str">
            <v>Deleted</v>
          </cell>
        </row>
        <row r="41">
          <cell r="B41" t="str">
            <v>Sarah</v>
          </cell>
          <cell r="C41" t="str">
            <v>Projected Recycling Analysis</v>
          </cell>
          <cell r="E41" t="str">
            <v>Tons Generated and Recycled moved to Assumptiuons page, page deleted</v>
          </cell>
        </row>
        <row r="42">
          <cell r="B42" t="str">
            <v>Sarah</v>
          </cell>
          <cell r="C42" t="str">
            <v>Assumptions</v>
          </cell>
          <cell r="D42" t="str">
            <v>Generation and Recovery Inputs</v>
          </cell>
          <cell r="E42" t="str">
            <v>Updated to 1995 data from Franklin report.</v>
          </cell>
        </row>
        <row r="43">
          <cell r="B43" t="str">
            <v>Sarah</v>
          </cell>
          <cell r="C43" t="str">
            <v>Workbook</v>
          </cell>
          <cell r="D43" t="str">
            <v>Titles</v>
          </cell>
          <cell r="E43" t="str">
            <v>Changed titles per Randy's instructions</v>
          </cell>
        </row>
        <row r="44">
          <cell r="B44" t="str">
            <v>Sarah</v>
          </cell>
          <cell r="C44" t="str">
            <v>Assumptions</v>
          </cell>
          <cell r="D44" t="str">
            <v>Grass Generation and Recovery</v>
          </cell>
          <cell r="E44" t="str">
            <v>Removed from table because not used in this workbook</v>
          </cell>
        </row>
        <row r="45">
          <cell r="B45" t="str">
            <v>Sarah</v>
          </cell>
          <cell r="C45" t="str">
            <v>Assumptions</v>
          </cell>
          <cell r="E45" t="str">
            <v>Added Conversions for GHG Gases</v>
          </cell>
        </row>
        <row r="46">
          <cell r="B46" t="str">
            <v>Sarah</v>
          </cell>
          <cell r="C46" t="str">
            <v>Workbook</v>
          </cell>
          <cell r="E46" t="str">
            <v>Reworked model to track gases by tons as well as in MTCE</v>
          </cell>
        </row>
        <row r="47">
          <cell r="B47" t="str">
            <v>Sarah</v>
          </cell>
          <cell r="C47" t="str">
            <v>Chapter 8</v>
          </cell>
          <cell r="D47" t="str">
            <v>Source Reduction Data</v>
          </cell>
          <cell r="E47" t="str">
            <v>Changed to "pull" from Summary Exhibits</v>
          </cell>
        </row>
        <row r="48">
          <cell r="B48" t="str">
            <v>Sarah</v>
          </cell>
          <cell r="C48" t="str">
            <v>Mass Balance</v>
          </cell>
          <cell r="D48" t="str">
            <v>Carbon sequest. table</v>
          </cell>
          <cell r="E48" t="str">
            <v>Moved to Chapter 7</v>
          </cell>
        </row>
        <row r="49">
          <cell r="B49" t="str">
            <v>Sarah</v>
          </cell>
          <cell r="C49" t="str">
            <v>Franklin and Tellus</v>
          </cell>
          <cell r="E49" t="str">
            <v>Added gas breakout for mfg and trans emission calculations</v>
          </cell>
        </row>
        <row r="50">
          <cell r="B50" t="str">
            <v>Drew</v>
          </cell>
          <cell r="C50" t="str">
            <v>Chapter 7</v>
          </cell>
          <cell r="D50" t="str">
            <v>Exhibit 7-5</v>
          </cell>
          <cell r="E50" t="str">
            <v>Expanded 7-5 per Randy's directions.</v>
          </cell>
        </row>
        <row r="51">
          <cell r="B51" t="str">
            <v>Drew</v>
          </cell>
          <cell r="C51" t="str">
            <v>Exhibit 6-2</v>
          </cell>
          <cell r="E51" t="str">
            <v>Expanded 6-2 to include RDF. Changed title from "...GHG Emissions from MSW Combustion" to "...GHG Emissions from Combustion at Mass Burn and RDF Facilities"</v>
          </cell>
        </row>
        <row r="52">
          <cell r="B52" t="str">
            <v>Drew</v>
          </cell>
          <cell r="C52" t="str">
            <v>Exhibit 6-3</v>
          </cell>
          <cell r="E52" t="str">
            <v>Change title from "...from MSW Combustors" to "...from MSW at WTE Facilities".</v>
          </cell>
        </row>
        <row r="53">
          <cell r="A53">
            <v>35823</v>
          </cell>
          <cell r="B53" t="str">
            <v>Drew</v>
          </cell>
          <cell r="C53" t="str">
            <v>Exhibit 6-4</v>
          </cell>
          <cell r="E53" t="str">
            <v>Expanded 6-4 to include RDF. Changed titled form "...from MSW Combustion" to "...from Combustion at WTE Facilities".</v>
          </cell>
        </row>
        <row r="54">
          <cell r="A54">
            <v>32902</v>
          </cell>
          <cell r="B54" t="str">
            <v>Drew</v>
          </cell>
          <cell r="C54" t="str">
            <v>Utility Calculations</v>
          </cell>
          <cell r="E54" t="str">
            <v>Added Worksheet "Utility Calculations" and linked cells from Chapter 7 (AL-14), Table 6-2 (G8-19), and Assumptions (D39), to draw from the Estimated Emission Factor for Delivered Electricity value of 0.08349 (MTCE/million BTU).</v>
          </cell>
        </row>
        <row r="55">
          <cell r="A55">
            <v>35826</v>
          </cell>
          <cell r="B55" t="str">
            <v>Sarah</v>
          </cell>
          <cell r="C55" t="str">
            <v>Summary Exhibits</v>
          </cell>
          <cell r="E55" t="str">
            <v>Copied Sheet, Created Original Summary Exhibits. Fixed sign of carbon sequestration in Landfill exhibits.  Changed baseline in Summary Exhibits.</v>
          </cell>
        </row>
        <row r="56">
          <cell r="A56">
            <v>35828</v>
          </cell>
          <cell r="B56" t="str">
            <v>Drew</v>
          </cell>
          <cell r="C56" t="str">
            <v>ES-4</v>
          </cell>
          <cell r="E56" t="str">
            <v>Made minor text edits per William's instructions</v>
          </cell>
        </row>
        <row r="57">
          <cell r="A57">
            <v>35830</v>
          </cell>
          <cell r="B57" t="str">
            <v>Drew</v>
          </cell>
          <cell r="C57" t="str">
            <v>Assumptions</v>
          </cell>
          <cell r="D57" t="str">
            <v>B37</v>
          </cell>
          <cell r="E57" t="str">
            <v xml:space="preserve">Changed the "Landfill % of Methane not Recovered" to 25% (reflecting a LFG recovery rate of 75%) per Randy and Eugene's e-mail. </v>
          </cell>
        </row>
        <row r="58">
          <cell r="A58">
            <v>35830</v>
          </cell>
          <cell r="B58" t="str">
            <v>William</v>
          </cell>
          <cell r="C58" t="str">
            <v xml:space="preserve">Franklin Data </v>
          </cell>
          <cell r="D58" t="str">
            <v>T12</v>
          </cell>
          <cell r="E58" t="str">
            <v xml:space="preserve">Changed value of CO2 in aluminum cans. </v>
          </cell>
        </row>
        <row r="59">
          <cell r="A59">
            <v>35830</v>
          </cell>
          <cell r="B59" t="str">
            <v>Drew (RF)</v>
          </cell>
          <cell r="C59" t="str">
            <v>Assumptions</v>
          </cell>
          <cell r="D59" t="str">
            <v>B91-93, D91-93</v>
          </cell>
          <cell r="E59" t="str">
            <v>Changed values for LDPE, PET, and HDPE (see notes in cells B91-93)</v>
          </cell>
        </row>
        <row r="60">
          <cell r="A60">
            <v>35838</v>
          </cell>
          <cell r="B60" t="str">
            <v>Drew</v>
          </cell>
          <cell r="C60" t="str">
            <v>Woorkbook</v>
          </cell>
          <cell r="E60" t="str">
            <v>Started "Mixed Paper"</v>
          </cell>
        </row>
        <row r="61">
          <cell r="A61">
            <v>35839</v>
          </cell>
          <cell r="B61" t="str">
            <v>Drew</v>
          </cell>
          <cell r="C61" t="str">
            <v>Woorkbook</v>
          </cell>
          <cell r="E61" t="str">
            <v>"Mixed Paper"</v>
          </cell>
        </row>
        <row r="62">
          <cell r="A62">
            <v>35841</v>
          </cell>
          <cell r="B62" t="str">
            <v>Drew</v>
          </cell>
          <cell r="C62" t="str">
            <v>Woorkbook</v>
          </cell>
          <cell r="E62" t="str">
            <v>"Mixed Paper"</v>
          </cell>
        </row>
        <row r="63">
          <cell r="A63">
            <v>35841</v>
          </cell>
          <cell r="B63" t="str">
            <v>Drew</v>
          </cell>
          <cell r="C63" t="str">
            <v>Assumptions &amp; Ch. 7</v>
          </cell>
          <cell r="D63" t="str">
            <v>B37; W16-W25</v>
          </cell>
          <cell r="E63" t="str">
            <v>Changed Formula for LFG Collection System Efficiency per Randy's instructions.</v>
          </cell>
        </row>
        <row r="64">
          <cell r="A64">
            <v>35843</v>
          </cell>
          <cell r="B64" t="str">
            <v>Drew</v>
          </cell>
          <cell r="C64" t="str">
            <v>Workbook</v>
          </cell>
          <cell r="E64" t="str">
            <v>"Mixed Paper"</v>
          </cell>
        </row>
        <row r="65">
          <cell r="A65">
            <v>35863</v>
          </cell>
          <cell r="B65" t="str">
            <v xml:space="preserve">Drew </v>
          </cell>
          <cell r="C65" t="str">
            <v>Ch. 7</v>
          </cell>
          <cell r="E65" t="str">
            <v>Added Coated Paper to Exhibit 7-5.</v>
          </cell>
        </row>
        <row r="66">
          <cell r="A66">
            <v>35864</v>
          </cell>
          <cell r="B66" t="str">
            <v>Drew</v>
          </cell>
          <cell r="C66" t="str">
            <v>Exhibit 6-4</v>
          </cell>
          <cell r="E66" t="str">
            <v>Added the three mixed paper scenarios to this exhibit.</v>
          </cell>
        </row>
        <row r="67">
          <cell r="A67">
            <v>35864</v>
          </cell>
          <cell r="B67" t="str">
            <v>Drew</v>
          </cell>
          <cell r="C67" t="str">
            <v>Sum Exhibs by Gas</v>
          </cell>
          <cell r="D67" t="str">
            <v>AM15, 16, and 17</v>
          </cell>
          <cell r="E67" t="str">
            <v>Changed the formula for CO2 to reflect the Mixed paper "recipes".</v>
          </cell>
        </row>
        <row r="68">
          <cell r="A68">
            <v>35864</v>
          </cell>
          <cell r="B68" t="str">
            <v>Drew</v>
          </cell>
          <cell r="C68" t="str">
            <v>Ch. 7</v>
          </cell>
          <cell r="D68" t="str">
            <v>Exhibit 7-6</v>
          </cell>
          <cell r="E68" t="str">
            <v>Corrected formulas and added coated paper and the three mixed paper scenarios.</v>
          </cell>
        </row>
        <row r="69">
          <cell r="A69">
            <v>35874</v>
          </cell>
          <cell r="B69" t="str">
            <v>Holly</v>
          </cell>
          <cell r="C69" t="str">
            <v>Exhibit 4-1</v>
          </cell>
          <cell r="E69" t="str">
            <v>Created new Exhibit 4-1 per Randy's instruction</v>
          </cell>
        </row>
        <row r="70">
          <cell r="A70">
            <v>35877</v>
          </cell>
          <cell r="B70" t="str">
            <v>Holly</v>
          </cell>
          <cell r="C70" t="str">
            <v>former Exhibits 4-2 and 4-3</v>
          </cell>
          <cell r="E70" t="str">
            <v>Changed 4-2 to 4-3 and 4-3 to 4-4 to reflect insertion of new table</v>
          </cell>
        </row>
        <row r="71">
          <cell r="A71">
            <v>35879</v>
          </cell>
          <cell r="B71" t="str">
            <v>Randy</v>
          </cell>
          <cell r="C71" t="str">
            <v>Ch 7</v>
          </cell>
          <cell r="D71" t="str">
            <v>Exhibit 7-5</v>
          </cell>
          <cell r="E71" t="str">
            <v>Changed sign convention (sequestration is negative) and made formula changes.</v>
          </cell>
        </row>
        <row r="72">
          <cell r="A72">
            <v>35879</v>
          </cell>
          <cell r="B72" t="str">
            <v>Randy</v>
          </cell>
          <cell r="C72" t="str">
            <v>Ch 7</v>
          </cell>
          <cell r="D72" t="str">
            <v>Exhibit 7-5</v>
          </cell>
          <cell r="E72" t="str">
            <v>Fixed pervasive errors in cell formulas for Exh 7-6.</v>
          </cell>
        </row>
        <row r="73">
          <cell r="A73">
            <v>35879</v>
          </cell>
          <cell r="B73" t="str">
            <v>Holly</v>
          </cell>
          <cell r="C73" t="str">
            <v>Ch 7</v>
          </cell>
          <cell r="D73" t="str">
            <v>All Exhibits</v>
          </cell>
          <cell r="E73" t="str">
            <v>Renumbered exhibits to accommodate new exhibit 7-2</v>
          </cell>
        </row>
        <row r="74">
          <cell r="A74">
            <v>35879</v>
          </cell>
          <cell r="B74" t="str">
            <v>Randy/Holly</v>
          </cell>
          <cell r="C74" t="str">
            <v>Ch 7</v>
          </cell>
          <cell r="D74" t="str">
            <v>New Exhibit 7-8</v>
          </cell>
          <cell r="E74" t="str">
            <v>Added Randy's new sensitivity analysis</v>
          </cell>
        </row>
        <row r="75">
          <cell r="A75">
            <v>35880</v>
          </cell>
          <cell r="B75" t="str">
            <v>Anne</v>
          </cell>
          <cell r="C75" t="str">
            <v>Ch 8</v>
          </cell>
          <cell r="D75" t="str">
            <v>Exhibit 8-5</v>
          </cell>
          <cell r="E75" t="str">
            <v>Linked AF12-AF27 in Exhibit 8-5 with Q47-Q62 in Exhibit 4-1 (Chapter 4 Sheet)</v>
          </cell>
        </row>
        <row r="76">
          <cell r="A76">
            <v>35881</v>
          </cell>
          <cell r="B76" t="str">
            <v>Anne</v>
          </cell>
          <cell r="C76" t="str">
            <v>Summary Exhibits</v>
          </cell>
          <cell r="D76" t="str">
            <v>Exhibit 5</v>
          </cell>
          <cell r="E76" t="str">
            <v>Changed AK24-26 to NA rather than zero</v>
          </cell>
        </row>
        <row r="77">
          <cell r="A77">
            <v>35881</v>
          </cell>
          <cell r="B77" t="str">
            <v>Anne</v>
          </cell>
          <cell r="C77" t="str">
            <v>Ch 8</v>
          </cell>
          <cell r="D77" t="str">
            <v>Exhibit 8-1</v>
          </cell>
          <cell r="E77" t="str">
            <v>Added cells A15 through G18 and A25 through G27 to Exh. 8-1 as in Summary Exh. 4</v>
          </cell>
        </row>
        <row r="78">
          <cell r="A78">
            <v>35881</v>
          </cell>
          <cell r="B78" t="str">
            <v>Anne</v>
          </cell>
          <cell r="C78" t="str">
            <v>Ch 8</v>
          </cell>
          <cell r="D78" t="str">
            <v>Exhibit 8-3</v>
          </cell>
          <cell r="E78" t="str">
            <v>Removed negative sign from before all formulas from T12-T27 to match values shown in Summary Exhibit 7</v>
          </cell>
        </row>
        <row r="79">
          <cell r="A79">
            <v>35881</v>
          </cell>
          <cell r="B79" t="str">
            <v>Anne</v>
          </cell>
          <cell r="C79" t="str">
            <v>Ch 8</v>
          </cell>
          <cell r="D79" t="str">
            <v>New Sheet</v>
          </cell>
          <cell r="E79" t="str">
            <v>Created a new Sheet after Chapter 8 for the RMAM information.  This sheet pulls from Mixmsw1.</v>
          </cell>
        </row>
        <row r="80">
          <cell r="A80">
            <v>35884</v>
          </cell>
          <cell r="B80" t="str">
            <v>Anne</v>
          </cell>
          <cell r="C80" t="str">
            <v>Ch 8</v>
          </cell>
          <cell r="D80" t="str">
            <v>Chapter 8</v>
          </cell>
          <cell r="E80" t="str">
            <v>Linked Exhibits 8-2-8-4 to Chp 8 RMAM sheet.</v>
          </cell>
        </row>
        <row r="81">
          <cell r="A81">
            <v>35884</v>
          </cell>
          <cell r="B81" t="str">
            <v>Anne</v>
          </cell>
          <cell r="C81" t="str">
            <v>Ch 8</v>
          </cell>
          <cell r="D81" t="str">
            <v>Chp 8 RMAM</v>
          </cell>
          <cell r="E81" t="str">
            <v>Noted questions related to the mixed MSW calculations</v>
          </cell>
        </row>
        <row r="82">
          <cell r="B82" t="str">
            <v>Anne</v>
          </cell>
          <cell r="C82" t="str">
            <v>Ch 8</v>
          </cell>
          <cell r="D82" t="str">
            <v>Chapter 8</v>
          </cell>
          <cell r="E82" t="str">
            <v>Changed formula for net emissions of mixed paper types for Exhbits 8-1 through 8-4.  NA for RMAM had been causing #VALUE.</v>
          </cell>
        </row>
        <row r="83">
          <cell r="B83" t="str">
            <v>Anne</v>
          </cell>
          <cell r="C83" t="str">
            <v>Ch 8</v>
          </cell>
          <cell r="D83" t="str">
            <v>Chapter 8</v>
          </cell>
          <cell r="E83" t="str">
            <v>Added a column to 8-2-8-4 for GHG emissions associated with RMAM but not counted in the analysis.</v>
          </cell>
        </row>
        <row r="84">
          <cell r="B84" t="str">
            <v>Anne</v>
          </cell>
          <cell r="C84" t="str">
            <v>Ch 8</v>
          </cell>
          <cell r="D84" t="str">
            <v>Chapter 8</v>
          </cell>
          <cell r="E84" t="str">
            <v>Re-linked Exhibits 8-2-8-4 to Chp 8 RMAM sheet using postive values.</v>
          </cell>
        </row>
        <row r="85">
          <cell r="B85" t="str">
            <v>Anne</v>
          </cell>
          <cell r="C85" t="str">
            <v>Ch 8</v>
          </cell>
          <cell r="D85" t="str">
            <v>Chp 8 RMAM</v>
          </cell>
          <cell r="E85" t="str">
            <v>Linked RMAM numbers to Exhibit 3-B Column T per Randy's request.</v>
          </cell>
        </row>
        <row r="86">
          <cell r="B86" t="str">
            <v>Anne</v>
          </cell>
          <cell r="C86" t="str">
            <v>Ch 8</v>
          </cell>
          <cell r="D86" t="str">
            <v>Chapter 8</v>
          </cell>
          <cell r="E86" t="str">
            <v>Began reformatting all exhbits in Chapter 8…still more to do.</v>
          </cell>
        </row>
        <row r="87">
          <cell r="B87" t="str">
            <v>Randy</v>
          </cell>
          <cell r="C87" t="str">
            <v>Ch 8</v>
          </cell>
          <cell r="D87" t="str">
            <v>Column AJ</v>
          </cell>
          <cell r="E87" t="str">
            <v>Fixed cell formula to be total source reduction values (rather than just avoided RMAM).</v>
          </cell>
        </row>
        <row r="88">
          <cell r="B88" t="str">
            <v>Randy</v>
          </cell>
          <cell r="C88" t="str">
            <v>Summary Exhibits</v>
          </cell>
          <cell r="D88" t="str">
            <v>Column C</v>
          </cell>
          <cell r="E88" t="str">
            <v>Fixed cell formula for source reduction values of 100% virgin (previously it deducted col O, col T).  This ripples to Ch 8 exhibit 8-5, 8-6.</v>
          </cell>
        </row>
        <row r="89">
          <cell r="B89" t="str">
            <v>Randy</v>
          </cell>
          <cell r="C89" t="str">
            <v>Ch 8 RMAM</v>
          </cell>
          <cell r="D89" t="str">
            <v>b28:d44</v>
          </cell>
          <cell r="E89" t="str">
            <v>Provided new calculation for RMAM for mixed MSW; result is same as yielded by mixdmsw.xls.</v>
          </cell>
        </row>
        <row r="90">
          <cell r="B90" t="str">
            <v>Holly</v>
          </cell>
          <cell r="C90" t="str">
            <v>1605b</v>
          </cell>
          <cell r="D90" t="str">
            <v>New Exhibits</v>
          </cell>
          <cell r="E90" t="str">
            <v>Added two new exhibits for DOE regarding 1605b reporting</v>
          </cell>
        </row>
        <row r="91">
          <cell r="A91">
            <v>35908</v>
          </cell>
          <cell r="B91" t="str">
            <v>Randy</v>
          </cell>
          <cell r="C91" t="str">
            <v>Summary Exhibits</v>
          </cell>
          <cell r="D91" t="str">
            <v>BB15:BB17</v>
          </cell>
          <cell r="E91" t="str">
            <v>Fixed cell formula for net landfill methane for mixed paper categories.  This results in an increase in net emissions for all 3 def'ns of MP.</v>
          </cell>
        </row>
        <row r="92">
          <cell r="A92">
            <v>35908</v>
          </cell>
          <cell r="B92" t="str">
            <v>Randy</v>
          </cell>
          <cell r="C92" t="str">
            <v>Chapter 7</v>
          </cell>
          <cell r="D92" t="str">
            <v>AG8:AG26</v>
          </cell>
          <cell r="E92" t="str">
            <v>Cleared contents -- the values in the cells were not what the header described, and there were no "descendents" so I deleted the values and header.</v>
          </cell>
        </row>
        <row r="93">
          <cell r="A93">
            <v>35909</v>
          </cell>
          <cell r="B93" t="str">
            <v>Anne</v>
          </cell>
          <cell r="C93" t="str">
            <v>Chapter 7</v>
          </cell>
          <cell r="D93" t="str">
            <v>New Exhibits</v>
          </cell>
          <cell r="E93" t="str">
            <v>Added three new exhibits pertaining to mixed paper.  Not sure which ones we will actually use in the report.</v>
          </cell>
        </row>
        <row r="94">
          <cell r="A94">
            <v>35915</v>
          </cell>
          <cell r="B94" t="str">
            <v>Anne</v>
          </cell>
          <cell r="C94" t="str">
            <v>Assumptions</v>
          </cell>
          <cell r="D94" t="str">
            <v>Exhibit 2-1</v>
          </cell>
          <cell r="E94" t="str">
            <v>Added new row (Row 19) to the exhibit for National Fossil Fuel  Mix for Electricity Use.</v>
          </cell>
        </row>
        <row r="95">
          <cell r="A95">
            <v>35915</v>
          </cell>
          <cell r="B95" t="str">
            <v>Anne</v>
          </cell>
          <cell r="C95" t="str">
            <v>Exhibit 6-2</v>
          </cell>
          <cell r="D95" t="str">
            <v>Footnote h</v>
          </cell>
          <cell r="E95" t="str">
            <v>Updated footnote h for Exhibit 6-2 based on William's note that it should match fn#7 in Chapter 6, p. 5 of the clean version.</v>
          </cell>
        </row>
        <row r="96">
          <cell r="A96">
            <v>35916</v>
          </cell>
          <cell r="B96" t="str">
            <v>Holly</v>
          </cell>
          <cell r="C96" t="str">
            <v>1605b</v>
          </cell>
          <cell r="E96" t="str">
            <v>Finalized analysis for 1605b</v>
          </cell>
        </row>
        <row r="97">
          <cell r="A97">
            <v>35916</v>
          </cell>
          <cell r="B97" t="str">
            <v>Holly</v>
          </cell>
          <cell r="C97" t="str">
            <v>Summary Exhibits by Gas</v>
          </cell>
          <cell r="D97" t="str">
            <v>AS11-17, AT11-17</v>
          </cell>
          <cell r="E97" t="str">
            <v>Corrected cell formulas for CO2 and CH4 from landfilling to include credit for avoided utility emissions--added this credit to the CO2 column took these credits out of the CH4 column</v>
          </cell>
        </row>
        <row r="98">
          <cell r="A98">
            <v>35919</v>
          </cell>
          <cell r="B98" t="str">
            <v>Anne</v>
          </cell>
          <cell r="C98" t="str">
            <v>Assumptions</v>
          </cell>
          <cell r="D98" t="str">
            <v>Rows 18/19</v>
          </cell>
          <cell r="E98" t="str">
            <v>Linked percentages of fuels in fuel and fossil fuel mix to the Utility Calculations Sheet.</v>
          </cell>
        </row>
        <row r="99">
          <cell r="A99">
            <v>35919</v>
          </cell>
          <cell r="B99" t="str">
            <v>Anne</v>
          </cell>
          <cell r="C99" t="str">
            <v>Assumptions</v>
          </cell>
          <cell r="D99" t="str">
            <v>Rows 18/19</v>
          </cell>
          <cell r="E99" t="str">
            <v>Fixed reference for oil in rows 18/19 from oils/lubricants (Row 15) to residual fuel oil (Row 13)</v>
          </cell>
        </row>
        <row r="100">
          <cell r="A100">
            <v>35926</v>
          </cell>
          <cell r="B100" t="str">
            <v>Holly</v>
          </cell>
          <cell r="C100" t="str">
            <v>Assumptions</v>
          </cell>
          <cell r="D100" t="str">
            <v>Rows 109-120</v>
          </cell>
          <cell r="E100" t="str">
            <v>Added Mix of Recyclables for use in Executive Summary Tables</v>
          </cell>
        </row>
        <row r="101">
          <cell r="A101">
            <v>35926</v>
          </cell>
          <cell r="B101" t="str">
            <v>Holly</v>
          </cell>
          <cell r="C101" t="str">
            <v>Executive Summary</v>
          </cell>
          <cell r="D101" t="str">
            <v>Row 27</v>
          </cell>
          <cell r="E101" t="str">
            <v>Added Mixed Recyclable value to tables in the executive summary</v>
          </cell>
        </row>
        <row r="102">
          <cell r="A102">
            <v>35927</v>
          </cell>
          <cell r="B102" t="str">
            <v>Holly</v>
          </cell>
          <cell r="C102" t="str">
            <v>Assumptions</v>
          </cell>
          <cell r="D102" t="str">
            <v>Rows 109-120</v>
          </cell>
          <cell r="E102" t="str">
            <v>Updated Mixed Recyclables Numbers</v>
          </cell>
        </row>
        <row r="103">
          <cell r="A103">
            <v>35927</v>
          </cell>
          <cell r="B103" t="str">
            <v>Holly</v>
          </cell>
          <cell r="C103" t="str">
            <v>Executive Summary</v>
          </cell>
          <cell r="E103" t="str">
            <v>Added new exhibits ES-5 and ES-1</v>
          </cell>
        </row>
        <row r="104">
          <cell r="A104">
            <v>35927</v>
          </cell>
          <cell r="B104" t="str">
            <v>Holly</v>
          </cell>
          <cell r="C104" t="str">
            <v>Assumptions</v>
          </cell>
          <cell r="D104" t="str">
            <v>A87-A97</v>
          </cell>
          <cell r="E104" t="str">
            <v>Updated generation and recovery rates</v>
          </cell>
        </row>
        <row r="105">
          <cell r="A105">
            <v>35931</v>
          </cell>
          <cell r="B105" t="str">
            <v>Randy</v>
          </cell>
          <cell r="C105" t="str">
            <v>Exec Sum examples</v>
          </cell>
          <cell r="D105" t="str">
            <v>sheet</v>
          </cell>
          <cell r="E105" t="str">
            <v>Added new sheet to calculate examples for city of 100,000</v>
          </cell>
        </row>
        <row r="106">
          <cell r="A106">
            <v>35934</v>
          </cell>
          <cell r="B106" t="str">
            <v>William</v>
          </cell>
          <cell r="C106" t="str">
            <v>Academic article Table 4</v>
          </cell>
          <cell r="E106" t="str">
            <v>Added this worksheet</v>
          </cell>
        </row>
        <row r="107">
          <cell r="A107">
            <v>35942</v>
          </cell>
          <cell r="B107" t="str">
            <v>William</v>
          </cell>
          <cell r="C107" t="str">
            <v>Academic article Table 6</v>
          </cell>
          <cell r="E107" t="str">
            <v>Added this worksheet</v>
          </cell>
        </row>
        <row r="108">
          <cell r="A108">
            <v>35942</v>
          </cell>
          <cell r="B108" t="str">
            <v>William</v>
          </cell>
          <cell r="C108" t="str">
            <v>Academic article Table 7</v>
          </cell>
          <cell r="E108" t="str">
            <v>Added this worksheet</v>
          </cell>
        </row>
        <row r="109">
          <cell r="A109">
            <v>35942</v>
          </cell>
          <cell r="B109" t="str">
            <v>Randy</v>
          </cell>
          <cell r="C109" t="str">
            <v>Chap 8</v>
          </cell>
          <cell r="E109" t="str">
            <v>Changed column headers to eliminate "post-consumer" terminology.</v>
          </cell>
        </row>
        <row r="110">
          <cell r="A110">
            <v>35942</v>
          </cell>
          <cell r="B110" t="str">
            <v>Randy</v>
          </cell>
          <cell r="C110" t="str">
            <v>Chap 8 RMAM</v>
          </cell>
          <cell r="E110" t="str">
            <v>Added Exhibs 8-7, 8-8.  Note -- these are not linked to cell addresses.  They were pasted in from 1605b-2.xls, Exhibs J-3 and J-4.</v>
          </cell>
        </row>
        <row r="111">
          <cell r="A111">
            <v>35943</v>
          </cell>
          <cell r="B111" t="str">
            <v>William</v>
          </cell>
          <cell r="C111" t="str">
            <v>Academic article Table 8</v>
          </cell>
          <cell r="E111" t="str">
            <v>Added this worksheet</v>
          </cell>
        </row>
        <row r="112">
          <cell r="A112">
            <v>35943</v>
          </cell>
          <cell r="B112" t="str">
            <v>William</v>
          </cell>
          <cell r="C112" t="str">
            <v>Academic article Table 9</v>
          </cell>
          <cell r="E112" t="str">
            <v>Added this worksheet</v>
          </cell>
        </row>
        <row r="113">
          <cell r="A113">
            <v>35943</v>
          </cell>
          <cell r="B113" t="str">
            <v>Anne</v>
          </cell>
          <cell r="C113" t="str">
            <v>Chp 8</v>
          </cell>
          <cell r="E113" t="str">
            <v>Added Waste Management Emissions column to Exhibit 8-2</v>
          </cell>
        </row>
        <row r="114">
          <cell r="A114" t="str">
            <v>5/28//98</v>
          </cell>
          <cell r="B114" t="str">
            <v>Anne</v>
          </cell>
          <cell r="C114" t="str">
            <v>Summary Exhibits</v>
          </cell>
          <cell r="E114" t="str">
            <v>Added Waste Management Emissions column (AG11-AG26)</v>
          </cell>
        </row>
        <row r="115">
          <cell r="A115">
            <v>35944</v>
          </cell>
          <cell r="B115" t="str">
            <v>Anne</v>
          </cell>
          <cell r="C115" t="str">
            <v>Chp 8/Chp 8 RMAM</v>
          </cell>
          <cell r="E115" t="str">
            <v>Added "containers" to LDPE, HDPE, and PET row headers</v>
          </cell>
        </row>
        <row r="116">
          <cell r="A116">
            <v>35949</v>
          </cell>
          <cell r="B116" t="str">
            <v>Randy</v>
          </cell>
          <cell r="C116" t="str">
            <v>Examples for Exec sum</v>
          </cell>
          <cell r="E116" t="str">
            <v>Added example for firm level recycling of 50 tons office paper, 2 tons Al cans</v>
          </cell>
        </row>
        <row r="117">
          <cell r="A117">
            <v>35964</v>
          </cell>
          <cell r="B117" t="str">
            <v>Randy</v>
          </cell>
          <cell r="C117" t="str">
            <v>Examples for Exec sum</v>
          </cell>
          <cell r="E117" t="str">
            <v>Added example for national level recycling, going from 27% to 35%.</v>
          </cell>
        </row>
        <row r="118">
          <cell r="A118">
            <v>35968</v>
          </cell>
          <cell r="B118" t="str">
            <v>William</v>
          </cell>
          <cell r="C118" t="str">
            <v>Academic article Table 5</v>
          </cell>
          <cell r="E118" t="str">
            <v>Added this worksheet</v>
          </cell>
        </row>
        <row r="119">
          <cell r="A119">
            <v>35968</v>
          </cell>
          <cell r="B119" t="str">
            <v>William</v>
          </cell>
          <cell r="C119" t="str">
            <v>Academic article Table 10</v>
          </cell>
          <cell r="E119" t="str">
            <v>Added this worksheet</v>
          </cell>
        </row>
        <row r="129">
          <cell r="A129">
            <v>36021</v>
          </cell>
          <cell r="B129" t="str">
            <v>Rachel</v>
          </cell>
          <cell r="C129" t="str">
            <v>Chapter 8 RMAM</v>
          </cell>
          <cell r="D129" t="str">
            <v>Exs. 8-7,8</v>
          </cell>
          <cell r="E129" t="str">
            <v>Format edits and linked cells to new #s in corresponding chart in 1605b sheet</v>
          </cell>
        </row>
        <row r="130">
          <cell r="A130">
            <v>36021</v>
          </cell>
          <cell r="B130" t="str">
            <v>Rachel</v>
          </cell>
          <cell r="C130" t="str">
            <v>Chapter 7</v>
          </cell>
          <cell r="D130" t="str">
            <v>Exhs. 7-2,4</v>
          </cell>
          <cell r="E130" t="str">
            <v>Format edits</v>
          </cell>
        </row>
        <row r="131">
          <cell r="A131">
            <v>36021</v>
          </cell>
          <cell r="B131" t="str">
            <v>Rachel</v>
          </cell>
          <cell r="C131" t="str">
            <v>Chapter 5</v>
          </cell>
          <cell r="D131" t="str">
            <v>Exh. 5-1</v>
          </cell>
          <cell r="E131" t="str">
            <v>Edited legend</v>
          </cell>
        </row>
        <row r="132">
          <cell r="A132">
            <v>36028</v>
          </cell>
          <cell r="B132" t="str">
            <v>Anne</v>
          </cell>
          <cell r="C132" t="str">
            <v>QC Values</v>
          </cell>
          <cell r="D132" t="str">
            <v>New Sheet</v>
          </cell>
          <cell r="E132" t="str">
            <v>Created a sheet to QC MTCE values for SR and R minus landfilling derived from WARM (as of 8/21/98), GHG_MSTR (using Chp.7 and Sum. Exhs.), and 1605b.</v>
          </cell>
        </row>
        <row r="133">
          <cell r="A133">
            <v>36028</v>
          </cell>
          <cell r="B133" t="str">
            <v>Anne</v>
          </cell>
          <cell r="C133" t="str">
            <v>Chapter 8 RMAM</v>
          </cell>
          <cell r="D133" t="str">
            <v>Exhs 8-7, 8-8</v>
          </cell>
          <cell r="E133" t="str">
            <v>Hard-wired values from WARM (8/21/98) for National Average Landfill CO2 and CH4 emissions.</v>
          </cell>
        </row>
        <row r="134">
          <cell r="A134">
            <v>36055</v>
          </cell>
          <cell r="B134" t="str">
            <v>Anne</v>
          </cell>
          <cell r="C134" t="str">
            <v>Academic Articles 4-11</v>
          </cell>
          <cell r="D134" t="str">
            <v>all</v>
          </cell>
          <cell r="E134" t="str">
            <v>Made formatting changes to all Academic Article Sheets, no changes to numbers.</v>
          </cell>
        </row>
        <row r="135">
          <cell r="A135">
            <v>36059</v>
          </cell>
          <cell r="B135" t="str">
            <v>Anne</v>
          </cell>
          <cell r="C135" t="str">
            <v>Academic Articles 4-11</v>
          </cell>
          <cell r="D135" t="str">
            <v>all</v>
          </cell>
          <cell r="E135" t="str">
            <v>Made minor formatting changes.</v>
          </cell>
        </row>
        <row r="136">
          <cell r="A136">
            <v>36059</v>
          </cell>
          <cell r="B136" t="str">
            <v>William</v>
          </cell>
          <cell r="C136" t="str">
            <v>Academic Article Tables 4-9</v>
          </cell>
          <cell r="E136" t="str">
            <v>Renamed these tables (table 4 now not used; tables 5-9 now tables 3-7)</v>
          </cell>
        </row>
        <row r="137">
          <cell r="A137">
            <v>36059</v>
          </cell>
          <cell r="B137" t="str">
            <v>William</v>
          </cell>
          <cell r="C137" t="str">
            <v>Academic Article Table 7</v>
          </cell>
          <cell r="E137" t="str">
            <v>Replaced this table to show GHGs from LFs with and without LFG collection</v>
          </cell>
        </row>
        <row r="138">
          <cell r="A138">
            <v>36067</v>
          </cell>
          <cell r="B138" t="str">
            <v>Randy</v>
          </cell>
          <cell r="C138" t="str">
            <v>Academic Article Table 7</v>
          </cell>
          <cell r="E138" t="str">
            <v>Fixed table to express emissions on an MTCE/METRIC ton basis, added mixed MSW.</v>
          </cell>
        </row>
        <row r="139">
          <cell r="A139">
            <v>36067</v>
          </cell>
          <cell r="B139" t="str">
            <v>Randy</v>
          </cell>
          <cell r="C139" t="str">
            <v>Academic Article Table 8</v>
          </cell>
          <cell r="E139" t="str">
            <v>Added table to spreadsheet, converted values to MTCE/MT.  Deleted sheets for tables 10 &amp; 11.</v>
          </cell>
        </row>
        <row r="140">
          <cell r="A140">
            <v>36067</v>
          </cell>
          <cell r="B140" t="str">
            <v>Randy</v>
          </cell>
          <cell r="C140" t="str">
            <v>Academic Article Table 5</v>
          </cell>
          <cell r="E140" t="str">
            <v>Added MSW to table.</v>
          </cell>
        </row>
        <row r="141">
          <cell r="A141">
            <v>36073</v>
          </cell>
          <cell r="B141" t="str">
            <v>Randy</v>
          </cell>
          <cell r="C141" t="str">
            <v>Academic Article Table 8</v>
          </cell>
          <cell r="E141" t="str">
            <v>Renumbered exhibit to be table 4.</v>
          </cell>
        </row>
        <row r="142">
          <cell r="A142">
            <v>36073</v>
          </cell>
          <cell r="B142" t="str">
            <v>Randy</v>
          </cell>
          <cell r="C142" t="str">
            <v>Academic Article Table 7</v>
          </cell>
          <cell r="E142" t="str">
            <v>Added new Table 3; provided results broken out by SR-CM, SR-V, LF-no LFG, LF-flare, LF-ER, LF-nat avg.</v>
          </cell>
        </row>
        <row r="143">
          <cell r="A143">
            <v>36076</v>
          </cell>
          <cell r="B143" t="str">
            <v>Randy</v>
          </cell>
          <cell r="C143" t="str">
            <v>Academic Article Table 8</v>
          </cell>
          <cell r="E143" t="str">
            <v>Minor edits to Table 4 to squeeze room into Geneva paper.</v>
          </cell>
        </row>
        <row r="144">
          <cell r="A144">
            <v>36081</v>
          </cell>
          <cell r="B144" t="str">
            <v>Anne</v>
          </cell>
          <cell r="C144" t="str">
            <v>Franklin</v>
          </cell>
          <cell r="D144" t="str">
            <v>All Tables</v>
          </cell>
          <cell r="E144" t="str">
            <v>Added Medium Density Fiberboard using data from Franklin's report submitted June 23, 1998.</v>
          </cell>
        </row>
        <row r="145">
          <cell r="A145">
            <v>36082</v>
          </cell>
          <cell r="B145" t="str">
            <v>Anne</v>
          </cell>
          <cell r="C145" t="str">
            <v>Franklin</v>
          </cell>
          <cell r="D145" t="str">
            <v>Exh.App. 6b, 7b and Alt 7b</v>
          </cell>
          <cell r="E145" t="str">
            <v>Highlighted areas with yellow where I did not have data.  Question for Randy.</v>
          </cell>
        </row>
        <row r="146">
          <cell r="A146">
            <v>36082</v>
          </cell>
          <cell r="B146" t="str">
            <v>Anne</v>
          </cell>
          <cell r="C146" t="str">
            <v>Summary Exhibits</v>
          </cell>
          <cell r="D146" t="str">
            <v>Row 24</v>
          </cell>
          <cell r="E146" t="str">
            <v>Added Row 24 for MDF and indicated cells in yellow that need to be changed or fixed.</v>
          </cell>
        </row>
        <row r="147">
          <cell r="A147">
            <v>36082</v>
          </cell>
          <cell r="B147" t="str">
            <v>Anne</v>
          </cell>
          <cell r="C147" t="str">
            <v>Current Mix</v>
          </cell>
          <cell r="D147" t="str">
            <v>Row 14</v>
          </cell>
          <cell r="E147" t="str">
            <v>Inserted Row 14 for MDF and indicated cells in yellow that need to be changed.</v>
          </cell>
        </row>
        <row r="148">
          <cell r="A148">
            <v>36082</v>
          </cell>
          <cell r="B148" t="str">
            <v>Amanda</v>
          </cell>
          <cell r="C148" t="str">
            <v>Franklin</v>
          </cell>
          <cell r="D148" t="str">
            <v>All Tables</v>
          </cell>
          <cell r="E148" t="str">
            <v>Added Dimensional Lumber using data from Franklin's report submitted June 23, 1998.</v>
          </cell>
        </row>
        <row r="149">
          <cell r="A149">
            <v>36082</v>
          </cell>
          <cell r="B149" t="str">
            <v>Amanda</v>
          </cell>
          <cell r="C149" t="str">
            <v>Current Mix</v>
          </cell>
          <cell r="D149" t="str">
            <v>Row 15</v>
          </cell>
          <cell r="E149" t="str">
            <v>Added Row 15 for Dimensional Lumber and incidated in yellow cells that need to be changed</v>
          </cell>
        </row>
        <row r="150">
          <cell r="A150">
            <v>36082</v>
          </cell>
          <cell r="B150" t="str">
            <v>Amanda</v>
          </cell>
          <cell r="C150" t="str">
            <v>Summary Exhibits</v>
          </cell>
          <cell r="D150" t="str">
            <v>Rows 24,25</v>
          </cell>
          <cell r="E150" t="str">
            <v>Added Rows for Dimensional Lumber and Medium Density Fiberboard (yellow indicates need for data or should be checked)</v>
          </cell>
        </row>
        <row r="151">
          <cell r="A151">
            <v>36082</v>
          </cell>
          <cell r="B151" t="str">
            <v>Amanda</v>
          </cell>
          <cell r="C151" t="str">
            <v>Summ. Ex. By Gas</v>
          </cell>
          <cell r="D151" t="str">
            <v>Rows 27, 28</v>
          </cell>
          <cell r="E151" t="str">
            <v>Added Rows for Dimensional Lumber and Medium Density Fiberboard (yellow indicates need for data or should be checked)</v>
          </cell>
        </row>
        <row r="152">
          <cell r="A152">
            <v>36082</v>
          </cell>
          <cell r="B152" t="str">
            <v>Amanda</v>
          </cell>
          <cell r="C152" t="str">
            <v>Chapter 2</v>
          </cell>
          <cell r="D152" t="str">
            <v>Rows 32, 33</v>
          </cell>
          <cell r="E152" t="str">
            <v>Added Rows for Dimensional Lumber and Medium Density Fiberboard (yellow indicates need for data or should be checked)</v>
          </cell>
        </row>
        <row r="153">
          <cell r="A153">
            <v>36083</v>
          </cell>
          <cell r="B153" t="str">
            <v>Amanda</v>
          </cell>
          <cell r="C153" t="str">
            <v>Chapter 4</v>
          </cell>
          <cell r="D153" t="str">
            <v>All Tables</v>
          </cell>
          <cell r="E153" t="str">
            <v>Added Rows for Dimensional Lumber and Medium Density Fiberboard in all Tables but the OLD 4-1 table. (yellow indicates need for data or should be checked)</v>
          </cell>
        </row>
        <row r="154">
          <cell r="A154">
            <v>36083</v>
          </cell>
          <cell r="B154" t="str">
            <v>Amanda</v>
          </cell>
          <cell r="C154" t="str">
            <v xml:space="preserve">Chapter 8 </v>
          </cell>
          <cell r="D154" t="str">
            <v>All Tables</v>
          </cell>
          <cell r="E154" t="str">
            <v xml:space="preserve">Added Rows for Dimensional Lumber and Medium Density Fiberboard in all applicable Tables.  </v>
          </cell>
        </row>
        <row r="155">
          <cell r="A155">
            <v>36083</v>
          </cell>
          <cell r="B155" t="str">
            <v>Amanda</v>
          </cell>
          <cell r="C155" t="str">
            <v>Chapter 7</v>
          </cell>
          <cell r="D155" t="str">
            <v>All Tables</v>
          </cell>
          <cell r="E155" t="str">
            <v>Added Rows for Dimensional Lumber and Medium Density Fiberboard in all applicable Tables.  (yellow indicates need for data or to be checked)</v>
          </cell>
        </row>
        <row r="156">
          <cell r="A156">
            <v>36083</v>
          </cell>
          <cell r="B156" t="str">
            <v>Amanda</v>
          </cell>
          <cell r="C156" t="str">
            <v>Exhibit 6.1</v>
          </cell>
          <cell r="D156" t="str">
            <v>Rows 24, 25</v>
          </cell>
          <cell r="E156" t="str">
            <v>Added Rows for Dimensional Lumber and Medium Density Fiberboard (yellow indicates need for data or should be checked)</v>
          </cell>
        </row>
        <row r="157">
          <cell r="A157">
            <v>36083</v>
          </cell>
          <cell r="B157" t="str">
            <v>Amanda</v>
          </cell>
          <cell r="C157" t="str">
            <v>Exhibit 6.2</v>
          </cell>
          <cell r="D157" t="str">
            <v>Rows 21, 22</v>
          </cell>
          <cell r="E157" t="str">
            <v>Added Rows for Dimensional Lumber and Medium Density Fiberboard (yellow indicates need for data or should be checked)</v>
          </cell>
        </row>
        <row r="162">
          <cell r="D162" t="str">
            <v>AO24:AP25</v>
          </cell>
          <cell r="E162" t="str">
            <v>Added data for % material retained based on info from Ken Skog.</v>
          </cell>
        </row>
        <row r="163">
          <cell r="D163" t="str">
            <v>All</v>
          </cell>
          <cell r="E163" t="str">
            <v>Added sheet, including data from Linda Heath. Still need to add products, LF data.</v>
          </cell>
        </row>
        <row r="164">
          <cell r="D164" t="str">
            <v>All</v>
          </cell>
          <cell r="E164" t="str">
            <v>Added sheet, covering energy used to grind wood prior to LF disposal.</v>
          </cell>
        </row>
        <row r="165">
          <cell r="D165" t="str">
            <v>All</v>
          </cell>
          <cell r="E165" t="str">
            <v>Replaced original sheet with revised sheet incorporating Ken Skog's comments.</v>
          </cell>
        </row>
        <row r="166">
          <cell r="D166" t="str">
            <v>Rows 21, 22, 38-41</v>
          </cell>
          <cell r="E166" t="str">
            <v>Added data for Btu content of MDF and Dimensional Lumber, also added footnote to say where the data came from.</v>
          </cell>
        </row>
        <row r="167">
          <cell r="A167">
            <v>36119</v>
          </cell>
          <cell r="B167" t="str">
            <v>Randy</v>
          </cell>
          <cell r="C167" t="str">
            <v>Summary Exhibits</v>
          </cell>
          <cell r="D167" t="str">
            <v>Rows 32, 33</v>
          </cell>
          <cell r="E167" t="str">
            <v>Wired in cell references for Dim lumber and solid wood</v>
          </cell>
        </row>
        <row r="168">
          <cell r="A168">
            <v>36119</v>
          </cell>
          <cell r="B168" t="str">
            <v>Randy</v>
          </cell>
          <cell r="C168" t="str">
            <v>Wood</v>
          </cell>
          <cell r="D168" t="str">
            <v>a60:g64</v>
          </cell>
          <cell r="E168" t="str">
            <v xml:space="preserve">Added Product Pool Effects.  </v>
          </cell>
        </row>
        <row r="169">
          <cell r="A169">
            <v>36143</v>
          </cell>
          <cell r="B169" t="str">
            <v>Randy</v>
          </cell>
          <cell r="C169" t="str">
            <v>Wood</v>
          </cell>
          <cell r="D169" t="str">
            <v>c63:g63</v>
          </cell>
          <cell r="E169" t="str">
            <v>Corrected formula for effect of recycling on product pool.  Increases overall value for wood recycling by 0.02 MTCE/ton.</v>
          </cell>
        </row>
        <row r="170">
          <cell r="A170">
            <v>36203</v>
          </cell>
          <cell r="B170" t="str">
            <v>Amanda</v>
          </cell>
          <cell r="C170" t="str">
            <v>Assumptions</v>
          </cell>
          <cell r="D170" t="str">
            <v>D70:D72</v>
          </cell>
          <cell r="E170" t="str">
            <v>Changed Non-biomass Carbon Content to match percentages calculated from chemical formulas</v>
          </cell>
        </row>
        <row r="171">
          <cell r="A171">
            <v>36222</v>
          </cell>
          <cell r="B171" t="str">
            <v>William</v>
          </cell>
          <cell r="C171" t="str">
            <v>Chapter 5</v>
          </cell>
          <cell r="D171" t="str">
            <v>B7:10, B38-41, B:69-72</v>
          </cell>
          <cell r="E171" t="str">
            <v>Replaced "mass fraction carbon" values; as for the Chapter 7 data on proportion of carbon sequestered  when materials are landfilled, values are from Barlaz's article "Carbon storage during biodegradation of municipal solid waste components in laboratory-</v>
          </cell>
        </row>
        <row r="172">
          <cell r="A172">
            <v>36224</v>
          </cell>
          <cell r="B172" t="str">
            <v>William</v>
          </cell>
          <cell r="C172" t="str">
            <v>Chapter 5</v>
          </cell>
          <cell r="D172" t="str">
            <v>B38-41</v>
          </cell>
          <cell r="E172" t="str">
            <v>Per R. Freed's request (in 3/5/99 e-mail), changed "mass fraction carbon" value for leaves from 49.4% (from June '98 Barlaz paper) to 55.5% (based on (a) Barlaz value that 54% of dry mass is sequestered carbon when leaves are landfilled, and (b) prior Bar</v>
          </cell>
        </row>
        <row r="173">
          <cell r="A173">
            <v>36248</v>
          </cell>
          <cell r="B173" t="str">
            <v>Amanda</v>
          </cell>
          <cell r="C173" t="str">
            <v>H2O% of MSW, for C Seq #</v>
          </cell>
          <cell r="D173" t="str">
            <v>All</v>
          </cell>
          <cell r="E173" t="str">
            <v>Re-added sheet to resolve macro problem from William's first addition. Sheet gives citation for data source used.</v>
          </cell>
        </row>
        <row r="174">
          <cell r="A174">
            <v>36248</v>
          </cell>
          <cell r="B174" t="str">
            <v>Amanda</v>
          </cell>
          <cell r="C174" t="str">
            <v>C Seq of MSW minus plastic</v>
          </cell>
          <cell r="D174" t="str">
            <v>All</v>
          </cell>
          <cell r="E174" t="str">
            <v>Re-added sheet to resolve macro problem from William's first addition. Sheet gives citation for data source used.</v>
          </cell>
        </row>
        <row r="175">
          <cell r="A175">
            <v>36248</v>
          </cell>
          <cell r="B175" t="str">
            <v>Amanda</v>
          </cell>
          <cell r="C175" t="str">
            <v>Chapter 7</v>
          </cell>
          <cell r="D175" t="str">
            <v>AQ17</v>
          </cell>
          <cell r="E175" t="str">
            <v>Re-Linked the value of 0.13 for C Seq. Of MSW (not including plastic) from new sheet "C Seq of MSW minus plastic;" old value was 0.22 and was incorrect because it included plastic. (originally done by William)</v>
          </cell>
        </row>
        <row r="176">
          <cell r="A176">
            <v>36248</v>
          </cell>
          <cell r="B176" t="str">
            <v>Amanda</v>
          </cell>
          <cell r="C176" t="str">
            <v>Chapter 7</v>
          </cell>
          <cell r="D176" t="str">
            <v>AR17</v>
          </cell>
          <cell r="E176" t="str">
            <v>Re-Changed to pull from "H2O% of MSW, for C Seq #" sheet so MSW dry:wt ratio would be consistent. (orignially done by Randy)</v>
          </cell>
        </row>
        <row r="177">
          <cell r="A177">
            <v>36248</v>
          </cell>
          <cell r="B177" t="str">
            <v>Amanda</v>
          </cell>
          <cell r="C177" t="str">
            <v>Academic Article Table 7</v>
          </cell>
          <cell r="D177" t="str">
            <v>New Table 3</v>
          </cell>
          <cell r="E177" t="str">
            <v>Re-added this table.  This table shows GHG emissions from landfilling (by LFG recovery practice) vs. mass burn and RDF combustion. (originally done by Anne)</v>
          </cell>
        </row>
        <row r="178">
          <cell r="A178">
            <v>36248</v>
          </cell>
          <cell r="B178" t="str">
            <v>Amanda</v>
          </cell>
          <cell r="C178" t="str">
            <v>Academic Article Table 8</v>
          </cell>
          <cell r="D178" t="str">
            <v>Table 4</v>
          </cell>
          <cell r="E178" t="str">
            <v>Re-added a row for Mixed MSW.  Linked value used for combustion minus landfilling to summary exhs. since it recently changed and therefore the existing hardwired value was wrong.  (oringinally done by Anne)</v>
          </cell>
        </row>
        <row r="179">
          <cell r="A179">
            <v>36257</v>
          </cell>
          <cell r="B179" t="str">
            <v>Amanda</v>
          </cell>
          <cell r="C179" t="str">
            <v>CH 4</v>
          </cell>
          <cell r="D179" t="str">
            <v>all</v>
          </cell>
          <cell r="E179" t="str">
            <v>Deleted OLD exhibit 4-1 and moved new exhibit 4-1 to where the old was.</v>
          </cell>
        </row>
        <row r="180">
          <cell r="A180">
            <v>36257</v>
          </cell>
          <cell r="B180" t="str">
            <v>Amanda</v>
          </cell>
          <cell r="C180" t="str">
            <v>Exhibit 6-1, 6-2, 6-5, 6-6</v>
          </cell>
          <cell r="D180" t="str">
            <v>all</v>
          </cell>
          <cell r="E180" t="str">
            <v xml:space="preserve">Combined all the Tables into one sheet now called Chapter 6.  Also added a note saying that Exhibits 6-3 and 6-4 are in the Utility Calcs sheet. </v>
          </cell>
        </row>
        <row r="181">
          <cell r="A181">
            <v>36257</v>
          </cell>
          <cell r="B181" t="str">
            <v>Amanda</v>
          </cell>
          <cell r="C181" t="str">
            <v>Ch 8 RMAM</v>
          </cell>
          <cell r="D181" t="str">
            <v>F14 to K24</v>
          </cell>
          <cell r="E181" t="str">
            <v>Deleted the old table deriving the mixed MSW weighted average emission factor for raw material acquisition and manufacturing.</v>
          </cell>
        </row>
        <row r="182">
          <cell r="A182">
            <v>36257</v>
          </cell>
          <cell r="B182" t="str">
            <v>Amanda</v>
          </cell>
          <cell r="C182" t="str">
            <v>Utility Calculations</v>
          </cell>
          <cell r="D182" t="str">
            <v>E7-I16, I34</v>
          </cell>
          <cell r="E182" t="str">
            <v>Reorganized second half of the table estimating the weighted average carbon coefficient of the US ave. mix of fuels used to generate electricity.  (also deleted a lone remnant cell entry.)</v>
          </cell>
        </row>
        <row r="183">
          <cell r="A183">
            <v>36257</v>
          </cell>
          <cell r="B183" t="str">
            <v>Amanda</v>
          </cell>
          <cell r="C183" t="str">
            <v>QC Values</v>
          </cell>
          <cell r="D183" t="str">
            <v>all</v>
          </cell>
          <cell r="E183" t="str">
            <v>Deleted sheet.</v>
          </cell>
        </row>
        <row r="184">
          <cell r="A184">
            <v>36257</v>
          </cell>
          <cell r="B184" t="str">
            <v>Amanda</v>
          </cell>
          <cell r="C184" t="str">
            <v>Tellus</v>
          </cell>
          <cell r="D184" t="str">
            <v>W42</v>
          </cell>
          <cell r="E184" t="str">
            <v>Deleted the lone remnant cell entry.</v>
          </cell>
        </row>
        <row r="185">
          <cell r="A185">
            <v>36257</v>
          </cell>
          <cell r="B185" t="str">
            <v>Amanda</v>
          </cell>
          <cell r="C185" t="str">
            <v>Academic Article Table 8</v>
          </cell>
          <cell r="D185" t="str">
            <v>F5-H8</v>
          </cell>
          <cell r="E185" t="str">
            <v>Added row headers to label the table there and also added a note to explain why it was there.</v>
          </cell>
        </row>
        <row r="186">
          <cell r="A186">
            <v>36257</v>
          </cell>
          <cell r="B186" t="str">
            <v>Amanda</v>
          </cell>
          <cell r="C186" t="str">
            <v xml:space="preserve">Exec Summary </v>
          </cell>
          <cell r="D186" t="str">
            <v>A1; A11-L27</v>
          </cell>
          <cell r="E186" t="str">
            <v>Expanded the note regarding the wherabouts of Exhibits ES-2, ES-3 and ES-5.  Also deleted blue shading the Exhibits ES-4 and ES-6.</v>
          </cell>
        </row>
        <row r="187">
          <cell r="A187">
            <v>36257</v>
          </cell>
          <cell r="B187" t="str">
            <v>Amanda</v>
          </cell>
          <cell r="C187" t="str">
            <v>Ch. 7</v>
          </cell>
          <cell r="D187" t="str">
            <v>AJ17-AK26; AN18-19; AO65-66; AQ79-93</v>
          </cell>
          <cell r="E187" t="str">
            <v>Deleted outdated, unlinked set of numbers; formatted cell fonts in two places; and deleted red shading from one column.</v>
          </cell>
        </row>
        <row r="188">
          <cell r="A188">
            <v>36257</v>
          </cell>
          <cell r="B188" t="str">
            <v>Amanda</v>
          </cell>
          <cell r="C188" t="str">
            <v>1605b</v>
          </cell>
          <cell r="D188" t="str">
            <v>Columns ABCDE; P19-O22; BK23-BY34</v>
          </cell>
          <cell r="E188" t="str">
            <v>Deleted outdated exhibits J-1, J-2, J-3, J-4, and a table copied from assumptions.  Moved links from the copied table to the original data in Assumptions sheet and did some other formatting.</v>
          </cell>
        </row>
        <row r="189">
          <cell r="A189">
            <v>36258</v>
          </cell>
          <cell r="B189" t="str">
            <v>Amanda</v>
          </cell>
          <cell r="C189" t="str">
            <v>Sample Output</v>
          </cell>
          <cell r="D189" t="str">
            <v>all</v>
          </cell>
          <cell r="E189" t="str">
            <v>Deleted whole sheet</v>
          </cell>
        </row>
        <row r="190">
          <cell r="A190">
            <v>36258</v>
          </cell>
          <cell r="B190" t="str">
            <v>Amanda</v>
          </cell>
          <cell r="C190" t="str">
            <v>Ch. 7</v>
          </cell>
          <cell r="D190" t="str">
            <v>A40-AH40 (approx)</v>
          </cell>
          <cell r="E190" t="str">
            <v>Deleted remnant Tables dealing with the three types of mixed paper.</v>
          </cell>
        </row>
        <row r="191">
          <cell r="A191">
            <v>36258</v>
          </cell>
          <cell r="B191" t="str">
            <v>Amanda</v>
          </cell>
          <cell r="C191" t="str">
            <v>Exec. Summary</v>
          </cell>
          <cell r="D191" t="str">
            <v>A55-F90</v>
          </cell>
          <cell r="E191" t="str">
            <v>Deleted old exhibit ES-5 that was based on a raw materials extraction reference point.  Also deleted the copied definition of mixed paper table.</v>
          </cell>
        </row>
        <row r="192">
          <cell r="A192">
            <v>36258</v>
          </cell>
          <cell r="B192" t="str">
            <v>Amanda</v>
          </cell>
          <cell r="C192" t="str">
            <v>Original Summary Exhibits</v>
          </cell>
          <cell r="D192" t="str">
            <v>all</v>
          </cell>
          <cell r="E192" t="str">
            <v>Deleted whole sheet</v>
          </cell>
        </row>
        <row r="193">
          <cell r="A193">
            <v>36258</v>
          </cell>
          <cell r="B193" t="str">
            <v>Amanda</v>
          </cell>
          <cell r="C193" t="str">
            <v>Utility Calculations</v>
          </cell>
          <cell r="D193" t="str">
            <v>A1-I21</v>
          </cell>
          <cell r="E193" t="str">
            <v xml:space="preserve">Moved the table 6-4 to Assumptions sheet because a table in assumptions linked to it.  </v>
          </cell>
        </row>
        <row r="194">
          <cell r="A194">
            <v>36258</v>
          </cell>
          <cell r="B194" t="str">
            <v>Amanda</v>
          </cell>
          <cell r="C194" t="str">
            <v>Assumptions</v>
          </cell>
          <cell r="D194" t="str">
            <v>A105-G107</v>
          </cell>
          <cell r="E194" t="str">
            <v>Deleted the SF6 category from the table and then moved it to Summary Exhibits by Gas. Also updated the numbers in the Mixed Recyclables table on weight recovered.  (Added the table from Utility Calculations (6-4) to the bottom of the sheet.</v>
          </cell>
        </row>
        <row r="195">
          <cell r="A195">
            <v>36258</v>
          </cell>
          <cell r="B195" t="str">
            <v>Amanda</v>
          </cell>
          <cell r="C195" t="str">
            <v>Academic Article Table 6</v>
          </cell>
          <cell r="D195" t="str">
            <v>all</v>
          </cell>
          <cell r="E195" t="str">
            <v>Deleted whole sheet</v>
          </cell>
        </row>
        <row r="205">
          <cell r="A205">
            <v>36259</v>
          </cell>
          <cell r="B205" t="str">
            <v>Amanda</v>
          </cell>
          <cell r="C205" t="str">
            <v>Assumptions</v>
          </cell>
          <cell r="D205" t="str">
            <v>A121-C121</v>
          </cell>
          <cell r="E205" t="str">
            <v>Added Wood in the Mixed recyclables Table in Assumptions sheet.  Calculates the percent by weight of the items that make up mixed recyclables.</v>
          </cell>
        </row>
        <row r="206">
          <cell r="A206">
            <v>36259</v>
          </cell>
          <cell r="B206" t="str">
            <v>Amanda</v>
          </cell>
          <cell r="C206" t="str">
            <v>Assumptions</v>
          </cell>
          <cell r="D206" t="str">
            <v>B88-D99</v>
          </cell>
          <cell r="E206" t="str">
            <v>Updated all generation and recovery numbers to the Characterization Report 1998 update (1997 numbers).  Also added a row for wood.</v>
          </cell>
        </row>
        <row r="207">
          <cell r="A207">
            <v>36262</v>
          </cell>
          <cell r="B207" t="str">
            <v>Amanda</v>
          </cell>
          <cell r="C207" t="str">
            <v>Comparison</v>
          </cell>
          <cell r="D207" t="str">
            <v>All</v>
          </cell>
          <cell r="E207" t="str">
            <v xml:space="preserve">Created new sheet to compare the net emissions numbers from the Summary exhibits page and the Summary Exhibits by Gas page.  </v>
          </cell>
        </row>
        <row r="208">
          <cell r="A208">
            <v>36263</v>
          </cell>
          <cell r="B208" t="str">
            <v>Amanda</v>
          </cell>
          <cell r="C208" t="str">
            <v>CH 8 RMAM</v>
          </cell>
          <cell r="D208" t="str">
            <v>B18-E18</v>
          </cell>
          <cell r="E208" t="str">
            <v>Added a row for Wood, but could only fill the first cell for generation rate for 1997.  Still need info on RMAM emissions not included in Baseline3 (current mix).  This should feed from CH 8 but in that table we have MDF and DL - so which number should be</v>
          </cell>
        </row>
        <row r="209">
          <cell r="A209">
            <v>36265</v>
          </cell>
          <cell r="B209" t="str">
            <v>Anne</v>
          </cell>
          <cell r="C209" t="str">
            <v>Franklin</v>
          </cell>
          <cell r="D209" t="str">
            <v>AF19, AG19</v>
          </cell>
          <cell r="E209" t="str">
            <v>Changed the formulas in the glass CO2 and CH4 emission factors for transportation energy to refer to cells for LPG, coal, distallate fuel, gasoline, and other fuels used for electricity rather than referring to the national average fuel mix for electricit</v>
          </cell>
        </row>
        <row r="210">
          <cell r="A210">
            <v>36269</v>
          </cell>
          <cell r="B210" t="str">
            <v>Amanda</v>
          </cell>
          <cell r="C210" t="str">
            <v>Franklin</v>
          </cell>
          <cell r="D210" t="str">
            <v>Rows AI to BK</v>
          </cell>
          <cell r="E210" t="str">
            <v xml:space="preserve">Deleted three tables: App-6b, App-7b, and Alternate 7b.  I moved all direct input data from the tables on recycling and source reduction percents and percent recovered material to the assumptions page.  </v>
          </cell>
        </row>
        <row r="211">
          <cell r="A211">
            <v>36269</v>
          </cell>
          <cell r="B211" t="str">
            <v>Amanda</v>
          </cell>
          <cell r="C211" t="str">
            <v>Tellus</v>
          </cell>
          <cell r="D211" t="str">
            <v>AV24-AV25</v>
          </cell>
          <cell r="E211" t="str">
            <v>Updated generation rates data for tissue paper made from office paper and folding boxes made from corrogated cardboard using the Characterization Report 1998 Update.</v>
          </cell>
        </row>
        <row r="212">
          <cell r="A212">
            <v>36269</v>
          </cell>
          <cell r="B212" t="str">
            <v>Amanda</v>
          </cell>
          <cell r="C212" t="str">
            <v>CH 8</v>
          </cell>
          <cell r="D212" t="str">
            <v>Columns J, S, AC</v>
          </cell>
          <cell r="E212" t="str">
            <v xml:space="preserve">Relinked all RMAM emissions values to Summary exhibits.  </v>
          </cell>
        </row>
        <row r="213">
          <cell r="A213">
            <v>36269</v>
          </cell>
          <cell r="B213" t="str">
            <v>Amanda</v>
          </cell>
          <cell r="C213" t="str">
            <v>Executive Summary</v>
          </cell>
          <cell r="D213" t="str">
            <v>C27, E27, F27, J27, L27</v>
          </cell>
          <cell r="E213" t="str">
            <v>Added wood to mixed recyclables by pulling the links from assumptions through. (and accounting for 90% DL and 10% MDF)</v>
          </cell>
        </row>
        <row r="214">
          <cell r="A214">
            <v>36269</v>
          </cell>
          <cell r="B214" t="str">
            <v>Amanda</v>
          </cell>
          <cell r="C214" t="str">
            <v>Exec Sum Examples</v>
          </cell>
          <cell r="D214" t="str">
            <v>B14, B15</v>
          </cell>
          <cell r="E214" t="str">
            <v>Updated mixed MSW links by pulling through the wood values.</v>
          </cell>
        </row>
        <row r="215">
          <cell r="A215">
            <v>36269</v>
          </cell>
          <cell r="B215" t="str">
            <v>Amanda</v>
          </cell>
          <cell r="C215" t="str">
            <v>Utility Calculations</v>
          </cell>
          <cell r="D215" t="str">
            <v>B-I and 2-20</v>
          </cell>
          <cell r="E215" t="str">
            <v>Deleted columns and rows so that one could see the only table that is left on the sheet.</v>
          </cell>
        </row>
        <row r="216">
          <cell r="A216">
            <v>36269</v>
          </cell>
          <cell r="B216" t="str">
            <v>Amanda</v>
          </cell>
          <cell r="C216" t="str">
            <v>Executive Summary</v>
          </cell>
          <cell r="D216" t="str">
            <v>T34-46, Q36-48</v>
          </cell>
          <cell r="E216" t="str">
            <v>Added wood to the Percentage of Generation of MSW for materials in this report and updated all generation numbers to 1997.</v>
          </cell>
        </row>
        <row r="217">
          <cell r="A217">
            <v>36279</v>
          </cell>
          <cell r="B217" t="str">
            <v>Amanda</v>
          </cell>
          <cell r="C217" t="str">
            <v>Summary Exhibits by Gas</v>
          </cell>
          <cell r="D217" t="str">
            <v>Rows 27, 28</v>
          </cell>
          <cell r="E217" t="str">
            <v>Filled in formulas for MDF and DL where there were blank cells.</v>
          </cell>
        </row>
        <row r="218">
          <cell r="A218">
            <v>36280</v>
          </cell>
          <cell r="B218" t="str">
            <v>Anne</v>
          </cell>
          <cell r="C218" t="str">
            <v>Chapter 7</v>
          </cell>
          <cell r="D218" t="str">
            <v>A21-L22, M22-R23</v>
          </cell>
          <cell r="E218" t="str">
            <v xml:space="preserve">Took out rows for MDF and DL in the Methane Yield and Carbon Sequestration Tables because we do not have the data required for those tables.   </v>
          </cell>
        </row>
        <row r="219">
          <cell r="A219">
            <v>36280</v>
          </cell>
          <cell r="B219" t="str">
            <v>Amanda</v>
          </cell>
          <cell r="C219" t="str">
            <v>Chapter 7</v>
          </cell>
          <cell r="D219" t="str">
            <v>T27, T28</v>
          </cell>
          <cell r="E219" t="str">
            <v xml:space="preserve">Hardwired zero as the data for the methane generation for MDF and DL in Table 7-4, Net GHG Emissions from Methane Generation. </v>
          </cell>
        </row>
        <row r="220">
          <cell r="A220">
            <v>36297</v>
          </cell>
          <cell r="B220" t="str">
            <v>Randy</v>
          </cell>
          <cell r="C220" t="str">
            <v>Chap 5-alt.</v>
          </cell>
          <cell r="D220" t="str">
            <v>sheet</v>
          </cell>
          <cell r="E220" t="str">
            <v>Added sheet with alternative approach for compost carbon C.  Approach uses LF C sequestration as basis for extrapolating compost C sequestration.</v>
          </cell>
        </row>
        <row r="221">
          <cell r="A221">
            <v>36297</v>
          </cell>
          <cell r="B221" t="str">
            <v>Randy</v>
          </cell>
          <cell r="C221" t="str">
            <v>Chapter 5</v>
          </cell>
          <cell r="D221" t="str">
            <v>c104</v>
          </cell>
          <cell r="E221" t="str">
            <v>Changed hard-wired value (0.17MTCE/ton) to formula linking to Chap 7.</v>
          </cell>
        </row>
        <row r="222">
          <cell r="A222">
            <v>36297</v>
          </cell>
          <cell r="B222" t="str">
            <v>Randy</v>
          </cell>
          <cell r="C222" t="str">
            <v>Assumptions</v>
          </cell>
          <cell r="D222" t="str">
            <v>a106:f109</v>
          </cell>
          <cell r="E222" t="str">
            <v>Added calculation for ratio of mass in: mass out of centralized compost facility.</v>
          </cell>
        </row>
        <row r="223">
          <cell r="A223">
            <v>36301</v>
          </cell>
          <cell r="B223" t="str">
            <v>Anne</v>
          </cell>
          <cell r="C223" t="str">
            <v>Chapter 7, Table 7-4</v>
          </cell>
          <cell r="D223" t="str">
            <v>T27, T28</v>
          </cell>
          <cell r="E223" t="str">
            <v>Linked these cells (they call for methane generation of MDF and DL) in Table 7-4 to the methane generation values reported for branches.  This is consistent with subsequent columns in Table 7-4 (e.g., V27, V28).</v>
          </cell>
        </row>
        <row r="224">
          <cell r="A224">
            <v>36305</v>
          </cell>
          <cell r="B224" t="str">
            <v>Amanda</v>
          </cell>
          <cell r="C224" t="str">
            <v>Summary Exhibits by Gas</v>
          </cell>
          <cell r="D224" t="str">
            <v>U27, U28</v>
          </cell>
          <cell r="E224" t="str">
            <v xml:space="preserve">Changed these formulas to link to the Wood sheet for carbon sequestration information, rather than Forcarb Sheet 5.  </v>
          </cell>
        </row>
        <row r="225">
          <cell r="A225">
            <v>36308</v>
          </cell>
          <cell r="B225" t="str">
            <v>Amanda</v>
          </cell>
          <cell r="C225" t="str">
            <v>Ch. 7</v>
          </cell>
          <cell r="D225" t="str">
            <v>row X</v>
          </cell>
          <cell r="E225" t="str">
            <v>Linked these cells to Assumptions C39 rather than hardwiring the 90% CH4 remaining after oxidation.</v>
          </cell>
        </row>
        <row r="226">
          <cell r="A226">
            <v>36445</v>
          </cell>
          <cell r="B226" t="str">
            <v>Anne</v>
          </cell>
          <cell r="C226" t="str">
            <v>Summary Exhibits</v>
          </cell>
          <cell r="D226" t="str">
            <v>AF34-AK44</v>
          </cell>
          <cell r="E226" t="str">
            <v>New table added to simplify transportation adjustment factor calculation in WARM.</v>
          </cell>
        </row>
        <row r="227">
          <cell r="A227">
            <v>36455</v>
          </cell>
          <cell r="B227" t="str">
            <v>Randy</v>
          </cell>
          <cell r="C227" t="str">
            <v xml:space="preserve">Chap 5 </v>
          </cell>
          <cell r="D227" t="str">
            <v>A114 - K114</v>
          </cell>
          <cell r="E227" t="str">
            <v>Added averages for the four bounding analysis scenarios.</v>
          </cell>
        </row>
        <row r="228">
          <cell r="A228">
            <v>36479</v>
          </cell>
          <cell r="B228" t="str">
            <v>Amanda</v>
          </cell>
          <cell r="C228" t="str">
            <v>CH5-alt</v>
          </cell>
          <cell r="D228" t="str">
            <v>sheet</v>
          </cell>
          <cell r="E228" t="str">
            <v>Deleted sheet.</v>
          </cell>
        </row>
        <row r="229">
          <cell r="A229">
            <v>36479</v>
          </cell>
          <cell r="B229" t="str">
            <v>Amanda</v>
          </cell>
          <cell r="C229" t="str">
            <v>Chapter 5</v>
          </cell>
          <cell r="D229" t="str">
            <v>sheet</v>
          </cell>
          <cell r="E229" t="str">
            <v>Renamed sheet to Ch 5-Humus, so I could add other Ch5 related sheets</v>
          </cell>
        </row>
        <row r="230">
          <cell r="A230">
            <v>36479</v>
          </cell>
          <cell r="B230" t="str">
            <v>Amanda</v>
          </cell>
          <cell r="C230" t="str">
            <v>Ch 5-Soil Carbon</v>
          </cell>
          <cell r="D230" t="str">
            <v>sheet</v>
          </cell>
          <cell r="E230" t="str">
            <v>Created sheet to show Exhibit 5-3 and the transportation calculation.</v>
          </cell>
        </row>
        <row r="231">
          <cell r="A231">
            <v>36479</v>
          </cell>
          <cell r="B231" t="str">
            <v>Amanda</v>
          </cell>
          <cell r="C231" t="str">
            <v>Ch 5-3.2application</v>
          </cell>
          <cell r="D231" t="str">
            <v>sheet</v>
          </cell>
          <cell r="E231" t="str">
            <v>Imported sheet to show calculations involved in determining soil carbon restoration for the annual application of 3.2 tons of compost.</v>
          </cell>
        </row>
        <row r="232">
          <cell r="A232">
            <v>36480</v>
          </cell>
          <cell r="B232" t="str">
            <v>Amanda</v>
          </cell>
          <cell r="C232" t="str">
            <v>Summary Exhibits</v>
          </cell>
          <cell r="D232" t="str">
            <v>AQ 26, AQ27</v>
          </cell>
          <cell r="E232" t="str">
            <v xml:space="preserve">Changed the values of these cells to reflect information from the revised composting analysis.  </v>
          </cell>
        </row>
        <row r="233">
          <cell r="A233">
            <v>36480</v>
          </cell>
          <cell r="B233" t="str">
            <v>Amanda</v>
          </cell>
          <cell r="C233" t="str">
            <v>Summary Exhibits</v>
          </cell>
          <cell r="D233" t="str">
            <v>AN 24 - AR 25</v>
          </cell>
          <cell r="E233" t="str">
            <v>Revised all of these cells to show NA since the revised composting chapter did not address wood compost.</v>
          </cell>
        </row>
        <row r="243">
          <cell r="A243">
            <v>36680</v>
          </cell>
          <cell r="B243" t="str">
            <v>Randy</v>
          </cell>
          <cell r="C243" t="str">
            <v>Summary Ex by Gas</v>
          </cell>
          <cell r="D243" t="str">
            <v>AG25</v>
          </cell>
          <cell r="E243" t="str">
            <v>Changed cell reference to link to 20 ton per acre application rate</v>
          </cell>
        </row>
        <row r="244">
          <cell r="A244">
            <v>36686</v>
          </cell>
          <cell r="B244" t="str">
            <v>Randy</v>
          </cell>
          <cell r="C244" t="str">
            <v>Chapter 5- Humus</v>
          </cell>
          <cell r="D244" t="str">
            <v>C7:e10 and similar cells for leaves, branches</v>
          </cell>
          <cell r="E244" t="str">
            <v>Changed lower bound C to 10% (from 5%).  Changed values of 20 yrs - 200 yrs from half lives to mean residence times.</v>
          </cell>
        </row>
        <row r="245">
          <cell r="A245">
            <v>36686</v>
          </cell>
          <cell r="B245" t="str">
            <v>Randy</v>
          </cell>
          <cell r="C245" t="str">
            <v>Chapter 5- Humus</v>
          </cell>
          <cell r="D245" t="str">
            <v>a163:K170</v>
          </cell>
          <cell r="E245" t="str">
            <v>Added table for humus formation from food scraps.</v>
          </cell>
        </row>
        <row r="246">
          <cell r="A246">
            <v>36689</v>
          </cell>
          <cell r="B246" t="str">
            <v>Randy</v>
          </cell>
          <cell r="C246" t="str">
            <v>Ch 5-N2O</v>
          </cell>
          <cell r="E246" t="str">
            <v>Added sheet for bounding analysis on N2O emissions from compost application.</v>
          </cell>
        </row>
        <row r="247">
          <cell r="A247">
            <v>36712</v>
          </cell>
          <cell r="B247" t="str">
            <v>Randy</v>
          </cell>
          <cell r="C247" t="str">
            <v>Ch 5 - Inc Humus</v>
          </cell>
          <cell r="D247" t="str">
            <v>all</v>
          </cell>
          <cell r="E247" t="str">
            <v>Added sheet for analysis using M Cole's estimates for slow and passive C.</v>
          </cell>
        </row>
        <row r="248">
          <cell r="A248">
            <v>36712</v>
          </cell>
          <cell r="B248" t="str">
            <v>Randy</v>
          </cell>
          <cell r="C248" t="str">
            <v>Ch 5-Exh 5-3</v>
          </cell>
          <cell r="D248" t="str">
            <v>Cells D6:D9</v>
          </cell>
          <cell r="E248" t="str">
            <v>Changed cell reference from 'Chapter 5 - Humus' sheet to 'Ch 5-Inc Humus' sheet.</v>
          </cell>
        </row>
        <row r="249">
          <cell r="A249">
            <v>36717</v>
          </cell>
          <cell r="B249" t="str">
            <v>Randy</v>
          </cell>
          <cell r="C249" t="str">
            <v>Ch 5 - Inc Humus</v>
          </cell>
          <cell r="D249" t="str">
            <v>Cells D10:D11</v>
          </cell>
          <cell r="E249" t="str">
            <v>Added cells to account for "baseline" allocation of compost C from century.  This will be determined based on a Century run for a 1-time application of compost, and calculating the allocation of incremental C to the various pools.</v>
          </cell>
        </row>
        <row r="250">
          <cell r="A250">
            <v>36717</v>
          </cell>
          <cell r="B250" t="str">
            <v>Randy</v>
          </cell>
          <cell r="C250" t="str">
            <v>Ch 5 - Humus</v>
          </cell>
          <cell r="D250" t="str">
            <v>sheet</v>
          </cell>
          <cell r="E250" t="str">
            <v>Hid sheet.</v>
          </cell>
        </row>
        <row r="251">
          <cell r="A251">
            <v>36719</v>
          </cell>
          <cell r="B251" t="str">
            <v>Randy</v>
          </cell>
          <cell r="C251" t="str">
            <v>Ch 5 - Inc Humus</v>
          </cell>
          <cell r="E251" t="str">
            <v>Revised sheet to only address passive C.  This avoides the double counting we'd have if we counted slow C for both Century and the Inc Humus analysis.</v>
          </cell>
        </row>
        <row r="252">
          <cell r="A252">
            <v>36719</v>
          </cell>
          <cell r="B252" t="str">
            <v>Randy</v>
          </cell>
          <cell r="C252" t="str">
            <v>Ch 5-Exh 5-3</v>
          </cell>
          <cell r="D252" t="str">
            <v>Added cells C6:D10</v>
          </cell>
          <cell r="E252" t="str">
            <v>Incorporate weighting factor for Century, to avoid double-counting.</v>
          </cell>
        </row>
        <row r="253">
          <cell r="A253">
            <v>36734</v>
          </cell>
          <cell r="B253" t="str">
            <v>Randy</v>
          </cell>
          <cell r="C253" t="str">
            <v>Ch 5-Exh 5-3</v>
          </cell>
          <cell r="D253" t="str">
            <v>Q1:V19</v>
          </cell>
          <cell r="E253" t="str">
            <v>Added table comparing composting to landfilling for compost chapter cover memo.</v>
          </cell>
        </row>
        <row r="254">
          <cell r="A254">
            <v>36738</v>
          </cell>
          <cell r="B254" t="str">
            <v>Anne</v>
          </cell>
          <cell r="C254" t="str">
            <v>Summary Exhibits</v>
          </cell>
          <cell r="D254" t="str">
            <v>AN 26&amp;27 and AQ26&amp;27</v>
          </cell>
          <cell r="E254" t="str">
            <v>Linked compost emission factor components to the sheet called Ch 5-Exh 5-3</v>
          </cell>
        </row>
        <row r="255">
          <cell r="A255">
            <v>36741</v>
          </cell>
          <cell r="B255" t="str">
            <v>Susan</v>
          </cell>
          <cell r="C255" t="str">
            <v>Alt Emis Factors</v>
          </cell>
          <cell r="D255" t="str">
            <v>A1:F22</v>
          </cell>
          <cell r="E255" t="str">
            <v>Created new worksheet with emission factors not including carbon sequestration in forests, soils, or in landfills for the purpose of comparing values with ORD values</v>
          </cell>
        </row>
        <row r="256">
          <cell r="A256">
            <v>36741</v>
          </cell>
          <cell r="B256" t="str">
            <v>Anne</v>
          </cell>
          <cell r="C256" t="str">
            <v>Executive Summary</v>
          </cell>
          <cell r="D256" t="str">
            <v>C27-F27</v>
          </cell>
          <cell r="E256" t="str">
            <v>Fixed cell formulas to link to the appropriate emission factors for MDF and DL in the calculation of GHG impacts of managing mixed recyclables.</v>
          </cell>
        </row>
        <row r="257">
          <cell r="A257">
            <v>36741</v>
          </cell>
          <cell r="B257" t="str">
            <v>Susan</v>
          </cell>
          <cell r="C257" t="str">
            <v>ORD Analysis</v>
          </cell>
          <cell r="D257" t="str">
            <v>A1:D71</v>
          </cell>
          <cell r="E257" t="str">
            <v>Created new worksheet comparing ORD EF with EPA EF (with and without carbon sequestration</v>
          </cell>
        </row>
        <row r="258">
          <cell r="A258">
            <v>36742</v>
          </cell>
          <cell r="B258" t="str">
            <v>Susan</v>
          </cell>
          <cell r="C258" t="str">
            <v>ORD Analysis</v>
          </cell>
          <cell r="D258" t="str">
            <v>A1:D70</v>
          </cell>
          <cell r="E258" t="str">
            <v>Calculated and entered values for ORD EF; Created graphs comparing ORD values and EPA EF values</v>
          </cell>
        </row>
        <row r="259">
          <cell r="A259">
            <v>36742</v>
          </cell>
          <cell r="B259" t="str">
            <v>Susan</v>
          </cell>
          <cell r="C259" t="str">
            <v>Alt Emis Factors</v>
          </cell>
          <cell r="D259" t="str">
            <v>F4:F22</v>
          </cell>
          <cell r="E259" t="str">
            <v>Calculated and entered values for landfilling assuming 50% vented, 25% flared, and 25% electricity generation</v>
          </cell>
        </row>
        <row r="260">
          <cell r="A260">
            <v>36745</v>
          </cell>
          <cell r="B260" t="str">
            <v>Susan</v>
          </cell>
          <cell r="C260" t="str">
            <v>ORD Analysis</v>
          </cell>
          <cell r="D260" t="str">
            <v>A15:F45; A65:F95; A117:A148</v>
          </cell>
          <cell r="E260" t="str">
            <v>Created tables with sorted data to compare ORD and OSW EF values; Reformatted comparison graphs - added x-y line, changed font and data point sizes, etc.</v>
          </cell>
        </row>
        <row r="261">
          <cell r="A261">
            <v>36763</v>
          </cell>
          <cell r="B261" t="str">
            <v>Susan</v>
          </cell>
          <cell r="C261" t="str">
            <v>Alt Emis Factors</v>
          </cell>
          <cell r="D261" t="str">
            <v>A24:E110</v>
          </cell>
          <cell r="E261" t="str">
            <v>Created tables with emission factors calculated using an annualized approach</v>
          </cell>
        </row>
        <row r="262">
          <cell r="A262">
            <v>36766</v>
          </cell>
          <cell r="B262" t="str">
            <v>Noam</v>
          </cell>
          <cell r="C262" t="str">
            <v>Franklin Data</v>
          </cell>
          <cell r="D262" t="str">
            <v>E34:M37</v>
          </cell>
          <cell r="E262" t="str">
            <v xml:space="preserve">Added Copper, Gold and Silver, using Batelle data.  </v>
          </cell>
        </row>
        <row r="263">
          <cell r="A263">
            <v>36766</v>
          </cell>
          <cell r="B263" t="str">
            <v>Noam</v>
          </cell>
          <cell r="C263" t="str">
            <v>Summary Exhibits</v>
          </cell>
          <cell r="D263" t="str">
            <v>L29:X31</v>
          </cell>
          <cell r="E263" t="str">
            <v xml:space="preserve">Added Copper, Gold and Silver, using Batelle data.  </v>
          </cell>
        </row>
        <row r="264">
          <cell r="A264">
            <v>36977</v>
          </cell>
          <cell r="B264" t="str">
            <v>Noam</v>
          </cell>
          <cell r="C264" t="str">
            <v>Summary Exhibits</v>
          </cell>
          <cell r="D264" t="str">
            <v>B3:BD31</v>
          </cell>
          <cell r="E264" t="str">
            <v xml:space="preserve">Reordered exhibits.  </v>
          </cell>
        </row>
        <row r="265">
          <cell r="A265">
            <v>36981</v>
          </cell>
          <cell r="B265" t="str">
            <v>Noam</v>
          </cell>
          <cell r="C265" t="str">
            <v>Several worksheets</v>
          </cell>
          <cell r="E265" t="str">
            <v>Moved into new file, "GHG_Report.xls"</v>
          </cell>
        </row>
        <row r="266">
          <cell r="A266">
            <v>36982</v>
          </cell>
          <cell r="B266" t="str">
            <v>Noam</v>
          </cell>
          <cell r="C266" t="str">
            <v>Assumptions</v>
          </cell>
          <cell r="D266" t="str">
            <v>C166:C188</v>
          </cell>
          <cell r="E266" t="str">
            <v xml:space="preserve">Deleted cells (these were "maximum recycling rate" and did not precede any other cells). </v>
          </cell>
        </row>
        <row r="267">
          <cell r="A267">
            <v>36982</v>
          </cell>
          <cell r="B267" t="str">
            <v>Noam</v>
          </cell>
          <cell r="C267" t="str">
            <v>Assumptions</v>
          </cell>
          <cell r="D267" t="str">
            <v>A192:B216</v>
          </cell>
          <cell r="E267" t="str">
            <v xml:space="preserve">Deleted cells (these were "maximum source reduction rate" and did not precede any other cells). </v>
          </cell>
        </row>
        <row r="268">
          <cell r="A268">
            <v>36982</v>
          </cell>
          <cell r="B268" t="str">
            <v>Noam</v>
          </cell>
          <cell r="C268" t="str">
            <v>Assumptions</v>
          </cell>
          <cell r="D268" t="str">
            <v>B160:B188</v>
          </cell>
          <cell r="E268" t="str">
            <v xml:space="preserve">Isolated entire column; "percent 'recycled' in virgin production" has nothing to do with loss rates and therefore belongs in a separate table. </v>
          </cell>
        </row>
        <row r="269">
          <cell r="A269">
            <v>36982</v>
          </cell>
          <cell r="B269" t="str">
            <v>Noam</v>
          </cell>
          <cell r="C269" t="str">
            <v>Assumptions</v>
          </cell>
          <cell r="D269" t="str">
            <v>Loss rate cells</v>
          </cell>
          <cell r="E269" t="str">
            <v xml:space="preserve">Moved to new worksheet, "Loss Rates."  To "Loss Rates," added ORD loss rate data. </v>
          </cell>
        </row>
        <row r="270">
          <cell r="A270">
            <v>36982</v>
          </cell>
          <cell r="B270" t="str">
            <v>Noam</v>
          </cell>
          <cell r="C270" t="str">
            <v>Assumptions</v>
          </cell>
          <cell r="D270" t="str">
            <v>Carbon Coefficient cells</v>
          </cell>
          <cell r="E270" t="str">
            <v>Moved to new worksheet, "Carbon Coefficients."</v>
          </cell>
        </row>
        <row r="271">
          <cell r="A271">
            <v>36982</v>
          </cell>
          <cell r="B271" t="str">
            <v>Noam</v>
          </cell>
          <cell r="C271" t="str">
            <v>Loss Rates</v>
          </cell>
          <cell r="D271" t="str">
            <v>"PET carpets and rugs; PP; Injection Molded…"</v>
          </cell>
          <cell r="E271" t="str">
            <v xml:space="preserve">Deleted these materials.  They did not precede any other cells. </v>
          </cell>
        </row>
        <row r="281">
          <cell r="A281">
            <v>36985</v>
          </cell>
          <cell r="B281" t="str">
            <v xml:space="preserve">Noam </v>
          </cell>
          <cell r="C281" t="str">
            <v>EFs by Native Gas</v>
          </cell>
          <cell r="D281" t="str">
            <v>AM5:AM31</v>
          </cell>
          <cell r="E281" t="str">
            <v>Removed Tellus links (J20:J28 in "Current Mix") in formulas.</v>
          </cell>
        </row>
        <row r="282">
          <cell r="A282">
            <v>36985</v>
          </cell>
          <cell r="B282" t="str">
            <v>Noam</v>
          </cell>
          <cell r="C282" t="str">
            <v>Emission Factors</v>
          </cell>
          <cell r="D282" t="str">
            <v>AW6:AW32</v>
          </cell>
          <cell r="E282" t="str">
            <v>Removed Tellus links (J20:J28 in "Current Mix") in formulas.</v>
          </cell>
        </row>
        <row r="283">
          <cell r="A283">
            <v>36991</v>
          </cell>
          <cell r="B283" t="str">
            <v>Noam</v>
          </cell>
          <cell r="C283" t="str">
            <v>Franklin Data</v>
          </cell>
          <cell r="D283" t="str">
            <v>A5:A16</v>
          </cell>
          <cell r="E283" t="str">
            <v xml:space="preserve">Removed carbon coefficient cells.  These were duplicates of cells from the "carbon coefficients" sheet.  Cells to right now link to "carbon coefficients" sheet.  </v>
          </cell>
        </row>
        <row r="284">
          <cell r="A284">
            <v>36991</v>
          </cell>
          <cell r="B284" t="str">
            <v>Noam</v>
          </cell>
          <cell r="C284" t="str">
            <v>Current Mix</v>
          </cell>
          <cell r="D284" t="str">
            <v>A19:J28</v>
          </cell>
          <cell r="E284" t="str">
            <v xml:space="preserve">Moved cells to "Tellus" sheet for now.  These showed Tellus' current mix data, which we are no longer using.  </v>
          </cell>
        </row>
        <row r="285">
          <cell r="A285">
            <v>36991</v>
          </cell>
          <cell r="B285" t="str">
            <v>Noam</v>
          </cell>
          <cell r="C285" t="str">
            <v>Franklin Data</v>
          </cell>
          <cell r="D285" t="str">
            <v>n/a</v>
          </cell>
          <cell r="E285" t="str">
            <v>Renamed to "Energy Emissions."</v>
          </cell>
        </row>
        <row r="286">
          <cell r="A286">
            <v>36991</v>
          </cell>
          <cell r="B286" t="str">
            <v>Noam</v>
          </cell>
          <cell r="C286" t="str">
            <v>Franklin Data</v>
          </cell>
          <cell r="D286" t="str">
            <v>n/a</v>
          </cell>
          <cell r="E286" t="str">
            <v>Moved non-energy emissions cells to new worksheet, called "Non-energy emissions."</v>
          </cell>
        </row>
        <row r="287">
          <cell r="A287">
            <v>36991</v>
          </cell>
          <cell r="B287" t="str">
            <v>Noam</v>
          </cell>
          <cell r="C287" t="str">
            <v>NA</v>
          </cell>
          <cell r="D287" t="str">
            <v>n/a</v>
          </cell>
          <cell r="E287" t="str">
            <v xml:space="preserve">Added sheet called "RTI energy data" and entered RTI data. </v>
          </cell>
        </row>
        <row r="288">
          <cell r="A288">
            <v>36993</v>
          </cell>
          <cell r="B288" t="str">
            <v>Noam</v>
          </cell>
          <cell r="C288" t="str">
            <v>Energy Emissions</v>
          </cell>
          <cell r="D288" t="str">
            <v>n/a</v>
          </cell>
          <cell r="E288" t="str">
            <v xml:space="preserve">Pulled RTI data into appropriate cells for virgin process &amp; transportation, and recycled process &amp; transportation. </v>
          </cell>
        </row>
        <row r="289">
          <cell r="A289">
            <v>36993</v>
          </cell>
          <cell r="B289" t="str">
            <v>Noam</v>
          </cell>
          <cell r="C289" t="str">
            <v>Assumptions</v>
          </cell>
          <cell r="D289" t="str">
            <v>B67:D78</v>
          </cell>
          <cell r="E289" t="str">
            <v xml:space="preserve">Updated generation and recovery rates to reflect 1997 Charact. Report data (not 1995).  Added magazines, phonebooks, and textbooks. </v>
          </cell>
        </row>
        <row r="290">
          <cell r="A290">
            <v>36994</v>
          </cell>
          <cell r="B290" t="str">
            <v>Noam</v>
          </cell>
          <cell r="C290" t="str">
            <v>Ch-6</v>
          </cell>
          <cell r="D290" t="str">
            <v>all tables</v>
          </cell>
          <cell r="E290" t="str">
            <v xml:space="preserve">added new materials (magazines, phonebooks, and textbooks); reordered materials in exhibits; in exhibit 6-2, used newspaper as proxy for phonebooks and office paper as proxy for textbooks. </v>
          </cell>
        </row>
        <row r="291">
          <cell r="A291">
            <v>36994</v>
          </cell>
          <cell r="B291" t="str">
            <v>Noam</v>
          </cell>
          <cell r="C291" t="str">
            <v>Ch-6</v>
          </cell>
          <cell r="D291" t="str">
            <v>exhibit 6-6</v>
          </cell>
          <cell r="E291" t="str">
            <v>Moved to new worksheet in GHG_REPORT, entitled "Exhibit 6-6."</v>
          </cell>
        </row>
        <row r="292">
          <cell r="A292">
            <v>37000</v>
          </cell>
          <cell r="B292" t="str">
            <v>Noam</v>
          </cell>
          <cell r="C292" t="str">
            <v>Non-energy Emissions</v>
          </cell>
          <cell r="D292" t="str">
            <v>c3, c4, c5, c11</v>
          </cell>
          <cell r="E292" t="str">
            <v xml:space="preserve">Updated non-energy CO2 with RTI data.  Added table (I2:K13) with RTI calcs (coverting from lbs/ton to MT/ton). </v>
          </cell>
        </row>
        <row r="293">
          <cell r="A293">
            <v>37001</v>
          </cell>
          <cell r="B293" t="str">
            <v>Noam</v>
          </cell>
          <cell r="C293" t="str">
            <v>Utility Calculations</v>
          </cell>
          <cell r="D293" t="str">
            <v>h10:h12</v>
          </cell>
          <cell r="E293" t="str">
            <v>updated estimates with latest EIA data (from http://www.eia.doe.gov/emeu/aer/elect.html), figure 8.8.</v>
          </cell>
        </row>
        <row r="294">
          <cell r="A294">
            <v>37006</v>
          </cell>
          <cell r="B294" t="str">
            <v>Noam</v>
          </cell>
          <cell r="C294" t="str">
            <v>Assumptions</v>
          </cell>
          <cell r="D294" t="str">
            <v>b122:b128</v>
          </cell>
          <cell r="E294" t="str">
            <v xml:space="preserve">Updated electricity net generation data (replaced 1996 EIA data with 1999 data) </v>
          </cell>
        </row>
        <row r="295">
          <cell r="A295">
            <v>37020</v>
          </cell>
          <cell r="B295" t="str">
            <v>Noam</v>
          </cell>
          <cell r="C295" t="str">
            <v>Assumptions</v>
          </cell>
          <cell r="D295" t="str">
            <v>a15:c15</v>
          </cell>
          <cell r="E295" t="str">
            <v xml:space="preserve">Updated landfill methane distribution estimates. Added two new cells for % methane generated from landfills with: a) flaring and b) LFGTE. </v>
          </cell>
        </row>
        <row r="296">
          <cell r="A296">
            <v>37021</v>
          </cell>
          <cell r="B296" t="str">
            <v>Anne</v>
          </cell>
          <cell r="C296" t="str">
            <v>All</v>
          </cell>
          <cell r="D296" t="str">
            <v>All</v>
          </cell>
          <cell r="E296" t="str">
            <v>Reordered sheets to more closely follow structure of the EC spreadsheet model (assumptions --&gt; energy--&gt;composting --&gt;combustion --&gt; landfilling).  Moved all forest carbon sheets to the end b/c there are so many of them and they break up the flow of the o</v>
          </cell>
        </row>
        <row r="297">
          <cell r="A297">
            <v>37021</v>
          </cell>
          <cell r="B297" t="str">
            <v>Anne</v>
          </cell>
          <cell r="C297" t="str">
            <v>All</v>
          </cell>
          <cell r="D297" t="str">
            <v>All</v>
          </cell>
          <cell r="E297" t="str">
            <v>Renamed sheets with names as chapters to more descriptive names:  Chapter 6 became combustion, Chapter 7 became landfilling, Chapter 5 became compost net flux, Century results are labeled as such, and the sheet labeled Chapter 5, exhibit X became Incremen</v>
          </cell>
        </row>
        <row r="298">
          <cell r="A298">
            <v>37021</v>
          </cell>
          <cell r="B298" t="str">
            <v>Anne</v>
          </cell>
          <cell r="C298" t="str">
            <v>H2O% of MSW and Landfilling</v>
          </cell>
          <cell r="D298" t="str">
            <v>All</v>
          </cell>
          <cell r="E298" t="str">
            <v>Moved table used to calculate the fraction of mixed MSW that is water.  This table is used in the Landfilling sheet, as are other Barlaz results.  Therefore, I moved it to the bottom of the Landfilling sheet. Deleted the H2O% sheet.</v>
          </cell>
        </row>
        <row r="299">
          <cell r="A299">
            <v>37021</v>
          </cell>
          <cell r="B299" t="str">
            <v>Anne</v>
          </cell>
          <cell r="C299" t="str">
            <v xml:space="preserve">CSeq of MSW inus plastic and Landfilling </v>
          </cell>
          <cell r="D299" t="str">
            <v>All</v>
          </cell>
          <cell r="E299" t="str">
            <v>Moved the table used to estimate the fraction of non-plastic carbon sequestered in mixed MSW from the sheet with that name to the landfilling sheet.  Deleted the CSeq sheet.</v>
          </cell>
        </row>
        <row r="300">
          <cell r="A300">
            <v>37021</v>
          </cell>
          <cell r="B300" t="str">
            <v>Anne</v>
          </cell>
          <cell r="C300" t="str">
            <v>Landfilling</v>
          </cell>
          <cell r="D300" t="str">
            <v>Table on YT assumptions</v>
          </cell>
          <cell r="E300" t="str">
            <v>Relinked cells dependent on this table to the identical table in the Assumptions sheet.  Made similar adjustments to cells in WARM that linked to this table.  Deleted the YT composition table in the Landfilling sheet.</v>
          </cell>
        </row>
        <row r="301">
          <cell r="A301">
            <v>37021</v>
          </cell>
          <cell r="B301" t="str">
            <v>Anne</v>
          </cell>
          <cell r="C301" t="str">
            <v>Assumptions</v>
          </cell>
          <cell r="D301" t="str">
            <v>Mixed Recyclables Table</v>
          </cell>
          <cell r="E301" t="str">
            <v>Moved mixed recyclables tables next to eachother at the bottom of the sheet.</v>
          </cell>
        </row>
        <row r="302">
          <cell r="A302">
            <v>37021</v>
          </cell>
          <cell r="B302" t="str">
            <v>Anne</v>
          </cell>
          <cell r="C302" t="str">
            <v>Current Mix</v>
          </cell>
          <cell r="D302" t="str">
            <v>Comment</v>
          </cell>
          <cell r="E302" t="str">
            <v>Deleted comment about data on phonebooks and magazines</v>
          </cell>
        </row>
        <row r="303">
          <cell r="A303">
            <v>37021</v>
          </cell>
          <cell r="B303" t="str">
            <v>Anne</v>
          </cell>
          <cell r="C303" t="str">
            <v>EFs by Native Gas</v>
          </cell>
          <cell r="D303" t="str">
            <v>Various</v>
          </cell>
          <cell r="E303" t="str">
            <v>Highlighted gaps on this sheet.</v>
          </cell>
        </row>
        <row r="304">
          <cell r="A304">
            <v>37046</v>
          </cell>
          <cell r="B304" t="str">
            <v>Susan</v>
          </cell>
          <cell r="C304" t="str">
            <v>Emission Factors</v>
          </cell>
          <cell r="D304" t="str">
            <v>Various</v>
          </cell>
          <cell r="E304" t="str">
            <v xml:space="preserve">Mixed Plastics, Mixed Recyclables, Mixed Organics, and Mixed MSW - Changed straight averages to weighted averages </v>
          </cell>
        </row>
        <row r="305">
          <cell r="A305">
            <v>37046</v>
          </cell>
          <cell r="B305" t="str">
            <v>Susan</v>
          </cell>
          <cell r="C305" t="str">
            <v>Assumptions</v>
          </cell>
          <cell r="D305" t="str">
            <v>A77:E79</v>
          </cell>
          <cell r="E305" t="str">
            <v>Added tons of food scraps and yard trimmings generated in 1997 from 21998 Update to Characterization report.</v>
          </cell>
        </row>
        <row r="306">
          <cell r="A306">
            <v>37057</v>
          </cell>
          <cell r="B306" t="str">
            <v>Susan</v>
          </cell>
          <cell r="C306" t="str">
            <v>Landfilling</v>
          </cell>
          <cell r="D306" t="str">
            <v>Various</v>
          </cell>
          <cell r="E306" t="str">
            <v>Changed "Sequestration" to "Storage" in Exhibits</v>
          </cell>
        </row>
        <row r="307">
          <cell r="A307">
            <v>37130</v>
          </cell>
          <cell r="B307" t="str">
            <v>Susan</v>
          </cell>
          <cell r="C307" t="str">
            <v>Alt Emis Factors</v>
          </cell>
          <cell r="D307" t="str">
            <v>All</v>
          </cell>
          <cell r="E307" t="str">
            <v>Updated Alt Emission Factors to reflect new materials and new EFs</v>
          </cell>
        </row>
        <row r="308">
          <cell r="A308">
            <v>37142</v>
          </cell>
          <cell r="B308" t="str">
            <v>Noam</v>
          </cell>
          <cell r="C308" t="str">
            <v>Current Mix</v>
          </cell>
          <cell r="D308" t="str">
            <v>D4:D18</v>
          </cell>
          <cell r="E308" t="str">
            <v xml:space="preserve">deleted "tons retained" info.  No longer being used, since we have RTI's total loss rate data. </v>
          </cell>
        </row>
        <row r="309">
          <cell r="A309">
            <v>37144</v>
          </cell>
          <cell r="B309" t="str">
            <v>Susan</v>
          </cell>
          <cell r="C309" t="str">
            <v>EFs by Native Gas</v>
          </cell>
          <cell r="D309" t="str">
            <v>I17:I18</v>
          </cell>
          <cell r="E309" t="str">
            <v>Changed NA's to 0.0 to stop causing #VALUE errors in WARM</v>
          </cell>
        </row>
        <row r="319">
          <cell r="A319">
            <v>37319</v>
          </cell>
          <cell r="B319" t="str">
            <v>Susan</v>
          </cell>
          <cell r="C319" t="str">
            <v>Multiple</v>
          </cell>
          <cell r="D319" t="str">
            <v>multiple</v>
          </cell>
          <cell r="E319" t="str">
            <v>Added carpet data from Franklin 2001 report</v>
          </cell>
        </row>
        <row r="320">
          <cell r="A320">
            <v>37319</v>
          </cell>
          <cell r="B320" t="str">
            <v>Susan</v>
          </cell>
          <cell r="C320" t="str">
            <v>Assumptions</v>
          </cell>
          <cell r="D320" t="str">
            <v>B89:E90</v>
          </cell>
          <cell r="E320" t="str">
            <v>updated yard trimmings and food scraps generation and recovery data using "Municipal Solid Waste In the United States: 1999 Facts and Figures</v>
          </cell>
        </row>
        <row r="321">
          <cell r="A321">
            <v>37344</v>
          </cell>
          <cell r="B321" t="str">
            <v>Susan</v>
          </cell>
          <cell r="C321" t="str">
            <v>Multiple</v>
          </cell>
          <cell r="E321" t="str">
            <v>Added electronics data from Franklin report</v>
          </cell>
        </row>
        <row r="322">
          <cell r="A322">
            <v>37350</v>
          </cell>
          <cell r="B322" t="str">
            <v>Susan</v>
          </cell>
          <cell r="C322" t="str">
            <v>Multiple</v>
          </cell>
          <cell r="E322" t="str">
            <v>Changed "electronics" to "personal computers" per 4/3/02 email from Henry</v>
          </cell>
        </row>
        <row r="323">
          <cell r="A323">
            <v>37350</v>
          </cell>
          <cell r="B323" t="str">
            <v>Susan</v>
          </cell>
          <cell r="C323" t="str">
            <v>Assumptions</v>
          </cell>
          <cell r="D323" t="str">
            <v>row 50:51</v>
          </cell>
          <cell r="E323" t="str">
            <v>Added carbon content data for Carpets and Personal Computers</v>
          </cell>
        </row>
        <row r="324">
          <cell r="A324">
            <v>37351</v>
          </cell>
          <cell r="B324" t="str">
            <v>Susan</v>
          </cell>
          <cell r="C324" t="str">
            <v>Assumptions</v>
          </cell>
          <cell r="D324" t="str">
            <v>F43:K56</v>
          </cell>
          <cell r="E324" t="str">
            <v>Added data on material composition for carpets and personal computers to support calculation of weighted average carbon content value</v>
          </cell>
        </row>
        <row r="325">
          <cell r="A325">
            <v>37357</v>
          </cell>
          <cell r="B325" t="str">
            <v>Caren</v>
          </cell>
          <cell r="C325" t="str">
            <v>Assumptions</v>
          </cell>
          <cell r="D325" t="str">
            <v>B66:F93</v>
          </cell>
          <cell r="E325" t="str">
            <v>Updated generation and recovery rates to reflect 2000 Facts and Figures from Franklin.</v>
          </cell>
        </row>
        <row r="326">
          <cell r="A326">
            <v>37363</v>
          </cell>
          <cell r="B326" t="str">
            <v>Deanna</v>
          </cell>
          <cell r="C326" t="str">
            <v>Emission Factors; EFs by Native Gas</v>
          </cell>
          <cell r="E326" t="str">
            <v>Added mixed metals row.  Now WARM mixed metals are linked to these worksheets.</v>
          </cell>
        </row>
        <row r="327">
          <cell r="A327">
            <v>37369</v>
          </cell>
          <cell r="B327" t="str">
            <v>Susan</v>
          </cell>
          <cell r="C327" t="str">
            <v>Assumptions</v>
          </cell>
          <cell r="D327" t="str">
            <v>B120:125</v>
          </cell>
          <cell r="E327" t="str">
            <v xml:space="preserve">Updated electricity net generation data (replaced 1999 EIA data with 2000 data) </v>
          </cell>
        </row>
        <row r="328">
          <cell r="A328">
            <v>37446</v>
          </cell>
          <cell r="B328" t="str">
            <v>Susan</v>
          </cell>
          <cell r="C328" t="str">
            <v>Various sheets</v>
          </cell>
          <cell r="E328" t="str">
            <v>Added rows for green building EFs</v>
          </cell>
        </row>
        <row r="329">
          <cell r="A329">
            <v>37454</v>
          </cell>
          <cell r="B329" t="str">
            <v>Susan</v>
          </cell>
          <cell r="C329" t="str">
            <v>Emission Factors, Energy Emissions, Industrial Process Emissions, Current Mix</v>
          </cell>
          <cell r="E329" t="str">
            <v>Filled in Athena data on clay bricks</v>
          </cell>
        </row>
        <row r="330">
          <cell r="A330">
            <v>37461</v>
          </cell>
          <cell r="B330" t="str">
            <v>Philip</v>
          </cell>
          <cell r="C330" t="str">
            <v>Emission factors, loss rates, energy emissions, current mix, industrial process emissions</v>
          </cell>
          <cell r="E330" t="str">
            <v>Added rows for second type of aggregates and concrete; entered data for aggregates and concrete</v>
          </cell>
        </row>
        <row r="331">
          <cell r="A331">
            <v>37462</v>
          </cell>
          <cell r="B331" t="str">
            <v>Philip</v>
          </cell>
          <cell r="C331" t="str">
            <v>Carbon Coefficients, Emission factors, loss rates, energy emissions, current mix, industrial process emissions, assumptions</v>
          </cell>
          <cell r="E331" t="str">
            <v>Added row for Wastes as fuel (no data yet) on CC sheet, added second concrete row on all sheets, added fuel mix for concrete "other" on assumptions sheet, added concrete data; removed coarse aggregate rows, changed fine aggregate to aggregate, combined da</v>
          </cell>
        </row>
        <row r="332">
          <cell r="A332">
            <v>37462</v>
          </cell>
          <cell r="B332" t="str">
            <v>Susan</v>
          </cell>
          <cell r="C332" t="str">
            <v>EFs by Native Gas</v>
          </cell>
          <cell r="D332" t="str">
            <v>rows 36-40</v>
          </cell>
          <cell r="E332" t="str">
            <v>Added new building materials and associated formulas</v>
          </cell>
        </row>
        <row r="333">
          <cell r="A333">
            <v>37462</v>
          </cell>
          <cell r="B333" t="str">
            <v>Susan</v>
          </cell>
          <cell r="C333" t="str">
            <v>Alt Emis Factors</v>
          </cell>
          <cell r="D333" t="str">
            <v>Various</v>
          </cell>
          <cell r="E333" t="str">
            <v>Added new building materials and associated formulas</v>
          </cell>
        </row>
        <row r="334">
          <cell r="A334">
            <v>37463</v>
          </cell>
          <cell r="B334" t="str">
            <v>Philip</v>
          </cell>
          <cell r="C334" t="str">
            <v>Energy Emissions, Carbon Coefficients</v>
          </cell>
          <cell r="D334" t="str">
            <v>rows 42-44, 96-98; row 20</v>
          </cell>
          <cell r="E334" t="str">
            <v>Added and revised aggregate and concrete data; added waste cc's</v>
          </cell>
        </row>
        <row r="335">
          <cell r="A335">
            <v>37466</v>
          </cell>
          <cell r="B335" t="str">
            <v>Susan</v>
          </cell>
          <cell r="C335" t="str">
            <v>Emission Factors</v>
          </cell>
          <cell r="D335" t="str">
            <v>C5</v>
          </cell>
          <cell r="E335" t="str">
            <v>Changed "Net Source Reduction Inputs For Current Mix of Inputs" to "Net Source Reduction Emissions…"</v>
          </cell>
        </row>
        <row r="336">
          <cell r="A336">
            <v>37468</v>
          </cell>
          <cell r="B336" t="str">
            <v>Philip</v>
          </cell>
          <cell r="C336" t="str">
            <v>Emission Factors, Energy Emissions</v>
          </cell>
          <cell r="D336" t="str">
            <v>row 39; row 96-98</v>
          </cell>
          <cell r="E336" t="str">
            <v>Removed equations from aggregate source reduction; changed recycled transportation data. We will now assume all recycling on site, and express emissions/energy as a function of distance; linked concrete and aggregate data to green buildings spreadsheet; i</v>
          </cell>
        </row>
        <row r="337">
          <cell r="A337">
            <v>37483</v>
          </cell>
          <cell r="B337" t="str">
            <v>Noam</v>
          </cell>
          <cell r="C337" t="str">
            <v>Carbon Coefficients</v>
          </cell>
          <cell r="D337" t="str">
            <v>rows 17-18</v>
          </cell>
          <cell r="E337" t="str">
            <v>Added carbon coefficients for petroleum coke and metallurgical coke.</v>
          </cell>
        </row>
        <row r="338">
          <cell r="A338">
            <v>37486</v>
          </cell>
          <cell r="B338" t="str">
            <v>Noam</v>
          </cell>
          <cell r="C338" t="str">
            <v>Energy Emissions</v>
          </cell>
          <cell r="D338" t="str">
            <v>rows 38-48 and 114-123</v>
          </cell>
          <cell r="E338" t="str">
            <v>Added Franklin energy data for carpet and PCs, including secondary products.</v>
          </cell>
        </row>
        <row r="339">
          <cell r="A339">
            <v>37487</v>
          </cell>
          <cell r="B339" t="str">
            <v>Noam</v>
          </cell>
          <cell r="C339" t="str">
            <v>Industrial Process Emission</v>
          </cell>
          <cell r="D339" t="str">
            <v>rows 27-37 and 71-19</v>
          </cell>
          <cell r="E339" t="str">
            <v>Added Franklin data for carpet and PCs.</v>
          </cell>
        </row>
        <row r="340">
          <cell r="A340">
            <v>37487</v>
          </cell>
          <cell r="B340" t="str">
            <v>Noam</v>
          </cell>
          <cell r="C340" t="str">
            <v>Assumptions</v>
          </cell>
          <cell r="D340" t="str">
            <v>rows 200-211</v>
          </cell>
          <cell r="E340" t="str">
            <v>Added tables showing distribution of secondary products for carpets and PCs.  Tables used to weight the recycling emission factors.</v>
          </cell>
        </row>
        <row r="341">
          <cell r="A341">
            <v>37487</v>
          </cell>
          <cell r="B341" t="str">
            <v>Noam</v>
          </cell>
          <cell r="C341" t="str">
            <v>Emission Factors</v>
          </cell>
          <cell r="D341" t="str">
            <v>AS44:BB59</v>
          </cell>
          <cell r="E341" t="str">
            <v>Added table calculating recycling EFs for carpet and PCs.</v>
          </cell>
        </row>
        <row r="342">
          <cell r="A342">
            <v>37487</v>
          </cell>
          <cell r="B342" t="str">
            <v>Noam</v>
          </cell>
          <cell r="C342" t="str">
            <v>Loss Rates</v>
          </cell>
          <cell r="D342" t="str">
            <v>rows 60-70</v>
          </cell>
          <cell r="E342" t="str">
            <v>Added loss rates for carpet and PC secondary products.</v>
          </cell>
        </row>
        <row r="343">
          <cell r="A343">
            <v>37488</v>
          </cell>
          <cell r="B343" t="str">
            <v>Noam</v>
          </cell>
          <cell r="C343" t="str">
            <v>Combustion</v>
          </cell>
          <cell r="D343" t="str">
            <v>all relevant cells</v>
          </cell>
          <cell r="E343" t="str">
            <v>Added estimates for carpet and PCs.</v>
          </cell>
        </row>
        <row r="344">
          <cell r="A344">
            <v>37488</v>
          </cell>
          <cell r="B344" t="str">
            <v>Noam</v>
          </cell>
          <cell r="C344" t="str">
            <v>Emission Factors</v>
          </cell>
          <cell r="D344" t="str">
            <v>all relevant cells</v>
          </cell>
          <cell r="E344" t="str">
            <v>Added estimates for carpet and PCs.</v>
          </cell>
        </row>
        <row r="345">
          <cell r="A345">
            <v>37488</v>
          </cell>
          <cell r="B345" t="str">
            <v>Noam</v>
          </cell>
          <cell r="C345" t="str">
            <v>EFs by Native Gas</v>
          </cell>
          <cell r="D345" t="str">
            <v>am45:bb47</v>
          </cell>
          <cell r="E345" t="str">
            <v>Added table calculating recycling EFs for carpet and PCs.</v>
          </cell>
        </row>
        <row r="346">
          <cell r="A346">
            <v>37488</v>
          </cell>
          <cell r="B346" t="str">
            <v>Noam</v>
          </cell>
          <cell r="C346" t="str">
            <v>EFs by Native Gas</v>
          </cell>
          <cell r="D346" t="str">
            <v>all relevant cells</v>
          </cell>
          <cell r="E346" t="str">
            <v>Added estimates for carpet and PCs.</v>
          </cell>
        </row>
        <row r="347">
          <cell r="A347">
            <v>37488</v>
          </cell>
          <cell r="B347" t="str">
            <v>Noam</v>
          </cell>
          <cell r="C347" t="str">
            <v>Current Mix</v>
          </cell>
          <cell r="D347" t="str">
            <v>d19:d20</v>
          </cell>
          <cell r="E347" t="str">
            <v>Entered estimate 0 for "tons of product from recycled input" for carpets and PCs.</v>
          </cell>
        </row>
        <row r="357">
          <cell r="A357">
            <v>37635</v>
          </cell>
          <cell r="B357" t="str">
            <v>Philip</v>
          </cell>
          <cell r="C357" t="str">
            <v>IP Emissions</v>
          </cell>
          <cell r="D357" t="str">
            <v>inserted cells A43:G44, rows 87-88</v>
          </cell>
          <cell r="E357" t="str">
            <v xml:space="preserve">Added data and emission factors for concrete with 25% and 50% of cement replaced with fly ash. Data linked from Green buildings data worksheet. </v>
          </cell>
        </row>
        <row r="358">
          <cell r="A358">
            <v>37635</v>
          </cell>
          <cell r="B358" t="str">
            <v>Philip</v>
          </cell>
          <cell r="C358" t="str">
            <v>Assumptions</v>
          </cell>
          <cell r="D358" t="str">
            <v>inserted rows 197-198</v>
          </cell>
          <cell r="E358" t="str">
            <v xml:space="preserve">Added data and emission factors for concrete with 25% and 50% of cement replaced with fly ash. Data linked from Green buildings data worksheet. </v>
          </cell>
        </row>
        <row r="359">
          <cell r="A359">
            <v>37635</v>
          </cell>
          <cell r="B359" t="str">
            <v>Philip</v>
          </cell>
          <cell r="C359" t="str">
            <v>Loss Rates</v>
          </cell>
          <cell r="D359" t="str">
            <v>inserted rows 56-57</v>
          </cell>
          <cell r="E359" t="str">
            <v xml:space="preserve">Added data and emission factors for concrete with 25% and 50% of cement replaced with fly ash. Data linked from Green buildings data worksheet. </v>
          </cell>
        </row>
        <row r="360">
          <cell r="A360">
            <v>37635</v>
          </cell>
          <cell r="B360" t="str">
            <v>Philip</v>
          </cell>
          <cell r="C360" t="str">
            <v>Current Mix</v>
          </cell>
          <cell r="D360" t="str">
            <v>inserted rows 26-27</v>
          </cell>
          <cell r="E360" t="str">
            <v xml:space="preserve">Added data and emission factors for concrete with 25% and 50% of cement replaced with fly ash. Data linked from Green buildings data worksheet. </v>
          </cell>
        </row>
        <row r="361">
          <cell r="A361">
            <v>37635</v>
          </cell>
          <cell r="B361" t="str">
            <v>Philip</v>
          </cell>
          <cell r="C361" t="str">
            <v>Alt Emis Factors</v>
          </cell>
          <cell r="D361" t="str">
            <v>Inserted rows 41-42, 81-82, 121-122, 161-162</v>
          </cell>
          <cell r="E361" t="str">
            <v xml:space="preserve">Added data and emission factors for concrete with 25% and 50% of cement replaced with fly ash. Data linked from Green buildings data worksheet. </v>
          </cell>
        </row>
        <row r="362">
          <cell r="A362">
            <v>37844</v>
          </cell>
          <cell r="B362" t="str">
            <v>Philip</v>
          </cell>
          <cell r="C362" t="str">
            <v>Emission Factors</v>
          </cell>
          <cell r="D362" t="str">
            <v>Rows 41-43</v>
          </cell>
          <cell r="E362" t="str">
            <v>Deleted data for the 20%, 25%, and 50% fly ash mixes; changed data for the 15% mix to a simple fly ash factor</v>
          </cell>
        </row>
        <row r="363">
          <cell r="A363">
            <v>37844</v>
          </cell>
          <cell r="B363" t="str">
            <v>Philip</v>
          </cell>
          <cell r="C363" t="str">
            <v>EF by Native Gas</v>
          </cell>
          <cell r="D363" t="str">
            <v>Rows 39-41</v>
          </cell>
          <cell r="E363" t="str">
            <v>Deleted data for the 20%, 25%, and 50% fly ash mixes; changed data for the 15% mix to a simple fly ash factor</v>
          </cell>
        </row>
        <row r="364">
          <cell r="A364">
            <v>37844</v>
          </cell>
          <cell r="B364" t="str">
            <v>Philip</v>
          </cell>
          <cell r="C364" t="str">
            <v>Assumptions</v>
          </cell>
          <cell r="D364" t="str">
            <v>Rows 195-198</v>
          </cell>
          <cell r="E364" t="str">
            <v>Deleted data for the 20%, 25%, and 50% fly ash mixes; changed data for the 15% mix to a simple fly ash factor</v>
          </cell>
        </row>
        <row r="365">
          <cell r="A365">
            <v>37844</v>
          </cell>
          <cell r="B365" t="str">
            <v>Philip</v>
          </cell>
          <cell r="C365" t="str">
            <v>Loss Rates</v>
          </cell>
          <cell r="D365" t="str">
            <v>Rows 55-57</v>
          </cell>
          <cell r="E365" t="str">
            <v>Deleted data for the 20%, 25%, and 50% fly ash mixes; changed data for the 15% mix to a simple fly ash factor</v>
          </cell>
        </row>
        <row r="366">
          <cell r="A366">
            <v>37844</v>
          </cell>
          <cell r="B366" t="str">
            <v>Philip</v>
          </cell>
          <cell r="C366" t="str">
            <v>Current Mix</v>
          </cell>
          <cell r="D366" t="str">
            <v>Rows 25-27</v>
          </cell>
          <cell r="E366" t="str">
            <v>Deleted data for the 20%, 25%, and 50% fly ash mixes; changed data for the 15% mix to a simple fly ash factor</v>
          </cell>
        </row>
        <row r="367">
          <cell r="A367">
            <v>37844</v>
          </cell>
          <cell r="B367" t="str">
            <v>Philip</v>
          </cell>
          <cell r="C367" t="str">
            <v>Energy Emissions</v>
          </cell>
          <cell r="D367" t="str">
            <v>Rows 54-54, 156-158</v>
          </cell>
          <cell r="E367" t="str">
            <v>Deleted data for the 20%, 25%, and 50% fly ash mixes; changed data for the 15% mix to a simple fly ash factor</v>
          </cell>
        </row>
        <row r="368">
          <cell r="A368">
            <v>37844</v>
          </cell>
          <cell r="B368" t="str">
            <v>Philip</v>
          </cell>
          <cell r="C368" t="str">
            <v>Industrial Process Emission</v>
          </cell>
          <cell r="D368" t="str">
            <v>Rows 42-44, 86-88</v>
          </cell>
          <cell r="E368" t="str">
            <v>Deleted data for the 20%, 25%, and 50% fly ash mixes; changed data for the 15% mix to a simple fly ash factor</v>
          </cell>
        </row>
        <row r="369">
          <cell r="A369">
            <v>37844</v>
          </cell>
          <cell r="B369" t="str">
            <v>Philip</v>
          </cell>
          <cell r="C369" t="str">
            <v>Alt Emis Factors</v>
          </cell>
          <cell r="D369" t="str">
            <v>Rows 40-42, 80-82, 120-122, 160-162</v>
          </cell>
          <cell r="E369" t="str">
            <v>Deleted data for the 20%, 25%, and 50% fly ash mixes; changed data for the 15% mix to a simple fly ash factor</v>
          </cell>
        </row>
        <row r="370">
          <cell r="A370">
            <v>37844</v>
          </cell>
          <cell r="B370" t="str">
            <v>Philip</v>
          </cell>
          <cell r="C370" t="str">
            <v>Carbon Coefficients</v>
          </cell>
          <cell r="D370" t="str">
            <v>A21:F21</v>
          </cell>
          <cell r="E370" t="str">
            <v>Linked row 21 to row 17 b/c row 17 had more recent pet coke data; row 21 is now superfluous</v>
          </cell>
        </row>
        <row r="371">
          <cell r="A371">
            <v>37858</v>
          </cell>
          <cell r="B371" t="str">
            <v>Philip</v>
          </cell>
          <cell r="C371" t="str">
            <v>Energy Emissions</v>
          </cell>
          <cell r="D371" t="str">
            <v>rows 52:53, 154:155</v>
          </cell>
          <cell r="E371" t="str">
            <v>Changed "Green Building data.xls" links to new sheets that reflect reviewer comments</v>
          </cell>
        </row>
        <row r="372">
          <cell r="A372">
            <v>37886</v>
          </cell>
          <cell r="B372" t="str">
            <v>Philip</v>
          </cell>
          <cell r="C372" t="str">
            <v>Carbon Coefficients</v>
          </cell>
          <cell r="D372" t="str">
            <v>F13</v>
          </cell>
          <cell r="E372" t="str">
            <v>Changed "kg CE Emitted Per Million Btu Consumed" to equal carbon + methane. The previous value, 16.25 (hard-wired), did not equal the sum of the carbon and fugitive methane factors</v>
          </cell>
        </row>
        <row r="373">
          <cell r="A373">
            <v>37924</v>
          </cell>
          <cell r="B373" t="str">
            <v>Randy</v>
          </cell>
          <cell r="C373" t="str">
            <v>Utility Calculations</v>
          </cell>
          <cell r="D373" t="str">
            <v>U28</v>
          </cell>
          <cell r="E373" t="str">
            <v>Changed the steel recovery value to match the explanation on page 89 of the report.  Value changes from 0.024 to 0.028.</v>
          </cell>
        </row>
        <row r="374">
          <cell r="A374">
            <v>37958</v>
          </cell>
          <cell r="B374" t="str">
            <v>Jeremy</v>
          </cell>
          <cell r="C374" t="str">
            <v>all relevant sheets</v>
          </cell>
          <cell r="E374" t="str">
            <v>Removed rows between PCs and GB materials</v>
          </cell>
        </row>
        <row r="375">
          <cell r="A375">
            <v>38028</v>
          </cell>
          <cell r="B375" t="str">
            <v>Jeremy</v>
          </cell>
          <cell r="C375" t="str">
            <v>Current Mix</v>
          </cell>
          <cell r="D375" t="str">
            <v>H3:H23</v>
          </cell>
          <cell r="E375" t="str">
            <v xml:space="preserve"> Added new Current Mix values from Franklin.</v>
          </cell>
        </row>
        <row r="376">
          <cell r="A376">
            <v>38028</v>
          </cell>
          <cell r="B376" t="str">
            <v>Jeremy</v>
          </cell>
          <cell r="C376" t="str">
            <v>Energy Emissions</v>
          </cell>
          <cell r="D376" t="str">
            <v>H3:H23</v>
          </cell>
          <cell r="E376" t="str">
            <v xml:space="preserve"> Added new recycled Boxboard data from RPTA.</v>
          </cell>
        </row>
        <row r="377">
          <cell r="A377">
            <v>38028</v>
          </cell>
          <cell r="B377" t="str">
            <v>Noam</v>
          </cell>
          <cell r="C377" t="str">
            <v>Assumptions</v>
          </cell>
          <cell r="D377" t="str">
            <v>A65:F79</v>
          </cell>
          <cell r="E377" t="str">
            <v xml:space="preserve"> Updated MSW data w/2002 values.</v>
          </cell>
        </row>
        <row r="378">
          <cell r="A378">
            <v>38028</v>
          </cell>
          <cell r="B378" t="str">
            <v>Jeremy</v>
          </cell>
          <cell r="C378" t="str">
            <v>Energy Emissions</v>
          </cell>
          <cell r="D378" t="str">
            <v>all relevant cells</v>
          </cell>
          <cell r="E378" t="str">
            <v>Inserted GB data into worksheet (removed links)</v>
          </cell>
        </row>
        <row r="379">
          <cell r="A379">
            <v>38028</v>
          </cell>
          <cell r="B379" t="str">
            <v>Jeremy</v>
          </cell>
          <cell r="C379" t="str">
            <v>Industrial Process Emission</v>
          </cell>
          <cell r="D379" t="str">
            <v>all relevant cells</v>
          </cell>
          <cell r="E379" t="str">
            <v>Inserted GB data into worksheet (removed links)</v>
          </cell>
        </row>
        <row r="380">
          <cell r="A380">
            <v>38028</v>
          </cell>
          <cell r="B380" t="str">
            <v>Jeremy</v>
          </cell>
          <cell r="C380" t="str">
            <v>Loss Rates</v>
          </cell>
          <cell r="D380" t="str">
            <v>B58</v>
          </cell>
          <cell r="E380" t="str">
            <v xml:space="preserve"> Added new recycled Boxboard data from RPTA.</v>
          </cell>
        </row>
        <row r="381">
          <cell r="A381">
            <v>38028</v>
          </cell>
          <cell r="B381" t="str">
            <v>Jeremy</v>
          </cell>
          <cell r="C381" t="str">
            <v>Emission Factors</v>
          </cell>
          <cell r="D381" t="str">
            <v>Q12:T12</v>
          </cell>
          <cell r="E381" t="str">
            <v>Inserted open loop for cardboard (24% boxboard)</v>
          </cell>
        </row>
        <row r="382">
          <cell r="A382">
            <v>38028</v>
          </cell>
          <cell r="B382" t="str">
            <v>Jeremy</v>
          </cell>
          <cell r="C382" t="str">
            <v>Emission Factors</v>
          </cell>
          <cell r="D382" t="str">
            <v>Q26:T27</v>
          </cell>
          <cell r="E382" t="str">
            <v xml:space="preserve"> Linked to new loss rate value from RPTA.</v>
          </cell>
        </row>
        <row r="383">
          <cell r="A383">
            <v>38028</v>
          </cell>
          <cell r="B383" t="str">
            <v>Jeremy</v>
          </cell>
          <cell r="C383" t="str">
            <v>Carbon Coefficients</v>
          </cell>
          <cell r="D383" t="str">
            <v>F13</v>
          </cell>
          <cell r="E383" t="str">
            <v>Inserted correct sum function (This raised the CE value for national average electricity).</v>
          </cell>
        </row>
        <row r="384">
          <cell r="A384">
            <v>38450</v>
          </cell>
          <cell r="B384" t="str">
            <v>Lauren</v>
          </cell>
          <cell r="C384" t="str">
            <v>Retail Transport</v>
          </cell>
          <cell r="D384" t="str">
            <v>entire sheet</v>
          </cell>
          <cell r="E384" t="str">
            <v>Added Retail Transport sheet that will be added to emission factor calculations.</v>
          </cell>
        </row>
        <row r="385">
          <cell r="A385">
            <v>38450</v>
          </cell>
          <cell r="B385" t="str">
            <v>Lauren</v>
          </cell>
          <cell r="C385" t="str">
            <v>Energy Emissions</v>
          </cell>
          <cell r="D385" t="str">
            <v>Row 154,155</v>
          </cell>
          <cell r="E385" t="str">
            <v>Added copper No1 and No2 scrap to the end of tables.</v>
          </cell>
        </row>
        <row r="395">
          <cell r="A395">
            <v>38467</v>
          </cell>
          <cell r="B395" t="str">
            <v>Lauren</v>
          </cell>
          <cell r="C395" t="str">
            <v>Emission Factors</v>
          </cell>
          <cell r="D395" t="str">
            <v>B120:B126</v>
          </cell>
          <cell r="E395" t="str">
            <v>Updated the Weighted Average Carbon Coefficient of the U.S. Average Mix of Fuels Used to Generate Electricity (From the Annual Energy Review 2003)</v>
          </cell>
        </row>
        <row r="396">
          <cell r="A396">
            <v>38468</v>
          </cell>
          <cell r="B396" t="str">
            <v>Amanda</v>
          </cell>
          <cell r="C396" t="str">
            <v>Landfilling</v>
          </cell>
          <cell r="D396" t="str">
            <v>D8, D9, D13</v>
          </cell>
          <cell r="E396" t="str">
            <v>Updated the Total Carbon sequestration factors for coated paper, newsprint, and grass.  Based on methodology changes suggested by Dr. Mort Barlaz.</v>
          </cell>
        </row>
        <row r="397">
          <cell r="A397">
            <v>38468</v>
          </cell>
          <cell r="B397" t="str">
            <v>Amanda</v>
          </cell>
          <cell r="C397" t="str">
            <v>Landfilling</v>
          </cell>
          <cell r="D397" t="str">
            <v>G27, G30, G31, G35</v>
          </cell>
          <cell r="E397" t="str">
            <v xml:space="preserve">Updated the methane yield values for corrugated cardboard, office paper, Food Scraps, and branches.  Based on methodology changes suggested by Dr. Mort Barlaz. </v>
          </cell>
        </row>
        <row r="398">
          <cell r="A398">
            <v>38482</v>
          </cell>
          <cell r="B398" t="str">
            <v>Lauren</v>
          </cell>
          <cell r="C398" t="str">
            <v>Utility Offsets</v>
          </cell>
          <cell r="D398" t="str">
            <v>All hard wired numbers</v>
          </cell>
          <cell r="E398" t="str">
            <v>Updated Utility Offsets page according to new values in EIA's 2003 Annual Energy Review.</v>
          </cell>
        </row>
        <row r="399">
          <cell r="A399">
            <v>38482</v>
          </cell>
          <cell r="B399" t="str">
            <v>Lauren</v>
          </cell>
          <cell r="C399" t="str">
            <v>Assumptions</v>
          </cell>
          <cell r="D399" t="str">
            <v>Cells B120:B125</v>
          </cell>
          <cell r="E399" t="str">
            <v>Updated electricity fuel mix values according to new values in EIA's 2003 Annual Energy Review.</v>
          </cell>
        </row>
        <row r="400">
          <cell r="A400">
            <v>38485</v>
          </cell>
          <cell r="B400" t="str">
            <v>Amanda</v>
          </cell>
          <cell r="C400" t="str">
            <v>Woodcarb</v>
          </cell>
          <cell r="D400" t="str">
            <v xml:space="preserve">all  </v>
          </cell>
          <cell r="E400" t="str">
            <v>Added the Woodcarb sheet to support the revised carbon sequestration factors (for coated paper, newsprint, and grass) and methane yields (for corrugated cardboard, office paper, Food Scraps, and branches) on the Landfilling sheet.</v>
          </cell>
        </row>
        <row r="401">
          <cell r="A401">
            <v>38485</v>
          </cell>
          <cell r="B401" t="str">
            <v>Amanda</v>
          </cell>
          <cell r="C401" t="str">
            <v>Landfilling</v>
          </cell>
          <cell r="D401" t="str">
            <v>D8, D9, D13</v>
          </cell>
          <cell r="E401" t="str">
            <v>Updated these cells to pull Total Carbon sequestration factors for coated paper, newsprint, and grass from the new Wood carb sheet.  Based on methodology changes suggested by Dr. Mort Barlaz.</v>
          </cell>
        </row>
        <row r="402">
          <cell r="A402">
            <v>38485</v>
          </cell>
          <cell r="B402" t="str">
            <v>Amanda</v>
          </cell>
          <cell r="C402" t="str">
            <v>Landfilling</v>
          </cell>
          <cell r="D402" t="str">
            <v>G27, G30, G31, G35</v>
          </cell>
          <cell r="E402" t="str">
            <v xml:space="preserve">Updated these cells to pull methane yield values for corrugated cardboard, office paper, Food Scraps, and branches from the new Woodcarb sheet.  Based on methodology changes suggested by Dr. Mort Barlaz. </v>
          </cell>
        </row>
        <row r="403">
          <cell r="A403">
            <v>38505</v>
          </cell>
          <cell r="B403" t="str">
            <v>Amanda</v>
          </cell>
          <cell r="C403" t="str">
            <v>Woodcarb</v>
          </cell>
          <cell r="D403" t="str">
            <v>B6-H6; C5-C14</v>
          </cell>
          <cell r="E403" t="str">
            <v>Removed remaining links to other files from this worksheet.</v>
          </cell>
        </row>
        <row r="404">
          <cell r="A404">
            <v>38530</v>
          </cell>
          <cell r="B404" t="str">
            <v>Jeremy</v>
          </cell>
          <cell r="C404" t="str">
            <v>Assumptions</v>
          </cell>
          <cell r="D404" t="str">
            <v>B65:D74</v>
          </cell>
          <cell r="E404" t="str">
            <v>Added 2003 MSW Facts and Figures Data</v>
          </cell>
        </row>
        <row r="405">
          <cell r="A405" t="str">
            <v>7/28-29/05</v>
          </cell>
          <cell r="B405" t="str">
            <v>Randy</v>
          </cell>
          <cell r="C405" t="str">
            <v>Landfilling, Woodcarb, new "Barlaz Data" sheet</v>
          </cell>
          <cell r="D405" t="str">
            <v>All over</v>
          </cell>
          <cell r="E405" t="str">
            <v>revised links to clarify calculations to reflect new "leaves" data, and more logical computational sequence for mass balance corrections.</v>
          </cell>
        </row>
        <row r="406">
          <cell r="A406">
            <v>38691</v>
          </cell>
          <cell r="B406" t="str">
            <v>Lauren/Jeremy</v>
          </cell>
          <cell r="C406" t="str">
            <v>most</v>
          </cell>
          <cell r="D406" t="str">
            <v>bottom row</v>
          </cell>
          <cell r="E406" t="str">
            <v>added tires as a material type</v>
          </cell>
        </row>
        <row r="407">
          <cell r="A407">
            <v>38694</v>
          </cell>
          <cell r="B407" t="str">
            <v>Jeremy</v>
          </cell>
          <cell r="C407" t="str">
            <v>Emission Factors</v>
          </cell>
          <cell r="D407" t="str">
            <v>tires row</v>
          </cell>
          <cell r="E407" t="str">
            <v>revised the implementation of tires combustion</v>
          </cell>
        </row>
        <row r="408">
          <cell r="A408">
            <v>38697</v>
          </cell>
          <cell r="B408" t="str">
            <v>Jeremy</v>
          </cell>
          <cell r="C408" t="str">
            <v>Forest C, Emission Factors</v>
          </cell>
          <cell r="D408" t="str">
            <v>Forest C columns</v>
          </cell>
          <cell r="E408" t="str">
            <v>Added in new 'Forest C' sheet and updated links to the new value (placeholder for the report)</v>
          </cell>
        </row>
        <row r="409">
          <cell r="A409">
            <v>38697</v>
          </cell>
          <cell r="B409" t="str">
            <v>Jeremy</v>
          </cell>
          <cell r="C409" t="str">
            <v>Landfilling</v>
          </cell>
          <cell r="D409" t="str">
            <v>K53:M66</v>
          </cell>
          <cell r="E409" t="str">
            <v>Revised the landfill generation distribution (% no gas collection, % flaring, % LFGTE)</v>
          </cell>
        </row>
        <row r="410">
          <cell r="A410">
            <v>38702</v>
          </cell>
          <cell r="B410" t="str">
            <v>Jeremy</v>
          </cell>
          <cell r="C410" t="str">
            <v>Forest C</v>
          </cell>
          <cell r="D410" t="str">
            <v>Forest C number</v>
          </cell>
          <cell r="E410" t="str">
            <v>Revised the value to be 1.31 (placeholder)</v>
          </cell>
        </row>
        <row r="411">
          <cell r="A411">
            <v>38713</v>
          </cell>
          <cell r="B411" t="str">
            <v>Jeremy</v>
          </cell>
          <cell r="C411" t="str">
            <v>Industrial Process Emissions</v>
          </cell>
          <cell r="D411" t="str">
            <v>U2:AA9</v>
          </cell>
          <cell r="E411" t="str">
            <v>Added process emissions (PFCs/CO2) calx based on 2003 U.S. Inventory data.</v>
          </cell>
        </row>
        <row r="414">
          <cell r="A414">
            <v>38777</v>
          </cell>
          <cell r="B414" t="str">
            <v>Jeremy</v>
          </cell>
          <cell r="C414" t="str">
            <v>Assumptions</v>
          </cell>
          <cell r="D414" t="str">
            <v>A119:E128</v>
          </cell>
          <cell r="E414" t="str">
            <v>Added in 2004 EIA electricity generation data</v>
          </cell>
        </row>
        <row r="415">
          <cell r="A415">
            <v>38777</v>
          </cell>
          <cell r="B415" t="str">
            <v>Jeremy</v>
          </cell>
          <cell r="C415" t="str">
            <v>Carbon Coefs</v>
          </cell>
          <cell r="D415" t="str">
            <v>A119:E128</v>
          </cell>
          <cell r="E415" t="str">
            <v>Added in carbon coeffs from the Inventory</v>
          </cell>
        </row>
        <row r="416">
          <cell r="A416">
            <v>38777</v>
          </cell>
          <cell r="B416" t="str">
            <v>Jeremy</v>
          </cell>
          <cell r="C416" t="str">
            <v>Utility offsets</v>
          </cell>
          <cell r="E416" t="str">
            <v>Revised energy numbers and simplified table</v>
          </cell>
        </row>
        <row r="417">
          <cell r="A417">
            <v>38784</v>
          </cell>
          <cell r="B417" t="str">
            <v>Jeremy</v>
          </cell>
          <cell r="C417" t="str">
            <v>Assumptions</v>
          </cell>
          <cell r="D417" t="str">
            <v>D17</v>
          </cell>
          <cell r="E417" t="str">
            <v>Changed link to new utility offset number created on the Assumptions Page</v>
          </cell>
        </row>
        <row r="418">
          <cell r="A418">
            <v>38784</v>
          </cell>
          <cell r="B418" t="str">
            <v>Jeremy</v>
          </cell>
          <cell r="C418" t="str">
            <v>Landfilling</v>
          </cell>
          <cell r="D418" t="str">
            <v>H53-H66</v>
          </cell>
          <cell r="E418" t="str">
            <v>Changed link to new utility offset number for LFGTE</v>
          </cell>
        </row>
        <row r="419">
          <cell r="A419">
            <v>38784</v>
          </cell>
          <cell r="B419" t="str">
            <v>Jeremy</v>
          </cell>
          <cell r="C419" t="str">
            <v>Utility offsets</v>
          </cell>
          <cell r="D419" t="str">
            <v>All</v>
          </cell>
          <cell r="E419" t="str">
            <v>Table "deactivated" and hidden - no longer used</v>
          </cell>
        </row>
        <row r="420">
          <cell r="A420">
            <v>38784</v>
          </cell>
          <cell r="B420" t="str">
            <v>Jeremy</v>
          </cell>
          <cell r="C420" t="str">
            <v>Utility emissions</v>
          </cell>
          <cell r="D420" t="str">
            <v>all</v>
          </cell>
          <cell r="E420" t="str">
            <v>New table created for utility emissions (mimics calcs on Assumptions sheet) table for report.</v>
          </cell>
        </row>
        <row r="421">
          <cell r="A421">
            <v>38784</v>
          </cell>
          <cell r="B421" t="str">
            <v>Lauren</v>
          </cell>
          <cell r="C421" t="str">
            <v>Forest C Revised calx</v>
          </cell>
          <cell r="D421" t="str">
            <v>All</v>
          </cell>
          <cell r="E421" t="str">
            <v>Added worksheet that has updated Forest C data</v>
          </cell>
        </row>
        <row r="422">
          <cell r="A422">
            <v>38784</v>
          </cell>
          <cell r="B422" t="str">
            <v>Lauren</v>
          </cell>
          <cell r="C422" t="str">
            <v>Forest C</v>
          </cell>
          <cell r="D422" t="str">
            <v>CellsF20:G21</v>
          </cell>
          <cell r="E422" t="str">
            <v>Updated Forest C Factors to be consistent with factors presented on the Forest C Revised Calx worksheet.</v>
          </cell>
        </row>
        <row r="423">
          <cell r="A423">
            <v>39386</v>
          </cell>
          <cell r="B423" t="str">
            <v>Lauren</v>
          </cell>
          <cell r="C423" t="str">
            <v>Assumptions</v>
          </cell>
          <cell r="D423" t="str">
            <v>Cells B120:125</v>
          </cell>
          <cell r="E423" t="str">
            <v>Updated EIA 2006 Annual Energy review data to reflect U.S. Average Mix of Fuels Used to Generate Electricity</v>
          </cell>
        </row>
        <row r="433">
          <cell r="A433">
            <v>39871</v>
          </cell>
          <cell r="B433" t="str">
            <v>Chris Evans</v>
          </cell>
          <cell r="C433" t="str">
            <v>Tires</v>
          </cell>
          <cell r="D433" t="str">
            <v>C33:G33, F39:G39, F:47:G37</v>
          </cell>
          <cell r="E433" t="str">
            <v>Updated tires combustion emission factor to account for conversion to carbon-equivalence per short tons.</v>
          </cell>
        </row>
        <row r="434">
          <cell r="A434">
            <v>39871</v>
          </cell>
          <cell r="B434" t="str">
            <v>Chris Evans</v>
          </cell>
          <cell r="C434" t="str">
            <v>Emission factors</v>
          </cell>
          <cell r="D434" t="str">
            <v>AF40</v>
          </cell>
          <cell r="E434" t="str">
            <v>Updated weighted average for calculating tires utility offset.</v>
          </cell>
        </row>
        <row r="435">
          <cell r="A435">
            <v>39875</v>
          </cell>
          <cell r="B435" t="str">
            <v>Chris Evans</v>
          </cell>
          <cell r="C435" t="str">
            <v>Tires</v>
          </cell>
          <cell r="D435" t="str">
            <v>C33, C39, C47</v>
          </cell>
          <cell r="E435" t="str">
            <v>Removed the hard-coded input for tire energy content and linked to the assumptions tab instead.</v>
          </cell>
        </row>
        <row r="436">
          <cell r="A436">
            <v>39875</v>
          </cell>
          <cell r="B436" t="str">
            <v>Chris Evans</v>
          </cell>
          <cell r="C436" t="str">
            <v>Assumptions</v>
          </cell>
          <cell r="D436" t="str">
            <v>B302:304</v>
          </cell>
          <cell r="E436" t="str">
            <v>Changed tire energy content from 260 MJ / tire to 27 GJ / metric ton to match with Atech Group reference. Modified table to suit this change.</v>
          </cell>
        </row>
        <row r="437">
          <cell r="A437">
            <v>40077</v>
          </cell>
          <cell r="B437" t="str">
            <v>Bobby Renz</v>
          </cell>
          <cell r="C437" t="str">
            <v>Assumptions</v>
          </cell>
          <cell r="D437" t="str">
            <v>B66:B93, D66:D93</v>
          </cell>
          <cell r="E437" t="str">
            <v>Updated generation and recovery rates based on latest EPA MSW Facts and Figures report for 2007.</v>
          </cell>
        </row>
        <row r="438">
          <cell r="A438">
            <v>40077</v>
          </cell>
          <cell r="B438" t="str">
            <v>Bobby Renz</v>
          </cell>
          <cell r="C438" t="str">
            <v>Assumptions</v>
          </cell>
          <cell r="D438" t="str">
            <v>B120:B125</v>
          </cell>
          <cell r="E438" t="str">
            <v>Updated primary energy consumption based on latest EIA Annual Energy Review.</v>
          </cell>
        </row>
        <row r="439">
          <cell r="A439">
            <v>40077</v>
          </cell>
          <cell r="B439" t="str">
            <v>Bobby Renz</v>
          </cell>
          <cell r="C439" t="str">
            <v>Assumptions</v>
          </cell>
          <cell r="D439" t="str">
            <v>F144</v>
          </cell>
          <cell r="E439" t="str">
            <v>Update percent transmission and distribution loss based on the EIA Annual Energy Review for 2008.</v>
          </cell>
        </row>
        <row r="440">
          <cell r="A440">
            <v>40077</v>
          </cell>
          <cell r="B440" t="str">
            <v>Bobby Renz</v>
          </cell>
          <cell r="C440" t="str">
            <v>Assumptions</v>
          </cell>
          <cell r="D440" t="str">
            <v>L120:L124</v>
          </cell>
          <cell r="E440" t="str">
            <v>Updated kWh generated per fuel type based on the EIA Annual Energy Review for 2008.</v>
          </cell>
        </row>
        <row r="441">
          <cell r="A441">
            <v>40077</v>
          </cell>
          <cell r="B441" t="str">
            <v>Bobby Renz</v>
          </cell>
          <cell r="C441" t="str">
            <v>Landfilling</v>
          </cell>
          <cell r="D441" t="str">
            <v>B205:B206</v>
          </cell>
          <cell r="E441" t="str">
            <v>Updated generating potential of municipal and industrial landfills based on the U.S. Inventory data for 1990-2007.</v>
          </cell>
        </row>
        <row r="442">
          <cell r="A442">
            <v>40077</v>
          </cell>
          <cell r="B442" t="str">
            <v>Bobby Renz</v>
          </cell>
          <cell r="C442" t="str">
            <v>Assumptions</v>
          </cell>
          <cell r="D442" t="str">
            <v>A15:C15</v>
          </cell>
          <cell r="E442" t="str">
            <v>Updated the comments corresponding to the landfilling data update above.</v>
          </cell>
        </row>
        <row r="443">
          <cell r="A443">
            <v>40077</v>
          </cell>
          <cell r="B443" t="str">
            <v>Bobby Renz</v>
          </cell>
          <cell r="C443" t="str">
            <v>Landfilling</v>
          </cell>
          <cell r="D443" t="str">
            <v>B210:B211</v>
          </cell>
          <cell r="E443" t="str">
            <v>Updated share of landfill gas recovered and flared based on the U.S. Inventory data for 1990-2007.</v>
          </cell>
        </row>
        <row r="444">
          <cell r="A444">
            <v>40078</v>
          </cell>
          <cell r="B444" t="str">
            <v>Bobby Renz</v>
          </cell>
          <cell r="C444" t="str">
            <v>Carbon Coefficients</v>
          </cell>
          <cell r="D444" t="str">
            <v>K5:K22, E31:E34</v>
          </cell>
          <cell r="E444" t="str">
            <v>Updated carbon coefficients to match statistics presented in the U.S. Inventory data for 1990-2007.</v>
          </cell>
        </row>
        <row r="445">
          <cell r="A445">
            <v>40078</v>
          </cell>
          <cell r="B445" t="str">
            <v>Bobby Renz</v>
          </cell>
          <cell r="C445" t="str">
            <v>Carbon Coefficients</v>
          </cell>
          <cell r="D445" t="str">
            <v>C31:C34</v>
          </cell>
          <cell r="E445" t="str">
            <v>Updated coal weighting for electricity generation based on the EIA Annual Energy Review for 2008.</v>
          </cell>
        </row>
        <row r="446">
          <cell r="A446">
            <v>40078</v>
          </cell>
          <cell r="B446" t="str">
            <v>Bobby Renz</v>
          </cell>
          <cell r="C446" t="str">
            <v>Assumptions</v>
          </cell>
          <cell r="D446" t="str">
            <v>D9</v>
          </cell>
          <cell r="E446" t="str">
            <v>Linked estimated energy content of mixed MSW on "Assumptions" tab, cell D9, to value on "Combustion" tab, cell I29</v>
          </cell>
        </row>
        <row r="447">
          <cell r="A447">
            <v>40087</v>
          </cell>
          <cell r="B447" t="str">
            <v>Bobby Renz</v>
          </cell>
          <cell r="C447" t="str">
            <v>Assumptions</v>
          </cell>
          <cell r="D447" t="str">
            <v>H64:P94</v>
          </cell>
          <cell r="E447" t="str">
            <v>Data was added in these cells to calculated the carbon content of mixed MSW using yearly waste data.</v>
          </cell>
        </row>
        <row r="448">
          <cell r="A448">
            <v>40087</v>
          </cell>
          <cell r="B448" t="str">
            <v>Bobby Renz</v>
          </cell>
          <cell r="C448" t="str">
            <v>Assumptions</v>
          </cell>
          <cell r="D448" t="str">
            <v>B46</v>
          </cell>
          <cell r="E448" t="str">
            <v>Value was linked to calculated mixed MSW in cell P94.</v>
          </cell>
        </row>
        <row r="449">
          <cell r="A449">
            <v>40088</v>
          </cell>
          <cell r="B449" t="str">
            <v>Bobby Renz</v>
          </cell>
          <cell r="C449" t="str">
            <v>Barlaz Data</v>
          </cell>
          <cell r="D449" t="str">
            <v>D16:D17</v>
          </cell>
          <cell r="E449" t="str">
            <v>Updated CSF for mixed MSW based on latest data from Mort Barlaz.</v>
          </cell>
        </row>
        <row r="450">
          <cell r="A450">
            <v>40093</v>
          </cell>
          <cell r="B450" t="str">
            <v>Adam Brundage</v>
          </cell>
          <cell r="C450" t="str">
            <v>Retail Transport</v>
          </cell>
          <cell r="D450" t="str">
            <v>A48 and A51</v>
          </cell>
          <cell r="E450" t="str">
            <v xml:space="preserve">Added "barge, average mix" and "ocean freighter, average mix" gal/ton-mile factors. </v>
          </cell>
        </row>
        <row r="451">
          <cell r="A451">
            <v>40093</v>
          </cell>
          <cell r="B451" t="str">
            <v>Adam Brundage</v>
          </cell>
          <cell r="C451" t="str">
            <v>Retail Transport</v>
          </cell>
          <cell r="D451" t="str">
            <v>A53 and A54</v>
          </cell>
          <cell r="E451" t="str">
            <v>Added "natural gas - pipeline" (BTU/ton-mile) and "petroleum products - pipeline" (BTU/ton-mile)</v>
          </cell>
        </row>
        <row r="452">
          <cell r="A452">
            <v>40093</v>
          </cell>
          <cell r="B452" t="str">
            <v>Adam Brundage</v>
          </cell>
          <cell r="C452" t="str">
            <v>Retail Transport</v>
          </cell>
          <cell r="D452" t="str">
            <v>columns E, F, G</v>
          </cell>
          <cell r="E452" t="str">
            <v>added conversion factors for miles, gallons, and tons</v>
          </cell>
        </row>
        <row r="453">
          <cell r="A453">
            <v>40093</v>
          </cell>
          <cell r="B453" t="str">
            <v>Adam Brundage</v>
          </cell>
          <cell r="C453" t="str">
            <v>Retail Transport</v>
          </cell>
          <cell r="D453" t="str">
            <v>E64:H66</v>
          </cell>
          <cell r="E453" t="str">
            <v>Added Natural Gas Pipeline Energy calculations to explicitly calculate the BTU/ton-mile of transporting natural gas via pipeline</v>
          </cell>
        </row>
        <row r="454">
          <cell r="A454">
            <v>40093</v>
          </cell>
          <cell r="B454" t="str">
            <v>Adam Brundage</v>
          </cell>
          <cell r="C454" t="str">
            <v>Assumptions</v>
          </cell>
          <cell r="D454" t="str">
            <v>P119 and Q119</v>
          </cell>
          <cell r="E454" t="str">
            <v>Added heat rate conversion factors (Btu/kWh) that includes transmission and distribution losses (i.e., is representative of delivered electricity energy)</v>
          </cell>
        </row>
        <row r="455">
          <cell r="A455">
            <v>40093</v>
          </cell>
          <cell r="B455" t="str">
            <v>Adam Brundage</v>
          </cell>
          <cell r="C455" t="str">
            <v>Energy Emissions</v>
          </cell>
          <cell r="D455" t="str">
            <v>Rows 160:184</v>
          </cell>
          <cell r="E455" t="str">
            <v>Added Recycled Boxboard data originally calculated from LCI submitted by Tom Brown</v>
          </cell>
        </row>
        <row r="456">
          <cell r="A456">
            <v>40093</v>
          </cell>
          <cell r="B456" t="str">
            <v>Adam Brundage</v>
          </cell>
          <cell r="C456" t="str">
            <v>Energy Emissions</v>
          </cell>
          <cell r="D456" t="str">
            <v>rows 130 and 131</v>
          </cell>
          <cell r="E456" t="str">
            <v xml:space="preserve">Incorporated Recycled Boxboard data into emission factor development of mixed paper. </v>
          </cell>
        </row>
        <row r="457">
          <cell r="A457">
            <v>40105</v>
          </cell>
          <cell r="B457" t="str">
            <v>Bobby Renz</v>
          </cell>
          <cell r="C457" t="str">
            <v>Assumptions</v>
          </cell>
          <cell r="D457" t="str">
            <v>I65:K73</v>
          </cell>
          <cell r="E457" t="str">
            <v>Adjusted plastics discards used in calculating fossil carbon content of mixed MSW so that plastic discards from durable goods are no longer included in the calculations.</v>
          </cell>
        </row>
        <row r="458">
          <cell r="A458">
            <v>40105</v>
          </cell>
          <cell r="B458" t="str">
            <v>Bobby Renz</v>
          </cell>
          <cell r="C458" t="str">
            <v>Assumptions</v>
          </cell>
          <cell r="D458" t="str">
            <v>H76:P76</v>
          </cell>
          <cell r="E458" t="str">
            <v>Adjusted rubber and leather products discards used in calculating fossil carbon content of mixed MSW so that rubber and leather products discards from durable goods are no longer included in the calculations.</v>
          </cell>
        </row>
        <row r="459">
          <cell r="A459">
            <v>40105</v>
          </cell>
          <cell r="B459" t="str">
            <v>Bobby Renz</v>
          </cell>
          <cell r="C459" t="str">
            <v>Assumptions</v>
          </cell>
          <cell r="D459" t="str">
            <v>B97:B99</v>
          </cell>
          <cell r="E459" t="str">
            <v>Updated yard trimmings breakdown to reflect the latest estimate in the 2007 Facts and Figures document.</v>
          </cell>
        </row>
        <row r="460">
          <cell r="A460">
            <v>40113</v>
          </cell>
          <cell r="B460" t="str">
            <v>Bobby Renz</v>
          </cell>
          <cell r="C460" t="str">
            <v>Retail Transport</v>
          </cell>
          <cell r="D460" t="str">
            <v>C21:C36</v>
          </cell>
          <cell r="E460" t="str">
            <v>Updated average miles per commodity shipment based on 2007 U.S. Census Commodity Flow Survey.</v>
          </cell>
        </row>
        <row r="461">
          <cell r="A461">
            <v>40113</v>
          </cell>
          <cell r="B461" t="str">
            <v>Bobby Renz</v>
          </cell>
          <cell r="C461" t="str">
            <v>Retail Transport</v>
          </cell>
          <cell r="D461" t="str">
            <v>M41:P56</v>
          </cell>
          <cell r="E461" t="str">
            <v>Updated shipment characteristics by mode of transportation based on 2007 U.S. Census Commodity Flow Survey.</v>
          </cell>
        </row>
        <row r="471">
          <cell r="A471">
            <v>40834</v>
          </cell>
          <cell r="B471" t="str">
            <v>Bobby Renz</v>
          </cell>
          <cell r="C471" t="str">
            <v>Industrial Process Emissions</v>
          </cell>
          <cell r="D471" t="str">
            <v>Entire sheet</v>
          </cell>
          <cell r="E471" t="str">
            <v>Added rows for new materials (Aluminum ingot, PLA, and new plastic resins). Updated industrial process emissions for all plastic resins.</v>
          </cell>
        </row>
        <row r="472">
          <cell r="A472">
            <v>40834</v>
          </cell>
          <cell r="B472" t="str">
            <v>Bobby Renz</v>
          </cell>
          <cell r="C472" t="str">
            <v>Current Mix</v>
          </cell>
          <cell r="D472" t="str">
            <v>A51:C56</v>
          </cell>
          <cell r="E472" t="str">
            <v>Added current mix values for the new plastic resins.</v>
          </cell>
        </row>
        <row r="473">
          <cell r="A473">
            <v>40834</v>
          </cell>
          <cell r="B473" t="str">
            <v>Bobby Renz</v>
          </cell>
          <cell r="C473" t="str">
            <v>Landfilling</v>
          </cell>
          <cell r="D473" t="str">
            <v>Rows 273:278</v>
          </cell>
          <cell r="E473" t="str">
            <v>Added rows for new materials.</v>
          </cell>
        </row>
        <row r="474">
          <cell r="A474">
            <v>40834</v>
          </cell>
          <cell r="B474" t="str">
            <v>Bobby Renz</v>
          </cell>
          <cell r="C474" t="str">
            <v>Retail Transport</v>
          </cell>
          <cell r="D474" t="str">
            <v>Rows 27:32</v>
          </cell>
          <cell r="E474" t="str">
            <v>Added rows for new materials.</v>
          </cell>
        </row>
        <row r="475">
          <cell r="A475">
            <v>40834</v>
          </cell>
          <cell r="B475" t="str">
            <v>Bobby Renz</v>
          </cell>
          <cell r="C475" t="str">
            <v>Assumptions</v>
          </cell>
          <cell r="D475" t="str">
            <v>L43:O58</v>
          </cell>
          <cell r="E475" t="str">
            <v>Updated nonbiomass CO2 combustion assumptions for all plastic resins.</v>
          </cell>
        </row>
        <row r="476">
          <cell r="A476">
            <v>40843</v>
          </cell>
          <cell r="B476" t="str">
            <v>Bobby Renz</v>
          </cell>
          <cell r="C476" t="str">
            <v>Landfilling</v>
          </cell>
          <cell r="D476" t="str">
            <v>C233:N278</v>
          </cell>
          <cell r="E476" t="str">
            <v>Updated inner VLOOKUP formulas to pull data from the closest matching value when an exact match can't be found (i.e., changed third input in the formula from "FALSE" to "TRUE").</v>
          </cell>
        </row>
        <row r="477">
          <cell r="A477">
            <v>40843</v>
          </cell>
          <cell r="B477" t="str">
            <v>Bobby Renz</v>
          </cell>
          <cell r="C477" t="str">
            <v>Barlaz Data</v>
          </cell>
          <cell r="D477" t="str">
            <v>B103:E200</v>
          </cell>
          <cell r="E477" t="str">
            <v>Added additional rows and interpolated results between known values to ensure that there is never more than a 2% difference between adjacent landfill gas efficiency values.</v>
          </cell>
        </row>
        <row r="478">
          <cell r="A478">
            <v>40843</v>
          </cell>
          <cell r="B478" t="str">
            <v>Nikita Pavlenko</v>
          </cell>
          <cell r="C478" t="str">
            <v>eGrid data</v>
          </cell>
          <cell r="D478" t="str">
            <v>Entire Sheet</v>
          </cell>
          <cell r="E478" t="str">
            <v>Updated the numbers to match those from the most recently released set of eGrid data (09)</v>
          </cell>
        </row>
        <row r="479">
          <cell r="A479">
            <v>40913</v>
          </cell>
          <cell r="B479" t="str">
            <v>Bobby Renz</v>
          </cell>
          <cell r="C479" t="str">
            <v>All relevant sheets</v>
          </cell>
          <cell r="D479" t="str">
            <v>All relevant cells</v>
          </cell>
          <cell r="E479" t="str">
            <v>Removed recycling as a viable end-of-life pathway for LDPE.</v>
          </cell>
        </row>
        <row r="480">
          <cell r="A480">
            <v>40913</v>
          </cell>
          <cell r="B480" t="str">
            <v>Bobby Renz</v>
          </cell>
          <cell r="C480" t="str">
            <v>All relevant sheets</v>
          </cell>
          <cell r="D480" t="str">
            <v>All relevant cells</v>
          </cell>
          <cell r="E480" t="str">
            <v>Modified the Mixed Plastics calculations to only include HDPE and PET.</v>
          </cell>
        </row>
        <row r="481">
          <cell r="A481">
            <v>40913</v>
          </cell>
          <cell r="B481" t="str">
            <v>Nikita Pavlenko</v>
          </cell>
          <cell r="C481" t="str">
            <v>Assumptions</v>
          </cell>
          <cell r="D481" t="str">
            <v>E44:E52</v>
          </cell>
          <cell r="E481" t="str">
            <v>Updated constituent materials of carpet</v>
          </cell>
        </row>
        <row r="482">
          <cell r="A482">
            <v>41654</v>
          </cell>
          <cell r="B482" t="str">
            <v>Nikita Pavlenko</v>
          </cell>
          <cell r="C482" t="str">
            <v>Landfilling</v>
          </cell>
          <cell r="D482" t="str">
            <v>B205:B206</v>
          </cell>
          <cell r="E482" t="str">
            <v>Updated the hard-coded Landfill methane assumptions – generating potential from a more recent U.S. emissions inventory</v>
          </cell>
        </row>
        <row r="483">
          <cell r="A483">
            <v>41655</v>
          </cell>
          <cell r="B483" t="str">
            <v>Nikita Pavlenko</v>
          </cell>
          <cell r="C483" t="str">
            <v>Assumptions</v>
          </cell>
        </row>
        <row r="484">
          <cell r="A484">
            <v>41660</v>
          </cell>
          <cell r="B484" t="str">
            <v>Nikita Pavlenko</v>
          </cell>
          <cell r="C484" t="str">
            <v>eGrid data</v>
          </cell>
          <cell r="D484" t="str">
            <v>Entire Sheet</v>
          </cell>
          <cell r="E484" t="str">
            <v>Updated the numbers to match those from the most recently released set of eGrid data (09)</v>
          </cell>
        </row>
        <row r="485">
          <cell r="A485">
            <v>41775</v>
          </cell>
          <cell r="B485" t="str">
            <v>Nikita Pavlenko</v>
          </cell>
          <cell r="C485" t="str">
            <v>Assumptions</v>
          </cell>
          <cell r="E485" t="str">
            <v>Updated to MSW Facts and Figures 2012</v>
          </cell>
        </row>
        <row r="486">
          <cell r="A486">
            <v>41776</v>
          </cell>
          <cell r="B486" t="str">
            <v>Nikita Pavlenko</v>
          </cell>
          <cell r="C486" t="str">
            <v>eGrid data</v>
          </cell>
          <cell r="D486" t="str">
            <v>Entire Sheet</v>
          </cell>
          <cell r="E486" t="str">
            <v>Updated the numbers to match those from the most recently released set of eGrid data (10)</v>
          </cell>
        </row>
        <row r="487">
          <cell r="A487">
            <v>41793</v>
          </cell>
          <cell r="B487" t="str">
            <v>Nikita Pavlenko</v>
          </cell>
          <cell r="C487" t="str">
            <v>Energy Emissions, Emission Factors</v>
          </cell>
          <cell r="E487" t="str">
            <v>Added fruits &amp; vegetables, grains, bread, and dairy products</v>
          </cell>
        </row>
        <row r="488">
          <cell r="A488">
            <v>41795</v>
          </cell>
          <cell r="B488" t="str">
            <v>Nikita Pavlenko</v>
          </cell>
          <cell r="C488" t="str">
            <v>Emission factors</v>
          </cell>
          <cell r="D488" t="str">
            <v>Row 21</v>
          </cell>
          <cell r="E488" t="str">
            <v>Grayed-out Food Waste (Inactive) row</v>
          </cell>
        </row>
        <row r="489">
          <cell r="A489">
            <v>41799</v>
          </cell>
          <cell r="B489" t="str">
            <v>Bobby Renz</v>
          </cell>
          <cell r="C489" t="str">
            <v>Landfilling</v>
          </cell>
          <cell r="D489" t="str">
            <v>All relevant cells</v>
          </cell>
          <cell r="E489" t="str">
            <v>Added updated landfilling scenarios based on updated Barlaz data. Added rows for new materials.</v>
          </cell>
        </row>
        <row r="490">
          <cell r="A490">
            <v>41799</v>
          </cell>
          <cell r="B490" t="str">
            <v>Bobby Renz</v>
          </cell>
          <cell r="C490" t="str">
            <v>Barlaz Data</v>
          </cell>
          <cell r="D490" t="str">
            <v>All relevant cells</v>
          </cell>
          <cell r="E490" t="str">
            <v>Added updated landfilling scenarios based on updated Barlaz data. Added rows for new materials.</v>
          </cell>
        </row>
        <row r="491">
          <cell r="A491">
            <v>42180</v>
          </cell>
          <cell r="B491" t="str">
            <v>Nikita Pavlenko</v>
          </cell>
          <cell r="C491" t="str">
            <v>Assumptions</v>
          </cell>
          <cell r="E491" t="str">
            <v>Updated to MSW Facts and Figures 2015</v>
          </cell>
        </row>
        <row r="492">
          <cell r="A492">
            <v>42180</v>
          </cell>
          <cell r="B492" t="str">
            <v>Nikita Pavlenko</v>
          </cell>
          <cell r="C492" t="str">
            <v>Landfilling</v>
          </cell>
          <cell r="D492" t="str">
            <v>B205:B206</v>
          </cell>
          <cell r="E492" t="str">
            <v>Updated the hard-coded Landfill methane assumptions – generating potential from a more recent U.S. emissions inventory</v>
          </cell>
        </row>
        <row r="493">
          <cell r="A493">
            <v>42180</v>
          </cell>
          <cell r="B493" t="str">
            <v>Nikita Pavlenko</v>
          </cell>
          <cell r="C493" t="str">
            <v>Carbon Coefficients</v>
          </cell>
          <cell r="D493" t="str">
            <v>All relevant cells</v>
          </cell>
          <cell r="E493" t="str">
            <v>Updated per EIA 2015 and US GHG Inventory 1990-2013</v>
          </cell>
        </row>
        <row r="494">
          <cell r="A494">
            <v>42187</v>
          </cell>
          <cell r="B494" t="str">
            <v>Nikita Pavlenko</v>
          </cell>
          <cell r="C494" t="str">
            <v>Assumptions</v>
          </cell>
          <cell r="D494" t="str">
            <v>I86:I92</v>
          </cell>
          <cell r="E494" t="str">
            <v>Updated per GHG Inventory Annex 3 and Shin 2014</v>
          </cell>
        </row>
        <row r="495">
          <cell r="A495">
            <v>42382</v>
          </cell>
          <cell r="B495" t="str">
            <v>Claire Boland</v>
          </cell>
          <cell r="C495" t="str">
            <v>Post-Consumer Transport</v>
          </cell>
          <cell r="D495" t="str">
            <v>Entire Sheet</v>
          </cell>
          <cell r="E495" t="str">
            <v xml:space="preserve">Created new transportation sheet to harmonize all transportation factors. </v>
          </cell>
        </row>
        <row r="496">
          <cell r="A496">
            <v>42387</v>
          </cell>
          <cell r="B496" t="str">
            <v>Claire Boland</v>
          </cell>
          <cell r="C496" t="str">
            <v>Assumptions</v>
          </cell>
          <cell r="D496" t="str">
            <v>A32:F40</v>
          </cell>
          <cell r="E496" t="str">
            <v>Updated transportation factors to 2015 NREL diesel consumption</v>
          </cell>
        </row>
        <row r="497">
          <cell r="A497">
            <v>42387</v>
          </cell>
          <cell r="B497" t="str">
            <v>Claire Boland</v>
          </cell>
          <cell r="C497" t="str">
            <v>Retail Transport</v>
          </cell>
          <cell r="D497" t="str">
            <v>B82</v>
          </cell>
          <cell r="E497" t="str">
            <v>Updated transportation factors to 2015 NREL diesel consumption</v>
          </cell>
        </row>
        <row r="498">
          <cell r="A498">
            <v>42387</v>
          </cell>
          <cell r="B498" t="str">
            <v>Claire Boland</v>
          </cell>
          <cell r="C498" t="str">
            <v>Combustion</v>
          </cell>
          <cell r="D498" t="str">
            <v>All relevant cells</v>
          </cell>
          <cell r="E498" t="str">
            <v>Updated combustion transportation to be linked to Post Consumer Transport</v>
          </cell>
        </row>
        <row r="499">
          <cell r="A499">
            <v>42387</v>
          </cell>
          <cell r="B499" t="str">
            <v>Claire Boland</v>
          </cell>
          <cell r="C499" t="str">
            <v>Landfilling</v>
          </cell>
          <cell r="D499" t="str">
            <v>G826:875</v>
          </cell>
          <cell r="E499" t="str">
            <v>Updated landfilling transportation to be linked to Post Consumer Transport</v>
          </cell>
        </row>
      </sheetData>
      <sheetData sheetId="55" refreshError="1">
        <row r="6">
          <cell r="C6" t="str">
            <v>4 = Bioreactor</v>
          </cell>
        </row>
        <row r="8">
          <cell r="B8" t="str">
            <v>Material</v>
          </cell>
          <cell r="C8" t="str">
            <v>Net landfilling emission factor</v>
          </cell>
          <cell r="D8" t="str">
            <v>Transportation to landfill</v>
          </cell>
          <cell r="E8" t="str">
            <v>Landfill carbon storage</v>
          </cell>
          <cell r="F8" t="str">
            <v>Landfill methane emissions, by year (MTCO2E/short ton)</v>
          </cell>
        </row>
        <row r="9">
          <cell r="F9" t="str">
            <v>Total</v>
          </cell>
          <cell r="G9">
            <v>0</v>
          </cell>
          <cell r="H9">
            <v>1</v>
          </cell>
          <cell r="I9">
            <v>2</v>
          </cell>
          <cell r="J9">
            <v>3</v>
          </cell>
          <cell r="K9">
            <v>4</v>
          </cell>
          <cell r="L9">
            <v>5</v>
          </cell>
          <cell r="M9">
            <v>6</v>
          </cell>
          <cell r="N9">
            <v>7</v>
          </cell>
          <cell r="O9">
            <v>8</v>
          </cell>
          <cell r="P9">
            <v>9</v>
          </cell>
          <cell r="Q9">
            <v>10</v>
          </cell>
          <cell r="R9">
            <v>11</v>
          </cell>
          <cell r="S9">
            <v>12</v>
          </cell>
          <cell r="T9">
            <v>13</v>
          </cell>
          <cell r="U9">
            <v>14</v>
          </cell>
          <cell r="V9">
            <v>15</v>
          </cell>
          <cell r="W9">
            <v>16</v>
          </cell>
          <cell r="X9">
            <v>17</v>
          </cell>
          <cell r="Y9">
            <v>18</v>
          </cell>
          <cell r="Z9">
            <v>19</v>
          </cell>
          <cell r="AA9">
            <v>20</v>
          </cell>
          <cell r="AB9">
            <v>21</v>
          </cell>
          <cell r="AC9">
            <v>22</v>
          </cell>
          <cell r="AD9">
            <v>23</v>
          </cell>
          <cell r="AE9">
            <v>24</v>
          </cell>
          <cell r="AF9">
            <v>25</v>
          </cell>
          <cell r="AG9">
            <v>26</v>
          </cell>
          <cell r="AH9">
            <v>27</v>
          </cell>
          <cell r="AI9">
            <v>28</v>
          </cell>
          <cell r="AJ9">
            <v>29</v>
          </cell>
          <cell r="AK9">
            <v>30</v>
          </cell>
          <cell r="AL9">
            <v>31</v>
          </cell>
          <cell r="AM9">
            <v>32</v>
          </cell>
          <cell r="AN9">
            <v>33</v>
          </cell>
          <cell r="AO9">
            <v>34</v>
          </cell>
          <cell r="AP9">
            <v>35</v>
          </cell>
          <cell r="AQ9">
            <v>36</v>
          </cell>
          <cell r="AR9">
            <v>37</v>
          </cell>
          <cell r="AS9">
            <v>38</v>
          </cell>
          <cell r="AT9">
            <v>39</v>
          </cell>
          <cell r="AU9">
            <v>40</v>
          </cell>
          <cell r="AV9">
            <v>41</v>
          </cell>
          <cell r="AW9">
            <v>42</v>
          </cell>
          <cell r="AX9">
            <v>43</v>
          </cell>
          <cell r="AY9">
            <v>44</v>
          </cell>
          <cell r="AZ9">
            <v>45</v>
          </cell>
          <cell r="BA9">
            <v>46</v>
          </cell>
          <cell r="BB9">
            <v>47</v>
          </cell>
          <cell r="BC9">
            <v>48</v>
          </cell>
          <cell r="BD9">
            <v>49</v>
          </cell>
          <cell r="BE9">
            <v>50</v>
          </cell>
          <cell r="BF9">
            <v>51</v>
          </cell>
          <cell r="BG9">
            <v>52</v>
          </cell>
          <cell r="BH9">
            <v>53</v>
          </cell>
          <cell r="BI9">
            <v>54</v>
          </cell>
          <cell r="BJ9">
            <v>55</v>
          </cell>
        </row>
        <row r="10">
          <cell r="B10" t="str">
            <v>Aluminum Cans</v>
          </cell>
          <cell r="C10">
            <v>2.6403430314257067E-2</v>
          </cell>
          <cell r="D10">
            <v>2.6403430314257067E-2</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row>
        <row r="11">
          <cell r="B11" t="str">
            <v>Steel Cans</v>
          </cell>
          <cell r="C11">
            <v>1.6551404077593979E-2</v>
          </cell>
          <cell r="D11">
            <v>1.6551404077593979E-2</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row>
        <row r="12">
          <cell r="B12" t="str">
            <v>Copper Wire</v>
          </cell>
          <cell r="C12">
            <v>2.1477417195925524E-2</v>
          </cell>
          <cell r="D12">
            <v>2.1477417195925524E-2</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row>
        <row r="13">
          <cell r="B13" t="str">
            <v>Glass</v>
          </cell>
          <cell r="C13">
            <v>1.8521809324926596E-2</v>
          </cell>
          <cell r="D13">
            <v>1.8521809324926596E-2</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row>
        <row r="14">
          <cell r="B14" t="str">
            <v>HDPE</v>
          </cell>
          <cell r="C14">
            <v>-1.5751419547176937</v>
          </cell>
          <cell r="D14">
            <v>-1.5751419547176937</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row>
        <row r="15">
          <cell r="B15" t="str">
            <v>LDPE</v>
          </cell>
          <cell r="C15">
            <v>-1.566629804049217</v>
          </cell>
          <cell r="D15">
            <v>-1.566629804049217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row>
        <row r="16">
          <cell r="B16" t="str">
            <v>PET</v>
          </cell>
          <cell r="C16">
            <v>-0.83545182486902958</v>
          </cell>
          <cell r="D16">
            <v>-0.83545182486902958</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row>
        <row r="17">
          <cell r="B17" t="str">
            <v>Corrugated Containers</v>
          </cell>
          <cell r="C17">
            <v>0.13855859836561274</v>
          </cell>
          <cell r="D17">
            <v>-0.55510256627854482</v>
          </cell>
          <cell r="E17">
            <v>0</v>
          </cell>
          <cell r="F17">
            <v>0.82116037806520947</v>
          </cell>
          <cell r="G17">
            <v>0</v>
          </cell>
          <cell r="H17">
            <v>1.7112022339759569E-2</v>
          </cell>
          <cell r="I17">
            <v>1.677318159502789E-2</v>
          </cell>
          <cell r="J17">
            <v>1.6441050346579621E-2</v>
          </cell>
          <cell r="K17">
            <v>1.6115495737486916E-2</v>
          </cell>
          <cell r="L17">
            <v>1.5796387541565343E-2</v>
          </cell>
          <cell r="M17">
            <v>1.5483598111281707E-2</v>
          </cell>
          <cell r="N17">
            <v>1.5177002326693311E-2</v>
          </cell>
          <cell r="O17">
            <v>1.4876477545398325E-2</v>
          </cell>
          <cell r="P17">
            <v>1.4581903553477174E-2</v>
          </cell>
          <cell r="Q17">
            <v>1.4293162517405386E-2</v>
          </cell>
          <cell r="R17">
            <v>1.4010138936918602E-2</v>
          </cell>
          <cell r="S17">
            <v>1.3732719598810931E-2</v>
          </cell>
          <cell r="T17">
            <v>1.3460793531648151E-2</v>
          </cell>
          <cell r="U17">
            <v>1.3194251961377671E-2</v>
          </cell>
          <cell r="V17">
            <v>1.2932988267817445E-2</v>
          </cell>
          <cell r="W17">
            <v>1.2676897942006491E-2</v>
          </cell>
          <cell r="X17">
            <v>1.24258785443999E-2</v>
          </cell>
          <cell r="Y17">
            <v>1.2179829663891655E-2</v>
          </cell>
          <cell r="Z17">
            <v>1.1938652877648866E-2</v>
          </cell>
          <cell r="AA17">
            <v>1.1702251711741293E-2</v>
          </cell>
          <cell r="AB17">
            <v>1.1470531602550526E-2</v>
          </cell>
          <cell r="AC17">
            <v>1.1243399858943232E-2</v>
          </cell>
          <cell r="AD17">
            <v>1.1020765625193517E-2</v>
          </cell>
          <cell r="AE17">
            <v>1.0802539844639377E-2</v>
          </cell>
          <cell r="AF17">
            <v>1.0588635224058882E-2</v>
          </cell>
          <cell r="AG17">
            <v>1.0378966198751694E-2</v>
          </cell>
          <cell r="AH17">
            <v>1.0173448898312067E-2</v>
          </cell>
          <cell r="AI17">
            <v>9.972001113079559E-3</v>
          </cell>
          <cell r="AJ17">
            <v>9.7745422612540711E-3</v>
          </cell>
          <cell r="AK17">
            <v>9.5809933566620518E-3</v>
          </cell>
          <cell r="AL17">
            <v>9.3912769771609794E-3</v>
          </cell>
          <cell r="AM17">
            <v>9.2053172336694668E-3</v>
          </cell>
          <cell r="AN17">
            <v>9.0230397398106225E-3</v>
          </cell>
          <cell r="AO17">
            <v>8.844371582156502E-3</v>
          </cell>
          <cell r="AP17">
            <v>8.6692412910617713E-3</v>
          </cell>
          <cell r="AQ17">
            <v>8.4975788120748921E-3</v>
          </cell>
          <cell r="AR17">
            <v>8.3293154779154038E-3</v>
          </cell>
          <cell r="AS17">
            <v>8.1643839810061E-3</v>
          </cell>
          <cell r="AT17">
            <v>8.0027183465491043E-3</v>
          </cell>
          <cell r="AU17">
            <v>7.8442539061350635E-3</v>
          </cell>
          <cell r="AV17">
            <v>7.6889272718749227E-3</v>
          </cell>
          <cell r="AW17">
            <v>7.5366763110439284E-3</v>
          </cell>
          <cell r="AX17">
            <v>7.3874401212277105E-3</v>
          </cell>
          <cell r="AY17">
            <v>7.2411590059604965E-3</v>
          </cell>
          <cell r="AZ17">
            <v>7.0977744508457421E-3</v>
          </cell>
          <cell r="BA17">
            <v>6.9572291001495784E-3</v>
          </cell>
          <cell r="BB17">
            <v>6.8194667338577668E-3</v>
          </cell>
          <cell r="BC17">
            <v>6.6844322451869356E-3</v>
          </cell>
          <cell r="BD17">
            <v>6.5520716185411311E-3</v>
          </cell>
          <cell r="BE17">
            <v>6.4223319079048614E-3</v>
          </cell>
          <cell r="BF17">
            <v>6.295161215663988E-3</v>
          </cell>
          <cell r="BG17">
            <v>6.1705086718459824E-3</v>
          </cell>
          <cell r="BH17">
            <v>6.0483244137712593E-3</v>
          </cell>
          <cell r="BI17">
            <v>5.9285595661074473E-3</v>
          </cell>
          <cell r="BJ17">
            <v>5.8111662213185923E-3</v>
          </cell>
        </row>
        <row r="18">
          <cell r="B18" t="str">
            <v>Magazines/Third-class Mail</v>
          </cell>
          <cell r="C18">
            <v>-8.3497725598781325E-2</v>
          </cell>
          <cell r="D18">
            <v>-0.41441563161899597</v>
          </cell>
          <cell r="E18">
            <v>0</v>
          </cell>
          <cell r="F18">
            <v>0.3917426643821203</v>
          </cell>
          <cell r="G18">
            <v>0</v>
          </cell>
          <cell r="H18">
            <v>4.7535627446779388E-2</v>
          </cell>
          <cell r="I18">
            <v>4.2076083080265482E-2</v>
          </cell>
          <cell r="J18">
            <v>3.7243576291477974E-2</v>
          </cell>
          <cell r="K18">
            <v>3.2966090791604855E-2</v>
          </cell>
          <cell r="L18">
            <v>2.9179881480098521E-2</v>
          </cell>
          <cell r="M18">
            <v>2.5828524485209229E-2</v>
          </cell>
          <cell r="N18">
            <v>2.2862076308913098E-2</v>
          </cell>
          <cell r="O18">
            <v>2.0236329545416997E-2</v>
          </cell>
          <cell r="P18">
            <v>1.7912154081607363E-2</v>
          </cell>
          <cell r="Q18">
            <v>1.5854913961702431E-2</v>
          </cell>
          <cell r="R18">
            <v>1.403395122595043E-2</v>
          </cell>
          <cell r="S18">
            <v>1.2422129031295463E-2</v>
          </cell>
          <cell r="T18">
            <v>1.0995427245380303E-2</v>
          </cell>
          <cell r="U18">
            <v>9.7325844872377092E-3</v>
          </cell>
          <cell r="V18">
            <v>8.6147812801924371E-3</v>
          </cell>
          <cell r="W18">
            <v>7.625359595169307E-3</v>
          </cell>
          <cell r="X18">
            <v>6.7495746049099662E-3</v>
          </cell>
          <cell r="Y18">
            <v>5.9743749496228207E-3</v>
          </cell>
          <cell r="Z18">
            <v>5.2882082394816055E-3</v>
          </cell>
          <cell r="AA18">
            <v>4.6808488954792919E-3</v>
          </cell>
          <cell r="AB18">
            <v>4.1432457630408192E-3</v>
          </cell>
          <cell r="AC18">
            <v>3.6673872274610043E-3</v>
          </cell>
          <cell r="AD18">
            <v>3.2461818210544799E-3</v>
          </cell>
          <cell r="AE18">
            <v>2.8733525427692601E-3</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row>
        <row r="19">
          <cell r="B19" t="str">
            <v>Newspaper</v>
          </cell>
          <cell r="C19">
            <v>-0.33803126125169575</v>
          </cell>
          <cell r="D19">
            <v>-0.62658886865177221</v>
          </cell>
          <cell r="E19">
            <v>0</v>
          </cell>
          <cell r="F19">
            <v>0.34159628081210741</v>
          </cell>
          <cell r="G19">
            <v>0</v>
          </cell>
          <cell r="H19">
            <v>1.1270884189796136E-2</v>
          </cell>
          <cell r="I19">
            <v>1.0905015054290148E-2</v>
          </cell>
          <cell r="J19">
            <v>1.0551022557924597E-2</v>
          </cell>
          <cell r="K19">
            <v>1.020852116788575E-2</v>
          </cell>
          <cell r="L19">
            <v>9.8771378663103197E-3</v>
          </cell>
          <cell r="M19">
            <v>9.5565117440321746E-3</v>
          </cell>
          <cell r="N19">
            <v>9.2462936075165571E-3</v>
          </cell>
          <cell r="O19">
            <v>8.9461455985538427E-3</v>
          </cell>
          <cell r="P19">
            <v>8.6557408262985438E-3</v>
          </cell>
          <cell r="Q19">
            <v>8.3747630112528705E-3</v>
          </cell>
          <cell r="R19">
            <v>8.1029061408071073E-3</v>
          </cell>
          <cell r="S19">
            <v>7.8398741359616327E-3</v>
          </cell>
          <cell r="T19">
            <v>7.5853805288676242E-3</v>
          </cell>
          <cell r="U19">
            <v>7.339148150835269E-3</v>
          </cell>
          <cell r="V19">
            <v>7.1009088304696648E-3</v>
          </cell>
          <cell r="W19">
            <v>6.8704031016056577E-3</v>
          </cell>
          <cell r="X19">
            <v>6.6473799207235557E-3</v>
          </cell>
          <cell r="Y19">
            <v>6.4315963935379222E-3</v>
          </cell>
          <cell r="Z19">
            <v>6.2228175104616958E-3</v>
          </cell>
          <cell r="AA19">
            <v>6.0208158906575153E-3</v>
          </cell>
          <cell r="AB19">
            <v>5.8253715343975256E-3</v>
          </cell>
          <cell r="AC19">
            <v>5.6362715834619324E-3</v>
          </cell>
          <cell r="AD19">
            <v>5.4533100893153497E-3</v>
          </cell>
          <cell r="AE19">
            <v>5.2762877888085091E-3</v>
          </cell>
          <cell r="AF19">
            <v>5.1050118871609849E-3</v>
          </cell>
          <cell r="AG19">
            <v>4.9392958479886236E-3</v>
          </cell>
          <cell r="AH19">
            <v>4.7789591901469999E-3</v>
          </cell>
          <cell r="AI19">
            <v>4.623827291169595E-3</v>
          </cell>
          <cell r="AJ19">
            <v>4.4737311970866854E-3</v>
          </cell>
          <cell r="AK19">
            <v>4.3285074384177688E-3</v>
          </cell>
          <cell r="AL19">
            <v>4.1879978521371384E-3</v>
          </cell>
          <cell r="AM19">
            <v>4.0520494094187266E-3</v>
          </cell>
          <cell r="AN19">
            <v>3.920514048972582E-3</v>
          </cell>
          <cell r="AO19">
            <v>3.7932485157914958E-3</v>
          </cell>
          <cell r="AP19">
            <v>3.6701142051321373E-3</v>
          </cell>
          <cell r="AQ19">
            <v>3.5509770115607939E-3</v>
          </cell>
          <cell r="AR19">
            <v>3.4357071828992952E-3</v>
          </cell>
          <cell r="AS19">
            <v>3.3241791789120757E-3</v>
          </cell>
          <cell r="AT19">
            <v>3.2162715345804408E-3</v>
          </cell>
          <cell r="AU19">
            <v>3.1118667278151645E-3</v>
          </cell>
          <cell r="AV19">
            <v>3.010851051463319E-3</v>
          </cell>
          <cell r="AW19">
            <v>2.9131144894699425E-3</v>
          </cell>
          <cell r="AX19">
            <v>2.8185505970596859E-3</v>
          </cell>
          <cell r="AY19">
            <v>2.7270563848079349E-3</v>
          </cell>
          <cell r="AZ19">
            <v>2.6385322064751424E-3</v>
          </cell>
          <cell r="BA19">
            <v>2.5528816504822292E-3</v>
          </cell>
          <cell r="BB19">
            <v>2.4700114349088475E-3</v>
          </cell>
          <cell r="BC19">
            <v>2.389831305900144E-3</v>
          </cell>
          <cell r="BD19">
            <v>2.3122539393714008E-3</v>
          </cell>
          <cell r="BE19">
            <v>2.2371948459034702E-3</v>
          </cell>
          <cell r="BF19">
            <v>2.1645722787254499E-3</v>
          </cell>
          <cell r="BG19">
            <v>2.0943071446843705E-3</v>
          </cell>
          <cell r="BH19">
            <v>2.0263229181049338E-3</v>
          </cell>
          <cell r="BI19">
            <v>1.9605455574454918E-3</v>
          </cell>
          <cell r="BJ19">
            <v>1.8969034246594874E-3</v>
          </cell>
        </row>
        <row r="20">
          <cell r="B20" t="str">
            <v>Office Paper</v>
          </cell>
          <cell r="C20">
            <v>0.53499165408136284</v>
          </cell>
          <cell r="D20">
            <v>-0.53595022727447172</v>
          </cell>
          <cell r="E20">
            <v>0</v>
          </cell>
          <cell r="F20">
            <v>1.2677876245690594</v>
          </cell>
          <cell r="G20">
            <v>0</v>
          </cell>
          <cell r="H20">
            <v>3.6755368162262429E-2</v>
          </cell>
          <cell r="I20">
            <v>3.5704769790353377E-2</v>
          </cell>
          <cell r="J20">
            <v>3.4684201234339122E-2</v>
          </cell>
          <cell r="K20">
            <v>3.3692804135909957E-2</v>
          </cell>
          <cell r="L20">
            <v>3.2729744671671453E-2</v>
          </cell>
          <cell r="M20">
            <v>3.179421285184978E-2</v>
          </cell>
          <cell r="N20">
            <v>3.0885421839042602E-2</v>
          </cell>
          <cell r="O20">
            <v>3.0002607286442429E-2</v>
          </cell>
          <cell r="P20">
            <v>2.9145026694975904E-2</v>
          </cell>
          <cell r="Q20">
            <v>2.8311958788818311E-2</v>
          </cell>
          <cell r="R20">
            <v>2.7502702908758097E-2</v>
          </cell>
          <cell r="S20">
            <v>2.6716578422901201E-2</v>
          </cell>
          <cell r="T20">
            <v>2.5952924154219469E-2</v>
          </cell>
          <cell r="U20">
            <v>2.5211097824461823E-2</v>
          </cell>
          <cell r="V20">
            <v>2.4490475513960417E-2</v>
          </cell>
          <cell r="W20">
            <v>2.3790451136877389E-2</v>
          </cell>
          <cell r="X20">
            <v>2.311043593145095E-2</v>
          </cell>
          <cell r="Y20">
            <v>2.2449857964812067E-2</v>
          </cell>
          <cell r="Z20">
            <v>2.1808161651955184E-2</v>
          </cell>
          <cell r="AA20">
            <v>2.11848072884585E-2</v>
          </cell>
          <cell r="AB20">
            <v>2.0579270596560721E-2</v>
          </cell>
          <cell r="AC20">
            <v>1.9991042284212571E-2</v>
          </cell>
          <cell r="AD20">
            <v>1.9419627616732174E-2</v>
          </cell>
          <cell r="AE20">
            <v>1.8864546000704006E-2</v>
          </cell>
          <cell r="AF20">
            <v>1.8325330579771516E-2</v>
          </cell>
          <cell r="AG20">
            <v>1.7801527841983404E-2</v>
          </cell>
          <cell r="AH20">
            <v>1.7292697238363349E-2</v>
          </cell>
          <cell r="AI20">
            <v>1.6798410812382349E-2</v>
          </cell>
          <cell r="AJ20">
            <v>1.6318252840022047E-2</v>
          </cell>
          <cell r="AK20">
            <v>1.5851819480126348E-2</v>
          </cell>
          <cell r="AL20">
            <v>1.5398718434747192E-2</v>
          </cell>
          <cell r="AM20">
            <v>1.4958568619198849E-2</v>
          </cell>
          <cell r="AN20">
            <v>1.4530999841543246E-2</v>
          </cell>
          <cell r="AO20">
            <v>1.4115652491236736E-2</v>
          </cell>
          <cell r="AP20">
            <v>1.371217723667641E-2</v>
          </cell>
          <cell r="AQ20">
            <v>1.3320234731391658E-2</v>
          </cell>
          <cell r="AR20">
            <v>1.2939495328633761E-2</v>
          </cell>
          <cell r="AS20">
            <v>1.2569638804123559E-2</v>
          </cell>
          <cell r="AT20">
            <v>1.2210354086723947E-2</v>
          </cell>
          <cell r="AU20">
            <v>1.1861338996810741E-2</v>
          </cell>
          <cell r="AV20">
            <v>1.1522299992121751E-2</v>
          </cell>
          <cell r="AW20">
            <v>1.1192951920870501E-2</v>
          </cell>
          <cell r="AX20">
            <v>1.0873017781916716E-2</v>
          </cell>
          <cell r="AY20">
            <v>1.0562228491792062E-2</v>
          </cell>
          <cell r="AZ20">
            <v>1.0260322658385085E-2</v>
          </cell>
          <cell r="BA20">
            <v>9.9670463610950343E-3</v>
          </cell>
          <cell r="BB20">
            <v>9.6821529372696762E-3</v>
          </cell>
          <cell r="BC20">
            <v>9.4054027747474643E-3</v>
          </cell>
          <cell r="BD20">
            <v>9.1365631103295739E-3</v>
          </cell>
          <cell r="BE20">
            <v>8.8754078340123627E-3</v>
          </cell>
          <cell r="BF20">
            <v>8.6217172988154941E-3</v>
          </cell>
          <cell r="BG20">
            <v>8.3752781360459157E-3</v>
          </cell>
          <cell r="BH20">
            <v>8.1358830758421798E-3</v>
          </cell>
          <cell r="BI20">
            <v>7.9033307728482959E-3</v>
          </cell>
          <cell r="BJ20">
            <v>7.6774256368704113E-3</v>
          </cell>
        </row>
        <row r="21">
          <cell r="B21" t="str">
            <v>Phonebooks</v>
          </cell>
          <cell r="C21">
            <v>-0.33803126125169575</v>
          </cell>
          <cell r="D21">
            <v>-0.62658886865177221</v>
          </cell>
          <cell r="E21">
            <v>0</v>
          </cell>
          <cell r="F21">
            <v>0.34159628081210741</v>
          </cell>
          <cell r="G21">
            <v>0</v>
          </cell>
          <cell r="H21">
            <v>1.1270884189796136E-2</v>
          </cell>
          <cell r="I21">
            <v>1.0905015054290148E-2</v>
          </cell>
          <cell r="J21">
            <v>1.0551022557924597E-2</v>
          </cell>
          <cell r="K21">
            <v>1.020852116788575E-2</v>
          </cell>
          <cell r="L21">
            <v>9.8771378663103197E-3</v>
          </cell>
          <cell r="M21">
            <v>9.5565117440321746E-3</v>
          </cell>
          <cell r="N21">
            <v>9.2462936075165571E-3</v>
          </cell>
          <cell r="O21">
            <v>8.9461455985538427E-3</v>
          </cell>
          <cell r="P21">
            <v>8.6557408262985438E-3</v>
          </cell>
          <cell r="Q21">
            <v>8.3747630112528705E-3</v>
          </cell>
          <cell r="R21">
            <v>8.1029061408071073E-3</v>
          </cell>
          <cell r="S21">
            <v>7.8398741359616327E-3</v>
          </cell>
          <cell r="T21">
            <v>7.5853805288676242E-3</v>
          </cell>
          <cell r="U21">
            <v>7.339148150835269E-3</v>
          </cell>
          <cell r="V21">
            <v>7.1009088304696648E-3</v>
          </cell>
          <cell r="W21">
            <v>6.8704031016056577E-3</v>
          </cell>
          <cell r="X21">
            <v>6.6473799207235557E-3</v>
          </cell>
          <cell r="Y21">
            <v>6.4315963935379222E-3</v>
          </cell>
          <cell r="Z21">
            <v>6.2228175104616958E-3</v>
          </cell>
          <cell r="AA21">
            <v>6.0208158906575153E-3</v>
          </cell>
          <cell r="AB21">
            <v>5.8253715343975256E-3</v>
          </cell>
          <cell r="AC21">
            <v>5.6362715834619324E-3</v>
          </cell>
          <cell r="AD21">
            <v>5.4533100893153497E-3</v>
          </cell>
          <cell r="AE21">
            <v>5.2762877888085091E-3</v>
          </cell>
          <cell r="AF21">
            <v>5.1050118871609849E-3</v>
          </cell>
          <cell r="AG21">
            <v>4.9392958479886236E-3</v>
          </cell>
          <cell r="AH21">
            <v>4.7789591901469999E-3</v>
          </cell>
          <cell r="AI21">
            <v>4.623827291169595E-3</v>
          </cell>
          <cell r="AJ21">
            <v>4.4737311970866854E-3</v>
          </cell>
          <cell r="AK21">
            <v>4.3285074384177688E-3</v>
          </cell>
          <cell r="AL21">
            <v>4.1879978521371384E-3</v>
          </cell>
          <cell r="AM21">
            <v>4.0520494094187266E-3</v>
          </cell>
          <cell r="AN21">
            <v>3.920514048972582E-3</v>
          </cell>
          <cell r="AO21">
            <v>3.7932485157914958E-3</v>
          </cell>
          <cell r="AP21">
            <v>3.6701142051321373E-3</v>
          </cell>
          <cell r="AQ21">
            <v>3.5509770115607939E-3</v>
          </cell>
          <cell r="AR21">
            <v>3.4357071828992952E-3</v>
          </cell>
          <cell r="AS21">
            <v>3.3241791789120757E-3</v>
          </cell>
          <cell r="AT21">
            <v>3.2162715345804408E-3</v>
          </cell>
          <cell r="AU21">
            <v>3.1118667278151645E-3</v>
          </cell>
          <cell r="AV21">
            <v>3.010851051463319E-3</v>
          </cell>
          <cell r="AW21">
            <v>2.9131144894699425E-3</v>
          </cell>
          <cell r="AX21">
            <v>2.8185505970596859E-3</v>
          </cell>
          <cell r="AY21">
            <v>2.7270563848079349E-3</v>
          </cell>
          <cell r="AZ21">
            <v>2.6385322064751424E-3</v>
          </cell>
          <cell r="BA21">
            <v>2.5528816504822292E-3</v>
          </cell>
          <cell r="BB21">
            <v>2.4700114349088475E-3</v>
          </cell>
          <cell r="BC21">
            <v>2.389831305900144E-3</v>
          </cell>
          <cell r="BD21">
            <v>2.3122539393714008E-3</v>
          </cell>
          <cell r="BE21">
            <v>2.2371948459034702E-3</v>
          </cell>
          <cell r="BF21">
            <v>2.1645722787254499E-3</v>
          </cell>
          <cell r="BG21">
            <v>2.0943071446843705E-3</v>
          </cell>
          <cell r="BH21">
            <v>2.0263229181049338E-3</v>
          </cell>
          <cell r="BI21">
            <v>1.9605455574454918E-3</v>
          </cell>
          <cell r="BJ21">
            <v>1.8969034246594874E-3</v>
          </cell>
        </row>
        <row r="22">
          <cell r="B22" t="str">
            <v>Textbooks</v>
          </cell>
          <cell r="C22">
            <v>0.53499165408136284</v>
          </cell>
          <cell r="D22">
            <v>-0.53595022727447172</v>
          </cell>
          <cell r="E22">
            <v>0</v>
          </cell>
          <cell r="F22">
            <v>1.2677876245690594</v>
          </cell>
          <cell r="G22">
            <v>0</v>
          </cell>
          <cell r="H22">
            <v>3.6755368162262429E-2</v>
          </cell>
          <cell r="I22">
            <v>3.5704769790353377E-2</v>
          </cell>
          <cell r="J22">
            <v>3.4684201234339122E-2</v>
          </cell>
          <cell r="K22">
            <v>3.3692804135909957E-2</v>
          </cell>
          <cell r="L22">
            <v>3.2729744671671453E-2</v>
          </cell>
          <cell r="M22">
            <v>3.179421285184978E-2</v>
          </cell>
          <cell r="N22">
            <v>3.0885421839042602E-2</v>
          </cell>
          <cell r="O22">
            <v>3.0002607286442429E-2</v>
          </cell>
          <cell r="P22">
            <v>2.9145026694975904E-2</v>
          </cell>
          <cell r="Q22">
            <v>2.8311958788818311E-2</v>
          </cell>
          <cell r="R22">
            <v>2.7502702908758097E-2</v>
          </cell>
          <cell r="S22">
            <v>2.6716578422901201E-2</v>
          </cell>
          <cell r="T22">
            <v>2.5952924154219469E-2</v>
          </cell>
          <cell r="U22">
            <v>2.5211097824461823E-2</v>
          </cell>
          <cell r="V22">
            <v>2.4490475513960417E-2</v>
          </cell>
          <cell r="W22">
            <v>2.3790451136877389E-2</v>
          </cell>
          <cell r="X22">
            <v>2.311043593145095E-2</v>
          </cell>
          <cell r="Y22">
            <v>2.2449857964812067E-2</v>
          </cell>
          <cell r="Z22">
            <v>2.1808161651955184E-2</v>
          </cell>
          <cell r="AA22">
            <v>2.11848072884585E-2</v>
          </cell>
          <cell r="AB22">
            <v>2.0579270596560721E-2</v>
          </cell>
          <cell r="AC22">
            <v>1.9991042284212571E-2</v>
          </cell>
          <cell r="AD22">
            <v>1.9419627616732174E-2</v>
          </cell>
          <cell r="AE22">
            <v>1.8864546000704006E-2</v>
          </cell>
          <cell r="AF22">
            <v>1.8325330579771516E-2</v>
          </cell>
          <cell r="AG22">
            <v>1.7801527841983404E-2</v>
          </cell>
          <cell r="AH22">
            <v>1.7292697238363349E-2</v>
          </cell>
          <cell r="AI22">
            <v>1.6798410812382349E-2</v>
          </cell>
          <cell r="AJ22">
            <v>1.6318252840022047E-2</v>
          </cell>
          <cell r="AK22">
            <v>1.5851819480126348E-2</v>
          </cell>
          <cell r="AL22">
            <v>1.5398718434747192E-2</v>
          </cell>
          <cell r="AM22">
            <v>1.4958568619198849E-2</v>
          </cell>
          <cell r="AN22">
            <v>1.4530999841543246E-2</v>
          </cell>
          <cell r="AO22">
            <v>1.4115652491236736E-2</v>
          </cell>
          <cell r="AP22">
            <v>1.371217723667641E-2</v>
          </cell>
          <cell r="AQ22">
            <v>1.3320234731391658E-2</v>
          </cell>
          <cell r="AR22">
            <v>1.2939495328633761E-2</v>
          </cell>
          <cell r="AS22">
            <v>1.2569638804123559E-2</v>
          </cell>
          <cell r="AT22">
            <v>1.2210354086723947E-2</v>
          </cell>
          <cell r="AU22">
            <v>1.1861338996810741E-2</v>
          </cell>
          <cell r="AV22">
            <v>1.1522299992121751E-2</v>
          </cell>
          <cell r="AW22">
            <v>1.1192951920870501E-2</v>
          </cell>
          <cell r="AX22">
            <v>1.0873017781916716E-2</v>
          </cell>
          <cell r="AY22">
            <v>1.0562228491792062E-2</v>
          </cell>
          <cell r="AZ22">
            <v>1.0260322658385085E-2</v>
          </cell>
          <cell r="BA22">
            <v>9.9670463610950343E-3</v>
          </cell>
          <cell r="BB22">
            <v>9.6821529372696762E-3</v>
          </cell>
          <cell r="BC22">
            <v>9.4054027747474643E-3</v>
          </cell>
          <cell r="BD22">
            <v>9.1365631103295739E-3</v>
          </cell>
          <cell r="BE22">
            <v>8.8754078340123627E-3</v>
          </cell>
          <cell r="BF22">
            <v>8.6217172988154941E-3</v>
          </cell>
          <cell r="BG22">
            <v>8.3752781360459157E-3</v>
          </cell>
          <cell r="BH22">
            <v>8.1358830758421798E-3</v>
          </cell>
          <cell r="BI22">
            <v>7.9033307728482959E-3</v>
          </cell>
          <cell r="BJ22">
            <v>7.6774256368704113E-3</v>
          </cell>
        </row>
        <row r="23">
          <cell r="B23" t="str">
            <v>Dimensional Lumber</v>
          </cell>
          <cell r="C23">
            <v>-0.60820560363755749</v>
          </cell>
          <cell r="D23">
            <v>-0.65417454211442894</v>
          </cell>
          <cell r="E23">
            <v>0</v>
          </cell>
          <cell r="F23">
            <v>5.4418313757392568E-2</v>
          </cell>
          <cell r="G23">
            <v>0</v>
          </cell>
          <cell r="H23">
            <v>4.4517591912594792E-3</v>
          </cell>
          <cell r="I23">
            <v>4.1012809097760936E-3</v>
          </cell>
          <cell r="J23">
            <v>3.778395096913364E-3</v>
          </cell>
          <cell r="K23">
            <v>3.4809294516620548E-3</v>
          </cell>
          <cell r="L23">
            <v>3.2068826940165091E-3</v>
          </cell>
          <cell r="M23">
            <v>2.9544111008260121E-3</v>
          </cell>
          <cell r="N23">
            <v>2.7218161016522155E-3</v>
          </cell>
          <cell r="O23">
            <v>2.5075328511803968E-3</v>
          </cell>
          <cell r="P23">
            <v>2.310119701302404E-3</v>
          </cell>
          <cell r="Q23">
            <v>2.1282485020418895E-3</v>
          </cell>
          <cell r="R23">
            <v>1.9606956660687012E-3</v>
          </cell>
          <cell r="S23">
            <v>1.8063339366865547E-3</v>
          </cell>
          <cell r="T23">
            <v>1.6641248039109084E-3</v>
          </cell>
          <cell r="U23">
            <v>1.5331115176141794E-3</v>
          </cell>
          <cell r="V23">
            <v>1.412412650732347E-3</v>
          </cell>
          <cell r="W23">
            <v>1.3012161692276913E-3</v>
          </cell>
          <cell r="X23">
            <v>1.1987739689117544E-3</v>
          </cell>
          <cell r="Y23">
            <v>1.1043968423735276E-3</v>
          </cell>
          <cell r="Z23">
            <v>1.0174498421515225E-3</v>
          </cell>
          <cell r="AA23">
            <v>9.3734800895422393E-4</v>
          </cell>
          <cell r="AB23">
            <v>8.6355243618938047E-4</v>
          </cell>
          <cell r="AC23">
            <v>7.9556664432519427E-4</v>
          </cell>
          <cell r="AD23">
            <v>7.3293324069095302E-4</v>
          </cell>
          <cell r="AE23">
            <v>6.7523084224501643E-4</v>
          </cell>
          <cell r="AF23">
            <v>6.2207124060725165E-4</v>
          </cell>
          <cell r="AG23">
            <v>5.7309679028291012E-4</v>
          </cell>
          <cell r="AH23">
            <v>5.2797800250652723E-4</v>
          </cell>
          <cell r="AI23">
            <v>4.8641132851777414E-4</v>
          </cell>
          <cell r="AJ23">
            <v>4.4811711735566283E-4</v>
          </cell>
          <cell r="AK23">
            <v>4.1283773443161301E-4</v>
          </cell>
          <cell r="AL23">
            <v>3.8033582822357521E-4</v>
          </cell>
          <cell r="AM23">
            <v>3.5039273342993109E-4</v>
          </cell>
          <cell r="AN23">
            <v>3.2280699983996015E-4</v>
          </cell>
          <cell r="AO23">
            <v>2.9739303702345203E-4</v>
          </cell>
          <cell r="AP23">
            <v>2.7397986572125135E-4</v>
          </cell>
          <cell r="AQ23">
            <v>2.5240996753637983E-4</v>
          </cell>
          <cell r="AR23">
            <v>2.3253822518672247E-4</v>
          </cell>
          <cell r="AS23">
            <v>2.1423094618954437E-4</v>
          </cell>
          <cell r="AT23">
            <v>1.9736496340941361E-4</v>
          </cell>
          <cell r="AU23">
            <v>1.8182680641822371E-4</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row>
        <row r="24">
          <cell r="B24" t="str">
            <v>Medium-density Fiberboard</v>
          </cell>
          <cell r="C24">
            <v>-0.63874870227538805</v>
          </cell>
          <cell r="D24">
            <v>-0.65417454211442894</v>
          </cell>
          <cell r="E24">
            <v>0</v>
          </cell>
          <cell r="F24">
            <v>1.826120463396318E-2</v>
          </cell>
          <cell r="G24">
            <v>0</v>
          </cell>
          <cell r="H24">
            <v>1.1666351307697978E-3</v>
          </cell>
          <cell r="I24">
            <v>1.0943095852902569E-3</v>
          </cell>
          <cell r="J24">
            <v>1.0264678620366602E-3</v>
          </cell>
          <cell r="K24">
            <v>9.6283198644800633E-4</v>
          </cell>
          <cell r="L24">
            <v>9.0314121699633355E-4</v>
          </cell>
          <cell r="M24">
            <v>8.4715097682482824E-4</v>
          </cell>
          <cell r="N24">
            <v>7.9463185161903014E-4</v>
          </cell>
          <cell r="O24">
            <v>7.45368649605011E-4</v>
          </cell>
          <cell r="P24">
            <v>6.9915951982296872E-4</v>
          </cell>
          <cell r="Q24">
            <v>6.5581512506344888E-4</v>
          </cell>
          <cell r="R24">
            <v>6.1515786607738566E-4</v>
          </cell>
          <cell r="S24">
            <v>5.7702115388124275E-4</v>
          </cell>
          <cell r="T24">
            <v>5.4124872717559614E-4</v>
          </cell>
          <cell r="U24">
            <v>5.0769401208035283E-4</v>
          </cell>
          <cell r="V24">
            <v>4.7621952156318565E-4</v>
          </cell>
          <cell r="W24">
            <v>4.4669629210040014E-4</v>
          </cell>
          <cell r="X24">
            <v>4.1900335526201435E-4</v>
          </cell>
          <cell r="Y24">
            <v>3.9302724205591985E-4</v>
          </cell>
          <cell r="Z24">
            <v>3.6866151800022708E-4</v>
          </cell>
          <cell r="AA24">
            <v>3.4580634701880105E-4</v>
          </cell>
          <cell r="AB24">
            <v>3.2436808237309376E-4</v>
          </cell>
          <cell r="AC24">
            <v>3.0425888295415739E-4</v>
          </cell>
          <cell r="AD24">
            <v>2.8539635336263477E-4</v>
          </cell>
          <cell r="AE24">
            <v>2.6770320630199008E-4</v>
          </cell>
          <cell r="AF24">
            <v>2.5110694590167292E-4</v>
          </cell>
          <cell r="AG24">
            <v>2.3553957067266168E-4</v>
          </cell>
          <cell r="AH24">
            <v>2.2093729487827822E-4</v>
          </cell>
          <cell r="AI24">
            <v>2.0724028717862E-4</v>
          </cell>
          <cell r="AJ24">
            <v>1.943924254777297E-4</v>
          </cell>
          <cell r="AK24">
            <v>1.8234106696901522E-4</v>
          </cell>
          <cell r="AL24">
            <v>1.7103683243670386E-4</v>
          </cell>
          <cell r="AM24">
            <v>1.6043340392952782E-4</v>
          </cell>
          <cell r="AN24">
            <v>1.5048733497763012E-4</v>
          </cell>
          <cell r="AO24">
            <v>1.4115787257507265E-4</v>
          </cell>
          <cell r="AP24">
            <v>1.3240679019853977E-4</v>
          </cell>
          <cell r="AQ24">
            <v>1.2419823117804671E-4</v>
          </cell>
          <cell r="AR24">
            <v>1.1649856177788113E-4</v>
          </cell>
          <cell r="AS24">
            <v>1.0927623338579207E-4</v>
          </cell>
          <cell r="AT24">
            <v>1.0250165324575979E-4</v>
          </cell>
          <cell r="AU24">
            <v>9.6147063204687889E-5</v>
          </cell>
          <cell r="AV24">
            <v>9.018642597619428E-5</v>
          </cell>
          <cell r="AW24">
            <v>8.4595318455478282E-5</v>
          </cell>
          <cell r="AX24">
            <v>7.935083164813281E-5</v>
          </cell>
          <cell r="AY24">
            <v>7.4431476802869803E-5</v>
          </cell>
          <cell r="AZ24">
            <v>6.9817097363547426E-5</v>
          </cell>
          <cell r="BA24">
            <v>6.5488786379731196E-5</v>
          </cell>
          <cell r="BB24">
            <v>6.1428809037387792E-5</v>
          </cell>
          <cell r="BC24">
            <v>5.7620529992288209E-5</v>
          </cell>
          <cell r="BD24">
            <v>5.404834520837669E-5</v>
          </cell>
          <cell r="BE24">
            <v>5.0697618021820073E-5</v>
          </cell>
          <cell r="BF24">
            <v>4.7554619168766448E-5</v>
          </cell>
          <cell r="BG24">
            <v>4.4606470531082779E-5</v>
          </cell>
          <cell r="BH24">
            <v>4.1841092369575796E-5</v>
          </cell>
          <cell r="BI24">
            <v>3.9247153828489171E-5</v>
          </cell>
          <cell r="BJ24">
            <v>3.6814026508474456E-5</v>
          </cell>
        </row>
        <row r="25">
          <cell r="B25" t="str">
            <v>Food Waste</v>
          </cell>
          <cell r="C25" t="e">
            <v>#N/A</v>
          </cell>
          <cell r="D25" t="e">
            <v>#N/A</v>
          </cell>
          <cell r="E25" t="e">
            <v>#N/A</v>
          </cell>
          <cell r="F25">
            <v>0.53143869322425796</v>
          </cell>
          <cell r="G25">
            <v>0</v>
          </cell>
          <cell r="H25">
            <v>7.6213281857887769E-2</v>
          </cell>
          <cell r="I25">
            <v>6.5992147000127899E-2</v>
          </cell>
          <cell r="J25">
            <v>5.714179155553277E-2</v>
          </cell>
          <cell r="K25">
            <v>4.9478377210088777E-2</v>
          </cell>
          <cell r="L25">
            <v>4.2842720620067651E-2</v>
          </cell>
          <cell r="M25">
            <v>3.7096986878440055E-2</v>
          </cell>
          <cell r="N25">
            <v>3.2121826427954331E-2</v>
          </cell>
          <cell r="O25">
            <v>2.7813895949250038E-2</v>
          </cell>
          <cell r="P25">
            <v>2.4083711728249163E-2</v>
          </cell>
          <cell r="Q25">
            <v>2.0853790913280729E-2</v>
          </cell>
          <cell r="R25">
            <v>1.8057042052398161E-2</v>
          </cell>
          <cell r="S25">
            <v>1.563537147936141E-2</v>
          </cell>
          <cell r="T25">
            <v>1.3538476600333374E-2</v>
          </cell>
          <cell r="U25">
            <v>1.1722801015614907E-2</v>
          </cell>
          <cell r="V25">
            <v>1.0150629772356951E-2</v>
          </cell>
          <cell r="W25">
            <v>8.7893059549688842E-3</v>
          </cell>
          <cell r="X25">
            <v>7.6105523403513665E-3</v>
          </cell>
          <cell r="Y25">
            <v>6.5898840274735554E-3</v>
          </cell>
          <cell r="Z25">
            <v>5.7060998405204042E-3</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row>
        <row r="26">
          <cell r="B26" t="str">
            <v>Yard Trimmings</v>
          </cell>
          <cell r="C26">
            <v>5.9297936093736028E-3</v>
          </cell>
          <cell r="D26">
            <v>-0.22068538770125307</v>
          </cell>
          <cell r="E26">
            <v>0</v>
          </cell>
          <cell r="F26">
            <v>0.26826845359839552</v>
          </cell>
          <cell r="G26">
            <v>0</v>
          </cell>
          <cell r="H26">
            <v>5.1801334635634133E-2</v>
          </cell>
          <cell r="I26">
            <v>4.2581330843150154E-2</v>
          </cell>
          <cell r="J26">
            <v>3.5002374921949048E-2</v>
          </cell>
          <cell r="K26">
            <v>2.8772380428635055E-2</v>
          </cell>
          <cell r="L26">
            <v>2.3651248733153225E-2</v>
          </cell>
          <cell r="M26">
            <v>1.9441615824068913E-2</v>
          </cell>
          <cell r="N26">
            <v>1.5981246069297673E-2</v>
          </cell>
          <cell r="O26">
            <v>1.3136779794365366E-2</v>
          </cell>
          <cell r="P26">
            <v>1.0798593715241524E-2</v>
          </cell>
          <cell r="Q26">
            <v>8.8765761512475064E-3</v>
          </cell>
          <cell r="R26">
            <v>7.2966541983780593E-3</v>
          </cell>
          <cell r="S26">
            <v>5.9979390232827194E-3</v>
          </cell>
          <cell r="T26">
            <v>4.9303792599921271E-3</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row>
        <row r="27">
          <cell r="B27" t="str">
            <v>Grass</v>
          </cell>
          <cell r="C27">
            <v>-6.1966548078052533E-2</v>
          </cell>
          <cell r="D27">
            <v>-0.22068538770125307</v>
          </cell>
          <cell r="E27">
            <v>0</v>
          </cell>
          <cell r="F27">
            <v>0.18789234426568879</v>
          </cell>
          <cell r="G27">
            <v>0</v>
          </cell>
          <cell r="H27">
            <v>5.52850635328513E-2</v>
          </cell>
          <cell r="I27">
            <v>4.1038176728476344E-2</v>
          </cell>
          <cell r="J27">
            <v>3.0462693566353925E-2</v>
          </cell>
          <cell r="K27">
            <v>2.2612498246630433E-2</v>
          </cell>
          <cell r="L27">
            <v>1.6785287743517969E-2</v>
          </cell>
          <cell r="M27">
            <v>1.2459741580065282E-2</v>
          </cell>
          <cell r="N27">
            <v>9.2488828677935123E-3</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row>
        <row r="28">
          <cell r="B28" t="str">
            <v>Leaves</v>
          </cell>
          <cell r="C28">
            <v>-3.9709144933501778E-2</v>
          </cell>
          <cell r="D28">
            <v>-0.22068538770125307</v>
          </cell>
          <cell r="E28">
            <v>0</v>
          </cell>
          <cell r="F28">
            <v>0.21424079580442382</v>
          </cell>
          <cell r="G28">
            <v>0</v>
          </cell>
          <cell r="H28">
            <v>3.6480046498339649E-2</v>
          </cell>
          <cell r="I28">
            <v>3.0746170190048484E-2</v>
          </cell>
          <cell r="J28">
            <v>2.591353553780288E-2</v>
          </cell>
          <cell r="K28">
            <v>2.1840486796183767E-2</v>
          </cell>
          <cell r="L28">
            <v>1.840763344694574E-2</v>
          </cell>
          <cell r="M28">
            <v>1.5514350585643625E-2</v>
          </cell>
          <cell r="N28">
            <v>1.3075829371982511E-2</v>
          </cell>
          <cell r="O28">
            <v>1.1020591085740723E-2</v>
          </cell>
          <cell r="P28">
            <v>9.2883919194713047E-3</v>
          </cell>
          <cell r="Q28">
            <v>7.8284570925898824E-3</v>
          </cell>
          <cell r="R28">
            <v>6.5979925246316684E-3</v>
          </cell>
          <cell r="S28">
            <v>5.560930441364049E-3</v>
          </cell>
          <cell r="T28">
            <v>4.6868721445566782E-3</v>
          </cell>
          <cell r="U28">
            <v>3.9501969555355643E-3</v>
          </cell>
          <cell r="V28">
            <v>3.3293112135872878E-3</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row>
        <row r="29">
          <cell r="B29" t="str">
            <v>Branches</v>
          </cell>
          <cell r="C29">
            <v>0.13929215414549456</v>
          </cell>
          <cell r="D29">
            <v>-0.22068538770125307</v>
          </cell>
          <cell r="E29">
            <v>0</v>
          </cell>
          <cell r="F29">
            <v>0.42614364105204022</v>
          </cell>
          <cell r="G29">
            <v>0</v>
          </cell>
          <cell r="H29">
            <v>7.0919369174996831E-3</v>
          </cell>
          <cell r="I29">
            <v>6.9863517323406777E-3</v>
          </cell>
          <cell r="J29">
            <v>6.8823385057953422E-3</v>
          </cell>
          <cell r="K29">
            <v>6.7798738344488942E-3</v>
          </cell>
          <cell r="L29">
            <v>6.678934663318003E-3</v>
          </cell>
          <cell r="M29">
            <v>6.5794982806633264E-3</v>
          </cell>
          <cell r="N29">
            <v>6.4815423128792649E-3</v>
          </cell>
          <cell r="O29">
            <v>6.3850447194598141E-3</v>
          </cell>
          <cell r="P29">
            <v>6.2899837880393515E-3</v>
          </cell>
          <cell r="Q29">
            <v>6.1963381295072643E-3</v>
          </cell>
          <cell r="R29">
            <v>6.1040866731953145E-3</v>
          </cell>
          <cell r="S29">
            <v>6.0132086621366432E-3</v>
          </cell>
          <cell r="T29">
            <v>5.9236836483953651E-3</v>
          </cell>
          <cell r="U29">
            <v>5.8354914884657045E-3</v>
          </cell>
          <cell r="V29">
            <v>5.7486123387396129E-3</v>
          </cell>
          <cell r="W29">
            <v>5.6630266510418782E-3</v>
          </cell>
          <cell r="X29">
            <v>5.5787151682317017E-3</v>
          </cell>
          <cell r="Y29">
            <v>5.4956589198697581E-3</v>
          </cell>
          <cell r="Z29">
            <v>5.4138392179497686E-3</v>
          </cell>
          <cell r="AA29">
            <v>5.3332376526936242E-3</v>
          </cell>
          <cell r="AB29">
            <v>5.2538360884091025E-3</v>
          </cell>
          <cell r="AC29">
            <v>5.1756166594092582E-3</v>
          </cell>
          <cell r="AD29">
            <v>5.0985617659925781E-3</v>
          </cell>
          <cell r="AE29">
            <v>5.0226540704829655E-3</v>
          </cell>
          <cell r="AF29">
            <v>4.9478764933286916E-3</v>
          </cell>
          <cell r="AG29">
            <v>4.8742122092594285E-3</v>
          </cell>
          <cell r="AH29">
            <v>4.8016446435004837E-3</v>
          </cell>
          <cell r="AI29">
            <v>4.7301574680434178E-3</v>
          </cell>
          <cell r="AJ29">
            <v>4.6597345979721627E-3</v>
          </cell>
          <cell r="AK29">
            <v>4.590360187843855E-3</v>
          </cell>
          <cell r="AL29">
            <v>4.5220186281235393E-3</v>
          </cell>
          <cell r="AM29">
            <v>4.4546945416719611E-3</v>
          </cell>
          <cell r="AN29">
            <v>4.3883727802856414E-3</v>
          </cell>
          <cell r="AO29">
            <v>4.3230384212884724E-3</v>
          </cell>
          <cell r="AP29">
            <v>4.258676764174049E-3</v>
          </cell>
          <cell r="AQ29">
            <v>4.1952733272979928E-3</v>
          </cell>
          <cell r="AR29">
            <v>4.1328138446195192E-3</v>
          </cell>
          <cell r="AS29">
            <v>4.0712842624915256E-3</v>
          </cell>
          <cell r="AT29">
            <v>4.0106707364984508E-3</v>
          </cell>
          <cell r="AU29">
            <v>3.9509596283412328E-3</v>
          </cell>
          <cell r="AV29">
            <v>3.8921375027686275E-3</v>
          </cell>
          <cell r="AW29">
            <v>3.834191124554224E-3</v>
          </cell>
          <cell r="AX29">
            <v>3.7771074555184589E-3</v>
          </cell>
          <cell r="AY29">
            <v>3.720873651594978E-3</v>
          </cell>
          <cell r="AZ29">
            <v>3.6654770599406595E-3</v>
          </cell>
          <cell r="BA29">
            <v>3.6109052160886745E-3</v>
          </cell>
          <cell r="BB29">
            <v>3.55714584114393E-3</v>
          </cell>
          <cell r="BC29">
            <v>3.5041868390202646E-3</v>
          </cell>
          <cell r="BD29">
            <v>3.4520162937187785E-3</v>
          </cell>
          <cell r="BE29">
            <v>3.4006224666466812E-3</v>
          </cell>
          <cell r="BF29">
            <v>3.3499937939760632E-3</v>
          </cell>
          <cell r="BG29">
            <v>3.3001188840419827E-3</v>
          </cell>
          <cell r="BH29">
            <v>3.2509865147792921E-3</v>
          </cell>
          <cell r="BI29">
            <v>3.2025856311976293E-3</v>
          </cell>
          <cell r="BJ29">
            <v>3.1549053428939953E-3</v>
          </cell>
        </row>
        <row r="30">
          <cell r="B30" t="str">
            <v xml:space="preserve">Mixed Paper </v>
          </cell>
          <cell r="D30">
            <v>0</v>
          </cell>
          <cell r="E30">
            <v>0</v>
          </cell>
        </row>
        <row r="31">
          <cell r="B31" t="str">
            <v>Mixed Paper (general)</v>
          </cell>
          <cell r="C31">
            <v>9.9539689669852841E-2</v>
          </cell>
          <cell r="D31">
            <v>-0.55717385627454086</v>
          </cell>
          <cell r="E31">
            <v>0</v>
          </cell>
          <cell r="F31">
            <v>0.77742155847067229</v>
          </cell>
          <cell r="G31">
            <v>0</v>
          </cell>
          <cell r="H31">
            <v>2.481870750863438E-2</v>
          </cell>
          <cell r="I31">
            <v>2.481870750863438E-2</v>
          </cell>
          <cell r="J31">
            <v>2.4013056513765604E-2</v>
          </cell>
          <cell r="K31">
            <v>2.3233558110658796E-2</v>
          </cell>
          <cell r="L31">
            <v>2.2479363348514879E-2</v>
          </cell>
          <cell r="M31">
            <v>2.1749650834700571E-2</v>
          </cell>
          <cell r="N31">
            <v>2.1043625840170575E-2</v>
          </cell>
          <cell r="O31">
            <v>2.0360519433929171E-2</v>
          </cell>
          <cell r="P31">
            <v>1.9699587645588323E-2</v>
          </cell>
          <cell r="Q31">
            <v>1.9060110655110415E-2</v>
          </cell>
          <cell r="R31">
            <v>1.8441392008853096E-2</v>
          </cell>
          <cell r="S31">
            <v>1.784275786106241E-2</v>
          </cell>
          <cell r="T31">
            <v>1.7263556239988199E-2</v>
          </cell>
          <cell r="U31">
            <v>1.670315633782243E-2</v>
          </cell>
          <cell r="V31">
            <v>1.6160947823687124E-2</v>
          </cell>
          <cell r="W31">
            <v>1.5636340178923742E-2</v>
          </cell>
          <cell r="X31">
            <v>1.5128762053959983E-2</v>
          </cell>
          <cell r="Y31">
            <v>1.4637660646053648E-2</v>
          </cell>
          <cell r="Z31">
            <v>1.4162501097235807E-2</v>
          </cell>
          <cell r="AA31">
            <v>1.3702765911797619E-2</v>
          </cell>
          <cell r="AB31">
            <v>1.3257954392686355E-2</v>
          </cell>
          <cell r="AC31">
            <v>1.2827582096196836E-2</v>
          </cell>
          <cell r="AD31">
            <v>1.2411180304364344E-2</v>
          </cell>
          <cell r="AE31">
            <v>1.200829551448444E-2</v>
          </cell>
          <cell r="AF31">
            <v>1.1618488945203708E-2</v>
          </cell>
          <cell r="AG31">
            <v>1.1241336058643489E-2</v>
          </cell>
          <cell r="AH31">
            <v>1.0876426098036166E-2</v>
          </cell>
          <cell r="AI31">
            <v>1.052336164037047E-2</v>
          </cell>
          <cell r="AJ31">
            <v>1.0181758163558517E-2</v>
          </cell>
          <cell r="AK31">
            <v>9.8512436276532757E-3</v>
          </cell>
          <cell r="AL31">
            <v>9.5314580696602823E-3</v>
          </cell>
          <cell r="AM31">
            <v>9.2220532115023617E-3</v>
          </cell>
          <cell r="AN31">
            <v>8.9226920807104031E-3</v>
          </cell>
          <cell r="AO31">
            <v>8.6330486434270052E-3</v>
          </cell>
          <cell r="AP31">
            <v>8.3528074493234121E-3</v>
          </cell>
          <cell r="AQ31">
            <v>8.0816632880429101E-3</v>
          </cell>
          <cell r="AR31">
            <v>7.8193208567965983E-3</v>
          </cell>
          <cell r="AS31">
            <v>7.565494438749455E-3</v>
          </cell>
          <cell r="AT31">
            <v>7.319907591846482E-3</v>
          </cell>
          <cell r="AU31">
            <v>7.0822928477399637E-3</v>
          </cell>
          <cell r="AV31">
            <v>6.8523914204900284E-3</v>
          </cell>
          <cell r="AW31">
            <v>6.6299529247211631E-3</v>
          </cell>
          <cell r="AX31">
            <v>6.4147351029278038E-3</v>
          </cell>
          <cell r="AY31">
            <v>6.2065035616319679E-3</v>
          </cell>
          <cell r="AZ31">
            <v>6.0050315161055924E-3</v>
          </cell>
          <cell r="BA31">
            <v>5.8100995433795445E-3</v>
          </cell>
          <cell r="BB31">
            <v>5.6214953432703382E-3</v>
          </cell>
          <cell r="BC31">
            <v>5.4390135071642337E-3</v>
          </cell>
          <cell r="BD31">
            <v>5.2624552943069721E-3</v>
          </cell>
          <cell r="BE31">
            <v>5.0916284153554436E-3</v>
          </cell>
          <cell r="BF31">
            <v>4.9263468229555907E-3</v>
          </cell>
          <cell r="BG31">
            <v>4.7664305091184569E-3</v>
          </cell>
          <cell r="BH31">
            <v>4.6117053091736873E-3</v>
          </cell>
          <cell r="BI31">
            <v>4.462002712087001E-3</v>
          </cell>
          <cell r="BJ31">
            <v>4.3171596769350125E-3</v>
          </cell>
        </row>
        <row r="32">
          <cell r="B32" t="str">
            <v>Mixed Paper (primarily residential)</v>
          </cell>
          <cell r="D32">
            <v>-0.55479439489786209</v>
          </cell>
          <cell r="E32">
            <v>0</v>
          </cell>
        </row>
        <row r="33">
          <cell r="B33" t="str">
            <v>Mixed Paper (primarily from offices)</v>
          </cell>
          <cell r="C33">
            <v>0.11065929675108348</v>
          </cell>
          <cell r="D33">
            <v>-0.51218950447793721</v>
          </cell>
          <cell r="E33">
            <v>0</v>
          </cell>
          <cell r="F33">
            <v>0.7373322641711666</v>
          </cell>
          <cell r="G33">
            <v>0</v>
          </cell>
          <cell r="H33">
            <v>4.3560296271102167E-2</v>
          </cell>
          <cell r="I33">
            <v>4.3560296271102167E-2</v>
          </cell>
          <cell r="J33">
            <v>4.0900655895716474E-2</v>
          </cell>
          <cell r="K33">
            <v>3.8403403922887942E-2</v>
          </cell>
          <cell r="L33">
            <v>3.6058625480843293E-2</v>
          </cell>
          <cell r="M33">
            <v>3.3857011065438494E-2</v>
          </cell>
          <cell r="N33">
            <v>3.178981957851424E-2</v>
          </cell>
          <cell r="O33">
            <v>2.9848843623000981E-2</v>
          </cell>
          <cell r="P33">
            <v>2.8026376916984272E-2</v>
          </cell>
          <cell r="Q33">
            <v>2.6315183697354156E-2</v>
          </cell>
          <cell r="R33">
            <v>2.4708469991561361E-2</v>
          </cell>
          <cell r="S33">
            <v>2.3199856643420325E-2</v>
          </cell>
          <cell r="T33">
            <v>2.1783353985863001E-2</v>
          </cell>
          <cell r="U33">
            <v>2.0453338060086233E-2</v>
          </cell>
          <cell r="V33">
            <v>1.9204528286675526E-2</v>
          </cell>
          <cell r="W33">
            <v>1.8031966500052333E-2</v>
          </cell>
          <cell r="X33">
            <v>1.6930997263005225E-2</v>
          </cell>
          <cell r="Y33">
            <v>1.5897249383147329E-2</v>
          </cell>
          <cell r="Z33">
            <v>1.4926618557914786E-2</v>
          </cell>
          <cell r="AA33">
            <v>1.4015251079201188E-2</v>
          </cell>
          <cell r="AB33">
            <v>1.3159528532930538E-2</v>
          </cell>
          <cell r="AC33">
            <v>1.2356053432821064E-2</v>
          </cell>
          <cell r="AD33">
            <v>1.1601635731301548E-2</v>
          </cell>
          <cell r="AE33">
            <v>1.0893280154024243E-2</v>
          </cell>
          <cell r="AF33">
            <v>1.0228174307688418E-2</v>
          </cell>
          <cell r="AG33">
            <v>9.6036775139589099E-3</v>
          </cell>
          <cell r="AH33">
            <v>9.017310325146799E-3</v>
          </cell>
          <cell r="AI33">
            <v>8.4667446800262211E-3</v>
          </cell>
          <cell r="AJ33">
            <v>7.949794660702808E-3</v>
          </cell>
          <cell r="AK33">
            <v>7.4644078138356223E-3</v>
          </cell>
          <cell r="AL33">
            <v>7.0086570017551262E-3</v>
          </cell>
          <cell r="AM33">
            <v>6.5807327511236231E-3</v>
          </cell>
          <cell r="AN33">
            <v>6.1789360687598627E-3</v>
          </cell>
          <cell r="AO33">
            <v>5.801671696104461E-3</v>
          </cell>
          <cell r="AP33">
            <v>5.4474417755442494E-3</v>
          </cell>
          <cell r="AQ33">
            <v>5.1148399034488161E-3</v>
          </cell>
          <cell r="AR33">
            <v>4.8025455463080232E-3</v>
          </cell>
          <cell r="AS33">
            <v>4.5093187978007309E-3</v>
          </cell>
          <cell r="AT33">
            <v>4.2339954559787235E-3</v>
          </cell>
          <cell r="AU33">
            <v>3.9754824010206705E-3</v>
          </cell>
          <cell r="AV33">
            <v>3.7327532552043634E-3</v>
          </cell>
          <cell r="AW33">
            <v>3.504844307866004E-3</v>
          </cell>
          <cell r="AX33">
            <v>3.2908506891672924E-3</v>
          </cell>
          <cell r="AY33">
            <v>3.0899227774790154E-3</v>
          </cell>
          <cell r="AZ33">
            <v>2.9012628261173208E-3</v>
          </cell>
          <cell r="BA33">
            <v>2.7241217960397497E-3</v>
          </cell>
          <cell r="BB33">
            <v>2.5577963819258423E-3</v>
          </cell>
          <cell r="BC33">
            <v>2.401626219834948E-3</v>
          </cell>
          <cell r="BD33">
            <v>2.2549912653547278E-3</v>
          </cell>
          <cell r="BE33">
            <v>2.1173093318308214E-3</v>
          </cell>
          <cell r="BF33">
            <v>1.9880337789036501E-3</v>
          </cell>
          <cell r="BG33">
            <v>1.8666513421751272E-3</v>
          </cell>
          <cell r="BH33">
            <v>1.7526800953883972E-3</v>
          </cell>
          <cell r="BI33">
            <v>1.6456675370297826E-3</v>
          </cell>
          <cell r="BJ33">
            <v>1.5451887937561848E-3</v>
          </cell>
        </row>
        <row r="34">
          <cell r="B34" t="str">
            <v>Mixed Metals</v>
          </cell>
          <cell r="C34">
            <v>1.9965472575447521E-2</v>
          </cell>
          <cell r="D34">
            <v>1.9965472575447521E-2</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row>
        <row r="35">
          <cell r="B35" t="str">
            <v>Mixed Plastics</v>
          </cell>
          <cell r="C35">
            <v>-1.116534074211522</v>
          </cell>
          <cell r="D35">
            <v>-1.116534074211522</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row>
        <row r="36">
          <cell r="B36" t="str">
            <v>Mixed Recyclables</v>
          </cell>
          <cell r="D36">
            <v>-0.51230970913823004</v>
          </cell>
          <cell r="E36">
            <v>0</v>
          </cell>
        </row>
        <row r="37">
          <cell r="B37" t="str">
            <v>Mixed Organics</v>
          </cell>
          <cell r="D37">
            <v>-0.20305980030835771</v>
          </cell>
          <cell r="E37">
            <v>0</v>
          </cell>
        </row>
        <row r="38">
          <cell r="B38" t="str">
            <v>Mixed MSW</v>
          </cell>
          <cell r="D38">
            <v>-0.39408104946652339</v>
          </cell>
          <cell r="E38">
            <v>0</v>
          </cell>
        </row>
        <row r="39">
          <cell r="B39" t="str">
            <v>Carpet</v>
          </cell>
          <cell r="C39">
            <v>-0.59900319518911549</v>
          </cell>
          <cell r="D39">
            <v>-0.59900319518911549</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row>
        <row r="40">
          <cell r="B40" t="str">
            <v>Personal Computers</v>
          </cell>
          <cell r="C40">
            <v>-0.12085152183640052</v>
          </cell>
          <cell r="D40">
            <v>-0.12085152183640052</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row>
        <row r="41">
          <cell r="B41" t="str">
            <v>Clay Bricks</v>
          </cell>
          <cell r="C41" t="e">
            <v>#VALUE!</v>
          </cell>
          <cell r="D41" t="str">
            <v>NA</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row>
        <row r="42">
          <cell r="B42" t="str">
            <v>Aggregate</v>
          </cell>
          <cell r="C42" t="e">
            <v>#N/A</v>
          </cell>
          <cell r="D42" t="e">
            <v>#N/A</v>
          </cell>
          <cell r="E42" t="e">
            <v>#N/A</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row>
        <row r="43">
          <cell r="B43" t="str">
            <v>Fly Ash</v>
          </cell>
          <cell r="C43" t="e">
            <v>#VALUE!</v>
          </cell>
          <cell r="D43" t="str">
            <v>NA</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row>
        <row r="44">
          <cell r="B44" t="str">
            <v>Tires</v>
          </cell>
          <cell r="C44">
            <v>-1.5659939377631629</v>
          </cell>
          <cell r="D44">
            <v>-1.5659939377631629</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row>
        <row r="50">
          <cell r="B50" t="str">
            <v>Material</v>
          </cell>
          <cell r="C50" t="str">
            <v>Proxy</v>
          </cell>
          <cell r="D50" t="str">
            <v>Methane yield</v>
          </cell>
          <cell r="E50" t="str">
            <v>Decay rate</v>
          </cell>
          <cell r="F50" t="str">
            <v>Landfill methane yield by year (MTCO2E/short ton)</v>
          </cell>
        </row>
        <row r="51">
          <cell r="D51" t="str">
            <v>MTCO2E/short ton</v>
          </cell>
          <cell r="E51" t="str">
            <v>yr^-1</v>
          </cell>
          <cell r="F51" t="str">
            <v>Total</v>
          </cell>
          <cell r="G51">
            <v>0</v>
          </cell>
          <cell r="H51">
            <v>1</v>
          </cell>
          <cell r="I51">
            <v>2</v>
          </cell>
          <cell r="J51">
            <v>3</v>
          </cell>
          <cell r="K51">
            <v>4</v>
          </cell>
          <cell r="L51">
            <v>5</v>
          </cell>
          <cell r="M51">
            <v>6</v>
          </cell>
          <cell r="N51">
            <v>7</v>
          </cell>
          <cell r="O51">
            <v>8</v>
          </cell>
          <cell r="P51">
            <v>9</v>
          </cell>
          <cell r="Q51">
            <v>10</v>
          </cell>
          <cell r="R51">
            <v>11</v>
          </cell>
          <cell r="S51">
            <v>12</v>
          </cell>
          <cell r="T51">
            <v>13</v>
          </cell>
          <cell r="U51">
            <v>14</v>
          </cell>
          <cell r="V51">
            <v>15</v>
          </cell>
          <cell r="W51">
            <v>16</v>
          </cell>
          <cell r="X51">
            <v>17</v>
          </cell>
          <cell r="Y51">
            <v>18</v>
          </cell>
          <cell r="Z51">
            <v>19</v>
          </cell>
          <cell r="AA51">
            <v>20</v>
          </cell>
          <cell r="AB51">
            <v>21</v>
          </cell>
          <cell r="AC51">
            <v>22</v>
          </cell>
          <cell r="AD51">
            <v>23</v>
          </cell>
          <cell r="AE51">
            <v>24</v>
          </cell>
          <cell r="AF51">
            <v>25</v>
          </cell>
          <cell r="AG51">
            <v>26</v>
          </cell>
          <cell r="AH51">
            <v>27</v>
          </cell>
          <cell r="AI51">
            <v>28</v>
          </cell>
          <cell r="AJ51">
            <v>29</v>
          </cell>
          <cell r="AK51">
            <v>30</v>
          </cell>
          <cell r="AL51">
            <v>31</v>
          </cell>
          <cell r="AM51">
            <v>32</v>
          </cell>
          <cell r="AN51">
            <v>33</v>
          </cell>
          <cell r="AO51">
            <v>34</v>
          </cell>
          <cell r="AP51">
            <v>35</v>
          </cell>
          <cell r="AQ51">
            <v>36</v>
          </cell>
          <cell r="AR51">
            <v>37</v>
          </cell>
          <cell r="AS51">
            <v>38</v>
          </cell>
          <cell r="AT51">
            <v>39</v>
          </cell>
          <cell r="AU51">
            <v>40</v>
          </cell>
          <cell r="AV51">
            <v>41</v>
          </cell>
          <cell r="AW51">
            <v>42</v>
          </cell>
          <cell r="AX51">
            <v>43</v>
          </cell>
          <cell r="AY51">
            <v>44</v>
          </cell>
          <cell r="AZ51">
            <v>45</v>
          </cell>
          <cell r="BA51">
            <v>46</v>
          </cell>
          <cell r="BB51">
            <v>47</v>
          </cell>
          <cell r="BC51">
            <v>48</v>
          </cell>
          <cell r="BD51">
            <v>49</v>
          </cell>
          <cell r="BE51">
            <v>50</v>
          </cell>
          <cell r="BF51">
            <v>51</v>
          </cell>
          <cell r="BG51">
            <v>52</v>
          </cell>
          <cell r="BH51">
            <v>53</v>
          </cell>
          <cell r="BI51">
            <v>54</v>
          </cell>
          <cell r="BJ51">
            <v>55</v>
          </cell>
        </row>
        <row r="52">
          <cell r="B52" t="str">
            <v>Aluminum Cans</v>
          </cell>
          <cell r="C52" t="str">
            <v>--</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row>
        <row r="53">
          <cell r="B53" t="str">
            <v>Steel Cans</v>
          </cell>
          <cell r="C53" t="str">
            <v>--</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row>
        <row r="54">
          <cell r="B54" t="str">
            <v>Copper Wire</v>
          </cell>
          <cell r="C54" t="str">
            <v>--</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row>
        <row r="55">
          <cell r="B55" t="str">
            <v>Glass</v>
          </cell>
          <cell r="C55" t="str">
            <v>--</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row>
        <row r="56">
          <cell r="A56" t="str">
            <v>Plastics</v>
          </cell>
          <cell r="B56" t="str">
            <v>HDPE</v>
          </cell>
          <cell r="C56" t="str">
            <v>--</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row>
        <row r="57">
          <cell r="B57" t="str">
            <v>LDPE</v>
          </cell>
          <cell r="C57" t="str">
            <v>--</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row>
        <row r="58">
          <cell r="B58" t="str">
            <v>PET</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row>
        <row r="59">
          <cell r="A59" t="str">
            <v>Paper and Wood</v>
          </cell>
          <cell r="B59" t="str">
            <v>Corrugated Containers</v>
          </cell>
          <cell r="C59" t="str">
            <v>Corrugated Containers</v>
          </cell>
          <cell r="D59">
            <v>2.6232704732575001</v>
          </cell>
          <cell r="E59">
            <v>0.02</v>
          </cell>
          <cell r="F59">
            <v>2.5176752704235881</v>
          </cell>
          <cell r="G59">
            <v>0</v>
          </cell>
          <cell r="H59">
            <v>5.2465409465149999E-2</v>
          </cell>
          <cell r="I59">
            <v>5.1426524752235712E-2</v>
          </cell>
          <cell r="J59">
            <v>5.0408211334918455E-2</v>
          </cell>
          <cell r="K59">
            <v>4.9410061874253619E-2</v>
          </cell>
          <cell r="L59">
            <v>4.8431677097148088E-2</v>
          </cell>
          <cell r="M59">
            <v>4.7472665636645719E-2</v>
          </cell>
          <cell r="N59">
            <v>4.6532643875375326E-2</v>
          </cell>
          <cell r="O59">
            <v>4.5611235792098609E-2</v>
          </cell>
          <cell r="P59">
            <v>4.4708072811296649E-2</v>
          </cell>
          <cell r="Q59">
            <v>4.3822793655734792E-2</v>
          </cell>
          <cell r="R59">
            <v>4.2955044201946936E-2</v>
          </cell>
          <cell r="S59">
            <v>4.2104477338581421E-2</v>
          </cell>
          <cell r="T59">
            <v>4.1270752827551854E-2</v>
          </cell>
          <cell r="U59">
            <v>4.0453537167937342E-2</v>
          </cell>
          <cell r="V59">
            <v>3.9652503462577697E-2</v>
          </cell>
          <cell r="W59">
            <v>3.8867331287310181E-2</v>
          </cell>
          <cell r="X59">
            <v>3.8097706562795583E-2</v>
          </cell>
          <cell r="Y59">
            <v>3.734332142888229E-2</v>
          </cell>
          <cell r="Z59">
            <v>3.6603874121458151E-2</v>
          </cell>
          <cell r="AA59">
            <v>3.5879068851740747E-2</v>
          </cell>
          <cell r="AB59">
            <v>3.5168615687958017E-2</v>
          </cell>
          <cell r="AC59">
            <v>3.4472230439371587E-2</v>
          </cell>
          <cell r="AD59">
            <v>3.3789634542596779E-2</v>
          </cell>
          <cell r="AE59">
            <v>3.3120554950173471E-2</v>
          </cell>
          <cell r="AF59">
            <v>3.2464724021343525E-2</v>
          </cell>
          <cell r="AG59">
            <v>3.1821879414990872E-2</v>
          </cell>
          <cell r="AH59">
            <v>3.1191763984701599E-2</v>
          </cell>
          <cell r="AI59">
            <v>3.0574125675901936E-2</v>
          </cell>
          <cell r="AJ59">
            <v>2.9968717425033081E-2</v>
          </cell>
          <cell r="AK59">
            <v>2.9375297060722467E-2</v>
          </cell>
          <cell r="AL59">
            <v>2.879362720691199E-2</v>
          </cell>
          <cell r="AM59">
            <v>2.8223475187904426E-2</v>
          </cell>
          <cell r="AN59">
            <v>2.7664612935290045E-2</v>
          </cell>
          <cell r="AO59">
            <v>2.7116816896716203E-2</v>
          </cell>
          <cell r="AP59">
            <v>2.6579867946463429E-2</v>
          </cell>
          <cell r="AQ59">
            <v>2.6053551297792202E-2</v>
          </cell>
          <cell r="AR59">
            <v>2.5537656417025413E-2</v>
          </cell>
          <cell r="AS59">
            <v>2.5031976939332054E-2</v>
          </cell>
          <cell r="AT59">
            <v>2.4536310586178573E-2</v>
          </cell>
          <cell r="AU59">
            <v>2.4050459084414732E-2</v>
          </cell>
          <cell r="AV59">
            <v>2.3574228086961722E-2</v>
          </cell>
          <cell r="AW59">
            <v>2.3107427095070729E-2</v>
          </cell>
          <cell r="AX59">
            <v>2.26498693821209E-2</v>
          </cell>
          <cell r="AY59">
            <v>2.2201371918926203E-2</v>
          </cell>
          <cell r="AZ59">
            <v>2.1761755300521317E-2</v>
          </cell>
          <cell r="BA59">
            <v>2.1330843674397242E-2</v>
          </cell>
          <cell r="BB59">
            <v>2.0908464670157969E-2</v>
          </cell>
          <cell r="BC59">
            <v>2.0494449330570007E-2</v>
          </cell>
          <cell r="BD59">
            <v>2.0088632043977244E-2</v>
          </cell>
          <cell r="BE59">
            <v>1.9690850478054068E-2</v>
          </cell>
          <cell r="BF59">
            <v>1.9300945514870282E-2</v>
          </cell>
          <cell r="BG59">
            <v>1.8918761187241822E-2</v>
          </cell>
          <cell r="BH59">
            <v>1.8544144616341768E-2</v>
          </cell>
          <cell r="BI59">
            <v>1.8176945950546808E-2</v>
          </cell>
          <cell r="BJ59">
            <v>1.7817018305494578E-2</v>
          </cell>
        </row>
        <row r="60">
          <cell r="B60" t="str">
            <v>Magazines/Third-class Mail</v>
          </cell>
          <cell r="C60" t="str">
            <v>Magazines/Third-class Mail</v>
          </cell>
          <cell r="D60">
            <v>1.1946237049113888</v>
          </cell>
          <cell r="E60">
            <v>0.122</v>
          </cell>
          <cell r="F60">
            <v>1.2010818408074579</v>
          </cell>
          <cell r="G60">
            <v>0</v>
          </cell>
          <cell r="H60">
            <v>0.14574409199918942</v>
          </cell>
          <cell r="I60">
            <v>0.12900514525197931</v>
          </cell>
          <cell r="J60">
            <v>0.11418869384823391</v>
          </cell>
          <cell r="K60">
            <v>0.10107393606121022</v>
          </cell>
          <cell r="L60">
            <v>8.9465429602719082E-2</v>
          </cell>
          <cell r="M60">
            <v>7.9190179050233428E-2</v>
          </cell>
          <cell r="N60">
            <v>7.0095057787745024E-2</v>
          </cell>
          <cell r="O60">
            <v>6.2044526040919881E-2</v>
          </cell>
          <cell r="P60">
            <v>5.4918610999638996E-2</v>
          </cell>
          <cell r="Q60">
            <v>4.8611118926760892E-2</v>
          </cell>
          <cell r="R60">
            <v>4.3028052609109579E-2</v>
          </cell>
          <cell r="S60">
            <v>3.8086210566798541E-2</v>
          </cell>
          <cell r="T60">
            <v>3.3711947145649256E-2</v>
          </cell>
          <cell r="U60">
            <v>2.9840075015018234E-2</v>
          </cell>
          <cell r="V60">
            <v>2.6412893715539395E-2</v>
          </cell>
          <cell r="W60">
            <v>2.3379329779742983E-2</v>
          </cell>
          <cell r="X60">
            <v>2.0694175611224389E-2</v>
          </cell>
          <cell r="Y60">
            <v>1.8317415779782124E-2</v>
          </cell>
          <cell r="Z60">
            <v>1.6213630692658427E-2</v>
          </cell>
          <cell r="AA60">
            <v>1.4351468755110723E-2</v>
          </cell>
          <cell r="AB60">
            <v>1.2703179154202686E-2</v>
          </cell>
          <cell r="AC60">
            <v>1.1244198303139092E-2</v>
          </cell>
          <cell r="AD60">
            <v>9.9527837831435723E-3</v>
          </cell>
          <cell r="AE60">
            <v>8.8096903277089383E-3</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row>
        <row r="61">
          <cell r="B61" t="str">
            <v>Newspaper</v>
          </cell>
          <cell r="C61" t="str">
            <v>Newspaper</v>
          </cell>
          <cell r="D61">
            <v>1.0471665853275001</v>
          </cell>
          <cell r="E61">
            <v>3.3000000000000002E-2</v>
          </cell>
          <cell r="F61">
            <v>1.0473331783197866</v>
          </cell>
          <cell r="G61">
            <v>0</v>
          </cell>
          <cell r="H61">
            <v>3.4556497315807504E-2</v>
          </cell>
          <cell r="I61">
            <v>3.3434743637378646E-2</v>
          </cell>
          <cell r="J61">
            <v>3.2349403699137885E-2</v>
          </cell>
          <cell r="K61">
            <v>3.1299295458627974E-2</v>
          </cell>
          <cell r="L61">
            <v>3.0283275244192439E-2</v>
          </cell>
          <cell r="M61">
            <v>2.9300236509404148E-2</v>
          </cell>
          <cell r="N61">
            <v>2.8349108627926854E-2</v>
          </cell>
          <cell r="O61">
            <v>2.7428855727497346E-2</v>
          </cell>
          <cell r="P61">
            <v>2.6538475561758153E-2</v>
          </cell>
          <cell r="Q61">
            <v>2.567699841871221E-2</v>
          </cell>
          <cell r="R61">
            <v>2.4843486064610665E-2</v>
          </cell>
          <cell r="S61">
            <v>2.4037030722123594E-2</v>
          </cell>
          <cell r="T61">
            <v>2.3256754081680771E-2</v>
          </cell>
          <cell r="U61">
            <v>2.2501806344905752E-2</v>
          </cell>
          <cell r="V61">
            <v>2.1771365299101453E-2</v>
          </cell>
          <cell r="W61">
            <v>2.1064635421779256E-2</v>
          </cell>
          <cell r="X61">
            <v>2.0380847014256402E-2</v>
          </cell>
          <cell r="Y61">
            <v>1.9719255363378062E-2</v>
          </cell>
          <cell r="Z61">
            <v>1.9079139930451107E-2</v>
          </cell>
          <cell r="AA61">
            <v>1.8459803566506248E-2</v>
          </cell>
          <cell r="AB61">
            <v>1.7860571753033929E-2</v>
          </cell>
          <cell r="AC61">
            <v>1.7280791867367001E-2</v>
          </cell>
          <cell r="AD61">
            <v>1.6719832471910126E-2</v>
          </cell>
          <cell r="AE61">
            <v>1.6177082626441849E-2</v>
          </cell>
          <cell r="AF61">
            <v>1.5651951222740303E-2</v>
          </cell>
          <cell r="AG61">
            <v>1.5143866340807938E-2</v>
          </cell>
          <cell r="AH61">
            <v>1.4652274625994137E-2</v>
          </cell>
          <cell r="AI61">
            <v>1.4176640686337292E-2</v>
          </cell>
          <cell r="AJ61">
            <v>1.3716446509470048E-2</v>
          </cell>
          <cell r="AK61">
            <v>1.3271190898452658E-2</v>
          </cell>
          <cell r="AL61">
            <v>1.2840388925919956E-2</v>
          </cell>
          <cell r="AM61">
            <v>1.2423571405947551E-2</v>
          </cell>
          <cell r="AN61">
            <v>1.2020284383061979E-2</v>
          </cell>
          <cell r="AO61">
            <v>1.1630088637838324E-2</v>
          </cell>
          <cell r="AP61">
            <v>1.1252559208546859E-2</v>
          </cell>
          <cell r="AQ61">
            <v>1.0887284928327726E-2</v>
          </cell>
          <cell r="AR61">
            <v>1.0533867977389585E-2</v>
          </cell>
          <cell r="AS61">
            <v>1.0191923449744549E-2</v>
          </cell>
          <cell r="AT61">
            <v>9.8610789340075194E-3</v>
          </cell>
          <cell r="AU61">
            <v>9.5409741078033815E-3</v>
          </cell>
          <cell r="AV61">
            <v>9.2312603453403343E-3</v>
          </cell>
          <cell r="AW61">
            <v>8.9316003377219386E-3</v>
          </cell>
          <cell r="AX61">
            <v>8.6416677255843951E-3</v>
          </cell>
          <cell r="AY61">
            <v>8.361146743658952E-3</v>
          </cell>
          <cell r="AZ61">
            <v>8.0897318768723084E-3</v>
          </cell>
          <cell r="BA61">
            <v>7.8271275276105088E-3</v>
          </cell>
          <cell r="BB61">
            <v>7.5730476937839342E-3</v>
          </cell>
          <cell r="BC61">
            <v>7.3272156573427477E-3</v>
          </cell>
          <cell r="BD61">
            <v>7.0893636829036048E-3</v>
          </cell>
          <cell r="BE61">
            <v>6.8592327261593495E-3</v>
          </cell>
          <cell r="BF61">
            <v>6.6365721517541651E-3</v>
          </cell>
          <cell r="BG61">
            <v>6.421139460316908E-3</v>
          </cell>
          <cell r="BH61">
            <v>6.2127000243553145E-3</v>
          </cell>
          <cell r="BI61">
            <v>6.0110268327234857E-3</v>
          </cell>
          <cell r="BJ61">
            <v>5.8159002433843037E-3</v>
          </cell>
        </row>
        <row r="62">
          <cell r="B62" t="str">
            <v>Office Paper</v>
          </cell>
          <cell r="C62" t="str">
            <v>Office Paper</v>
          </cell>
          <cell r="D62">
            <v>3.8859258337900004</v>
          </cell>
          <cell r="E62">
            <v>2.9000000000000001E-2</v>
          </cell>
          <cell r="F62">
            <v>3.8870330763488292</v>
          </cell>
          <cell r="G62">
            <v>0</v>
          </cell>
          <cell r="H62">
            <v>0.11269184917991001</v>
          </cell>
          <cell r="I62">
            <v>0.10947071770455204</v>
          </cell>
          <cell r="J62">
            <v>0.10634165755517772</v>
          </cell>
          <cell r="K62">
            <v>0.10330203700776915</v>
          </cell>
          <cell r="L62">
            <v>0.10034929956228548</v>
          </cell>
          <cell r="M62">
            <v>9.7480961792495574E-2</v>
          </cell>
          <cell r="N62">
            <v>9.4694611257270231E-2</v>
          </cell>
          <cell r="O62">
            <v>9.1987904471577009E-2</v>
          </cell>
          <cell r="P62">
            <v>8.9358564935471133E-2</v>
          </cell>
          <cell r="Q62">
            <v>8.6804381219424895E-2</v>
          </cell>
          <cell r="R62">
            <v>8.4323205104385068E-2</v>
          </cell>
          <cell r="S62">
            <v>8.1912949774994109E-2</v>
          </cell>
          <cell r="T62">
            <v>7.9571588064455356E-2</v>
          </cell>
          <cell r="U62">
            <v>7.7297150749566321E-2</v>
          </cell>
          <cell r="V62">
            <v>7.5087724894485883E-2</v>
          </cell>
          <cell r="W62">
            <v>7.294145224184255E-2</v>
          </cell>
          <cell r="X62">
            <v>7.0856527649830386E-2</v>
          </cell>
          <cell r="Y62">
            <v>6.8831197573978459E-2</v>
          </cell>
          <cell r="Z62">
            <v>6.6863758592316497E-2</v>
          </cell>
          <cell r="AA62">
            <v>6.4952555972696668E-2</v>
          </cell>
          <cell r="AB62">
            <v>6.3095982281066262E-2</v>
          </cell>
          <cell r="AC62">
            <v>6.1292476029520926E-2</v>
          </cell>
          <cell r="AD62">
            <v>5.9540520363001344E-2</v>
          </cell>
          <cell r="AE62">
            <v>5.7838641783528655E-2</v>
          </cell>
          <cell r="AF62">
            <v>5.6185408910905843E-2</v>
          </cell>
          <cell r="AG62">
            <v>5.4579431278842627E-2</v>
          </cell>
          <cell r="AH62">
            <v>5.3019358165491338E-2</v>
          </cell>
          <cell r="AI62">
            <v>5.150387745741021E-2</v>
          </cell>
          <cell r="AJ62">
            <v>5.0031714545998696E-2</v>
          </cell>
          <cell r="AK62">
            <v>4.8601631255476452E-2</v>
          </cell>
          <cell r="AL62">
            <v>4.7212424801504574E-2</v>
          </cell>
          <cell r="AM62">
            <v>4.5862926779573022E-2</v>
          </cell>
          <cell r="AN62">
            <v>4.4552002182303589E-2</v>
          </cell>
          <cell r="AO62">
            <v>4.3278548444841823E-2</v>
          </cell>
          <cell r="AP62">
            <v>4.2041494517534916E-2</v>
          </cell>
          <cell r="AQ62">
            <v>4.0839799965115914E-2</v>
          </cell>
          <cell r="AR62">
            <v>3.9672454091636278E-2</v>
          </cell>
          <cell r="AS62">
            <v>3.8538475090411008E-2</v>
          </cell>
          <cell r="AT62">
            <v>3.7436909218261372E-2</v>
          </cell>
          <cell r="AU62">
            <v>3.6366829993360716E-2</v>
          </cell>
          <cell r="AV62">
            <v>3.532733741600854E-2</v>
          </cell>
          <cell r="AW62">
            <v>3.431755721167782E-2</v>
          </cell>
          <cell r="AX62">
            <v>3.3336640095698512E-2</v>
          </cell>
          <cell r="AY62">
            <v>3.2383761058959105E-2</v>
          </cell>
          <cell r="AZ62">
            <v>3.145811867402537E-2</v>
          </cell>
          <cell r="BA62">
            <v>3.0558934421092601E-2</v>
          </cell>
          <cell r="BB62">
            <v>2.9685452033204607E-2</v>
          </cell>
          <cell r="BC62">
            <v>2.8836936860188608E-2</v>
          </cell>
          <cell r="BD62">
            <v>2.801267525077113E-2</v>
          </cell>
          <cell r="BE62">
            <v>2.7211973952355258E-2</v>
          </cell>
          <cell r="BF62">
            <v>2.6434159527954283E-2</v>
          </cell>
          <cell r="BG62">
            <v>2.5678577789791567E-2</v>
          </cell>
          <cell r="BH62">
            <v>2.4944593249090007E-2</v>
          </cell>
          <cell r="BI62">
            <v>2.4231588581588553E-2</v>
          </cell>
          <cell r="BJ62">
            <v>2.3538964108336106E-2</v>
          </cell>
        </row>
        <row r="63">
          <cell r="B63" t="str">
            <v>Phonebooks</v>
          </cell>
          <cell r="C63" t="str">
            <v>Phonebooks</v>
          </cell>
          <cell r="D63">
            <v>1.0471665853275001</v>
          </cell>
          <cell r="E63">
            <v>3.3000000000000002E-2</v>
          </cell>
          <cell r="F63">
            <v>1.0473331783197866</v>
          </cell>
          <cell r="G63">
            <v>0</v>
          </cell>
          <cell r="H63">
            <v>3.4556497315807504E-2</v>
          </cell>
          <cell r="I63">
            <v>3.3434743637378646E-2</v>
          </cell>
          <cell r="J63">
            <v>3.2349403699137885E-2</v>
          </cell>
          <cell r="K63">
            <v>3.1299295458627974E-2</v>
          </cell>
          <cell r="L63">
            <v>3.0283275244192439E-2</v>
          </cell>
          <cell r="M63">
            <v>2.9300236509404148E-2</v>
          </cell>
          <cell r="N63">
            <v>2.8349108627926854E-2</v>
          </cell>
          <cell r="O63">
            <v>2.7428855727497346E-2</v>
          </cell>
          <cell r="P63">
            <v>2.6538475561758153E-2</v>
          </cell>
          <cell r="Q63">
            <v>2.567699841871221E-2</v>
          </cell>
          <cell r="R63">
            <v>2.4843486064610665E-2</v>
          </cell>
          <cell r="S63">
            <v>2.4037030722123594E-2</v>
          </cell>
          <cell r="T63">
            <v>2.3256754081680771E-2</v>
          </cell>
          <cell r="U63">
            <v>2.2501806344905752E-2</v>
          </cell>
          <cell r="V63">
            <v>2.1771365299101453E-2</v>
          </cell>
          <cell r="W63">
            <v>2.1064635421779256E-2</v>
          </cell>
          <cell r="X63">
            <v>2.0380847014256402E-2</v>
          </cell>
          <cell r="Y63">
            <v>1.9719255363378062E-2</v>
          </cell>
          <cell r="Z63">
            <v>1.9079139930451107E-2</v>
          </cell>
          <cell r="AA63">
            <v>1.8459803566506248E-2</v>
          </cell>
          <cell r="AB63">
            <v>1.7860571753033929E-2</v>
          </cell>
          <cell r="AC63">
            <v>1.7280791867367001E-2</v>
          </cell>
          <cell r="AD63">
            <v>1.6719832471910126E-2</v>
          </cell>
          <cell r="AE63">
            <v>1.6177082626441849E-2</v>
          </cell>
          <cell r="AF63">
            <v>1.5651951222740303E-2</v>
          </cell>
          <cell r="AG63">
            <v>1.5143866340807938E-2</v>
          </cell>
          <cell r="AH63">
            <v>1.4652274625994137E-2</v>
          </cell>
          <cell r="AI63">
            <v>1.4176640686337292E-2</v>
          </cell>
          <cell r="AJ63">
            <v>1.3716446509470048E-2</v>
          </cell>
          <cell r="AK63">
            <v>1.3271190898452658E-2</v>
          </cell>
          <cell r="AL63">
            <v>1.2840388925919956E-2</v>
          </cell>
          <cell r="AM63">
            <v>1.2423571405947551E-2</v>
          </cell>
          <cell r="AN63">
            <v>1.2020284383061979E-2</v>
          </cell>
          <cell r="AO63">
            <v>1.1630088637838324E-2</v>
          </cell>
          <cell r="AP63">
            <v>1.1252559208546859E-2</v>
          </cell>
          <cell r="AQ63">
            <v>1.0887284928327726E-2</v>
          </cell>
          <cell r="AR63">
            <v>1.0533867977389585E-2</v>
          </cell>
          <cell r="AS63">
            <v>1.0191923449744549E-2</v>
          </cell>
          <cell r="AT63">
            <v>9.8610789340075194E-3</v>
          </cell>
          <cell r="AU63">
            <v>9.5409741078033815E-3</v>
          </cell>
          <cell r="AV63">
            <v>9.2312603453403343E-3</v>
          </cell>
          <cell r="AW63">
            <v>8.9316003377219386E-3</v>
          </cell>
          <cell r="AX63">
            <v>8.6416677255843951E-3</v>
          </cell>
          <cell r="AY63">
            <v>8.361146743658952E-3</v>
          </cell>
          <cell r="AZ63">
            <v>8.0897318768723084E-3</v>
          </cell>
          <cell r="BA63">
            <v>7.8271275276105088E-3</v>
          </cell>
          <cell r="BB63">
            <v>7.5730476937839342E-3</v>
          </cell>
          <cell r="BC63">
            <v>7.3272156573427477E-3</v>
          </cell>
          <cell r="BD63">
            <v>7.0893636829036048E-3</v>
          </cell>
          <cell r="BE63">
            <v>6.8592327261593495E-3</v>
          </cell>
          <cell r="BF63">
            <v>6.6365721517541651E-3</v>
          </cell>
          <cell r="BG63">
            <v>6.421139460316908E-3</v>
          </cell>
          <cell r="BH63">
            <v>6.2127000243553145E-3</v>
          </cell>
          <cell r="BI63">
            <v>6.0110268327234857E-3</v>
          </cell>
          <cell r="BJ63">
            <v>5.8159002433843037E-3</v>
          </cell>
        </row>
        <row r="64">
          <cell r="B64" t="str">
            <v>Textbooks</v>
          </cell>
          <cell r="C64" t="str">
            <v>Office Paper</v>
          </cell>
          <cell r="D64">
            <v>3.8859258337900004</v>
          </cell>
          <cell r="E64">
            <v>2.9000000000000001E-2</v>
          </cell>
          <cell r="F64">
            <v>3.8870330763488292</v>
          </cell>
          <cell r="G64">
            <v>0</v>
          </cell>
          <cell r="H64">
            <v>0.11269184917991001</v>
          </cell>
          <cell r="I64">
            <v>0.10947071770455204</v>
          </cell>
          <cell r="J64">
            <v>0.10634165755517772</v>
          </cell>
          <cell r="K64">
            <v>0.10330203700776915</v>
          </cell>
          <cell r="L64">
            <v>0.10034929956228548</v>
          </cell>
          <cell r="M64">
            <v>9.7480961792495574E-2</v>
          </cell>
          <cell r="N64">
            <v>9.4694611257270231E-2</v>
          </cell>
          <cell r="O64">
            <v>9.1987904471577009E-2</v>
          </cell>
          <cell r="P64">
            <v>8.9358564935471133E-2</v>
          </cell>
          <cell r="Q64">
            <v>8.6804381219424895E-2</v>
          </cell>
          <cell r="R64">
            <v>8.4323205104385068E-2</v>
          </cell>
          <cell r="S64">
            <v>8.1912949774994109E-2</v>
          </cell>
          <cell r="T64">
            <v>7.9571588064455356E-2</v>
          </cell>
          <cell r="U64">
            <v>7.7297150749566321E-2</v>
          </cell>
          <cell r="V64">
            <v>7.5087724894485883E-2</v>
          </cell>
          <cell r="W64">
            <v>7.294145224184255E-2</v>
          </cell>
          <cell r="X64">
            <v>7.0856527649830386E-2</v>
          </cell>
          <cell r="Y64">
            <v>6.8831197573978459E-2</v>
          </cell>
          <cell r="Z64">
            <v>6.6863758592316497E-2</v>
          </cell>
          <cell r="AA64">
            <v>6.4952555972696668E-2</v>
          </cell>
          <cell r="AB64">
            <v>6.3095982281066262E-2</v>
          </cell>
          <cell r="AC64">
            <v>6.1292476029520926E-2</v>
          </cell>
          <cell r="AD64">
            <v>5.9540520363001344E-2</v>
          </cell>
          <cell r="AE64">
            <v>5.7838641783528655E-2</v>
          </cell>
          <cell r="AF64">
            <v>5.6185408910905843E-2</v>
          </cell>
          <cell r="AG64">
            <v>5.4579431278842627E-2</v>
          </cell>
          <cell r="AH64">
            <v>5.3019358165491338E-2</v>
          </cell>
          <cell r="AI64">
            <v>5.150387745741021E-2</v>
          </cell>
          <cell r="AJ64">
            <v>5.0031714545998696E-2</v>
          </cell>
          <cell r="AK64">
            <v>4.8601631255476452E-2</v>
          </cell>
          <cell r="AL64">
            <v>4.7212424801504574E-2</v>
          </cell>
          <cell r="AM64">
            <v>4.5862926779573022E-2</v>
          </cell>
          <cell r="AN64">
            <v>4.4552002182303589E-2</v>
          </cell>
          <cell r="AO64">
            <v>4.3278548444841823E-2</v>
          </cell>
          <cell r="AP64">
            <v>4.2041494517534916E-2</v>
          </cell>
          <cell r="AQ64">
            <v>4.0839799965115914E-2</v>
          </cell>
          <cell r="AR64">
            <v>3.9672454091636278E-2</v>
          </cell>
          <cell r="AS64">
            <v>3.8538475090411008E-2</v>
          </cell>
          <cell r="AT64">
            <v>3.7436909218261372E-2</v>
          </cell>
          <cell r="AU64">
            <v>3.6366829993360716E-2</v>
          </cell>
          <cell r="AV64">
            <v>3.532733741600854E-2</v>
          </cell>
          <cell r="AW64">
            <v>3.431755721167782E-2</v>
          </cell>
          <cell r="AX64">
            <v>3.3336640095698512E-2</v>
          </cell>
          <cell r="AY64">
            <v>3.2383761058959105E-2</v>
          </cell>
          <cell r="AZ64">
            <v>3.145811867402537E-2</v>
          </cell>
          <cell r="BA64">
            <v>3.0558934421092601E-2</v>
          </cell>
          <cell r="BB64">
            <v>2.9685452033204607E-2</v>
          </cell>
          <cell r="BC64">
            <v>2.8836936860188608E-2</v>
          </cell>
          <cell r="BD64">
            <v>2.801267525077113E-2</v>
          </cell>
          <cell r="BE64">
            <v>2.7211973952355258E-2</v>
          </cell>
          <cell r="BF64">
            <v>2.6434159527954283E-2</v>
          </cell>
          <cell r="BG64">
            <v>2.5678577789791567E-2</v>
          </cell>
          <cell r="BH64">
            <v>2.4944593249090007E-2</v>
          </cell>
          <cell r="BI64">
            <v>2.4231588581588553E-2</v>
          </cell>
          <cell r="BJ64">
            <v>2.3538964108336106E-2</v>
          </cell>
        </row>
        <row r="65">
          <cell r="B65" t="str">
            <v>Dimensional Lumber</v>
          </cell>
          <cell r="C65" t="str">
            <v>Dimensional Lumber</v>
          </cell>
          <cell r="D65">
            <v>0.16645220006249997</v>
          </cell>
          <cell r="E65">
            <v>8.2000000000000003E-2</v>
          </cell>
          <cell r="F65">
            <v>0.16684638770315688</v>
          </cell>
          <cell r="G65">
            <v>0</v>
          </cell>
          <cell r="H65">
            <v>1.3649080405124999E-2</v>
          </cell>
          <cell r="I65">
            <v>1.257451503923346E-2</v>
          </cell>
          <cell r="J65">
            <v>1.1584548099851303E-2</v>
          </cell>
          <cell r="K65">
            <v>1.0672519318562073E-2</v>
          </cell>
          <cell r="L65">
            <v>9.832292776836303E-3</v>
          </cell>
          <cell r="M65">
            <v>9.0582156249919416E-3</v>
          </cell>
          <cell r="N65">
            <v>8.3450800511301951E-3</v>
          </cell>
          <cell r="O65">
            <v>7.6880882441825397E-3</v>
          </cell>
          <cell r="P65">
            <v>7.082820115348421E-3</v>
          </cell>
          <cell r="Q65">
            <v>6.5252035607609379E-3</v>
          </cell>
          <cell r="R65">
            <v>6.0114870653146177E-3</v>
          </cell>
          <cell r="S65">
            <v>5.5382144633401627E-3</v>
          </cell>
          <cell r="T65">
            <v>5.1022016863218394E-3</v>
          </cell>
          <cell r="U65">
            <v>4.7005153412215334E-3</v>
          </cell>
          <cell r="V65">
            <v>4.3304529752893981E-3</v>
          </cell>
          <cell r="W65">
            <v>3.9895248945872952E-3</v>
          </cell>
          <cell r="X65">
            <v>3.6754374139042804E-3</v>
          </cell>
          <cell r="Y65">
            <v>3.3860774253734387E-3</v>
          </cell>
          <cell r="Z65">
            <v>3.1194981819712775E-3</v>
          </cell>
          <cell r="AA65">
            <v>2.8739062002543776E-3</v>
          </cell>
          <cell r="AB65">
            <v>2.647649194217931E-3</v>
          </cell>
          <cell r="AC65">
            <v>2.4392049590979629E-3</v>
          </cell>
          <cell r="AD65">
            <v>2.2471711303300272E-3</v>
          </cell>
          <cell r="AE65">
            <v>2.0702557487650313E-3</v>
          </cell>
          <cell r="AF65">
            <v>1.9072685686671368E-3</v>
          </cell>
          <cell r="AG65">
            <v>1.7571130500159539E-3</v>
          </cell>
          <cell r="AH65">
            <v>1.6187789812391134E-3</v>
          </cell>
          <cell r="AI65">
            <v>1.4913356827426379E-3</v>
          </cell>
          <cell r="AJ65">
            <v>1.3739257455140663E-3</v>
          </cell>
          <cell r="AK65">
            <v>1.2657592626730849E-3</v>
          </cell>
          <cell r="AL65">
            <v>1.1661085151608794E-3</v>
          </cell>
          <cell r="AM65">
            <v>1.0743030758147538E-3</v>
          </cell>
          <cell r="AN65">
            <v>9.8972529888937018E-4</v>
          </cell>
          <cell r="AO65">
            <v>9.1180616467913928E-4</v>
          </cell>
          <cell r="AP65">
            <v>8.4002145128535591E-4</v>
          </cell>
          <cell r="AQ65">
            <v>7.7388820777260937E-4</v>
          </cell>
          <cell r="AR65">
            <v>7.129615049866788E-4</v>
          </cell>
          <cell r="AS65">
            <v>6.5683144217417398E-4</v>
          </cell>
          <cell r="AT65">
            <v>6.0512038926514877E-4</v>
          </cell>
          <cell r="AU65">
            <v>5.5748044626540067E-4</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row>
        <row r="66">
          <cell r="B66" t="str">
            <v>Medium-density Fiberboard</v>
          </cell>
          <cell r="C66" t="str">
            <v>Medium-density Fiberboard</v>
          </cell>
          <cell r="D66">
            <v>5.5889059875000008E-2</v>
          </cell>
          <cell r="E66">
            <v>6.4000000000000001E-2</v>
          </cell>
          <cell r="F66">
            <v>5.5988798952282946E-2</v>
          </cell>
          <cell r="G66">
            <v>0</v>
          </cell>
          <cell r="H66">
            <v>3.5768998320000007E-3</v>
          </cell>
          <cell r="I66">
            <v>3.3551499252366269E-3</v>
          </cell>
          <cell r="J66">
            <v>3.1471474040471095E-3</v>
          </cell>
          <cell r="K66">
            <v>2.9520399992563453E-3</v>
          </cell>
          <cell r="L66">
            <v>2.7690282781171432E-3</v>
          </cell>
          <cell r="M66">
            <v>2.5973623687158475E-3</v>
          </cell>
          <cell r="N66">
            <v>2.436338887448443E-3</v>
          </cell>
          <cell r="O66">
            <v>2.2852980569777748E-3</v>
          </cell>
          <cell r="P66">
            <v>2.1436210028630141E-3</v>
          </cell>
          <cell r="Q66">
            <v>2.0107272177845837E-3</v>
          </cell>
          <cell r="R66">
            <v>1.8860721829744534E-3</v>
          </cell>
          <cell r="S66">
            <v>1.7691451371058744E-3</v>
          </cell>
          <cell r="T66">
            <v>1.659466983500788E-3</v>
          </cell>
          <cell r="U66">
            <v>1.5565883270799174E-3</v>
          </cell>
          <cell r="V66">
            <v>1.4600876330121372E-3</v>
          </cell>
          <cell r="W66">
            <v>1.3695694995183737E-3</v>
          </cell>
          <cell r="X66">
            <v>1.2846630377530332E-3</v>
          </cell>
          <cell r="Y66">
            <v>1.2050203521246795E-3</v>
          </cell>
          <cell r="Z66">
            <v>1.1303151148292295E-3</v>
          </cell>
          <cell r="AA66">
            <v>1.0602412287549681E-3</v>
          </cell>
          <cell r="AB66">
            <v>9.945115732807638E-4</v>
          </cell>
          <cell r="AC66">
            <v>9.3285682782852787E-4</v>
          </cell>
          <cell r="AD66">
            <v>8.7502436834953627E-4</v>
          </cell>
          <cell r="AE66">
            <v>8.207772322230835E-4</v>
          </cell>
          <cell r="AF66">
            <v>7.6989314732624681E-4</v>
          </cell>
          <cell r="AG66">
            <v>7.22163621296468E-4</v>
          </cell>
          <cell r="AH66">
            <v>6.7739308725530334E-4</v>
          </cell>
          <cell r="AI66">
            <v>6.3539810249303025E-4</v>
          </cell>
          <cell r="AJ66">
            <v>5.960065968308012E-4</v>
          </cell>
          <cell r="AK66">
            <v>5.5905716758058738E-4</v>
          </cell>
          <cell r="AL66">
            <v>5.2439841821407993E-4</v>
          </cell>
          <cell r="AM66">
            <v>4.918883380308132E-4</v>
          </cell>
          <cell r="AN66">
            <v>4.6139372028376432E-4</v>
          </cell>
          <cell r="AO66">
            <v>4.3278961637825382E-4</v>
          </cell>
          <cell r="AP66">
            <v>4.0595882390778856E-4</v>
          </cell>
          <cell r="AQ66">
            <v>3.8079140642912073E-4</v>
          </cell>
          <cell r="AR66">
            <v>3.5718424300885314E-4</v>
          </cell>
          <cell r="AS66">
            <v>3.3504060569590336E-4</v>
          </cell>
          <cell r="AT66">
            <v>3.1426976318856117E-4</v>
          </cell>
          <cell r="AU66">
            <v>2.9478660907220874E-4</v>
          </cell>
          <cell r="AV66">
            <v>2.765113131044425E-4</v>
          </cell>
          <cell r="AW66">
            <v>2.5936899411877395E-4</v>
          </cell>
          <cell r="AX66">
            <v>2.4328941320666633E-4</v>
          </cell>
          <cell r="AY66">
            <v>2.2820668592075049E-4</v>
          </cell>
          <cell r="AZ66">
            <v>2.1405901232000301E-4</v>
          </cell>
          <cell r="BA66">
            <v>2.0078842375077281E-4</v>
          </cell>
          <cell r="BB66">
            <v>1.8834054532611955E-4</v>
          </cell>
          <cell r="BC66">
            <v>1.7666437313024408E-4</v>
          </cell>
          <cell r="BD66">
            <v>1.6571206523513122E-4</v>
          </cell>
          <cell r="BE66">
            <v>1.5543874567311547E-4</v>
          </cell>
          <cell r="BF66">
            <v>1.4580232056216787E-4</v>
          </cell>
          <cell r="BG66">
            <v>1.367633056304955E-4</v>
          </cell>
          <cell r="BH66">
            <v>1.2828466443375394E-4</v>
          </cell>
          <cell r="BI66">
            <v>1.2033165660198322E-4</v>
          </cell>
          <cell r="BJ66">
            <v>1.1287169549447516E-4</v>
          </cell>
        </row>
        <row r="67">
          <cell r="A67" t="str">
            <v>Other Organics</v>
          </cell>
          <cell r="B67" t="str">
            <v>Food Waste</v>
          </cell>
          <cell r="C67" t="str">
            <v>Food Waste</v>
          </cell>
          <cell r="D67">
            <v>1.622706214625282</v>
          </cell>
          <cell r="E67">
            <v>0.14399999999999999</v>
          </cell>
          <cell r="F67">
            <v>1.6293894486597951</v>
          </cell>
          <cell r="G67">
            <v>0</v>
          </cell>
          <cell r="H67">
            <v>0.23366969490604059</v>
          </cell>
          <cell r="I67">
            <v>0.20233172591187296</v>
          </cell>
          <cell r="J67">
            <v>0.17519656251076399</v>
          </cell>
          <cell r="K67">
            <v>0.15170055698015919</v>
          </cell>
          <cell r="L67">
            <v>0.13135565366287713</v>
          </cell>
          <cell r="M67">
            <v>0.11373925114499356</v>
          </cell>
          <cell r="N67">
            <v>9.8485424039878824E-2</v>
          </cell>
          <cell r="O67">
            <v>8.5277322038546571E-2</v>
          </cell>
          <cell r="P67">
            <v>7.3840588340476715E-2</v>
          </cell>
          <cell r="Q67">
            <v>6.3937660753502171E-2</v>
          </cell>
          <cell r="R67">
            <v>5.5362837086023402E-2</v>
          </cell>
          <cell r="S67">
            <v>4.7938002330585448E-2</v>
          </cell>
          <cell r="T67">
            <v>4.150892888448756E-2</v>
          </cell>
          <cell r="U67">
            <v>3.5942072956138618E-2</v>
          </cell>
          <cell r="V67">
            <v>3.1121800612570517E-2</v>
          </cell>
          <cell r="W67">
            <v>2.6947985847966281E-2</v>
          </cell>
          <cell r="X67">
            <v>2.3333930780626847E-2</v>
          </cell>
          <cell r="Y67">
            <v>2.0204564777006342E-2</v>
          </cell>
          <cell r="Z67">
            <v>1.7494885095278367E-2</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row>
        <row r="68">
          <cell r="B68" t="str">
            <v>Yard Trimmings</v>
          </cell>
          <cell r="C68" t="str">
            <v>Yard Trimmings</v>
          </cell>
          <cell r="D68">
            <v>0.81032008938650013</v>
          </cell>
          <cell r="E68">
            <v>0.19600000000000001</v>
          </cell>
          <cell r="F68">
            <v>0.82251027874827842</v>
          </cell>
          <cell r="G68">
            <v>0</v>
          </cell>
          <cell r="H68">
            <v>0.15882273751975404</v>
          </cell>
          <cell r="I68">
            <v>0.13055423338632008</v>
          </cell>
          <cell r="J68">
            <v>0.10731717713258647</v>
          </cell>
          <cell r="K68">
            <v>8.821603259411219E-2</v>
          </cell>
          <cell r="L68">
            <v>7.251465808712991E-2</v>
          </cell>
          <cell r="M68">
            <v>5.9607936141126298E-2</v>
          </cell>
          <cell r="N68">
            <v>4.8998452791921852E-2</v>
          </cell>
          <cell r="O68">
            <v>4.0277327675261314E-2</v>
          </cell>
          <cell r="P68">
            <v>3.3108456129207126E-2</v>
          </cell>
          <cell r="Q68">
            <v>2.7215556009514252E-2</v>
          </cell>
          <cell r="R68">
            <v>2.2371520013390159E-2</v>
          </cell>
          <cell r="S68">
            <v>1.8389663159354617E-2</v>
          </cell>
          <cell r="T68">
            <v>1.5116528108600206E-2</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row>
        <row r="69">
          <cell r="B69" t="str">
            <v>Grass</v>
          </cell>
          <cell r="C69" t="str">
            <v>Grass</v>
          </cell>
          <cell r="D69">
            <v>0.5688048319800002</v>
          </cell>
          <cell r="E69">
            <v>0.29799999999999999</v>
          </cell>
          <cell r="F69">
            <v>0.57607736721811664</v>
          </cell>
          <cell r="G69">
            <v>0</v>
          </cell>
          <cell r="H69">
            <v>0.16950383993004006</v>
          </cell>
          <cell r="I69">
            <v>0.12582292747246102</v>
          </cell>
          <cell r="J69">
            <v>9.3398527633794859E-2</v>
          </cell>
          <cell r="K69">
            <v>6.9329852193035474E-2</v>
          </cell>
          <cell r="L69">
            <v>5.1463642167405399E-2</v>
          </cell>
          <cell r="M69">
            <v>3.8201530529165077E-2</v>
          </cell>
          <cell r="N69">
            <v>2.8357047292214749E-2</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row>
        <row r="70">
          <cell r="B70" t="str">
            <v>Leaves</v>
          </cell>
          <cell r="C70" t="str">
            <v>Leaves</v>
          </cell>
          <cell r="D70">
            <v>0.65408019754000024</v>
          </cell>
          <cell r="E70">
            <v>0.17100000000000001</v>
          </cell>
          <cell r="F70">
            <v>0.65686164106402245</v>
          </cell>
          <cell r="G70">
            <v>0</v>
          </cell>
          <cell r="H70">
            <v>0.11184771377934005</v>
          </cell>
          <cell r="I70">
            <v>9.4267666116706769E-2</v>
          </cell>
          <cell r="J70">
            <v>7.9450822683980113E-2</v>
          </cell>
          <cell r="K70">
            <v>6.6962867388126804E-2</v>
          </cell>
          <cell r="L70">
            <v>5.6437749256232447E-2</v>
          </cell>
          <cell r="M70">
            <v>4.7566952631334578E-2</v>
          </cell>
          <cell r="N70">
            <v>4.0090453861991421E-2</v>
          </cell>
          <cell r="O70">
            <v>3.3789099405154996E-2</v>
          </cell>
          <cell r="P70">
            <v>2.8478181926841706E-2</v>
          </cell>
          <cell r="Q70">
            <v>2.4002026101191773E-2</v>
          </cell>
          <cell r="R70">
            <v>2.0229425405113341E-2</v>
          </cell>
          <cell r="S70">
            <v>1.704979615036439E-2</v>
          </cell>
          <cell r="T70">
            <v>1.4369936018820485E-2</v>
          </cell>
          <cell r="U70">
            <v>1.2111292086068783E-2</v>
          </cell>
          <cell r="V70">
            <v>1.0207658252754872E-2</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row>
        <row r="71">
          <cell r="B71" t="str">
            <v>Branches</v>
          </cell>
          <cell r="C71" t="str">
            <v>Branches</v>
          </cell>
          <cell r="D71">
            <v>1.4495904960459998</v>
          </cell>
          <cell r="E71">
            <v>1.4999999999999999E-2</v>
          </cell>
          <cell r="F71">
            <v>1.3065551326927103</v>
          </cell>
          <cell r="G71">
            <v>0</v>
          </cell>
          <cell r="H71">
            <v>2.1743857440689997E-2</v>
          </cell>
          <cell r="I71">
            <v>2.1420133577850609E-2</v>
          </cell>
          <cell r="J71">
            <v>2.1101229335433104E-2</v>
          </cell>
          <cell r="K71">
            <v>2.0787072958637551E-2</v>
          </cell>
          <cell r="L71">
            <v>2.0477593760953809E-2</v>
          </cell>
          <cell r="M71">
            <v>2.0172722108256783E-2</v>
          </cell>
          <cell r="N71">
            <v>1.9872389403138423E-2</v>
          </cell>
          <cell r="O71">
            <v>1.9576528069473041E-2</v>
          </cell>
          <cell r="P71">
            <v>1.9285071537212387E-2</v>
          </cell>
          <cell r="Q71">
            <v>1.8997954227407111E-2</v>
          </cell>
          <cell r="R71">
            <v>1.8715111537451222E-2</v>
          </cell>
          <cell r="S71">
            <v>1.8436479826546233E-2</v>
          </cell>
          <cell r="T71">
            <v>1.8161996401381695E-2</v>
          </cell>
          <cell r="U71">
            <v>1.7891599502028965E-2</v>
          </cell>
          <cell r="V71">
            <v>1.7625228288044942E-2</v>
          </cell>
          <cell r="W71">
            <v>1.7362822824782721E-2</v>
          </cell>
          <cell r="X71">
            <v>1.7104324069906036E-2</v>
          </cell>
          <cell r="Y71">
            <v>1.6849673860104487E-2</v>
          </cell>
          <cell r="Z71">
            <v>1.6598814898006551E-2</v>
          </cell>
          <cell r="AA71">
            <v>1.6351690739287446E-2</v>
          </cell>
          <cell r="AB71">
            <v>1.6108245779968895E-2</v>
          </cell>
          <cell r="AC71">
            <v>1.5868425243908007E-2</v>
          </cell>
          <cell r="AD71">
            <v>1.5632175170472419E-2</v>
          </cell>
          <cell r="AE71">
            <v>1.5399442402398923E-2</v>
          </cell>
          <cell r="AF71">
            <v>1.5170174573832849E-2</v>
          </cell>
          <cell r="AG71">
            <v>1.4944320098545544E-2</v>
          </cell>
          <cell r="AH71">
            <v>1.4721828158327231E-2</v>
          </cell>
          <cell r="AI71">
            <v>1.4502648691552723E-2</v>
          </cell>
          <cell r="AJ71">
            <v>1.4286732381917321E-2</v>
          </cell>
          <cell r="AK71">
            <v>1.4074030647340457E-2</v>
          </cell>
          <cell r="AL71">
            <v>1.3864495629034506E-2</v>
          </cell>
          <cell r="AM71">
            <v>1.3658080180736366E-2</v>
          </cell>
          <cell r="AN71">
            <v>1.345473785809935E-2</v>
          </cell>
          <cell r="AO71">
            <v>1.3254422908243007E-2</v>
          </cell>
          <cell r="AP71">
            <v>1.3057090259458535E-2</v>
          </cell>
          <cell r="AQ71">
            <v>1.2862695511067454E-2</v>
          </cell>
          <cell r="AR71">
            <v>1.2671194923431267E-2</v>
          </cell>
          <cell r="AS71">
            <v>1.2482545408109858E-2</v>
          </cell>
          <cell r="AT71">
            <v>1.2296704518166404E-2</v>
          </cell>
          <cell r="AU71">
            <v>1.211363043861665E-2</v>
          </cell>
          <cell r="AV71">
            <v>1.1933281977020347E-2</v>
          </cell>
          <cell r="AW71">
            <v>1.1755618554212786E-2</v>
          </cell>
          <cell r="AX71">
            <v>1.1580600195174307E-2</v>
          </cell>
          <cell r="AY71">
            <v>1.140818752003577E-2</v>
          </cell>
          <cell r="AZ71">
            <v>1.1238341735217891E-2</v>
          </cell>
          <cell r="BA71">
            <v>1.1071024624702544E-2</v>
          </cell>
          <cell r="BB71">
            <v>1.0906198541433992E-2</v>
          </cell>
          <cell r="BC71">
            <v>1.0743826398848131E-2</v>
          </cell>
          <cell r="BD71">
            <v>1.0583871662527873E-2</v>
          </cell>
          <cell r="BE71">
            <v>1.0426298341982724E-2</v>
          </cell>
          <cell r="BF71">
            <v>1.0271070982550796E-2</v>
          </cell>
          <cell r="BG71">
            <v>1.0118154657421351E-2</v>
          </cell>
          <cell r="BH71">
            <v>9.9675149597761078E-3</v>
          </cell>
          <cell r="BI71">
            <v>9.8191179950475847E-3</v>
          </cell>
          <cell r="BJ71">
            <v>9.6729303732926621E-3</v>
          </cell>
        </row>
        <row r="72">
          <cell r="A72" t="str">
            <v>Mixed Materials</v>
          </cell>
          <cell r="B72" t="str">
            <v xml:space="preserve">Mixed Paper </v>
          </cell>
        </row>
        <row r="73">
          <cell r="B73" t="str">
            <v>Mixed Paper (general)</v>
          </cell>
          <cell r="C73" t="str">
            <v>Mixed Paper (general)</v>
          </cell>
          <cell r="D73">
            <v>2.3832448707931113</v>
          </cell>
          <cell r="E73">
            <v>3.3000000000000002E-2</v>
          </cell>
          <cell r="F73">
            <v>2.383572179977175</v>
          </cell>
          <cell r="G73">
            <v>0</v>
          </cell>
          <cell r="H73">
            <v>7.6094083211358812E-2</v>
          </cell>
          <cell r="I73">
            <v>7.6094083211358812E-2</v>
          </cell>
          <cell r="J73">
            <v>7.3623959663566052E-2</v>
          </cell>
          <cell r="K73">
            <v>7.1234019884127697E-2</v>
          </cell>
          <cell r="L73">
            <v>6.892166099242536E-2</v>
          </cell>
          <cell r="M73">
            <v>6.6684364601094823E-2</v>
          </cell>
          <cell r="N73">
            <v>6.4519694073253114E-2</v>
          </cell>
          <cell r="O73">
            <v>6.2425291868760321E-2</v>
          </cell>
          <cell r="P73">
            <v>6.0398876976625271E-2</v>
          </cell>
          <cell r="Q73">
            <v>5.8438242430759166E-2</v>
          </cell>
          <cell r="R73">
            <v>5.6541252906371381E-2</v>
          </cell>
          <cell r="S73">
            <v>5.4705842394389734E-2</v>
          </cell>
          <cell r="T73">
            <v>5.2930011951372438E-2</v>
          </cell>
          <cell r="U73">
            <v>5.1211827522461145E-2</v>
          </cell>
          <cell r="V73">
            <v>4.9549417835004002E-2</v>
          </cell>
          <cell r="W73">
            <v>4.7940972360554862E-2</v>
          </cell>
          <cell r="X73">
            <v>4.6384739343028843E-2</v>
          </cell>
          <cell r="Y73">
            <v>4.4879023890866836E-2</v>
          </cell>
          <cell r="Z73">
            <v>4.3422186131131052E-2</v>
          </cell>
          <cell r="AA73">
            <v>4.2012639423521382E-2</v>
          </cell>
          <cell r="AB73">
            <v>4.064884863236725E-2</v>
          </cell>
          <cell r="AC73">
            <v>3.9329328454713208E-2</v>
          </cell>
          <cell r="AD73">
            <v>3.8052641802677152E-2</v>
          </cell>
          <cell r="AE73">
            <v>3.6817398238319636E-2</v>
          </cell>
          <cell r="AF73">
            <v>3.5622252459319541E-2</v>
          </cell>
          <cell r="AG73">
            <v>3.4465902833806884E-2</v>
          </cell>
          <cell r="AH73">
            <v>3.3347089982757046E-2</v>
          </cell>
          <cell r="AI73">
            <v>3.2264595408402597E-2</v>
          </cell>
          <cell r="AJ73">
            <v>3.1217240167168741E-2</v>
          </cell>
          <cell r="AK73">
            <v>3.0203883585687319E-2</v>
          </cell>
          <cell r="AL73">
            <v>2.9223422018490718E-2</v>
          </cell>
          <cell r="AM73">
            <v>2.8274787646032907E-2</v>
          </cell>
          <cell r="AN73">
            <v>2.7356947311728434E-2</v>
          </cell>
          <cell r="AO73">
            <v>2.6468901396742774E-2</v>
          </cell>
          <cell r="AP73">
            <v>2.5609682731308619E-2</v>
          </cell>
          <cell r="AQ73">
            <v>2.4778355541382448E-2</v>
          </cell>
          <cell r="AR73">
            <v>2.3974014429494081E-2</v>
          </cell>
          <cell r="AS73">
            <v>2.3195783388679371E-2</v>
          </cell>
          <cell r="AT73">
            <v>2.2442814848422039E-2</v>
          </cell>
          <cell r="AU73">
            <v>2.1714288751565596E-2</v>
          </cell>
          <cell r="AV73">
            <v>2.1009411661190098E-2</v>
          </cell>
          <cell r="AW73">
            <v>2.0327415896480881E-2</v>
          </cell>
          <cell r="AX73">
            <v>1.9667558696648303E-2</v>
          </cell>
          <cell r="AY73">
            <v>1.9029121411987839E-2</v>
          </cell>
          <cell r="AZ73">
            <v>1.8411408721199521E-2</v>
          </cell>
          <cell r="BA73">
            <v>1.7813747874114324E-2</v>
          </cell>
          <cell r="BB73">
            <v>1.7235487959002756E-2</v>
          </cell>
          <cell r="BC73">
            <v>1.6675999193667631E-2</v>
          </cell>
          <cell r="BD73">
            <v>1.613467223954904E-2</v>
          </cell>
          <cell r="BE73">
            <v>1.5610917538094422E-2</v>
          </cell>
          <cell r="BF73">
            <v>1.510416466867103E-2</v>
          </cell>
          <cell r="BG73">
            <v>1.461386172732152E-2</v>
          </cell>
          <cell r="BH73">
            <v>1.4139474725685944E-2</v>
          </cell>
          <cell r="BI73">
            <v>1.3680487009435702E-2</v>
          </cell>
          <cell r="BJ73">
            <v>1.3236398695585886E-2</v>
          </cell>
        </row>
        <row r="74">
          <cell r="B74" t="str">
            <v>Mixed Paper (primarily residential)</v>
          </cell>
        </row>
        <row r="75">
          <cell r="B75" t="str">
            <v>Mixed Paper (primarily from offices)</v>
          </cell>
          <cell r="C75" t="str">
            <v>Mixed Paper (primarily from offices)</v>
          </cell>
          <cell r="D75">
            <v>2.2577848571899501</v>
          </cell>
          <cell r="E75">
            <v>6.3E-2</v>
          </cell>
          <cell r="F75">
            <v>2.2606585232023448</v>
          </cell>
          <cell r="G75">
            <v>0</v>
          </cell>
          <cell r="H75">
            <v>0.13355573846911731</v>
          </cell>
          <cell r="I75">
            <v>0.13355573846911731</v>
          </cell>
          <cell r="J75">
            <v>0.12540128900931041</v>
          </cell>
          <cell r="K75">
            <v>0.11774472190749684</v>
          </cell>
          <cell r="L75">
            <v>0.11055563819638606</v>
          </cell>
          <cell r="M75">
            <v>0.10380549496403375</v>
          </cell>
          <cell r="N75">
            <v>9.7467492029549685E-2</v>
          </cell>
          <cell r="O75">
            <v>9.151646553799328E-2</v>
          </cell>
          <cell r="P75">
            <v>8.5928788051995261E-2</v>
          </cell>
          <cell r="Q75">
            <v>8.0682274743437726E-2</v>
          </cell>
          <cell r="R75">
            <v>7.5756095312744437E-2</v>
          </cell>
          <cell r="S75">
            <v>7.1130691286073314E-2</v>
          </cell>
          <cell r="T75">
            <v>6.6787698362055045E-2</v>
          </cell>
          <cell r="U75">
            <v>6.2709873499770002E-2</v>
          </cell>
          <cell r="V75">
            <v>5.8881026458480173E-2</v>
          </cell>
          <cell r="W75">
            <v>5.5285955517307125E-2</v>
          </cell>
          <cell r="X75">
            <v>5.1910387119643263E-2</v>
          </cell>
          <cell r="Y75">
            <v>4.8740919202665482E-2</v>
          </cell>
          <cell r="Z75">
            <v>4.5764967986952107E-2</v>
          </cell>
          <cell r="AA75">
            <v>4.297071801494079E-2</v>
          </cell>
          <cell r="AB75">
            <v>4.0347075239864721E-2</v>
          </cell>
          <cell r="AC75">
            <v>3.7883622978915406E-2</v>
          </cell>
          <cell r="AD75">
            <v>3.5570580555752296E-2</v>
          </cell>
          <cell r="AE75">
            <v>3.3398764468157198E-2</v>
          </cell>
          <cell r="AF75">
            <v>3.1359551926656716E-2</v>
          </cell>
          <cell r="AG75">
            <v>2.9444846619349811E-2</v>
          </cell>
          <cell r="AH75">
            <v>2.7647046567016043E-2</v>
          </cell>
          <cell r="AI75">
            <v>2.5959013940879266E-2</v>
          </cell>
          <cell r="AJ75">
            <v>2.4374046723193814E-2</v>
          </cell>
          <cell r="AK75">
            <v>2.2885852098136841E-2</v>
          </cell>
          <cell r="AL75">
            <v>2.1488521467360338E-2</v>
          </cell>
          <cell r="AM75">
            <v>2.0176506991006826E-2</v>
          </cell>
          <cell r="AN75">
            <v>1.8944599561049033E-2</v>
          </cell>
          <cell r="AO75">
            <v>1.7787908119501004E-2</v>
          </cell>
          <cell r="AP75">
            <v>1.6701840239387415E-2</v>
          </cell>
          <cell r="AQ75">
            <v>1.5682083891371362E-2</v>
          </cell>
          <cell r="AR75">
            <v>1.472459032364863E-2</v>
          </cell>
          <cell r="AS75">
            <v>1.3825557987136042E-2</v>
          </cell>
          <cell r="AT75">
            <v>1.2981417442132053E-2</v>
          </cell>
          <cell r="AU75">
            <v>1.2188817186524177E-2</v>
          </cell>
          <cell r="AV75">
            <v>1.1444610349276818E-2</v>
          </cell>
          <cell r="AW75">
            <v>1.0745842196368578E-2</v>
          </cell>
          <cell r="AX75">
            <v>1.0089738399573578E-2</v>
          </cell>
          <cell r="AY75">
            <v>9.4736940215102514E-3</v>
          </cell>
          <cell r="AZ75">
            <v>8.8952631732248082E-3</v>
          </cell>
          <cell r="BA75">
            <v>8.352149303246726E-3</v>
          </cell>
          <cell r="BB75">
            <v>7.842196079560753E-3</v>
          </cell>
          <cell r="BC75">
            <v>7.3633788282940777E-3</v>
          </cell>
          <cell r="BD75">
            <v>6.9137964951274597E-3</v>
          </cell>
          <cell r="BE75">
            <v>6.4916640975147301E-3</v>
          </cell>
          <cell r="BF75">
            <v>6.0953056377435156E-3</v>
          </cell>
          <cell r="BG75">
            <v>5.7231474486998529E-3</v>
          </cell>
          <cell r="BH75">
            <v>5.3737119459173416E-3</v>
          </cell>
          <cell r="BI75">
            <v>5.0456117611044193E-3</v>
          </cell>
          <cell r="BJ75">
            <v>4.7375442338581288E-3</v>
          </cell>
        </row>
        <row r="76">
          <cell r="B76" t="str">
            <v>Mixed Metals</v>
          </cell>
          <cell r="C76" t="str">
            <v>--</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row>
        <row r="77">
          <cell r="B77" t="str">
            <v>Mixed Plastics</v>
          </cell>
          <cell r="C77" t="str">
            <v>--</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row>
        <row r="78">
          <cell r="B78" t="str">
            <v>Mixed Recyclables</v>
          </cell>
        </row>
        <row r="79">
          <cell r="B79" t="str">
            <v>Mixed Organics</v>
          </cell>
        </row>
        <row r="80">
          <cell r="B80" t="str">
            <v>Mixed MSW</v>
          </cell>
        </row>
        <row r="81">
          <cell r="A81" t="str">
            <v>Composite Materials</v>
          </cell>
          <cell r="B81" t="str">
            <v>Carpet</v>
          </cell>
          <cell r="C81" t="str">
            <v>--</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row>
        <row r="82">
          <cell r="B82" t="str">
            <v>Personal Computers</v>
          </cell>
          <cell r="C82" t="str">
            <v>--</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row>
        <row r="83">
          <cell r="B83" t="str">
            <v>Clay Bricks</v>
          </cell>
          <cell r="C83" t="str">
            <v>--</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row>
        <row r="84">
          <cell r="B84" t="str">
            <v>Aggregate</v>
          </cell>
          <cell r="C84" t="str">
            <v>--</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row>
        <row r="85">
          <cell r="B85" t="str">
            <v>Fly Ash</v>
          </cell>
          <cell r="C85" t="str">
            <v>--</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row>
        <row r="86">
          <cell r="B86" t="str">
            <v>Tires</v>
          </cell>
          <cell r="C86" t="str">
            <v>--</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row>
        <row r="92">
          <cell r="A92" t="str">
            <v>Category</v>
          </cell>
          <cell r="B92" t="str">
            <v>Material</v>
          </cell>
          <cell r="F92" t="str">
            <v>Landfill gas collection efficiency (%)</v>
          </cell>
        </row>
        <row r="93">
          <cell r="F93" t="str">
            <v>Avg.</v>
          </cell>
          <cell r="G93">
            <v>0</v>
          </cell>
          <cell r="H93">
            <v>1</v>
          </cell>
          <cell r="I93">
            <v>2</v>
          </cell>
          <cell r="J93">
            <v>3</v>
          </cell>
          <cell r="K93">
            <v>4</v>
          </cell>
          <cell r="L93">
            <v>5</v>
          </cell>
          <cell r="M93">
            <v>6</v>
          </cell>
          <cell r="N93">
            <v>7</v>
          </cell>
          <cell r="O93">
            <v>8</v>
          </cell>
          <cell r="P93">
            <v>9</v>
          </cell>
          <cell r="Q93">
            <v>10</v>
          </cell>
          <cell r="R93">
            <v>11</v>
          </cell>
          <cell r="S93">
            <v>12</v>
          </cell>
          <cell r="T93">
            <v>13</v>
          </cell>
          <cell r="U93">
            <v>14</v>
          </cell>
          <cell r="V93">
            <v>15</v>
          </cell>
          <cell r="W93">
            <v>16</v>
          </cell>
          <cell r="X93">
            <v>17</v>
          </cell>
          <cell r="Y93">
            <v>18</v>
          </cell>
          <cell r="Z93">
            <v>19</v>
          </cell>
          <cell r="AA93">
            <v>20</v>
          </cell>
          <cell r="AB93">
            <v>21</v>
          </cell>
          <cell r="AC93">
            <v>22</v>
          </cell>
          <cell r="AD93">
            <v>23</v>
          </cell>
          <cell r="AE93">
            <v>24</v>
          </cell>
          <cell r="AF93">
            <v>25</v>
          </cell>
          <cell r="AG93">
            <v>26</v>
          </cell>
          <cell r="AH93">
            <v>27</v>
          </cell>
          <cell r="AI93">
            <v>28</v>
          </cell>
          <cell r="AJ93">
            <v>29</v>
          </cell>
          <cell r="AK93">
            <v>30</v>
          </cell>
          <cell r="AL93">
            <v>31</v>
          </cell>
          <cell r="AM93">
            <v>32</v>
          </cell>
          <cell r="AN93">
            <v>33</v>
          </cell>
          <cell r="AO93">
            <v>34</v>
          </cell>
          <cell r="AP93">
            <v>35</v>
          </cell>
          <cell r="AQ93">
            <v>36</v>
          </cell>
          <cell r="AR93">
            <v>37</v>
          </cell>
          <cell r="AS93">
            <v>38</v>
          </cell>
          <cell r="AT93">
            <v>39</v>
          </cell>
          <cell r="AU93">
            <v>40</v>
          </cell>
          <cell r="AV93">
            <v>41</v>
          </cell>
          <cell r="AW93">
            <v>42</v>
          </cell>
          <cell r="AX93">
            <v>43</v>
          </cell>
          <cell r="AY93">
            <v>44</v>
          </cell>
          <cell r="AZ93">
            <v>45</v>
          </cell>
          <cell r="BA93">
            <v>46</v>
          </cell>
          <cell r="BB93">
            <v>47</v>
          </cell>
          <cell r="BC93">
            <v>48</v>
          </cell>
          <cell r="BD93">
            <v>49</v>
          </cell>
          <cell r="BE93">
            <v>50</v>
          </cell>
          <cell r="BF93">
            <v>51</v>
          </cell>
          <cell r="BG93">
            <v>52</v>
          </cell>
          <cell r="BH93">
            <v>53</v>
          </cell>
          <cell r="BI93">
            <v>54</v>
          </cell>
          <cell r="BJ93">
            <v>55</v>
          </cell>
        </row>
        <row r="94">
          <cell r="A94" t="str">
            <v>Inorganics</v>
          </cell>
          <cell r="B94" t="str">
            <v>Aluminum Cans</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row>
        <row r="95">
          <cell r="B95" t="str">
            <v>Steel Cans</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row>
        <row r="96">
          <cell r="B96" t="str">
            <v>Copper Wire</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row>
        <row r="97">
          <cell r="B97" t="str">
            <v>Glass</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row>
        <row r="98">
          <cell r="A98" t="str">
            <v>Plastics</v>
          </cell>
          <cell r="B98" t="str">
            <v>HDPE</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row>
        <row r="99">
          <cell r="B99" t="str">
            <v>LDPE</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row>
        <row r="100">
          <cell r="B100" t="str">
            <v>PET</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row>
        <row r="101">
          <cell r="A101" t="str">
            <v>Paper and Wood</v>
          </cell>
          <cell r="B101" t="str">
            <v>Corrugated Containers</v>
          </cell>
          <cell r="F101">
            <v>0.74999999999999933</v>
          </cell>
          <cell r="G101">
            <v>0.75</v>
          </cell>
          <cell r="H101">
            <v>0.75</v>
          </cell>
          <cell r="I101">
            <v>0.75</v>
          </cell>
          <cell r="J101">
            <v>0.75</v>
          </cell>
          <cell r="K101">
            <v>0.75</v>
          </cell>
          <cell r="L101">
            <v>0.75</v>
          </cell>
          <cell r="M101">
            <v>0.75</v>
          </cell>
          <cell r="N101">
            <v>0.75</v>
          </cell>
          <cell r="O101">
            <v>0.75</v>
          </cell>
          <cell r="P101">
            <v>0.75</v>
          </cell>
          <cell r="Q101">
            <v>0.75</v>
          </cell>
          <cell r="R101">
            <v>0.75</v>
          </cell>
          <cell r="S101">
            <v>0.75</v>
          </cell>
          <cell r="T101">
            <v>0.75</v>
          </cell>
          <cell r="U101">
            <v>0.75</v>
          </cell>
          <cell r="V101">
            <v>0.75</v>
          </cell>
          <cell r="W101">
            <v>0.75</v>
          </cell>
          <cell r="X101">
            <v>0.75</v>
          </cell>
          <cell r="Y101">
            <v>0.75</v>
          </cell>
          <cell r="Z101">
            <v>0.75</v>
          </cell>
          <cell r="AA101">
            <v>0.75</v>
          </cell>
          <cell r="AB101">
            <v>0.75</v>
          </cell>
          <cell r="AC101">
            <v>0.75</v>
          </cell>
          <cell r="AD101">
            <v>0.75</v>
          </cell>
          <cell r="AE101">
            <v>0.75</v>
          </cell>
          <cell r="AF101">
            <v>0.75</v>
          </cell>
          <cell r="AG101">
            <v>0.75</v>
          </cell>
          <cell r="AH101">
            <v>0.75</v>
          </cell>
          <cell r="AI101">
            <v>0.75</v>
          </cell>
          <cell r="AJ101">
            <v>0.75</v>
          </cell>
          <cell r="AK101">
            <v>0.75</v>
          </cell>
          <cell r="AL101">
            <v>0.75</v>
          </cell>
          <cell r="AM101">
            <v>0.75</v>
          </cell>
          <cell r="AN101">
            <v>0.75</v>
          </cell>
          <cell r="AO101">
            <v>0.75</v>
          </cell>
          <cell r="AP101">
            <v>0.75</v>
          </cell>
          <cell r="AQ101">
            <v>0.75</v>
          </cell>
          <cell r="AR101">
            <v>0.75</v>
          </cell>
          <cell r="AS101">
            <v>0.75</v>
          </cell>
          <cell r="AT101">
            <v>0.75</v>
          </cell>
          <cell r="AU101">
            <v>0.75</v>
          </cell>
          <cell r="AV101">
            <v>0.75</v>
          </cell>
          <cell r="AW101">
            <v>0.75</v>
          </cell>
          <cell r="AX101">
            <v>0.75</v>
          </cell>
          <cell r="AY101">
            <v>0.75</v>
          </cell>
          <cell r="AZ101">
            <v>0.75</v>
          </cell>
          <cell r="BA101">
            <v>0.75</v>
          </cell>
          <cell r="BB101">
            <v>0.75</v>
          </cell>
          <cell r="BC101">
            <v>0.75</v>
          </cell>
          <cell r="BD101">
            <v>0.75</v>
          </cell>
          <cell r="BE101">
            <v>0.75</v>
          </cell>
          <cell r="BF101">
            <v>0.75</v>
          </cell>
          <cell r="BG101">
            <v>0.75</v>
          </cell>
          <cell r="BH101">
            <v>0.75</v>
          </cell>
          <cell r="BI101">
            <v>0.75</v>
          </cell>
          <cell r="BJ101">
            <v>0.75</v>
          </cell>
        </row>
        <row r="102">
          <cell r="B102" t="str">
            <v>Magazines/Third-class Mail</v>
          </cell>
          <cell r="F102">
            <v>0.75000000000000033</v>
          </cell>
          <cell r="G102">
            <v>0.75</v>
          </cell>
          <cell r="H102">
            <v>0.75</v>
          </cell>
          <cell r="I102">
            <v>0.75</v>
          </cell>
          <cell r="J102">
            <v>0.75</v>
          </cell>
          <cell r="K102">
            <v>0.75</v>
          </cell>
          <cell r="L102">
            <v>0.75</v>
          </cell>
          <cell r="M102">
            <v>0.75</v>
          </cell>
          <cell r="N102">
            <v>0.75</v>
          </cell>
          <cell r="O102">
            <v>0.75</v>
          </cell>
          <cell r="P102">
            <v>0.75</v>
          </cell>
          <cell r="Q102">
            <v>0.75</v>
          </cell>
          <cell r="R102">
            <v>0.75</v>
          </cell>
          <cell r="S102">
            <v>0.75</v>
          </cell>
          <cell r="T102">
            <v>0.75</v>
          </cell>
          <cell r="U102">
            <v>0.75</v>
          </cell>
          <cell r="V102">
            <v>0.75</v>
          </cell>
          <cell r="W102">
            <v>0.75</v>
          </cell>
          <cell r="X102">
            <v>0.75</v>
          </cell>
          <cell r="Y102">
            <v>0.75</v>
          </cell>
          <cell r="Z102">
            <v>0.75</v>
          </cell>
          <cell r="AA102">
            <v>0.75</v>
          </cell>
          <cell r="AB102">
            <v>0.75</v>
          </cell>
          <cell r="AC102">
            <v>0.75</v>
          </cell>
          <cell r="AD102">
            <v>0.75</v>
          </cell>
          <cell r="AE102">
            <v>0.75</v>
          </cell>
          <cell r="AF102">
            <v>0.75</v>
          </cell>
          <cell r="AG102">
            <v>0.75</v>
          </cell>
          <cell r="AH102">
            <v>0.75</v>
          </cell>
          <cell r="AI102">
            <v>0.75</v>
          </cell>
          <cell r="AJ102">
            <v>0.75</v>
          </cell>
          <cell r="AK102">
            <v>0.75</v>
          </cell>
          <cell r="AL102">
            <v>0.75</v>
          </cell>
          <cell r="AM102">
            <v>0.75</v>
          </cell>
          <cell r="AN102">
            <v>0.75</v>
          </cell>
          <cell r="AO102">
            <v>0.75</v>
          </cell>
          <cell r="AP102">
            <v>0.75</v>
          </cell>
          <cell r="AQ102">
            <v>0.75</v>
          </cell>
          <cell r="AR102">
            <v>0.75</v>
          </cell>
          <cell r="AS102">
            <v>0.75</v>
          </cell>
          <cell r="AT102">
            <v>0.75</v>
          </cell>
          <cell r="AU102">
            <v>0.75</v>
          </cell>
          <cell r="AV102">
            <v>0.75</v>
          </cell>
          <cell r="AW102">
            <v>0.75</v>
          </cell>
          <cell r="AX102">
            <v>0.75</v>
          </cell>
          <cell r="AY102">
            <v>0.75</v>
          </cell>
          <cell r="AZ102">
            <v>0.75</v>
          </cell>
          <cell r="BA102">
            <v>0.75</v>
          </cell>
          <cell r="BB102">
            <v>0.75</v>
          </cell>
          <cell r="BC102">
            <v>0.75</v>
          </cell>
          <cell r="BD102">
            <v>0.75</v>
          </cell>
          <cell r="BE102">
            <v>0.75</v>
          </cell>
          <cell r="BF102">
            <v>0.75</v>
          </cell>
          <cell r="BG102">
            <v>0.75</v>
          </cell>
          <cell r="BH102">
            <v>0.75</v>
          </cell>
          <cell r="BI102">
            <v>0.75</v>
          </cell>
          <cell r="BJ102">
            <v>0.75</v>
          </cell>
        </row>
        <row r="103">
          <cell r="B103" t="str">
            <v>Newspaper</v>
          </cell>
          <cell r="F103">
            <v>0.75000000000000011</v>
          </cell>
          <cell r="G103">
            <v>0.75</v>
          </cell>
          <cell r="H103">
            <v>0.75</v>
          </cell>
          <cell r="I103">
            <v>0.75</v>
          </cell>
          <cell r="J103">
            <v>0.75</v>
          </cell>
          <cell r="K103">
            <v>0.75</v>
          </cell>
          <cell r="L103">
            <v>0.75</v>
          </cell>
          <cell r="M103">
            <v>0.75</v>
          </cell>
          <cell r="N103">
            <v>0.75</v>
          </cell>
          <cell r="O103">
            <v>0.75</v>
          </cell>
          <cell r="P103">
            <v>0.75</v>
          </cell>
          <cell r="Q103">
            <v>0.75</v>
          </cell>
          <cell r="R103">
            <v>0.75</v>
          </cell>
          <cell r="S103">
            <v>0.75</v>
          </cell>
          <cell r="T103">
            <v>0.75</v>
          </cell>
          <cell r="U103">
            <v>0.75</v>
          </cell>
          <cell r="V103">
            <v>0.75</v>
          </cell>
          <cell r="W103">
            <v>0.75</v>
          </cell>
          <cell r="X103">
            <v>0.75</v>
          </cell>
          <cell r="Y103">
            <v>0.75</v>
          </cell>
          <cell r="Z103">
            <v>0.75</v>
          </cell>
          <cell r="AA103">
            <v>0.75</v>
          </cell>
          <cell r="AB103">
            <v>0.75</v>
          </cell>
          <cell r="AC103">
            <v>0.75</v>
          </cell>
          <cell r="AD103">
            <v>0.75</v>
          </cell>
          <cell r="AE103">
            <v>0.75</v>
          </cell>
          <cell r="AF103">
            <v>0.75</v>
          </cell>
          <cell r="AG103">
            <v>0.75</v>
          </cell>
          <cell r="AH103">
            <v>0.75</v>
          </cell>
          <cell r="AI103">
            <v>0.75</v>
          </cell>
          <cell r="AJ103">
            <v>0.75</v>
          </cell>
          <cell r="AK103">
            <v>0.75</v>
          </cell>
          <cell r="AL103">
            <v>0.75</v>
          </cell>
          <cell r="AM103">
            <v>0.75</v>
          </cell>
          <cell r="AN103">
            <v>0.75</v>
          </cell>
          <cell r="AO103">
            <v>0.75</v>
          </cell>
          <cell r="AP103">
            <v>0.75</v>
          </cell>
          <cell r="AQ103">
            <v>0.75</v>
          </cell>
          <cell r="AR103">
            <v>0.75</v>
          </cell>
          <cell r="AS103">
            <v>0.75</v>
          </cell>
          <cell r="AT103">
            <v>0.75</v>
          </cell>
          <cell r="AU103">
            <v>0.75</v>
          </cell>
          <cell r="AV103">
            <v>0.75</v>
          </cell>
          <cell r="AW103">
            <v>0.75</v>
          </cell>
          <cell r="AX103">
            <v>0.75</v>
          </cell>
          <cell r="AY103">
            <v>0.75</v>
          </cell>
          <cell r="AZ103">
            <v>0.75</v>
          </cell>
          <cell r="BA103">
            <v>0.75</v>
          </cell>
          <cell r="BB103">
            <v>0.75</v>
          </cell>
          <cell r="BC103">
            <v>0.75</v>
          </cell>
          <cell r="BD103">
            <v>0.75</v>
          </cell>
          <cell r="BE103">
            <v>0.75</v>
          </cell>
          <cell r="BF103">
            <v>0.75</v>
          </cell>
          <cell r="BG103">
            <v>0.75</v>
          </cell>
          <cell r="BH103">
            <v>0.75</v>
          </cell>
          <cell r="BI103">
            <v>0.75</v>
          </cell>
          <cell r="BJ103">
            <v>0.75</v>
          </cell>
        </row>
        <row r="104">
          <cell r="B104" t="str">
            <v>Office Paper</v>
          </cell>
          <cell r="F104">
            <v>0.75000000000000022</v>
          </cell>
          <cell r="G104">
            <v>0.75</v>
          </cell>
          <cell r="H104">
            <v>0.75</v>
          </cell>
          <cell r="I104">
            <v>0.75</v>
          </cell>
          <cell r="J104">
            <v>0.75</v>
          </cell>
          <cell r="K104">
            <v>0.75</v>
          </cell>
          <cell r="L104">
            <v>0.75</v>
          </cell>
          <cell r="M104">
            <v>0.75</v>
          </cell>
          <cell r="N104">
            <v>0.75</v>
          </cell>
          <cell r="O104">
            <v>0.75</v>
          </cell>
          <cell r="P104">
            <v>0.75</v>
          </cell>
          <cell r="Q104">
            <v>0.75</v>
          </cell>
          <cell r="R104">
            <v>0.75</v>
          </cell>
          <cell r="S104">
            <v>0.75</v>
          </cell>
          <cell r="T104">
            <v>0.75</v>
          </cell>
          <cell r="U104">
            <v>0.75</v>
          </cell>
          <cell r="V104">
            <v>0.75</v>
          </cell>
          <cell r="W104">
            <v>0.75</v>
          </cell>
          <cell r="X104">
            <v>0.75</v>
          </cell>
          <cell r="Y104">
            <v>0.75</v>
          </cell>
          <cell r="Z104">
            <v>0.75</v>
          </cell>
          <cell r="AA104">
            <v>0.75</v>
          </cell>
          <cell r="AB104">
            <v>0.75</v>
          </cell>
          <cell r="AC104">
            <v>0.75</v>
          </cell>
          <cell r="AD104">
            <v>0.75</v>
          </cell>
          <cell r="AE104">
            <v>0.75</v>
          </cell>
          <cell r="AF104">
            <v>0.75</v>
          </cell>
          <cell r="AG104">
            <v>0.75</v>
          </cell>
          <cell r="AH104">
            <v>0.75</v>
          </cell>
          <cell r="AI104">
            <v>0.75</v>
          </cell>
          <cell r="AJ104">
            <v>0.75</v>
          </cell>
          <cell r="AK104">
            <v>0.75</v>
          </cell>
          <cell r="AL104">
            <v>0.75</v>
          </cell>
          <cell r="AM104">
            <v>0.75</v>
          </cell>
          <cell r="AN104">
            <v>0.75</v>
          </cell>
          <cell r="AO104">
            <v>0.75</v>
          </cell>
          <cell r="AP104">
            <v>0.75</v>
          </cell>
          <cell r="AQ104">
            <v>0.75</v>
          </cell>
          <cell r="AR104">
            <v>0.75</v>
          </cell>
          <cell r="AS104">
            <v>0.75</v>
          </cell>
          <cell r="AT104">
            <v>0.75</v>
          </cell>
          <cell r="AU104">
            <v>0.75</v>
          </cell>
          <cell r="AV104">
            <v>0.75</v>
          </cell>
          <cell r="AW104">
            <v>0.75</v>
          </cell>
          <cell r="AX104">
            <v>0.75</v>
          </cell>
          <cell r="AY104">
            <v>0.75</v>
          </cell>
          <cell r="AZ104">
            <v>0.75</v>
          </cell>
          <cell r="BA104">
            <v>0.75</v>
          </cell>
          <cell r="BB104">
            <v>0.75</v>
          </cell>
          <cell r="BC104">
            <v>0.75</v>
          </cell>
          <cell r="BD104">
            <v>0.75</v>
          </cell>
          <cell r="BE104">
            <v>0.75</v>
          </cell>
          <cell r="BF104">
            <v>0.75</v>
          </cell>
          <cell r="BG104">
            <v>0.75</v>
          </cell>
          <cell r="BH104">
            <v>0.75</v>
          </cell>
          <cell r="BI104">
            <v>0.75</v>
          </cell>
          <cell r="BJ104">
            <v>0.75</v>
          </cell>
        </row>
        <row r="105">
          <cell r="B105" t="str">
            <v>Phonebooks</v>
          </cell>
          <cell r="F105">
            <v>0.75000000000000011</v>
          </cell>
          <cell r="G105">
            <v>0.75</v>
          </cell>
          <cell r="H105">
            <v>0.75</v>
          </cell>
          <cell r="I105">
            <v>0.75</v>
          </cell>
          <cell r="J105">
            <v>0.75</v>
          </cell>
          <cell r="K105">
            <v>0.75</v>
          </cell>
          <cell r="L105">
            <v>0.75</v>
          </cell>
          <cell r="M105">
            <v>0.75</v>
          </cell>
          <cell r="N105">
            <v>0.75</v>
          </cell>
          <cell r="O105">
            <v>0.75</v>
          </cell>
          <cell r="P105">
            <v>0.75</v>
          </cell>
          <cell r="Q105">
            <v>0.75</v>
          </cell>
          <cell r="R105">
            <v>0.75</v>
          </cell>
          <cell r="S105">
            <v>0.75</v>
          </cell>
          <cell r="T105">
            <v>0.75</v>
          </cell>
          <cell r="U105">
            <v>0.75</v>
          </cell>
          <cell r="V105">
            <v>0.75</v>
          </cell>
          <cell r="W105">
            <v>0.75</v>
          </cell>
          <cell r="X105">
            <v>0.75</v>
          </cell>
          <cell r="Y105">
            <v>0.75</v>
          </cell>
          <cell r="Z105">
            <v>0.75</v>
          </cell>
          <cell r="AA105">
            <v>0.75</v>
          </cell>
          <cell r="AB105">
            <v>0.75</v>
          </cell>
          <cell r="AC105">
            <v>0.75</v>
          </cell>
          <cell r="AD105">
            <v>0.75</v>
          </cell>
          <cell r="AE105">
            <v>0.75</v>
          </cell>
          <cell r="AF105">
            <v>0.75</v>
          </cell>
          <cell r="AG105">
            <v>0.75</v>
          </cell>
          <cell r="AH105">
            <v>0.75</v>
          </cell>
          <cell r="AI105">
            <v>0.75</v>
          </cell>
          <cell r="AJ105">
            <v>0.75</v>
          </cell>
          <cell r="AK105">
            <v>0.75</v>
          </cell>
          <cell r="AL105">
            <v>0.75</v>
          </cell>
          <cell r="AM105">
            <v>0.75</v>
          </cell>
          <cell r="AN105">
            <v>0.75</v>
          </cell>
          <cell r="AO105">
            <v>0.75</v>
          </cell>
          <cell r="AP105">
            <v>0.75</v>
          </cell>
          <cell r="AQ105">
            <v>0.75</v>
          </cell>
          <cell r="AR105">
            <v>0.75</v>
          </cell>
          <cell r="AS105">
            <v>0.75</v>
          </cell>
          <cell r="AT105">
            <v>0.75</v>
          </cell>
          <cell r="AU105">
            <v>0.75</v>
          </cell>
          <cell r="AV105">
            <v>0.75</v>
          </cell>
          <cell r="AW105">
            <v>0.75</v>
          </cell>
          <cell r="AX105">
            <v>0.75</v>
          </cell>
          <cell r="AY105">
            <v>0.75</v>
          </cell>
          <cell r="AZ105">
            <v>0.75</v>
          </cell>
          <cell r="BA105">
            <v>0.75</v>
          </cell>
          <cell r="BB105">
            <v>0.75</v>
          </cell>
          <cell r="BC105">
            <v>0.75</v>
          </cell>
          <cell r="BD105">
            <v>0.75</v>
          </cell>
          <cell r="BE105">
            <v>0.75</v>
          </cell>
          <cell r="BF105">
            <v>0.75</v>
          </cell>
          <cell r="BG105">
            <v>0.75</v>
          </cell>
          <cell r="BH105">
            <v>0.75</v>
          </cell>
          <cell r="BI105">
            <v>0.75</v>
          </cell>
          <cell r="BJ105">
            <v>0.75</v>
          </cell>
        </row>
        <row r="106">
          <cell r="B106" t="str">
            <v>Textbooks</v>
          </cell>
          <cell r="F106">
            <v>0.75000000000000022</v>
          </cell>
          <cell r="G106">
            <v>0.75</v>
          </cell>
          <cell r="H106">
            <v>0.75</v>
          </cell>
          <cell r="I106">
            <v>0.75</v>
          </cell>
          <cell r="J106">
            <v>0.75</v>
          </cell>
          <cell r="K106">
            <v>0.75</v>
          </cell>
          <cell r="L106">
            <v>0.75</v>
          </cell>
          <cell r="M106">
            <v>0.75</v>
          </cell>
          <cell r="N106">
            <v>0.75</v>
          </cell>
          <cell r="O106">
            <v>0.75</v>
          </cell>
          <cell r="P106">
            <v>0.75</v>
          </cell>
          <cell r="Q106">
            <v>0.75</v>
          </cell>
          <cell r="R106">
            <v>0.75</v>
          </cell>
          <cell r="S106">
            <v>0.75</v>
          </cell>
          <cell r="T106">
            <v>0.75</v>
          </cell>
          <cell r="U106">
            <v>0.75</v>
          </cell>
          <cell r="V106">
            <v>0.75</v>
          </cell>
          <cell r="W106">
            <v>0.75</v>
          </cell>
          <cell r="X106">
            <v>0.75</v>
          </cell>
          <cell r="Y106">
            <v>0.75</v>
          </cell>
          <cell r="Z106">
            <v>0.75</v>
          </cell>
          <cell r="AA106">
            <v>0.75</v>
          </cell>
          <cell r="AB106">
            <v>0.75</v>
          </cell>
          <cell r="AC106">
            <v>0.75</v>
          </cell>
          <cell r="AD106">
            <v>0.75</v>
          </cell>
          <cell r="AE106">
            <v>0.75</v>
          </cell>
          <cell r="AF106">
            <v>0.75</v>
          </cell>
          <cell r="AG106">
            <v>0.75</v>
          </cell>
          <cell r="AH106">
            <v>0.75</v>
          </cell>
          <cell r="AI106">
            <v>0.75</v>
          </cell>
          <cell r="AJ106">
            <v>0.75</v>
          </cell>
          <cell r="AK106">
            <v>0.75</v>
          </cell>
          <cell r="AL106">
            <v>0.75</v>
          </cell>
          <cell r="AM106">
            <v>0.75</v>
          </cell>
          <cell r="AN106">
            <v>0.75</v>
          </cell>
          <cell r="AO106">
            <v>0.75</v>
          </cell>
          <cell r="AP106">
            <v>0.75</v>
          </cell>
          <cell r="AQ106">
            <v>0.75</v>
          </cell>
          <cell r="AR106">
            <v>0.75</v>
          </cell>
          <cell r="AS106">
            <v>0.75</v>
          </cell>
          <cell r="AT106">
            <v>0.75</v>
          </cell>
          <cell r="AU106">
            <v>0.75</v>
          </cell>
          <cell r="AV106">
            <v>0.75</v>
          </cell>
          <cell r="AW106">
            <v>0.75</v>
          </cell>
          <cell r="AX106">
            <v>0.75</v>
          </cell>
          <cell r="AY106">
            <v>0.75</v>
          </cell>
          <cell r="AZ106">
            <v>0.75</v>
          </cell>
          <cell r="BA106">
            <v>0.75</v>
          </cell>
          <cell r="BB106">
            <v>0.75</v>
          </cell>
          <cell r="BC106">
            <v>0.75</v>
          </cell>
          <cell r="BD106">
            <v>0.75</v>
          </cell>
          <cell r="BE106">
            <v>0.75</v>
          </cell>
          <cell r="BF106">
            <v>0.75</v>
          </cell>
          <cell r="BG106">
            <v>0.75</v>
          </cell>
          <cell r="BH106">
            <v>0.75</v>
          </cell>
          <cell r="BI106">
            <v>0.75</v>
          </cell>
          <cell r="BJ106">
            <v>0.75</v>
          </cell>
        </row>
        <row r="107">
          <cell r="B107" t="str">
            <v>Dimensional Lumber</v>
          </cell>
          <cell r="F107">
            <v>0.74999999999999989</v>
          </cell>
          <cell r="G107">
            <v>0.75</v>
          </cell>
          <cell r="H107">
            <v>0.75</v>
          </cell>
          <cell r="I107">
            <v>0.75</v>
          </cell>
          <cell r="J107">
            <v>0.75</v>
          </cell>
          <cell r="K107">
            <v>0.75</v>
          </cell>
          <cell r="L107">
            <v>0.75</v>
          </cell>
          <cell r="M107">
            <v>0.75</v>
          </cell>
          <cell r="N107">
            <v>0.75</v>
          </cell>
          <cell r="O107">
            <v>0.75</v>
          </cell>
          <cell r="P107">
            <v>0.75</v>
          </cell>
          <cell r="Q107">
            <v>0.75</v>
          </cell>
          <cell r="R107">
            <v>0.75</v>
          </cell>
          <cell r="S107">
            <v>0.75</v>
          </cell>
          <cell r="T107">
            <v>0.75</v>
          </cell>
          <cell r="U107">
            <v>0.75</v>
          </cell>
          <cell r="V107">
            <v>0.75</v>
          </cell>
          <cell r="W107">
            <v>0.75</v>
          </cell>
          <cell r="X107">
            <v>0.75</v>
          </cell>
          <cell r="Y107">
            <v>0.75</v>
          </cell>
          <cell r="Z107">
            <v>0.75</v>
          </cell>
          <cell r="AA107">
            <v>0.75</v>
          </cell>
          <cell r="AB107">
            <v>0.75</v>
          </cell>
          <cell r="AC107">
            <v>0.75</v>
          </cell>
          <cell r="AD107">
            <v>0.75</v>
          </cell>
          <cell r="AE107">
            <v>0.75</v>
          </cell>
          <cell r="AF107">
            <v>0.75</v>
          </cell>
          <cell r="AG107">
            <v>0.75</v>
          </cell>
          <cell r="AH107">
            <v>0.75</v>
          </cell>
          <cell r="AI107">
            <v>0.75</v>
          </cell>
          <cell r="AJ107">
            <v>0.75</v>
          </cell>
          <cell r="AK107">
            <v>0.75</v>
          </cell>
          <cell r="AL107">
            <v>0.75</v>
          </cell>
          <cell r="AM107">
            <v>0.75</v>
          </cell>
          <cell r="AN107">
            <v>0.75</v>
          </cell>
          <cell r="AO107">
            <v>0.75</v>
          </cell>
          <cell r="AP107">
            <v>0.75</v>
          </cell>
          <cell r="AQ107">
            <v>0.75</v>
          </cell>
          <cell r="AR107">
            <v>0.75</v>
          </cell>
          <cell r="AS107">
            <v>0.75</v>
          </cell>
          <cell r="AT107">
            <v>0.75</v>
          </cell>
          <cell r="AU107">
            <v>0.75</v>
          </cell>
          <cell r="AV107">
            <v>0.75</v>
          </cell>
          <cell r="AW107">
            <v>0.75</v>
          </cell>
          <cell r="AX107">
            <v>0.75</v>
          </cell>
          <cell r="AY107">
            <v>0.75</v>
          </cell>
          <cell r="AZ107">
            <v>0.75</v>
          </cell>
          <cell r="BA107">
            <v>0.75</v>
          </cell>
          <cell r="BB107">
            <v>0.75</v>
          </cell>
          <cell r="BC107">
            <v>0.75</v>
          </cell>
          <cell r="BD107">
            <v>0.75</v>
          </cell>
          <cell r="BE107">
            <v>0.75</v>
          </cell>
          <cell r="BF107">
            <v>0.75</v>
          </cell>
          <cell r="BG107">
            <v>0.75</v>
          </cell>
          <cell r="BH107">
            <v>0.75</v>
          </cell>
          <cell r="BI107">
            <v>0.75</v>
          </cell>
          <cell r="BJ107">
            <v>0.75</v>
          </cell>
        </row>
        <row r="108">
          <cell r="B108" t="str">
            <v>Medium-density Fiberboard</v>
          </cell>
          <cell r="F108">
            <v>0.75</v>
          </cell>
          <cell r="G108">
            <v>0.75</v>
          </cell>
          <cell r="H108">
            <v>0.75</v>
          </cell>
          <cell r="I108">
            <v>0.75</v>
          </cell>
          <cell r="J108">
            <v>0.75</v>
          </cell>
          <cell r="K108">
            <v>0.75</v>
          </cell>
          <cell r="L108">
            <v>0.75</v>
          </cell>
          <cell r="M108">
            <v>0.75</v>
          </cell>
          <cell r="N108">
            <v>0.75</v>
          </cell>
          <cell r="O108">
            <v>0.75</v>
          </cell>
          <cell r="P108">
            <v>0.75</v>
          </cell>
          <cell r="Q108">
            <v>0.75</v>
          </cell>
          <cell r="R108">
            <v>0.75</v>
          </cell>
          <cell r="S108">
            <v>0.75</v>
          </cell>
          <cell r="T108">
            <v>0.75</v>
          </cell>
          <cell r="U108">
            <v>0.75</v>
          </cell>
          <cell r="V108">
            <v>0.75</v>
          </cell>
          <cell r="W108">
            <v>0.75</v>
          </cell>
          <cell r="X108">
            <v>0.75</v>
          </cell>
          <cell r="Y108">
            <v>0.75</v>
          </cell>
          <cell r="Z108">
            <v>0.75</v>
          </cell>
          <cell r="AA108">
            <v>0.75</v>
          </cell>
          <cell r="AB108">
            <v>0.75</v>
          </cell>
          <cell r="AC108">
            <v>0.75</v>
          </cell>
          <cell r="AD108">
            <v>0.75</v>
          </cell>
          <cell r="AE108">
            <v>0.75</v>
          </cell>
          <cell r="AF108">
            <v>0.75</v>
          </cell>
          <cell r="AG108">
            <v>0.75</v>
          </cell>
          <cell r="AH108">
            <v>0.75</v>
          </cell>
          <cell r="AI108">
            <v>0.75</v>
          </cell>
          <cell r="AJ108">
            <v>0.75</v>
          </cell>
          <cell r="AK108">
            <v>0.75</v>
          </cell>
          <cell r="AL108">
            <v>0.75</v>
          </cell>
          <cell r="AM108">
            <v>0.75</v>
          </cell>
          <cell r="AN108">
            <v>0.75</v>
          </cell>
          <cell r="AO108">
            <v>0.75</v>
          </cell>
          <cell r="AP108">
            <v>0.75</v>
          </cell>
          <cell r="AQ108">
            <v>0.75</v>
          </cell>
          <cell r="AR108">
            <v>0.75</v>
          </cell>
          <cell r="AS108">
            <v>0.75</v>
          </cell>
          <cell r="AT108">
            <v>0.75</v>
          </cell>
          <cell r="AU108">
            <v>0.75</v>
          </cell>
          <cell r="AV108">
            <v>0.75</v>
          </cell>
          <cell r="AW108">
            <v>0.75</v>
          </cell>
          <cell r="AX108">
            <v>0.75</v>
          </cell>
          <cell r="AY108">
            <v>0.75</v>
          </cell>
          <cell r="AZ108">
            <v>0.75</v>
          </cell>
          <cell r="BA108">
            <v>0.75</v>
          </cell>
          <cell r="BB108">
            <v>0.75</v>
          </cell>
          <cell r="BC108">
            <v>0.75</v>
          </cell>
          <cell r="BD108">
            <v>0.75</v>
          </cell>
          <cell r="BE108">
            <v>0.75</v>
          </cell>
          <cell r="BF108">
            <v>0.75</v>
          </cell>
          <cell r="BG108">
            <v>0.75</v>
          </cell>
          <cell r="BH108">
            <v>0.75</v>
          </cell>
          <cell r="BI108">
            <v>0.75</v>
          </cell>
          <cell r="BJ108">
            <v>0.75</v>
          </cell>
        </row>
        <row r="109">
          <cell r="A109" t="str">
            <v>Other Organics</v>
          </cell>
          <cell r="B109" t="str">
            <v>Food Waste</v>
          </cell>
          <cell r="F109">
            <v>0.75000000000000011</v>
          </cell>
          <cell r="G109">
            <v>0.75</v>
          </cell>
          <cell r="H109">
            <v>0.75</v>
          </cell>
          <cell r="I109">
            <v>0.75</v>
          </cell>
          <cell r="J109">
            <v>0.75</v>
          </cell>
          <cell r="K109">
            <v>0.75</v>
          </cell>
          <cell r="L109">
            <v>0.75</v>
          </cell>
          <cell r="M109">
            <v>0.75</v>
          </cell>
          <cell r="N109">
            <v>0.75</v>
          </cell>
          <cell r="O109">
            <v>0.75</v>
          </cell>
          <cell r="P109">
            <v>0.75</v>
          </cell>
          <cell r="Q109">
            <v>0.75</v>
          </cell>
          <cell r="R109">
            <v>0.75</v>
          </cell>
          <cell r="S109">
            <v>0.75</v>
          </cell>
          <cell r="T109">
            <v>0.75</v>
          </cell>
          <cell r="U109">
            <v>0.75</v>
          </cell>
          <cell r="V109">
            <v>0.75</v>
          </cell>
          <cell r="W109">
            <v>0.75</v>
          </cell>
          <cell r="X109">
            <v>0.75</v>
          </cell>
          <cell r="Y109">
            <v>0.75</v>
          </cell>
          <cell r="Z109">
            <v>0.75</v>
          </cell>
          <cell r="AA109">
            <v>0.75</v>
          </cell>
          <cell r="AB109">
            <v>0.75</v>
          </cell>
          <cell r="AC109">
            <v>0.75</v>
          </cell>
          <cell r="AD109">
            <v>0.75</v>
          </cell>
          <cell r="AE109">
            <v>0.75</v>
          </cell>
          <cell r="AF109">
            <v>0.75</v>
          </cell>
          <cell r="AG109">
            <v>0.75</v>
          </cell>
          <cell r="AH109">
            <v>0.75</v>
          </cell>
          <cell r="AI109">
            <v>0.75</v>
          </cell>
          <cell r="AJ109">
            <v>0.75</v>
          </cell>
          <cell r="AK109">
            <v>0.75</v>
          </cell>
          <cell r="AL109">
            <v>0.75</v>
          </cell>
          <cell r="AM109">
            <v>0.75</v>
          </cell>
          <cell r="AN109">
            <v>0.75</v>
          </cell>
          <cell r="AO109">
            <v>0.75</v>
          </cell>
          <cell r="AP109">
            <v>0.75</v>
          </cell>
          <cell r="AQ109">
            <v>0.75</v>
          </cell>
          <cell r="AR109">
            <v>0.75</v>
          </cell>
          <cell r="AS109">
            <v>0.75</v>
          </cell>
          <cell r="AT109">
            <v>0.75</v>
          </cell>
          <cell r="AU109">
            <v>0.75</v>
          </cell>
          <cell r="AV109">
            <v>0.75</v>
          </cell>
          <cell r="AW109">
            <v>0.75</v>
          </cell>
          <cell r="AX109">
            <v>0.75</v>
          </cell>
          <cell r="AY109">
            <v>0.75</v>
          </cell>
          <cell r="AZ109">
            <v>0.75</v>
          </cell>
          <cell r="BA109">
            <v>0.75</v>
          </cell>
          <cell r="BB109">
            <v>0.75</v>
          </cell>
          <cell r="BC109">
            <v>0.75</v>
          </cell>
          <cell r="BD109">
            <v>0.75</v>
          </cell>
          <cell r="BE109">
            <v>0.75</v>
          </cell>
          <cell r="BF109">
            <v>0.75</v>
          </cell>
          <cell r="BG109">
            <v>0.75</v>
          </cell>
          <cell r="BH109">
            <v>0.75</v>
          </cell>
          <cell r="BI109">
            <v>0.75</v>
          </cell>
          <cell r="BJ109">
            <v>0.75</v>
          </cell>
        </row>
        <row r="110">
          <cell r="B110" t="str">
            <v>Yard Trimmings</v>
          </cell>
          <cell r="F110">
            <v>0.75</v>
          </cell>
          <cell r="G110">
            <v>0.75</v>
          </cell>
          <cell r="H110">
            <v>0.75</v>
          </cell>
          <cell r="I110">
            <v>0.75</v>
          </cell>
          <cell r="J110">
            <v>0.75</v>
          </cell>
          <cell r="K110">
            <v>0.75</v>
          </cell>
          <cell r="L110">
            <v>0.75</v>
          </cell>
          <cell r="M110">
            <v>0.75</v>
          </cell>
          <cell r="N110">
            <v>0.75</v>
          </cell>
          <cell r="O110">
            <v>0.75</v>
          </cell>
          <cell r="P110">
            <v>0.75</v>
          </cell>
          <cell r="Q110">
            <v>0.75</v>
          </cell>
          <cell r="R110">
            <v>0.75</v>
          </cell>
          <cell r="S110">
            <v>0.75</v>
          </cell>
        </row>
        <row r="111">
          <cell r="B111" t="str">
            <v>Grass</v>
          </cell>
          <cell r="F111">
            <v>0.75</v>
          </cell>
          <cell r="G111">
            <v>0.75</v>
          </cell>
          <cell r="H111">
            <v>0.75</v>
          </cell>
          <cell r="I111">
            <v>0.75</v>
          </cell>
          <cell r="J111">
            <v>0.75</v>
          </cell>
          <cell r="K111">
            <v>0.75</v>
          </cell>
          <cell r="L111">
            <v>0.75</v>
          </cell>
          <cell r="M111">
            <v>0.75</v>
          </cell>
          <cell r="N111">
            <v>0.75</v>
          </cell>
          <cell r="O111">
            <v>0.75</v>
          </cell>
          <cell r="P111">
            <v>0.75</v>
          </cell>
          <cell r="Q111">
            <v>0.75</v>
          </cell>
          <cell r="R111">
            <v>0.75</v>
          </cell>
          <cell r="S111">
            <v>0.75</v>
          </cell>
        </row>
        <row r="112">
          <cell r="B112" t="str">
            <v>Leaves</v>
          </cell>
          <cell r="F112">
            <v>0.75000000000000022</v>
          </cell>
          <cell r="G112">
            <v>0.75</v>
          </cell>
          <cell r="H112">
            <v>0.75</v>
          </cell>
          <cell r="I112">
            <v>0.75</v>
          </cell>
          <cell r="J112">
            <v>0.75</v>
          </cell>
          <cell r="K112">
            <v>0.75</v>
          </cell>
          <cell r="L112">
            <v>0.75</v>
          </cell>
          <cell r="M112">
            <v>0.75</v>
          </cell>
          <cell r="N112">
            <v>0.75</v>
          </cell>
          <cell r="O112">
            <v>0.75</v>
          </cell>
          <cell r="P112">
            <v>0.75</v>
          </cell>
          <cell r="Q112">
            <v>0.75</v>
          </cell>
          <cell r="R112">
            <v>0.75</v>
          </cell>
          <cell r="S112">
            <v>0.75</v>
          </cell>
        </row>
        <row r="113">
          <cell r="B113" t="str">
            <v>Branches</v>
          </cell>
          <cell r="F113">
            <v>0.75</v>
          </cell>
          <cell r="G113">
            <v>0.75</v>
          </cell>
          <cell r="H113">
            <v>0.75</v>
          </cell>
          <cell r="I113">
            <v>0.75</v>
          </cell>
          <cell r="J113">
            <v>0.75</v>
          </cell>
          <cell r="K113">
            <v>0.75</v>
          </cell>
          <cell r="L113">
            <v>0.75</v>
          </cell>
          <cell r="M113">
            <v>0.75</v>
          </cell>
          <cell r="N113">
            <v>0.75</v>
          </cell>
          <cell r="O113">
            <v>0.75</v>
          </cell>
          <cell r="P113">
            <v>0.75</v>
          </cell>
          <cell r="Q113">
            <v>0.75</v>
          </cell>
          <cell r="R113">
            <v>0.75</v>
          </cell>
          <cell r="S113">
            <v>0.75</v>
          </cell>
        </row>
        <row r="114">
          <cell r="A114" t="str">
            <v>Mixed Materials</v>
          </cell>
          <cell r="B114" t="str">
            <v xml:space="preserve">Mixed Paper </v>
          </cell>
        </row>
        <row r="115">
          <cell r="B115" t="str">
            <v>Mixed Paper (general)</v>
          </cell>
          <cell r="F115">
            <v>0.75000000000000022</v>
          </cell>
          <cell r="G115">
            <v>0.75</v>
          </cell>
          <cell r="H115">
            <v>0.75</v>
          </cell>
          <cell r="I115">
            <v>0.75</v>
          </cell>
          <cell r="J115">
            <v>0.75</v>
          </cell>
          <cell r="K115">
            <v>0.75</v>
          </cell>
          <cell r="L115">
            <v>0.75</v>
          </cell>
          <cell r="M115">
            <v>0.75</v>
          </cell>
          <cell r="N115">
            <v>0.75</v>
          </cell>
          <cell r="O115">
            <v>0.75</v>
          </cell>
          <cell r="P115">
            <v>0.75</v>
          </cell>
          <cell r="Q115">
            <v>0.75</v>
          </cell>
          <cell r="R115">
            <v>0.75</v>
          </cell>
          <cell r="S115">
            <v>0.75</v>
          </cell>
        </row>
        <row r="116">
          <cell r="B116" t="str">
            <v>Mixed Paper (primarily residential)</v>
          </cell>
        </row>
        <row r="117">
          <cell r="B117" t="str">
            <v>Mixed Paper (primarily from offices)</v>
          </cell>
          <cell r="F117">
            <v>0.74999999999999978</v>
          </cell>
          <cell r="G117">
            <v>0.75</v>
          </cell>
          <cell r="H117">
            <v>0.75</v>
          </cell>
          <cell r="I117">
            <v>0.75</v>
          </cell>
          <cell r="J117">
            <v>0.75</v>
          </cell>
          <cell r="K117">
            <v>0.75</v>
          </cell>
          <cell r="L117">
            <v>0.75</v>
          </cell>
          <cell r="M117">
            <v>0.75</v>
          </cell>
          <cell r="N117">
            <v>0.75</v>
          </cell>
          <cell r="O117">
            <v>0.75</v>
          </cell>
          <cell r="P117">
            <v>0.75</v>
          </cell>
          <cell r="Q117">
            <v>0.75</v>
          </cell>
          <cell r="R117">
            <v>0.75</v>
          </cell>
          <cell r="S117">
            <v>0.75</v>
          </cell>
        </row>
        <row r="118">
          <cell r="B118" t="str">
            <v>Mixed Metals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row>
        <row r="119">
          <cell r="B119" t="str">
            <v>Mixed Plastics</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row>
        <row r="123">
          <cell r="H123">
            <v>0</v>
          </cell>
          <cell r="I123">
            <v>0</v>
          </cell>
          <cell r="J123">
            <v>0</v>
          </cell>
          <cell r="K123">
            <v>0</v>
          </cell>
          <cell r="L123">
            <v>0</v>
          </cell>
          <cell r="M123">
            <v>0</v>
          </cell>
          <cell r="N123">
            <v>0</v>
          </cell>
          <cell r="O123">
            <v>0</v>
          </cell>
          <cell r="P123">
            <v>0</v>
          </cell>
          <cell r="Q123">
            <v>0</v>
          </cell>
          <cell r="R123">
            <v>0</v>
          </cell>
        </row>
        <row r="124">
          <cell r="H124">
            <v>0</v>
          </cell>
          <cell r="I124">
            <v>0</v>
          </cell>
          <cell r="J124">
            <v>0</v>
          </cell>
          <cell r="K124">
            <v>0</v>
          </cell>
          <cell r="L124">
            <v>0</v>
          </cell>
          <cell r="M124">
            <v>0</v>
          </cell>
          <cell r="N124">
            <v>0</v>
          </cell>
          <cell r="O124">
            <v>0</v>
          </cell>
          <cell r="P124">
            <v>0</v>
          </cell>
          <cell r="Q124">
            <v>0</v>
          </cell>
          <cell r="R124">
            <v>0</v>
          </cell>
        </row>
        <row r="125">
          <cell r="H125">
            <v>0</v>
          </cell>
          <cell r="I125">
            <v>0</v>
          </cell>
          <cell r="J125">
            <v>0</v>
          </cell>
          <cell r="K125">
            <v>0</v>
          </cell>
          <cell r="L125">
            <v>0</v>
          </cell>
          <cell r="M125">
            <v>0</v>
          </cell>
          <cell r="N125">
            <v>0</v>
          </cell>
          <cell r="O125">
            <v>0</v>
          </cell>
          <cell r="P125">
            <v>0</v>
          </cell>
          <cell r="Q125">
            <v>0</v>
          </cell>
          <cell r="R125">
            <v>0</v>
          </cell>
        </row>
        <row r="126">
          <cell r="H126">
            <v>0</v>
          </cell>
          <cell r="I126">
            <v>0</v>
          </cell>
          <cell r="J126">
            <v>0</v>
          </cell>
          <cell r="K126">
            <v>0</v>
          </cell>
          <cell r="L126">
            <v>0</v>
          </cell>
          <cell r="M126">
            <v>0</v>
          </cell>
          <cell r="N126">
            <v>0</v>
          </cell>
          <cell r="O126">
            <v>0</v>
          </cell>
          <cell r="P126">
            <v>0</v>
          </cell>
          <cell r="Q126">
            <v>0</v>
          </cell>
          <cell r="R126">
            <v>0</v>
          </cell>
        </row>
        <row r="127">
          <cell r="H127">
            <v>0</v>
          </cell>
          <cell r="I127">
            <v>0</v>
          </cell>
          <cell r="J127">
            <v>0</v>
          </cell>
          <cell r="K127">
            <v>0</v>
          </cell>
          <cell r="L127">
            <v>0</v>
          </cell>
          <cell r="M127">
            <v>0</v>
          </cell>
          <cell r="N127">
            <v>0</v>
          </cell>
          <cell r="O127">
            <v>0</v>
          </cell>
          <cell r="P127">
            <v>0</v>
          </cell>
          <cell r="Q127">
            <v>0</v>
          </cell>
          <cell r="R127">
            <v>0</v>
          </cell>
        </row>
        <row r="134">
          <cell r="A134" t="str">
            <v>Category</v>
          </cell>
          <cell r="B134" t="str">
            <v>Material</v>
          </cell>
          <cell r="F134" t="str">
            <v>Electricity offset, by year (MTCO2E/short ton)</v>
          </cell>
        </row>
        <row r="135">
          <cell r="F135" t="str">
            <v>Total</v>
          </cell>
          <cell r="G135">
            <v>0</v>
          </cell>
          <cell r="H135">
            <v>1</v>
          </cell>
          <cell r="I135">
            <v>2</v>
          </cell>
          <cell r="J135">
            <v>3</v>
          </cell>
          <cell r="K135">
            <v>4</v>
          </cell>
          <cell r="L135">
            <v>5</v>
          </cell>
          <cell r="M135">
            <v>6</v>
          </cell>
          <cell r="N135">
            <v>7</v>
          </cell>
          <cell r="O135">
            <v>8</v>
          </cell>
          <cell r="P135">
            <v>9</v>
          </cell>
          <cell r="Q135">
            <v>10</v>
          </cell>
          <cell r="R135">
            <v>11</v>
          </cell>
          <cell r="S135">
            <v>12</v>
          </cell>
        </row>
        <row r="136">
          <cell r="A136" t="str">
            <v>Inorganics</v>
          </cell>
          <cell r="B136" t="str">
            <v>Aluminum Cans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row>
        <row r="137">
          <cell r="B137" t="str">
            <v>Steel Cans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row>
        <row r="138">
          <cell r="B138" t="str">
            <v>Copper Wire</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row>
        <row r="139">
          <cell r="B139" t="str">
            <v>Glass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row>
        <row r="140">
          <cell r="A140" t="str">
            <v>Plastics</v>
          </cell>
          <cell r="B140" t="str">
            <v>HDPE</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B141" t="str">
            <v>LDPE</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row>
        <row r="142">
          <cell r="B142" t="str">
            <v>PET</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row>
        <row r="143">
          <cell r="A143" t="str">
            <v>Paper and Wood</v>
          </cell>
          <cell r="B143" t="str">
            <v>Corrugated Containers</v>
          </cell>
          <cell r="F143">
            <v>0.12749921342105192</v>
          </cell>
          <cell r="G143">
            <v>0</v>
          </cell>
          <cell r="H143">
            <v>2.656934560704725E-3</v>
          </cell>
          <cell r="I143">
            <v>2.6043237314656376E-3</v>
          </cell>
          <cell r="J143">
            <v>2.5527546664439165E-3</v>
          </cell>
          <cell r="K143">
            <v>2.5022067373259562E-3</v>
          </cell>
          <cell r="L143">
            <v>2.4526597242661269E-3</v>
          </cell>
          <cell r="M143">
            <v>2.4040938077985697E-3</v>
          </cell>
          <cell r="N143">
            <v>2.356489560909144E-3</v>
          </cell>
          <cell r="O143">
            <v>2.3098279412643611E-3</v>
          </cell>
          <cell r="P143">
            <v>2.2640902835942001E-3</v>
          </cell>
          <cell r="Q143">
            <v>2.2192582922257505E-3</v>
          </cell>
          <cell r="R143">
            <v>2.1753140337646961E-3</v>
          </cell>
          <cell r="S143">
            <v>2.1322399299217218E-3</v>
          </cell>
        </row>
        <row r="144">
          <cell r="B144" t="str">
            <v>Magazines/Third-class Mail</v>
          </cell>
          <cell r="F144">
            <v>6.0824758361905644E-2</v>
          </cell>
          <cell r="G144">
            <v>0</v>
          </cell>
          <cell r="H144">
            <v>7.3807203450569365E-3</v>
          </cell>
          <cell r="I144">
            <v>6.5330325718012941E-3</v>
          </cell>
          <cell r="J144">
            <v>5.7827031223044367E-3</v>
          </cell>
          <cell r="K144">
            <v>5.1185502342428199E-3</v>
          </cell>
          <cell r="L144">
            <v>4.5306763889387727E-3</v>
          </cell>
          <cell r="M144">
            <v>4.0103208138825277E-3</v>
          </cell>
          <cell r="N144">
            <v>3.5497289255802473E-3</v>
          </cell>
          <cell r="O144">
            <v>3.1420367671039398E-3</v>
          </cell>
          <cell r="P144">
            <v>2.7811687181773211E-3</v>
          </cell>
          <cell r="Q144">
            <v>2.4617469534251985E-3</v>
          </cell>
          <cell r="R144">
            <v>2.179011299490627E-3</v>
          </cell>
          <cell r="S144">
            <v>1.9287482966929177E-3</v>
          </cell>
        </row>
        <row r="145">
          <cell r="B145" t="str">
            <v>Newspaper</v>
          </cell>
          <cell r="F145">
            <v>5.3038673412030946E-2</v>
          </cell>
          <cell r="G145">
            <v>0</v>
          </cell>
          <cell r="H145">
            <v>1.7499978166806538E-3</v>
          </cell>
          <cell r="I145">
            <v>1.6931903668351508E-3</v>
          </cell>
          <cell r="J145">
            <v>1.6382269686377063E-3</v>
          </cell>
          <cell r="K145">
            <v>1.5850477615156327E-3</v>
          </cell>
          <cell r="L145">
            <v>1.5335948280566548E-3</v>
          </cell>
          <cell r="M145">
            <v>1.4838121309311253E-3</v>
          </cell>
          <cell r="N145">
            <v>1.4356454518618328E-3</v>
          </cell>
          <cell r="O145">
            <v>1.3890423325749429E-3</v>
          </cell>
          <cell r="P145">
            <v>1.3439520176677495E-3</v>
          </cell>
          <cell r="Q145">
            <v>1.3003253993310274E-3</v>
          </cell>
          <cell r="R145">
            <v>1.2581149638657752E-3</v>
          </cell>
          <cell r="S145">
            <v>1.2172747399360993E-3</v>
          </cell>
        </row>
        <row r="146">
          <cell r="B146" t="str">
            <v>Office Paper</v>
          </cell>
          <cell r="F146">
            <v>0.19684574321322473</v>
          </cell>
          <cell r="G146">
            <v>0</v>
          </cell>
          <cell r="H146">
            <v>5.7069004482794101E-3</v>
          </cell>
          <cell r="I146">
            <v>5.5437770565304658E-3</v>
          </cell>
          <cell r="J146">
            <v>5.3853163080459067E-3</v>
          </cell>
          <cell r="K146">
            <v>5.2313849279963043E-3</v>
          </cell>
          <cell r="L146">
            <v>5.0818534510180544E-3</v>
          </cell>
          <cell r="M146">
            <v>4.9365961123253735E-3</v>
          </cell>
          <cell r="N146">
            <v>4.7954907419346989E-3</v>
          </cell>
          <cell r="O146">
            <v>4.6584186619125414E-3</v>
          </cell>
          <cell r="P146">
            <v>4.5252645865603335E-3</v>
          </cell>
          <cell r="Q146">
            <v>4.3959165254523714E-3</v>
          </cell>
          <cell r="R146">
            <v>4.2702656892452638E-3</v>
          </cell>
          <cell r="S146">
            <v>4.1482063981796834E-3</v>
          </cell>
        </row>
        <row r="147">
          <cell r="B147" t="str">
            <v>Phonebooks</v>
          </cell>
          <cell r="F147">
            <v>5.3038673412030946E-2</v>
          </cell>
          <cell r="G147">
            <v>0</v>
          </cell>
          <cell r="H147">
            <v>1.7499978166806538E-3</v>
          </cell>
          <cell r="I147">
            <v>1.6931903668351508E-3</v>
          </cell>
          <cell r="J147">
            <v>1.6382269686377063E-3</v>
          </cell>
          <cell r="K147">
            <v>1.5850477615156327E-3</v>
          </cell>
          <cell r="L147">
            <v>1.5335948280566548E-3</v>
          </cell>
          <cell r="M147">
            <v>1.4838121309311253E-3</v>
          </cell>
          <cell r="N147">
            <v>1.4356454518618328E-3</v>
          </cell>
          <cell r="O147">
            <v>1.3890423325749429E-3</v>
          </cell>
          <cell r="P147">
            <v>1.3439520176677495E-3</v>
          </cell>
          <cell r="Q147">
            <v>1.3003253993310274E-3</v>
          </cell>
          <cell r="R147">
            <v>1.2581149638657752E-3</v>
          </cell>
          <cell r="S147">
            <v>1.2172747399360993E-3</v>
          </cell>
        </row>
        <row r="148">
          <cell r="B148" t="str">
            <v>Textbooks</v>
          </cell>
          <cell r="F148">
            <v>0.19684574321322473</v>
          </cell>
          <cell r="G148">
            <v>0</v>
          </cell>
          <cell r="H148">
            <v>5.7069004482794101E-3</v>
          </cell>
          <cell r="I148">
            <v>5.5437770565304658E-3</v>
          </cell>
          <cell r="J148">
            <v>5.3853163080459067E-3</v>
          </cell>
          <cell r="K148">
            <v>5.2313849279963043E-3</v>
          </cell>
          <cell r="L148">
            <v>5.0818534510180544E-3</v>
          </cell>
          <cell r="M148">
            <v>4.9365961123253735E-3</v>
          </cell>
          <cell r="N148">
            <v>4.7954907419346989E-3</v>
          </cell>
          <cell r="O148">
            <v>4.6584186619125414E-3</v>
          </cell>
          <cell r="P148">
            <v>4.5252645865603335E-3</v>
          </cell>
          <cell r="Q148">
            <v>4.3959165254523714E-3</v>
          </cell>
          <cell r="R148">
            <v>4.2702656892452638E-3</v>
          </cell>
          <cell r="S148">
            <v>4.1482063981796834E-3</v>
          </cell>
        </row>
        <row r="149">
          <cell r="B149" t="str">
            <v>Dimensional Lumber</v>
          </cell>
          <cell r="F149">
            <v>8.449375280521124E-3</v>
          </cell>
          <cell r="G149">
            <v>0</v>
          </cell>
          <cell r="H149">
            <v>6.9121186358610221E-4</v>
          </cell>
          <cell r="I149">
            <v>6.3679410744012168E-4</v>
          </cell>
          <cell r="J149">
            <v>5.86660554647654E-4</v>
          </cell>
          <cell r="K149">
            <v>5.4047391827013048E-4</v>
          </cell>
          <cell r="L149">
            <v>4.9792346530901338E-4</v>
          </cell>
          <cell r="M149">
            <v>4.5872292616610822E-4</v>
          </cell>
          <cell r="N149">
            <v>4.22608568687971E-4</v>
          </cell>
          <cell r="O149">
            <v>3.8933742383702745E-4</v>
          </cell>
          <cell r="P149">
            <v>3.5868565105212874E-4</v>
          </cell>
          <cell r="Q149">
            <v>3.3044703230106969E-4</v>
          </cell>
          <cell r="R149">
            <v>3.0443158469340201E-4</v>
          </cell>
          <cell r="S149">
            <v>2.8046428231952379E-4</v>
          </cell>
        </row>
        <row r="150">
          <cell r="B150" t="str">
            <v>Medium-density Fiberboard</v>
          </cell>
          <cell r="F150">
            <v>2.8353647949222898E-3</v>
          </cell>
          <cell r="G150">
            <v>0</v>
          </cell>
          <cell r="H150">
            <v>1.8114008602434443E-4</v>
          </cell>
          <cell r="I150">
            <v>1.6991030630626147E-4</v>
          </cell>
          <cell r="J150">
            <v>1.5937671678707094E-4</v>
          </cell>
          <cell r="K150">
            <v>1.494961571550657E-4</v>
          </cell>
          <cell r="L150">
            <v>1.4022814282208323E-4</v>
          </cell>
          <cell r="M150">
            <v>1.3153469904202326E-4</v>
          </cell>
          <cell r="N150">
            <v>1.2338020531318768E-4</v>
          </cell>
          <cell r="O150">
            <v>1.1573124942689791E-4</v>
          </cell>
          <cell r="P150">
            <v>1.0855649056436808E-4</v>
          </cell>
          <cell r="Q150">
            <v>1.0182653088088774E-4</v>
          </cell>
          <cell r="R150">
            <v>9.5513795051142928E-5</v>
          </cell>
          <cell r="S150">
            <v>8.9592417282125525E-5</v>
          </cell>
        </row>
        <row r="151">
          <cell r="A151" t="str">
            <v>Other Organics</v>
          </cell>
          <cell r="B151" t="str">
            <v>Food Waste</v>
          </cell>
          <cell r="F151">
            <v>8.2514959534766855E-2</v>
          </cell>
          <cell r="G151">
            <v>0</v>
          </cell>
          <cell r="H151">
            <v>1.1833417379456127E-2</v>
          </cell>
          <cell r="I151">
            <v>1.0246411126541925E-2</v>
          </cell>
          <cell r="J151">
            <v>8.8722418560501694E-3</v>
          </cell>
          <cell r="K151">
            <v>7.6823655209719037E-3</v>
          </cell>
          <cell r="L151">
            <v>6.6520661807220405E-3</v>
          </cell>
          <cell r="M151">
            <v>5.7599426051662067E-3</v>
          </cell>
          <cell r="N151">
            <v>4.9874637313376373E-3</v>
          </cell>
          <cell r="O151">
            <v>4.3185837388549069E-3</v>
          </cell>
          <cell r="P151">
            <v>3.7394087484421772E-3</v>
          </cell>
          <cell r="Q151">
            <v>3.2379082202614877E-3</v>
          </cell>
          <cell r="R151">
            <v>2.803665057264607E-3</v>
          </cell>
          <cell r="S151">
            <v>2.4276592227471328E-3</v>
          </cell>
        </row>
        <row r="152">
          <cell r="B152" t="str">
            <v>Yard Trimmings</v>
          </cell>
          <cell r="F152">
            <v>4.1653272287768849E-2</v>
          </cell>
          <cell r="G152">
            <v>0</v>
          </cell>
          <cell r="H152">
            <v>8.0430444485955939E-3</v>
          </cell>
          <cell r="I152">
            <v>6.611480940806048E-3</v>
          </cell>
          <cell r="J152">
            <v>5.4347182226842181E-3</v>
          </cell>
          <cell r="K152">
            <v>4.4674048710749165E-3</v>
          </cell>
          <cell r="L152">
            <v>3.672261461284508E-3</v>
          </cell>
          <cell r="M152">
            <v>3.0186438501130621E-3</v>
          </cell>
          <cell r="N152">
            <v>2.4813621769290022E-3</v>
          </cell>
          <cell r="O152">
            <v>2.0397100681033391E-3</v>
          </cell>
          <cell r="P152">
            <v>1.6766666311772221E-3</v>
          </cell>
          <cell r="Q152">
            <v>1.3782404843043351E-3</v>
          </cell>
          <cell r="R152">
            <v>1.1329305404269526E-3</v>
          </cell>
          <cell r="S152">
            <v>9.3128276527152483E-4</v>
          </cell>
        </row>
        <row r="153">
          <cell r="B153" t="str">
            <v>Grass</v>
          </cell>
          <cell r="F153">
            <v>2.9173504642488263E-2</v>
          </cell>
          <cell r="G153">
            <v>0</v>
          </cell>
          <cell r="H153">
            <v>8.5839530287366919E-3</v>
          </cell>
          <cell r="I153">
            <v>6.3718798335632102E-3</v>
          </cell>
          <cell r="J153">
            <v>4.7298549371657967E-3</v>
          </cell>
          <cell r="K153">
            <v>3.5109776566707969E-3</v>
          </cell>
          <cell r="L153">
            <v>2.6062034183712336E-3</v>
          </cell>
          <cell r="M153">
            <v>1.9345882891121961E-3</v>
          </cell>
          <cell r="N153">
            <v>1.4360474788683382E-3</v>
          </cell>
          <cell r="O153">
            <v>0</v>
          </cell>
          <cell r="P153">
            <v>0</v>
          </cell>
          <cell r="Q153">
            <v>0</v>
          </cell>
          <cell r="R153">
            <v>0</v>
          </cell>
          <cell r="S153">
            <v>0</v>
          </cell>
        </row>
        <row r="154">
          <cell r="B154" t="str">
            <v>Leaves</v>
          </cell>
          <cell r="F154">
            <v>3.3264553036672528E-2</v>
          </cell>
          <cell r="G154">
            <v>0</v>
          </cell>
          <cell r="H154">
            <v>5.6641520442823256E-3</v>
          </cell>
          <cell r="I154">
            <v>4.7738695383445226E-3</v>
          </cell>
          <cell r="J154">
            <v>4.0235202358557655E-3</v>
          </cell>
          <cell r="K154">
            <v>3.3911096560788612E-3</v>
          </cell>
          <cell r="L154">
            <v>2.8581003761511889E-3</v>
          </cell>
          <cell r="M154">
            <v>2.408868656167574E-3</v>
          </cell>
          <cell r="N154">
            <v>2.0302464710776212E-3</v>
          </cell>
          <cell r="O154">
            <v>1.7111355252888445E-3</v>
          </cell>
          <cell r="P154">
            <v>1.4421819358471308E-3</v>
          </cell>
          <cell r="Q154">
            <v>1.2155020484030253E-3</v>
          </cell>
          <cell r="R154">
            <v>1.0244513489930148E-3</v>
          </cell>
          <cell r="S154">
            <v>8.6342969790341646E-4</v>
          </cell>
        </row>
        <row r="155">
          <cell r="B155" t="str">
            <v>Branches</v>
          </cell>
          <cell r="F155">
            <v>6.6166099205292581E-2</v>
          </cell>
          <cell r="G155">
            <v>0</v>
          </cell>
          <cell r="H155">
            <v>1.1011446762000539E-3</v>
          </cell>
          <cell r="I155">
            <v>1.0847507677550214E-3</v>
          </cell>
          <cell r="J155">
            <v>1.0686009328090607E-3</v>
          </cell>
          <cell r="K155">
            <v>1.0526915375811759E-3</v>
          </cell>
          <cell r="L155">
            <v>1.0370190023903222E-3</v>
          </cell>
          <cell r="M155">
            <v>1.0215798008499635E-3</v>
          </cell>
          <cell r="N155">
            <v>1.0063704590746181E-3</v>
          </cell>
          <cell r="O155">
            <v>9.913875548982216E-4</v>
          </cell>
          <cell r="P155">
            <v>9.7662771710412487E-4</v>
          </cell>
          <cell r="Q155">
            <v>9.6208762466655549E-4</v>
          </cell>
          <cell r="R155">
            <v>9.4776400600337382E-4</v>
          </cell>
          <cell r="S155">
            <v>9.3365363823995253E-4</v>
          </cell>
        </row>
        <row r="156">
          <cell r="A156" t="str">
            <v>Mixed Materials</v>
          </cell>
          <cell r="B156" t="str">
            <v xml:space="preserve">Mixed Paper </v>
          </cell>
        </row>
        <row r="157">
          <cell r="B157" t="str">
            <v>Mixed Paper (general)</v>
          </cell>
          <cell r="F157">
            <v>0.12070801252627859</v>
          </cell>
          <cell r="G157">
            <v>0</v>
          </cell>
          <cell r="H157">
            <v>3.8535294322575692E-3</v>
          </cell>
          <cell r="I157">
            <v>3.8535294322575692E-3</v>
          </cell>
          <cell r="J157">
            <v>3.7284383162204293E-3</v>
          </cell>
          <cell r="K157">
            <v>3.6074078379924701E-3</v>
          </cell>
          <cell r="L157">
            <v>3.4903061834214177E-3</v>
          </cell>
          <cell r="M157">
            <v>3.3770058172322513E-3</v>
          </cell>
          <cell r="N157">
            <v>3.2673833441286743E-3</v>
          </cell>
          <cell r="O157">
            <v>3.1613193744034515E-3</v>
          </cell>
          <cell r="P157">
            <v>3.0586983939112152E-3</v>
          </cell>
          <cell r="Q157">
            <v>2.959408638262143E-3</v>
          </cell>
          <cell r="R157">
            <v>2.8633419710994926E-3</v>
          </cell>
          <cell r="S157">
            <v>2.7703937663284229E-3</v>
          </cell>
        </row>
        <row r="159">
          <cell r="H159">
            <v>6.7634820910860644E-3</v>
          </cell>
          <cell r="I159">
            <v>6.7634820910860644E-3</v>
          </cell>
          <cell r="J159">
            <v>6.3505273688385915E-3</v>
          </cell>
          <cell r="K159">
            <v>5.962786227455219E-3</v>
          </cell>
          <cell r="L159">
            <v>5.5987192132725249E-3</v>
          </cell>
          <cell r="M159">
            <v>5.2568808663201964E-3</v>
          </cell>
          <cell r="N159">
            <v>4.9359139813926253E-3</v>
          </cell>
          <cell r="O159">
            <v>4.6345442195195501E-3</v>
          </cell>
          <cell r="P159">
            <v>4.3515750484415796E-3</v>
          </cell>
          <cell r="Q159">
            <v>4.085882992002696E-3</v>
          </cell>
          <cell r="R159">
            <v>3.83641316959836E-3</v>
          </cell>
        </row>
        <row r="160">
          <cell r="H160">
            <v>0</v>
          </cell>
          <cell r="I160">
            <v>0</v>
          </cell>
          <cell r="J160">
            <v>0</v>
          </cell>
          <cell r="K160">
            <v>0</v>
          </cell>
          <cell r="L160">
            <v>0</v>
          </cell>
          <cell r="M160">
            <v>0</v>
          </cell>
          <cell r="N160">
            <v>0</v>
          </cell>
          <cell r="O160">
            <v>0</v>
          </cell>
          <cell r="P160">
            <v>0</v>
          </cell>
          <cell r="Q160">
            <v>0</v>
          </cell>
          <cell r="R160">
            <v>0</v>
          </cell>
        </row>
        <row r="161">
          <cell r="H161">
            <v>0</v>
          </cell>
          <cell r="I161">
            <v>0</v>
          </cell>
          <cell r="J161">
            <v>0</v>
          </cell>
          <cell r="K161">
            <v>0</v>
          </cell>
          <cell r="L161">
            <v>0</v>
          </cell>
          <cell r="M161">
            <v>0</v>
          </cell>
          <cell r="N161">
            <v>0</v>
          </cell>
          <cell r="O161">
            <v>0</v>
          </cell>
          <cell r="P161">
            <v>0</v>
          </cell>
          <cell r="Q161">
            <v>0</v>
          </cell>
          <cell r="R161">
            <v>0</v>
          </cell>
        </row>
        <row r="165">
          <cell r="F165">
            <v>0</v>
          </cell>
          <cell r="G165">
            <v>0</v>
          </cell>
          <cell r="H165">
            <v>0</v>
          </cell>
          <cell r="I165">
            <v>0</v>
          </cell>
          <cell r="J165">
            <v>0</v>
          </cell>
          <cell r="K165">
            <v>0</v>
          </cell>
          <cell r="L165">
            <v>0</v>
          </cell>
          <cell r="M165">
            <v>0</v>
          </cell>
          <cell r="N165">
            <v>0</v>
          </cell>
          <cell r="O165">
            <v>0</v>
          </cell>
          <cell r="P165">
            <v>0</v>
          </cell>
          <cell r="Q165">
            <v>0</v>
          </cell>
          <cell r="R165">
            <v>0</v>
          </cell>
        </row>
        <row r="166">
          <cell r="F166">
            <v>0</v>
          </cell>
          <cell r="G166">
            <v>0</v>
          </cell>
          <cell r="H166">
            <v>0</v>
          </cell>
          <cell r="I166">
            <v>0</v>
          </cell>
          <cell r="J166">
            <v>0</v>
          </cell>
          <cell r="K166">
            <v>0</v>
          </cell>
          <cell r="L166">
            <v>0</v>
          </cell>
          <cell r="M166">
            <v>0</v>
          </cell>
          <cell r="N166">
            <v>0</v>
          </cell>
          <cell r="O166">
            <v>0</v>
          </cell>
          <cell r="P166">
            <v>0</v>
          </cell>
          <cell r="Q166">
            <v>0</v>
          </cell>
          <cell r="R166">
            <v>0</v>
          </cell>
        </row>
        <row r="167">
          <cell r="A167" t="str">
            <v>Building Materials</v>
          </cell>
          <cell r="B167" t="str">
            <v>Clay Bricks</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row>
        <row r="168">
          <cell r="B168" t="str">
            <v>Aggregate</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row>
        <row r="169">
          <cell r="A169" t="str">
            <v>Recycled-Content Materials</v>
          </cell>
          <cell r="B169" t="str">
            <v>Fly Ash</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row>
        <row r="170">
          <cell r="A170" t="str">
            <v>Tires</v>
          </cell>
          <cell r="B170" t="str">
            <v>Tires</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row>
        <row r="175">
          <cell r="A175" t="str">
            <v>Medium-density Fiberboard</v>
          </cell>
          <cell r="E175" t="str">
            <v>TOTAL</v>
          </cell>
          <cell r="G175">
            <v>0</v>
          </cell>
          <cell r="H175">
            <v>1</v>
          </cell>
          <cell r="I175">
            <v>2</v>
          </cell>
          <cell r="J175">
            <v>3</v>
          </cell>
          <cell r="K175">
            <v>4</v>
          </cell>
          <cell r="L175">
            <v>5</v>
          </cell>
          <cell r="M175">
            <v>6</v>
          </cell>
          <cell r="N175">
            <v>7</v>
          </cell>
          <cell r="O175">
            <v>8</v>
          </cell>
          <cell r="P175">
            <v>9</v>
          </cell>
          <cell r="Q175">
            <v>10</v>
          </cell>
          <cell r="R175">
            <v>11</v>
          </cell>
          <cell r="S175">
            <v>12</v>
          </cell>
        </row>
        <row r="176">
          <cell r="E176">
            <v>-0.63874870227538794</v>
          </cell>
          <cell r="F176">
            <v>0</v>
          </cell>
          <cell r="G176">
            <v>-0.65417454211442894</v>
          </cell>
          <cell r="H176">
            <v>9.854950447454533E-4</v>
          </cell>
          <cell r="I176">
            <v>9.2439927898399542E-4</v>
          </cell>
          <cell r="J176">
            <v>8.6709114524958933E-4</v>
          </cell>
          <cell r="K176">
            <v>8.1333582929294062E-4</v>
          </cell>
          <cell r="L176">
            <v>7.6291307417425034E-4</v>
          </cell>
          <cell r="M176">
            <v>7.1561627778280498E-4</v>
          </cell>
          <cell r="N176">
            <v>6.7125164630584249E-4</v>
          </cell>
          <cell r="O176">
            <v>6.2963740017811303E-4</v>
          </cell>
          <cell r="P176">
            <v>5.9060302925860063E-4</v>
          </cell>
          <cell r="Q176">
            <v>5.5398859418256117E-4</v>
          </cell>
          <cell r="R176">
            <v>5.1964407102624271E-4</v>
          </cell>
          <cell r="S176">
            <v>4.8742873659911724E-4</v>
          </cell>
        </row>
        <row r="177">
          <cell r="E177">
            <v>-0.63874870227538794</v>
          </cell>
          <cell r="F177">
            <v>1</v>
          </cell>
          <cell r="G177">
            <v>0</v>
          </cell>
          <cell r="H177">
            <v>-0.65417454211442894</v>
          </cell>
          <cell r="I177">
            <v>9.854950447454533E-4</v>
          </cell>
          <cell r="J177">
            <v>9.2439927898399542E-4</v>
          </cell>
          <cell r="K177">
            <v>8.6709114524958933E-4</v>
          </cell>
          <cell r="L177">
            <v>8.1333582929294062E-4</v>
          </cell>
          <cell r="M177">
            <v>7.6291307417425034E-4</v>
          </cell>
          <cell r="N177">
            <v>7.1561627778280498E-4</v>
          </cell>
          <cell r="O177">
            <v>6.7125164630584249E-4</v>
          </cell>
          <cell r="P177">
            <v>6.2963740017811303E-4</v>
          </cell>
          <cell r="Q177">
            <v>5.9060302925860063E-4</v>
          </cell>
          <cell r="R177">
            <v>5.5398859418256117E-4</v>
          </cell>
          <cell r="S177">
            <v>5.1964407102624271E-4</v>
          </cell>
        </row>
        <row r="178">
          <cell r="E178">
            <v>-0.63874870227538794</v>
          </cell>
          <cell r="F178">
            <v>2</v>
          </cell>
          <cell r="G178">
            <v>0</v>
          </cell>
          <cell r="H178">
            <v>0</v>
          </cell>
          <cell r="I178">
            <v>-0.65417454211442894</v>
          </cell>
          <cell r="J178">
            <v>9.854950447454533E-4</v>
          </cell>
          <cell r="K178">
            <v>9.2439927898399542E-4</v>
          </cell>
          <cell r="L178">
            <v>8.6709114524958933E-4</v>
          </cell>
          <cell r="M178">
            <v>8.1333582929294062E-4</v>
          </cell>
          <cell r="N178">
            <v>7.6291307417425034E-4</v>
          </cell>
          <cell r="O178">
            <v>7.1561627778280498E-4</v>
          </cell>
          <cell r="P178">
            <v>6.7125164630584249E-4</v>
          </cell>
          <cell r="Q178">
            <v>6.2963740017811303E-4</v>
          </cell>
          <cell r="R178">
            <v>5.9060302925860063E-4</v>
          </cell>
          <cell r="S178">
            <v>5.5398859418256117E-4</v>
          </cell>
        </row>
        <row r="179">
          <cell r="E179">
            <v>-0.63874870227538794</v>
          </cell>
          <cell r="F179">
            <v>3</v>
          </cell>
          <cell r="G179">
            <v>0</v>
          </cell>
          <cell r="H179">
            <v>0</v>
          </cell>
          <cell r="I179">
            <v>0</v>
          </cell>
          <cell r="J179">
            <v>-0.65417454211442894</v>
          </cell>
          <cell r="K179">
            <v>9.854950447454533E-4</v>
          </cell>
          <cell r="L179">
            <v>9.2439927898399542E-4</v>
          </cell>
          <cell r="M179">
            <v>8.6709114524958933E-4</v>
          </cell>
          <cell r="N179">
            <v>8.1333582929294062E-4</v>
          </cell>
          <cell r="O179">
            <v>7.6291307417425034E-4</v>
          </cell>
          <cell r="P179">
            <v>7.1561627778280498E-4</v>
          </cell>
          <cell r="Q179">
            <v>6.7125164630584249E-4</v>
          </cell>
          <cell r="R179">
            <v>6.2963740017811303E-4</v>
          </cell>
          <cell r="S179">
            <v>5.9060302925860063E-4</v>
          </cell>
        </row>
        <row r="180">
          <cell r="E180">
            <v>-0.63874870227538794</v>
          </cell>
          <cell r="F180">
            <v>4</v>
          </cell>
          <cell r="G180">
            <v>0</v>
          </cell>
          <cell r="H180">
            <v>0</v>
          </cell>
          <cell r="I180">
            <v>0</v>
          </cell>
          <cell r="J180">
            <v>0</v>
          </cell>
          <cell r="K180">
            <v>-0.65417454211442894</v>
          </cell>
          <cell r="L180">
            <v>9.854950447454533E-4</v>
          </cell>
          <cell r="M180">
            <v>9.2439927898399542E-4</v>
          </cell>
          <cell r="N180">
            <v>8.6709114524958933E-4</v>
          </cell>
          <cell r="O180">
            <v>8.1333582929294062E-4</v>
          </cell>
          <cell r="P180">
            <v>7.6291307417425034E-4</v>
          </cell>
          <cell r="Q180">
            <v>7.1561627778280498E-4</v>
          </cell>
          <cell r="R180">
            <v>6.7125164630584249E-4</v>
          </cell>
          <cell r="S180">
            <v>6.2963740017811303E-4</v>
          </cell>
        </row>
        <row r="181">
          <cell r="E181">
            <v>-0.63874870227538794</v>
          </cell>
          <cell r="F181">
            <v>5</v>
          </cell>
          <cell r="G181">
            <v>0</v>
          </cell>
          <cell r="H181">
            <v>0</v>
          </cell>
          <cell r="I181">
            <v>0</v>
          </cell>
          <cell r="J181">
            <v>0</v>
          </cell>
          <cell r="K181">
            <v>0</v>
          </cell>
          <cell r="L181">
            <v>-0.65417454211442894</v>
          </cell>
          <cell r="M181">
            <v>9.854950447454533E-4</v>
          </cell>
          <cell r="N181">
            <v>9.2439927898399542E-4</v>
          </cell>
          <cell r="O181">
            <v>8.6709114524958933E-4</v>
          </cell>
          <cell r="P181">
            <v>8.1333582929294062E-4</v>
          </cell>
          <cell r="Q181">
            <v>7.6291307417425034E-4</v>
          </cell>
          <cell r="R181">
            <v>7.1561627778280498E-4</v>
          </cell>
          <cell r="S181">
            <v>6.7125164630584249E-4</v>
          </cell>
        </row>
        <row r="182">
          <cell r="E182">
            <v>-0.63874870227538794</v>
          </cell>
          <cell r="F182">
            <v>6</v>
          </cell>
          <cell r="G182">
            <v>0</v>
          </cell>
          <cell r="H182">
            <v>0</v>
          </cell>
          <cell r="I182">
            <v>0</v>
          </cell>
          <cell r="J182">
            <v>0</v>
          </cell>
          <cell r="K182">
            <v>0</v>
          </cell>
          <cell r="L182">
            <v>0</v>
          </cell>
          <cell r="M182">
            <v>-0.65417454211442894</v>
          </cell>
          <cell r="N182">
            <v>9.854950447454533E-4</v>
          </cell>
          <cell r="O182">
            <v>9.2439927898399542E-4</v>
          </cell>
          <cell r="P182">
            <v>8.6709114524958933E-4</v>
          </cell>
          <cell r="Q182">
            <v>8.1333582929294062E-4</v>
          </cell>
          <cell r="R182">
            <v>7.6291307417425034E-4</v>
          </cell>
          <cell r="S182">
            <v>7.1561627778280498E-4</v>
          </cell>
        </row>
        <row r="183">
          <cell r="E183">
            <v>-0.63874870227538794</v>
          </cell>
          <cell r="F183">
            <v>7</v>
          </cell>
          <cell r="G183">
            <v>0</v>
          </cell>
          <cell r="H183">
            <v>0</v>
          </cell>
          <cell r="I183">
            <v>0</v>
          </cell>
          <cell r="J183">
            <v>0</v>
          </cell>
          <cell r="K183">
            <v>0</v>
          </cell>
          <cell r="L183">
            <v>0</v>
          </cell>
          <cell r="M183">
            <v>0</v>
          </cell>
          <cell r="N183">
            <v>-0.65417454211442894</v>
          </cell>
          <cell r="O183">
            <v>9.854950447454533E-4</v>
          </cell>
          <cell r="P183">
            <v>9.2439927898399542E-4</v>
          </cell>
          <cell r="Q183">
            <v>8.6709114524958933E-4</v>
          </cell>
          <cell r="R183">
            <v>8.1333582929294062E-4</v>
          </cell>
          <cell r="S183">
            <v>7.6291307417425034E-4</v>
          </cell>
        </row>
        <row r="184">
          <cell r="E184">
            <v>-0.63874870227538794</v>
          </cell>
          <cell r="F184">
            <v>8</v>
          </cell>
          <cell r="G184">
            <v>0</v>
          </cell>
          <cell r="H184">
            <v>0</v>
          </cell>
          <cell r="I184">
            <v>0</v>
          </cell>
          <cell r="J184">
            <v>0</v>
          </cell>
          <cell r="K184">
            <v>0</v>
          </cell>
          <cell r="L184">
            <v>0</v>
          </cell>
          <cell r="M184">
            <v>0</v>
          </cell>
          <cell r="N184">
            <v>0</v>
          </cell>
          <cell r="O184">
            <v>-0.65417454211442894</v>
          </cell>
          <cell r="P184">
            <v>9.854950447454533E-4</v>
          </cell>
          <cell r="Q184">
            <v>9.2439927898399542E-4</v>
          </cell>
          <cell r="R184">
            <v>8.6709114524958933E-4</v>
          </cell>
          <cell r="S184">
            <v>8.1333582929294062E-4</v>
          </cell>
        </row>
        <row r="185">
          <cell r="E185">
            <v>-0.63874870227538794</v>
          </cell>
          <cell r="F185">
            <v>9</v>
          </cell>
          <cell r="G185">
            <v>0</v>
          </cell>
          <cell r="H185">
            <v>0</v>
          </cell>
          <cell r="I185">
            <v>0</v>
          </cell>
          <cell r="J185">
            <v>0</v>
          </cell>
          <cell r="K185">
            <v>0</v>
          </cell>
          <cell r="L185">
            <v>0</v>
          </cell>
          <cell r="M185">
            <v>0</v>
          </cell>
          <cell r="N185">
            <v>0</v>
          </cell>
          <cell r="O185">
            <v>0</v>
          </cell>
          <cell r="P185">
            <v>-0.65417454211442894</v>
          </cell>
          <cell r="Q185">
            <v>9.854950447454533E-4</v>
          </cell>
          <cell r="R185">
            <v>9.2439927898399542E-4</v>
          </cell>
          <cell r="S185">
            <v>8.6709114524958933E-4</v>
          </cell>
        </row>
        <row r="186">
          <cell r="E186">
            <v>-0.63874870227538794</v>
          </cell>
          <cell r="F186">
            <v>10</v>
          </cell>
          <cell r="G186">
            <v>0</v>
          </cell>
          <cell r="H186">
            <v>0</v>
          </cell>
          <cell r="I186">
            <v>0</v>
          </cell>
          <cell r="J186">
            <v>0</v>
          </cell>
          <cell r="K186">
            <v>0</v>
          </cell>
          <cell r="L186">
            <v>0</v>
          </cell>
          <cell r="M186">
            <v>0</v>
          </cell>
          <cell r="N186">
            <v>0</v>
          </cell>
          <cell r="O186">
            <v>0</v>
          </cell>
          <cell r="P186">
            <v>0</v>
          </cell>
          <cell r="Q186">
            <v>-0.65417454211442894</v>
          </cell>
          <cell r="R186">
            <v>9.854950447454533E-4</v>
          </cell>
          <cell r="S186">
            <v>9.2439927898399542E-4</v>
          </cell>
        </row>
        <row r="187">
          <cell r="E187">
            <v>-0.63874870227538794</v>
          </cell>
          <cell r="F187">
            <v>11</v>
          </cell>
          <cell r="G187">
            <v>0</v>
          </cell>
          <cell r="H187">
            <v>0</v>
          </cell>
          <cell r="I187">
            <v>0</v>
          </cell>
          <cell r="J187">
            <v>0</v>
          </cell>
          <cell r="K187">
            <v>0</v>
          </cell>
          <cell r="L187">
            <v>0</v>
          </cell>
          <cell r="M187">
            <v>0</v>
          </cell>
          <cell r="N187">
            <v>0</v>
          </cell>
          <cell r="O187">
            <v>0</v>
          </cell>
          <cell r="P187">
            <v>0</v>
          </cell>
          <cell r="Q187">
            <v>0</v>
          </cell>
          <cell r="R187">
            <v>-0.65417454211442894</v>
          </cell>
          <cell r="S187">
            <v>9.854950447454533E-4</v>
          </cell>
        </row>
        <row r="188">
          <cell r="E188">
            <v>-0.63874870227538794</v>
          </cell>
          <cell r="F188">
            <v>12</v>
          </cell>
          <cell r="G188">
            <v>0</v>
          </cell>
          <cell r="H188">
            <v>0</v>
          </cell>
          <cell r="I188">
            <v>0</v>
          </cell>
          <cell r="J188">
            <v>0</v>
          </cell>
          <cell r="K188">
            <v>0</v>
          </cell>
          <cell r="L188">
            <v>0</v>
          </cell>
          <cell r="M188">
            <v>0</v>
          </cell>
          <cell r="N188">
            <v>0</v>
          </cell>
          <cell r="O188">
            <v>0</v>
          </cell>
          <cell r="P188">
            <v>0</v>
          </cell>
          <cell r="Q188">
            <v>0</v>
          </cell>
          <cell r="R188">
            <v>0</v>
          </cell>
          <cell r="S188">
            <v>-0.65417454211442894</v>
          </cell>
        </row>
        <row r="189">
          <cell r="E189">
            <v>-0.63874870227538794</v>
          </cell>
          <cell r="F189">
            <v>13</v>
          </cell>
          <cell r="G189">
            <v>0</v>
          </cell>
          <cell r="H189">
            <v>0</v>
          </cell>
          <cell r="I189">
            <v>0</v>
          </cell>
          <cell r="J189">
            <v>0</v>
          </cell>
          <cell r="K189">
            <v>0</v>
          </cell>
          <cell r="L189">
            <v>0</v>
          </cell>
          <cell r="M189">
            <v>0</v>
          </cell>
          <cell r="N189">
            <v>0</v>
          </cell>
          <cell r="O189">
            <v>0</v>
          </cell>
          <cell r="P189">
            <v>0</v>
          </cell>
          <cell r="Q189">
            <v>0</v>
          </cell>
          <cell r="R189">
            <v>0</v>
          </cell>
          <cell r="S189">
            <v>0</v>
          </cell>
        </row>
        <row r="190">
          <cell r="E190">
            <v>-0.63874870227538794</v>
          </cell>
          <cell r="F190">
            <v>14</v>
          </cell>
          <cell r="G190">
            <v>0</v>
          </cell>
          <cell r="H190">
            <v>0</v>
          </cell>
          <cell r="I190">
            <v>0</v>
          </cell>
          <cell r="J190">
            <v>0</v>
          </cell>
          <cell r="K190">
            <v>0</v>
          </cell>
          <cell r="L190">
            <v>0</v>
          </cell>
          <cell r="M190">
            <v>0</v>
          </cell>
          <cell r="N190">
            <v>0</v>
          </cell>
          <cell r="O190">
            <v>0</v>
          </cell>
          <cell r="P190">
            <v>0</v>
          </cell>
          <cell r="Q190">
            <v>0</v>
          </cell>
          <cell r="R190">
            <v>0</v>
          </cell>
          <cell r="S190">
            <v>0</v>
          </cell>
        </row>
        <row r="191">
          <cell r="E191">
            <v>-0.63874870227538794</v>
          </cell>
          <cell r="F191">
            <v>15</v>
          </cell>
          <cell r="G191">
            <v>0</v>
          </cell>
          <cell r="H191">
            <v>0</v>
          </cell>
          <cell r="I191">
            <v>0</v>
          </cell>
          <cell r="J191">
            <v>0</v>
          </cell>
          <cell r="K191">
            <v>0</v>
          </cell>
          <cell r="L191">
            <v>0</v>
          </cell>
          <cell r="M191">
            <v>0</v>
          </cell>
          <cell r="N191">
            <v>0</v>
          </cell>
          <cell r="O191">
            <v>0</v>
          </cell>
          <cell r="P191">
            <v>0</v>
          </cell>
          <cell r="Q191">
            <v>0</v>
          </cell>
          <cell r="R191">
            <v>0</v>
          </cell>
          <cell r="S191">
            <v>0</v>
          </cell>
        </row>
        <row r="192">
          <cell r="E192">
            <v>-0.63874870227538794</v>
          </cell>
          <cell r="F192">
            <v>16</v>
          </cell>
          <cell r="G192">
            <v>0</v>
          </cell>
          <cell r="H192">
            <v>0</v>
          </cell>
          <cell r="I192">
            <v>0</v>
          </cell>
          <cell r="J192">
            <v>0</v>
          </cell>
          <cell r="K192">
            <v>0</v>
          </cell>
          <cell r="L192">
            <v>0</v>
          </cell>
          <cell r="M192">
            <v>0</v>
          </cell>
          <cell r="N192">
            <v>0</v>
          </cell>
          <cell r="O192">
            <v>0</v>
          </cell>
          <cell r="P192">
            <v>0</v>
          </cell>
          <cell r="Q192">
            <v>0</v>
          </cell>
          <cell r="R192">
            <v>0</v>
          </cell>
          <cell r="S192">
            <v>0</v>
          </cell>
        </row>
        <row r="193">
          <cell r="E193">
            <v>-0.63874870227538794</v>
          </cell>
          <cell r="F193">
            <v>17</v>
          </cell>
          <cell r="G193">
            <v>0</v>
          </cell>
          <cell r="H193">
            <v>0</v>
          </cell>
          <cell r="I193">
            <v>0</v>
          </cell>
          <cell r="J193">
            <v>0</v>
          </cell>
          <cell r="K193">
            <v>0</v>
          </cell>
          <cell r="L193">
            <v>0</v>
          </cell>
          <cell r="M193">
            <v>0</v>
          </cell>
          <cell r="N193">
            <v>0</v>
          </cell>
          <cell r="O193">
            <v>0</v>
          </cell>
          <cell r="P193">
            <v>0</v>
          </cell>
          <cell r="Q193">
            <v>0</v>
          </cell>
          <cell r="R193">
            <v>0</v>
          </cell>
          <cell r="S193">
            <v>0</v>
          </cell>
        </row>
        <row r="194">
          <cell r="E194">
            <v>-0.63874870227538794</v>
          </cell>
          <cell r="F194">
            <v>18</v>
          </cell>
          <cell r="G194">
            <v>0</v>
          </cell>
          <cell r="H194">
            <v>0</v>
          </cell>
          <cell r="I194">
            <v>0</v>
          </cell>
          <cell r="J194">
            <v>0</v>
          </cell>
          <cell r="K194">
            <v>0</v>
          </cell>
          <cell r="L194">
            <v>0</v>
          </cell>
          <cell r="M194">
            <v>0</v>
          </cell>
          <cell r="N194">
            <v>0</v>
          </cell>
          <cell r="O194">
            <v>0</v>
          </cell>
          <cell r="P194">
            <v>0</v>
          </cell>
          <cell r="Q194">
            <v>0</v>
          </cell>
          <cell r="R194">
            <v>0</v>
          </cell>
          <cell r="S194">
            <v>0</v>
          </cell>
        </row>
        <row r="195">
          <cell r="E195">
            <v>-0.63874870227538794</v>
          </cell>
          <cell r="F195">
            <v>19</v>
          </cell>
          <cell r="G195">
            <v>0</v>
          </cell>
          <cell r="H195">
            <v>0</v>
          </cell>
          <cell r="I195">
            <v>0</v>
          </cell>
          <cell r="J195">
            <v>0</v>
          </cell>
          <cell r="K195">
            <v>0</v>
          </cell>
          <cell r="L195">
            <v>0</v>
          </cell>
          <cell r="M195">
            <v>0</v>
          </cell>
          <cell r="N195">
            <v>0</v>
          </cell>
          <cell r="O195">
            <v>0</v>
          </cell>
          <cell r="P195">
            <v>0</v>
          </cell>
          <cell r="Q195">
            <v>0</v>
          </cell>
          <cell r="R195">
            <v>0</v>
          </cell>
          <cell r="S195">
            <v>0</v>
          </cell>
        </row>
        <row r="196">
          <cell r="H196">
            <v>0</v>
          </cell>
          <cell r="I196">
            <v>0</v>
          </cell>
          <cell r="J196">
            <v>0</v>
          </cell>
          <cell r="K196">
            <v>0</v>
          </cell>
          <cell r="L196">
            <v>0</v>
          </cell>
          <cell r="M196">
            <v>0</v>
          </cell>
          <cell r="N196">
            <v>0</v>
          </cell>
          <cell r="O196">
            <v>0</v>
          </cell>
          <cell r="P196">
            <v>0</v>
          </cell>
          <cell r="Q196">
            <v>0</v>
          </cell>
          <cell r="R196">
            <v>0</v>
          </cell>
        </row>
        <row r="197">
          <cell r="H197">
            <v>0</v>
          </cell>
          <cell r="I197">
            <v>0</v>
          </cell>
          <cell r="J197">
            <v>0</v>
          </cell>
          <cell r="K197">
            <v>0</v>
          </cell>
          <cell r="L197">
            <v>0</v>
          </cell>
          <cell r="M197">
            <v>0</v>
          </cell>
          <cell r="N197">
            <v>0</v>
          </cell>
          <cell r="O197">
            <v>0</v>
          </cell>
          <cell r="P197">
            <v>0</v>
          </cell>
          <cell r="Q197">
            <v>0</v>
          </cell>
          <cell r="R197">
            <v>0</v>
          </cell>
        </row>
        <row r="198">
          <cell r="H198">
            <v>0</v>
          </cell>
          <cell r="I198">
            <v>0</v>
          </cell>
          <cell r="J198">
            <v>0</v>
          </cell>
          <cell r="K198">
            <v>0</v>
          </cell>
          <cell r="L198">
            <v>0</v>
          </cell>
          <cell r="M198">
            <v>0</v>
          </cell>
          <cell r="N198">
            <v>0</v>
          </cell>
          <cell r="O198">
            <v>0</v>
          </cell>
          <cell r="P198">
            <v>0</v>
          </cell>
          <cell r="Q198">
            <v>0</v>
          </cell>
          <cell r="R198">
            <v>0</v>
          </cell>
        </row>
        <row r="199">
          <cell r="H199">
            <v>0</v>
          </cell>
          <cell r="I199">
            <v>0</v>
          </cell>
          <cell r="J199">
            <v>0</v>
          </cell>
          <cell r="K199">
            <v>0</v>
          </cell>
          <cell r="L199">
            <v>0</v>
          </cell>
          <cell r="M199">
            <v>0</v>
          </cell>
          <cell r="N199">
            <v>0</v>
          </cell>
          <cell r="O199">
            <v>0</v>
          </cell>
          <cell r="P199">
            <v>0</v>
          </cell>
          <cell r="Q199">
            <v>0</v>
          </cell>
          <cell r="R199">
            <v>0</v>
          </cell>
        </row>
        <row r="200">
          <cell r="H200">
            <v>0</v>
          </cell>
          <cell r="I200">
            <v>0</v>
          </cell>
          <cell r="J200">
            <v>0</v>
          </cell>
          <cell r="K200">
            <v>0</v>
          </cell>
          <cell r="L200">
            <v>0</v>
          </cell>
          <cell r="M200">
            <v>0</v>
          </cell>
          <cell r="N200">
            <v>0</v>
          </cell>
          <cell r="O200">
            <v>0</v>
          </cell>
          <cell r="P200">
            <v>0</v>
          </cell>
          <cell r="Q200">
            <v>0</v>
          </cell>
          <cell r="R200">
            <v>0</v>
          </cell>
        </row>
        <row r="201">
          <cell r="H201">
            <v>0</v>
          </cell>
          <cell r="I201">
            <v>0</v>
          </cell>
          <cell r="J201">
            <v>0</v>
          </cell>
          <cell r="K201">
            <v>0</v>
          </cell>
          <cell r="L201">
            <v>0</v>
          </cell>
          <cell r="M201">
            <v>0</v>
          </cell>
          <cell r="N201">
            <v>0</v>
          </cell>
          <cell r="O201">
            <v>0</v>
          </cell>
          <cell r="P201">
            <v>0</v>
          </cell>
          <cell r="Q201">
            <v>0</v>
          </cell>
          <cell r="R201">
            <v>0</v>
          </cell>
        </row>
        <row r="202">
          <cell r="H202">
            <v>0</v>
          </cell>
          <cell r="I202">
            <v>0</v>
          </cell>
          <cell r="J202">
            <v>0</v>
          </cell>
          <cell r="K202">
            <v>0</v>
          </cell>
          <cell r="L202">
            <v>0</v>
          </cell>
          <cell r="M202">
            <v>0</v>
          </cell>
          <cell r="N202">
            <v>0</v>
          </cell>
          <cell r="O202">
            <v>0</v>
          </cell>
          <cell r="P202">
            <v>0</v>
          </cell>
          <cell r="Q202">
            <v>0</v>
          </cell>
          <cell r="R202">
            <v>0</v>
          </cell>
        </row>
        <row r="203">
          <cell r="H203">
            <v>0</v>
          </cell>
          <cell r="I203">
            <v>0</v>
          </cell>
          <cell r="J203">
            <v>0</v>
          </cell>
          <cell r="K203">
            <v>0</v>
          </cell>
          <cell r="L203">
            <v>0</v>
          </cell>
          <cell r="M203">
            <v>0</v>
          </cell>
          <cell r="N203">
            <v>0</v>
          </cell>
          <cell r="O203">
            <v>0</v>
          </cell>
          <cell r="P203">
            <v>0</v>
          </cell>
          <cell r="Q203">
            <v>0</v>
          </cell>
          <cell r="R203">
            <v>0</v>
          </cell>
        </row>
        <row r="204">
          <cell r="H204">
            <v>0</v>
          </cell>
          <cell r="I204">
            <v>0</v>
          </cell>
          <cell r="J204">
            <v>0</v>
          </cell>
          <cell r="K204">
            <v>0</v>
          </cell>
          <cell r="L204">
            <v>0</v>
          </cell>
          <cell r="M204">
            <v>0</v>
          </cell>
          <cell r="N204">
            <v>0</v>
          </cell>
          <cell r="O204">
            <v>0</v>
          </cell>
          <cell r="P204">
            <v>0</v>
          </cell>
          <cell r="Q204">
            <v>0</v>
          </cell>
          <cell r="R204">
            <v>0</v>
          </cell>
        </row>
        <row r="205">
          <cell r="E205">
            <v>-0.63874870227538794</v>
          </cell>
          <cell r="F205">
            <v>29</v>
          </cell>
          <cell r="G205">
            <v>0</v>
          </cell>
          <cell r="H205">
            <v>0</v>
          </cell>
          <cell r="I205">
            <v>0</v>
          </cell>
          <cell r="J205">
            <v>0</v>
          </cell>
          <cell r="K205">
            <v>0</v>
          </cell>
          <cell r="L205">
            <v>0</v>
          </cell>
          <cell r="M205">
            <v>0</v>
          </cell>
          <cell r="N205">
            <v>0</v>
          </cell>
          <cell r="O205">
            <v>0</v>
          </cell>
          <cell r="P205">
            <v>0</v>
          </cell>
          <cell r="Q205">
            <v>0</v>
          </cell>
          <cell r="R205">
            <v>0</v>
          </cell>
          <cell r="S205">
            <v>0</v>
          </cell>
        </row>
        <row r="206">
          <cell r="E206">
            <v>-0.63874870227538794</v>
          </cell>
          <cell r="F206">
            <v>30</v>
          </cell>
          <cell r="G206">
            <v>0</v>
          </cell>
          <cell r="H206">
            <v>0</v>
          </cell>
          <cell r="I206">
            <v>0</v>
          </cell>
          <cell r="J206">
            <v>0</v>
          </cell>
          <cell r="K206">
            <v>0</v>
          </cell>
          <cell r="L206">
            <v>0</v>
          </cell>
          <cell r="M206">
            <v>0</v>
          </cell>
          <cell r="N206">
            <v>0</v>
          </cell>
          <cell r="O206">
            <v>0</v>
          </cell>
          <cell r="P206">
            <v>0</v>
          </cell>
          <cell r="Q206">
            <v>0</v>
          </cell>
          <cell r="R206">
            <v>0</v>
          </cell>
          <cell r="S206">
            <v>0</v>
          </cell>
        </row>
        <row r="208">
          <cell r="F208" t="str">
            <v>TOTAL</v>
          </cell>
          <cell r="G208">
            <v>-0.65417454211442894</v>
          </cell>
          <cell r="H208">
            <v>-0.6531890470696835</v>
          </cell>
          <cell r="I208">
            <v>-0.65226464779069948</v>
          </cell>
          <cell r="J208">
            <v>-0.65139755664544985</v>
          </cell>
          <cell r="K208">
            <v>-0.65058422081615697</v>
          </cell>
          <cell r="L208">
            <v>-0.64982130774198266</v>
          </cell>
          <cell r="M208">
            <v>-0.64910569146419994</v>
          </cell>
          <cell r="N208">
            <v>-0.64843443981789406</v>
          </cell>
          <cell r="O208">
            <v>-0.64780480241771599</v>
          </cell>
          <cell r="P208">
            <v>-0.64721419938845737</v>
          </cell>
          <cell r="Q208">
            <v>-0.64666021079427483</v>
          </cell>
          <cell r="R208">
            <v>-0.64614056672324849</v>
          </cell>
          <cell r="S208">
            <v>-0.64565313798664947</v>
          </cell>
        </row>
        <row r="210">
          <cell r="D210">
            <v>7</v>
          </cell>
        </row>
      </sheetData>
      <sheetData sheetId="56" refreshError="1">
        <row r="6">
          <cell r="B6" t="str">
            <v>Material</v>
          </cell>
          <cell r="C6" t="str">
            <v>Net recycling emission factor (MTCO2E/short ton)</v>
          </cell>
        </row>
        <row r="7">
          <cell r="C7" t="str">
            <v>Present value</v>
          </cell>
          <cell r="D7">
            <v>0</v>
          </cell>
          <cell r="E7">
            <v>1</v>
          </cell>
          <cell r="F7">
            <v>2</v>
          </cell>
          <cell r="G7">
            <v>3</v>
          </cell>
          <cell r="H7">
            <v>4</v>
          </cell>
          <cell r="I7">
            <v>5</v>
          </cell>
          <cell r="J7">
            <v>6</v>
          </cell>
          <cell r="K7">
            <v>7</v>
          </cell>
          <cell r="L7">
            <v>8</v>
          </cell>
          <cell r="M7">
            <v>9</v>
          </cell>
          <cell r="N7">
            <v>10</v>
          </cell>
          <cell r="O7">
            <v>11</v>
          </cell>
          <cell r="P7">
            <v>12</v>
          </cell>
          <cell r="Q7">
            <v>13</v>
          </cell>
          <cell r="R7">
            <v>14</v>
          </cell>
          <cell r="S7">
            <v>15</v>
          </cell>
        </row>
        <row r="8">
          <cell r="B8" t="str">
            <v>Aluminum Cans</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row>
        <row r="9">
          <cell r="B9" t="str">
            <v>Steel Cans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row>
        <row r="10">
          <cell r="B10" t="str">
            <v>Copper Wire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row>
        <row r="11">
          <cell r="B11" t="str">
            <v>Glass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row>
        <row r="12">
          <cell r="B12" t="str">
            <v>HDPE</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3">
          <cell r="B13" t="str">
            <v>LDPE</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row>
        <row r="14">
          <cell r="B14" t="str">
            <v>PET</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row>
        <row r="15">
          <cell r="B15" t="str">
            <v>Corrugated Containers</v>
          </cell>
          <cell r="C15">
            <v>-3.120666284103407</v>
          </cell>
          <cell r="D15">
            <v>-3.120666284103407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row>
        <row r="16">
          <cell r="B16" t="str">
            <v>Magazines/Third-class Mail</v>
          </cell>
          <cell r="C16">
            <v>-3.069996609697593</v>
          </cell>
          <cell r="D16">
            <v>-3.069996609697593</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row>
        <row r="17">
          <cell r="B17" t="str">
            <v>Newspaper</v>
          </cell>
          <cell r="C17">
            <v>-2.7478990031843069</v>
          </cell>
          <cell r="D17">
            <v>-2.7478990031843069</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row>
        <row r="18">
          <cell r="B18" t="str">
            <v>Office Paper</v>
          </cell>
          <cell r="C18">
            <v>-2.8591915764677114</v>
          </cell>
          <cell r="D18">
            <v>-2.8591915764677114</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19">
          <cell r="B19" t="str">
            <v>Phonebooks</v>
          </cell>
          <cell r="C19">
            <v>-2.6355265343583718</v>
          </cell>
          <cell r="D19">
            <v>-2.6355265343583718</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row>
        <row r="20">
          <cell r="B20" t="str">
            <v>Textbooks</v>
          </cell>
          <cell r="C20">
            <v>-3.1059997534212043</v>
          </cell>
          <cell r="D20">
            <v>-3.1059997534212043</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row>
        <row r="21">
          <cell r="B21" t="str">
            <v>Dimensional Lumber</v>
          </cell>
          <cell r="C21">
            <v>-2.4616116917341553</v>
          </cell>
          <cell r="D21">
            <v>-2.4616116917341553</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row>
        <row r="22">
          <cell r="B22" t="str">
            <v>Medium-density Fiberboard</v>
          </cell>
          <cell r="C22">
            <v>-2.4706339028973177</v>
          </cell>
          <cell r="D22">
            <v>-2.4706339028973177</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row>
        <row r="23">
          <cell r="B23" t="str">
            <v>Food Waste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B24" t="str">
            <v>Yard Trimmings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5">
          <cell r="B25" t="str">
            <v>Grass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B26" t="str">
            <v>Leaves</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row>
        <row r="27">
          <cell r="B27" t="str">
            <v>Branches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8">
          <cell r="B28" t="str">
            <v xml:space="preserve">Mixed Paper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row>
        <row r="29">
          <cell r="B29" t="str">
            <v>Mixed Paper (general)</v>
          </cell>
          <cell r="C29">
            <v>-2.9748536212032186</v>
          </cell>
          <cell r="D29">
            <v>-2.9748536212032186</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B30" t="str">
            <v>Mixed Paper (primarily residential)</v>
          </cell>
        </row>
        <row r="31">
          <cell r="B31" t="str">
            <v>Mixed Paper (primarily from offices)</v>
          </cell>
          <cell r="C31">
            <v>-3.3365002232144043</v>
          </cell>
          <cell r="D31">
            <v>-3.3365002232144043</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row>
        <row r="32">
          <cell r="B32" t="str">
            <v>Mixed Metals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row>
        <row r="33">
          <cell r="B33" t="str">
            <v>Mixed Plastics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row>
        <row r="34">
          <cell r="B34" t="str">
            <v>Mixed Recyclables</v>
          </cell>
        </row>
        <row r="35">
          <cell r="B35" t="str">
            <v>Mixed Organics</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row>
        <row r="36">
          <cell r="B36" t="str">
            <v>Mixed MSW</v>
          </cell>
        </row>
        <row r="37">
          <cell r="B37" t="str">
            <v>Carpet</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B38" t="str">
            <v>Personal Computers</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row>
        <row r="39">
          <cell r="B39" t="str">
            <v>Clay Bricks</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row>
        <row r="40">
          <cell r="B40" t="str">
            <v>Aggregate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row>
        <row r="41">
          <cell r="B41" t="str">
            <v>Fly Ash</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row>
        <row r="42">
          <cell r="B42" t="str">
            <v>Tires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row>
        <row r="53">
          <cell r="B53">
            <v>1</v>
          </cell>
          <cell r="C53">
            <v>2</v>
          </cell>
          <cell r="D53">
            <v>3</v>
          </cell>
          <cell r="E53">
            <v>4</v>
          </cell>
          <cell r="F53">
            <v>5</v>
          </cell>
          <cell r="G53">
            <v>6</v>
          </cell>
          <cell r="H53">
            <v>7</v>
          </cell>
          <cell r="I53">
            <v>8</v>
          </cell>
          <cell r="J53">
            <v>9</v>
          </cell>
          <cell r="K53">
            <v>10</v>
          </cell>
          <cell r="L53">
            <v>11</v>
          </cell>
          <cell r="M53">
            <v>12</v>
          </cell>
          <cell r="N53">
            <v>13</v>
          </cell>
          <cell r="O53">
            <v>14</v>
          </cell>
          <cell r="P53">
            <v>15</v>
          </cell>
          <cell r="Q53">
            <v>16</v>
          </cell>
          <cell r="R53">
            <v>17</v>
          </cell>
          <cell r="S53">
            <v>18</v>
          </cell>
        </row>
        <row r="54">
          <cell r="A54" t="str">
            <v>Category</v>
          </cell>
          <cell r="B54" t="str">
            <v>Material</v>
          </cell>
          <cell r="C54" t="str">
            <v>Forest Carbon Sequestration for Current Mix of Inputs (MTCO2E/short ton)</v>
          </cell>
        </row>
        <row r="55">
          <cell r="C55" t="str">
            <v>Total</v>
          </cell>
          <cell r="D55">
            <v>0</v>
          </cell>
          <cell r="E55">
            <v>1</v>
          </cell>
          <cell r="F55">
            <v>2</v>
          </cell>
          <cell r="G55">
            <v>3</v>
          </cell>
          <cell r="H55">
            <v>4</v>
          </cell>
          <cell r="I55">
            <v>5</v>
          </cell>
          <cell r="J55">
            <v>6</v>
          </cell>
          <cell r="K55">
            <v>7</v>
          </cell>
          <cell r="L55">
            <v>8</v>
          </cell>
          <cell r="M55">
            <v>9</v>
          </cell>
          <cell r="N55">
            <v>10</v>
          </cell>
          <cell r="O55">
            <v>11</v>
          </cell>
          <cell r="P55">
            <v>12</v>
          </cell>
          <cell r="Q55">
            <v>13</v>
          </cell>
          <cell r="R55">
            <v>14</v>
          </cell>
          <cell r="S55">
            <v>15</v>
          </cell>
          <cell r="T55" t="str">
            <v>Check</v>
          </cell>
        </row>
        <row r="56">
          <cell r="A56" t="str">
            <v>Inorganics</v>
          </cell>
          <cell r="B56" t="str">
            <v>Aluminum Cans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row>
        <row r="57">
          <cell r="B57" t="str">
            <v>Steel Cans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row>
        <row r="58">
          <cell r="B58" t="str">
            <v>Copper Wire</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Glass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A60" t="str">
            <v>Plastics</v>
          </cell>
          <cell r="B60" t="str">
            <v>HDPE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LDPE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B62" t="str">
            <v>PET</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row>
        <row r="63">
          <cell r="A63" t="str">
            <v>Paper and Wood</v>
          </cell>
          <cell r="B63" t="str">
            <v>Corrugated Containers</v>
          </cell>
          <cell r="C63">
            <v>3.0561257823325922</v>
          </cell>
          <cell r="D63">
            <v>3.0561257823325922</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Magazines/Third-class Mail</v>
          </cell>
          <cell r="C64">
            <v>3.0561257823325922</v>
          </cell>
          <cell r="D64">
            <v>3.0561257823325922</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Newspaper</v>
          </cell>
          <cell r="C65">
            <v>2.0161940925110855</v>
          </cell>
          <cell r="D65">
            <v>2.0161940925110855</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B66" t="str">
            <v>Office Paper</v>
          </cell>
          <cell r="C66">
            <v>3.0561257823325922</v>
          </cell>
          <cell r="D66">
            <v>3.0561257823325922</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B67" t="str">
            <v>Phonebooks</v>
          </cell>
          <cell r="C67">
            <v>2.0161940925110855</v>
          </cell>
          <cell r="D67">
            <v>2.0161940925110855</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row r="68">
          <cell r="B68" t="str">
            <v>Textbooks</v>
          </cell>
          <cell r="C68">
            <v>3.0561257823325922</v>
          </cell>
          <cell r="D68">
            <v>3.0561257823325922</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row>
        <row r="69">
          <cell r="B69" t="str">
            <v>Dimensional Lumber</v>
          </cell>
          <cell r="C69">
            <v>2.5339463107566775</v>
          </cell>
          <cell r="D69">
            <v>2.5339463107566775</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Medium-density Fiberboard</v>
          </cell>
          <cell r="C70">
            <v>2.5339463107566775</v>
          </cell>
          <cell r="D70">
            <v>2.5339463107566775</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row>
        <row r="71">
          <cell r="A71" t="str">
            <v>Other Organics</v>
          </cell>
          <cell r="B71" t="str">
            <v>Food Waste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row>
        <row r="72">
          <cell r="B72" t="str">
            <v>Yard Trimmings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row>
        <row r="73">
          <cell r="B73" t="str">
            <v>Grass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row>
        <row r="74">
          <cell r="B74" t="str">
            <v>Leaves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row>
        <row r="75">
          <cell r="B75" t="str">
            <v>Branches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row>
        <row r="76">
          <cell r="A76" t="str">
            <v>Mixed Materials</v>
          </cell>
          <cell r="B76" t="str">
            <v xml:space="preserve">Mixed Paper </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Mixed Paper (general)</v>
          </cell>
          <cell r="C77">
            <v>2.8065421767754306</v>
          </cell>
          <cell r="D77">
            <v>2.8065421767754306</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row>
        <row r="78">
          <cell r="B78" t="str">
            <v>Mixed Paper (primarily residential)</v>
          </cell>
        </row>
        <row r="79">
          <cell r="B79" t="str">
            <v>Mixed Paper (primarily from offices)</v>
          </cell>
          <cell r="C79">
            <v>2.837740127470076</v>
          </cell>
          <cell r="D79">
            <v>2.837740127470076</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row>
        <row r="80">
          <cell r="B80" t="str">
            <v>Mixed Metals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row>
        <row r="81">
          <cell r="B81" t="str">
            <v>Mixed Plastics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row>
        <row r="82">
          <cell r="B82" t="str">
            <v>Mixed Recyclables</v>
          </cell>
        </row>
        <row r="83">
          <cell r="B83" t="str">
            <v>Mixed Organics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Mixed MSW</v>
          </cell>
        </row>
        <row r="85">
          <cell r="B85" t="str">
            <v>Carpet</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B86" t="str">
            <v>Personal Computers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Clay Bricks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row>
        <row r="88">
          <cell r="B88" t="str">
            <v>Aggregate</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row>
        <row r="89">
          <cell r="B89" t="str">
            <v>Fly Ash</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row>
        <row r="90">
          <cell r="B90" t="str">
            <v>Tires</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sheetData>
      <sheetData sheetId="57" refreshError="1">
        <row r="6">
          <cell r="B6" t="str">
            <v>Corrugated Containers</v>
          </cell>
          <cell r="C6">
            <v>-6.4540501770814565E-2</v>
          </cell>
          <cell r="D6">
            <v>-2.0254519141196047E-2</v>
          </cell>
          <cell r="E6">
            <v>-1.0459497031549745</v>
          </cell>
          <cell r="F6">
            <v>0.11356764351252384</v>
          </cell>
          <cell r="G6">
            <v>-3.0561257823325922</v>
          </cell>
          <cell r="H6">
            <v>0.71772644292928323</v>
          </cell>
          <cell r="I6">
            <v>-3.35557641995777</v>
          </cell>
        </row>
        <row r="7">
          <cell r="B7" t="str">
            <v>Magazines/Third-class Mail</v>
          </cell>
          <cell r="C7">
            <v>-1.3870827365000634E-2</v>
          </cell>
          <cell r="D7">
            <v>-2.0254519141196047E-2</v>
          </cell>
          <cell r="E7">
            <v>-0.4825817330711073</v>
          </cell>
          <cell r="F7">
            <v>4.9390077417706277E-2</v>
          </cell>
          <cell r="G7">
            <v>-3.0561257823325922</v>
          </cell>
          <cell r="H7">
            <v>0.84689181420362059</v>
          </cell>
          <cell r="I7">
            <v>-2.6765509702885693</v>
          </cell>
        </row>
        <row r="8">
          <cell r="B8" t="str">
            <v>Newspaper</v>
          </cell>
          <cell r="C8">
            <v>-0.73170491067322141</v>
          </cell>
          <cell r="D8">
            <v>-2.0254519141196047E-2</v>
          </cell>
          <cell r="E8">
            <v>-0.39834510662673056</v>
          </cell>
          <cell r="F8">
            <v>4.7812100293957577E-2</v>
          </cell>
          <cell r="G8">
            <v>-2.0161940925110855</v>
          </cell>
          <cell r="H8">
            <v>1.1934316569631502</v>
          </cell>
          <cell r="I8">
            <v>-1.9252548716951254</v>
          </cell>
        </row>
        <row r="9">
          <cell r="B9" t="str">
            <v>Office Paper</v>
          </cell>
          <cell r="C9">
            <v>0.19693420586488092</v>
          </cell>
          <cell r="D9">
            <v>-2.0254519141196047E-2</v>
          </cell>
          <cell r="E9">
            <v>-1.4937700668199902</v>
          </cell>
          <cell r="F9">
            <v>0.17553518099615797</v>
          </cell>
          <cell r="G9">
            <v>-3.0561257823325922</v>
          </cell>
          <cell r="H9">
            <v>0.11978164912046663</v>
          </cell>
          <cell r="I9">
            <v>-4.0778993323122732</v>
          </cell>
        </row>
        <row r="10">
          <cell r="B10" t="str">
            <v>Phonebooks</v>
          </cell>
          <cell r="C10">
            <v>-0.61933244184728642</v>
          </cell>
          <cell r="D10">
            <v>-2.0254519141196047E-2</v>
          </cell>
          <cell r="E10">
            <v>-0.39834510662673056</v>
          </cell>
          <cell r="F10">
            <v>4.7812100293957577E-2</v>
          </cell>
          <cell r="G10">
            <v>-2.0161940925110855</v>
          </cell>
          <cell r="H10">
            <v>1.1934316569631502</v>
          </cell>
          <cell r="I10">
            <v>-1.8128824028691908</v>
          </cell>
        </row>
        <row r="11">
          <cell r="B11" t="str">
            <v>Textbooks</v>
          </cell>
          <cell r="C11">
            <v>-4.9873971088611857E-2</v>
          </cell>
          <cell r="D11">
            <v>-2.0254519141196047E-2</v>
          </cell>
          <cell r="E11">
            <v>-1.4937700668199902</v>
          </cell>
          <cell r="F11">
            <v>0.17553518099615797</v>
          </cell>
          <cell r="G11">
            <v>-3.0561257823325922</v>
          </cell>
          <cell r="H11">
            <v>0.11978164912046663</v>
          </cell>
          <cell r="I11">
            <v>-4.3247075092657656</v>
          </cell>
        </row>
        <row r="12">
          <cell r="B12" t="str">
            <v>Dimensional Lumber</v>
          </cell>
          <cell r="C12">
            <v>7.233461902252239E-2</v>
          </cell>
          <cell r="D12">
            <v>-2.0254519141196047E-2</v>
          </cell>
          <cell r="E12">
            <v>-6.3789982909666726E-2</v>
          </cell>
          <cell r="F12">
            <v>7.3978527418072934E-3</v>
          </cell>
          <cell r="G12">
            <v>-2.5339463107566775</v>
          </cell>
          <cell r="H12">
            <v>1.0893776752833335</v>
          </cell>
          <cell r="I12">
            <v>-1.448880665759877</v>
          </cell>
        </row>
        <row r="13">
          <cell r="B13" t="str">
            <v>Medium-density Fiberboard</v>
          </cell>
          <cell r="C13">
            <v>6.3312407859360001E-2</v>
          </cell>
          <cell r="D13">
            <v>-2.0254519141196047E-2</v>
          </cell>
          <cell r="E13">
            <v>-2.102935133628455E-2</v>
          </cell>
          <cell r="F13">
            <v>2.5509713712284438E-3</v>
          </cell>
          <cell r="G13">
            <v>-2.5339463107566775</v>
          </cell>
          <cell r="H13">
            <v>0.92306047294999993</v>
          </cell>
          <cell r="I13">
            <v>-1.5863063290535697</v>
          </cell>
        </row>
      </sheetData>
      <sheetData sheetId="58" refreshError="1">
        <row r="6">
          <cell r="K6" t="str">
            <v>Assumptions for Estimating System Efficiency of Refuse Derived Fuel (RDF) Combustion Facilities</v>
          </cell>
        </row>
        <row r="7">
          <cell r="B7" t="str">
            <v>Transmission and Distribution Loss Rate</v>
          </cell>
          <cell r="C7" t="str">
            <v>Estimated Amount of Electricity Delivered from MSW Combustion</v>
          </cell>
          <cell r="D7" t="str">
            <v>Estimated Energy Content of Mixed MSW</v>
          </cell>
          <cell r="E7" t="str">
            <v>Estimated Energy Content of Mixed MSW</v>
          </cell>
          <cell r="F7" t="str">
            <v>Estimated Amount of BTUs needed to deliver one kWh of electricity</v>
          </cell>
          <cell r="G7" t="str">
            <v>Physical Constant: Amount of Energy in one kWh</v>
          </cell>
          <cell r="H7" t="str">
            <v>Estimated WTE Efficiency Rate</v>
          </cell>
          <cell r="I7" t="str">
            <v>Ratio of Electricity Delivered and Generated</v>
          </cell>
          <cell r="K7" t="str">
            <v>Gross Electricity Generated per ton of RDF Combusted</v>
          </cell>
          <cell r="L7" t="str">
            <v>Energy Consumed by RDF Combustion Facility</v>
          </cell>
          <cell r="M7" t="str">
            <v>Energy Required to Process MSW into RDF</v>
          </cell>
          <cell r="N7" t="str">
            <v>Net Electricity Generated per ton of RDF Combusted</v>
          </cell>
          <cell r="O7" t="str">
            <v>Transmission and Distribution Loss Rate</v>
          </cell>
          <cell r="P7" t="str">
            <v>Estimated Amount of Electricity Delivered from RDF Combustion</v>
          </cell>
          <cell r="Q7" t="str">
            <v>Estimated Energy Content of RDF</v>
          </cell>
          <cell r="R7" t="str">
            <v>Estimated Energy Content of RDF</v>
          </cell>
          <cell r="S7" t="str">
            <v>Estimated Amount of BTUs needed to deliver one kWh of electricity</v>
          </cell>
          <cell r="T7" t="str">
            <v>Physical Constant: Amount of Energy in one kWh</v>
          </cell>
          <cell r="U7" t="str">
            <v>Estimated RDF Efficiency Rate</v>
          </cell>
          <cell r="V7" t="str">
            <v>Ratio of Electricity Delivered and Generated</v>
          </cell>
        </row>
        <row r="8">
          <cell r="B8" t="str">
            <v>(percent)</v>
          </cell>
          <cell r="C8" t="str">
            <v>(kwh/ton)</v>
          </cell>
          <cell r="D8" t="str">
            <v>(Btu/lb)</v>
          </cell>
          <cell r="E8" t="str">
            <v>(Btu/ton)</v>
          </cell>
          <cell r="F8" t="str">
            <v>(Btu/kwh)</v>
          </cell>
          <cell r="G8" t="str">
            <v>(Btu)</v>
          </cell>
          <cell r="H8" t="str">
            <v>(percent)</v>
          </cell>
          <cell r="I8" t="str">
            <v>(percent)</v>
          </cell>
          <cell r="K8" t="str">
            <v>(kwh/ton)</v>
          </cell>
          <cell r="L8" t="str">
            <v>(kwh/ton)</v>
          </cell>
          <cell r="M8" t="str">
            <v>(kwh/ton)</v>
          </cell>
          <cell r="N8" t="str">
            <v>(kwh/ton)</v>
          </cell>
          <cell r="O8" t="str">
            <v>(percent)</v>
          </cell>
          <cell r="P8" t="str">
            <v>(kwh/ton)</v>
          </cell>
          <cell r="Q8" t="str">
            <v>(Btu/lb)</v>
          </cell>
          <cell r="R8" t="str">
            <v>(Btu/ton)</v>
          </cell>
          <cell r="S8" t="str">
            <v>(Btu/kwh)</v>
          </cell>
          <cell r="T8" t="str">
            <v>(Btu)</v>
          </cell>
          <cell r="U8" t="str">
            <v>(percent)</v>
          </cell>
          <cell r="V8" t="str">
            <v>(percent)</v>
          </cell>
        </row>
        <row r="9">
          <cell r="B9">
            <v>0.05</v>
          </cell>
          <cell r="C9">
            <v>522.5</v>
          </cell>
          <cell r="D9">
            <v>5000</v>
          </cell>
          <cell r="E9">
            <v>10000000</v>
          </cell>
          <cell r="F9">
            <v>19138.755980861242</v>
          </cell>
          <cell r="G9">
            <v>3412</v>
          </cell>
          <cell r="H9">
            <v>0.17827700000000002</v>
          </cell>
          <cell r="I9">
            <v>0.95</v>
          </cell>
          <cell r="K9">
            <v>655</v>
          </cell>
          <cell r="L9">
            <v>53</v>
          </cell>
          <cell r="M9">
            <v>29.85</v>
          </cell>
          <cell r="N9">
            <v>572.15</v>
          </cell>
          <cell r="O9">
            <v>0.05</v>
          </cell>
          <cell r="P9">
            <v>543.5424999999999</v>
          </cell>
          <cell r="Q9">
            <v>5700</v>
          </cell>
          <cell r="R9">
            <v>11400000</v>
          </cell>
          <cell r="S9">
            <v>20973.5209298261</v>
          </cell>
          <cell r="T9">
            <v>3412</v>
          </cell>
          <cell r="U9">
            <v>0.16268131666666663</v>
          </cell>
          <cell r="V9">
            <v>0.82983587786259527</v>
          </cell>
        </row>
        <row r="14">
          <cell r="B14" t="str">
            <v>Percentage of Methane from Landfills With Flaring</v>
          </cell>
          <cell r="C14" t="str">
            <v>Percentage of Methane from Landfills With LFGTE</v>
          </cell>
          <cell r="D14" t="str">
            <v>Landfill Gas Collection System Efficiency</v>
          </cell>
          <cell r="E14" t="str">
            <v>Percent of Methane Not Oxidized to CO2 for Landfills with No LFG Recovery</v>
          </cell>
          <cell r="F14" t="str">
            <v>Percentage of Methane Used for Electricity Generation in 2000</v>
          </cell>
          <cell r="G14" t="str">
            <v>Percentage of Methane Recovered for Electricity Generation Not Utilized Due to System "Down Time"</v>
          </cell>
        </row>
        <row r="15">
          <cell r="B15">
            <v>0.13385281877731325</v>
          </cell>
          <cell r="C15">
            <v>0.716283214363583</v>
          </cell>
          <cell r="D15">
            <v>0.75</v>
          </cell>
          <cell r="E15">
            <v>0.9</v>
          </cell>
          <cell r="F15">
            <v>0.75</v>
          </cell>
          <cell r="G15">
            <v>0.03</v>
          </cell>
        </row>
        <row r="17">
          <cell r="D17">
            <v>910.25233697228691</v>
          </cell>
        </row>
        <row r="19">
          <cell r="D19">
            <v>1.7706404251390202</v>
          </cell>
        </row>
        <row r="21">
          <cell r="D21" t="str">
            <v>Mixed Paper Recycling Assumptions: A "Recipe"</v>
          </cell>
        </row>
        <row r="22">
          <cell r="B22" t="str">
            <v>Percentage</v>
          </cell>
          <cell r="E22" t="str">
            <v>Definition of Mixed Paper</v>
          </cell>
        </row>
        <row r="23">
          <cell r="D23" t="str">
            <v>Material</v>
          </cell>
          <cell r="E23" t="str">
            <v>Broad Definition</v>
          </cell>
          <cell r="F23" t="str">
            <v>Single-Family Definition</v>
          </cell>
          <cell r="G23" t="str">
            <v>Office Paper Definition</v>
          </cell>
          <cell r="H23" t="str">
            <v>Boxboard Definition</v>
          </cell>
        </row>
        <row r="24">
          <cell r="B24">
            <v>0.45</v>
          </cell>
          <cell r="D24" t="str">
            <v>Newspaper</v>
          </cell>
          <cell r="E24">
            <v>0.24</v>
          </cell>
          <cell r="F24">
            <v>0.23</v>
          </cell>
          <cell r="G24">
            <v>0.21</v>
          </cell>
          <cell r="H24">
            <v>0.193</v>
          </cell>
        </row>
        <row r="25">
          <cell r="B25">
            <v>0.55000000000000004</v>
          </cell>
          <cell r="D25" t="str">
            <v>Corrugated Containers</v>
          </cell>
          <cell r="E25">
            <v>0.48</v>
          </cell>
          <cell r="F25">
            <v>0.53</v>
          </cell>
          <cell r="G25">
            <v>0.05</v>
          </cell>
          <cell r="H25">
            <v>0.71499999999999997</v>
          </cell>
        </row>
        <row r="26">
          <cell r="D26" t="str">
            <v>Office Paper</v>
          </cell>
          <cell r="E26">
            <v>0.2</v>
          </cell>
          <cell r="F26">
            <v>0.14000000000000001</v>
          </cell>
          <cell r="G26">
            <v>0.38</v>
          </cell>
          <cell r="H26">
            <v>4.7E-2</v>
          </cell>
        </row>
        <row r="27">
          <cell r="B27">
            <v>0.7</v>
          </cell>
          <cell r="D27" t="str">
            <v>Magazines/Third-class Mail</v>
          </cell>
          <cell r="E27">
            <v>0.08</v>
          </cell>
          <cell r="F27">
            <v>0.1</v>
          </cell>
          <cell r="G27">
            <v>0.36</v>
          </cell>
          <cell r="H27">
            <v>7.0000000000000001E-3</v>
          </cell>
        </row>
        <row r="28">
          <cell r="B28">
            <v>0.30000000000000004</v>
          </cell>
        </row>
        <row r="29">
          <cell r="D29" t="str">
            <v>Cardboard open loop</v>
          </cell>
        </row>
        <row r="32">
          <cell r="B32" t="str">
            <v>Ash Landfill Disposal</v>
          </cell>
          <cell r="C32" t="str">
            <v xml:space="preserve">Total </v>
          </cell>
          <cell r="D32" t="str">
            <v>Total</v>
          </cell>
        </row>
        <row r="33">
          <cell r="B33" t="str">
            <v>(lbs of CO2/ton of MSW)</v>
          </cell>
          <cell r="C33" t="str">
            <v>(lbs of CO2/ton of MSW)</v>
          </cell>
          <cell r="D33" t="str">
            <v>(MTCO2E/ton of MSW)</v>
          </cell>
          <cell r="E33" t="str">
            <v>(MTCO2E/ton of MSW)</v>
          </cell>
        </row>
        <row r="34">
          <cell r="B34">
            <v>12.6</v>
          </cell>
          <cell r="C34">
            <v>59.9</v>
          </cell>
          <cell r="D34">
            <v>2.7170461761770841E-2</v>
          </cell>
          <cell r="E34">
            <v>5.7153225074843507E-3</v>
          </cell>
          <cell r="F34">
            <v>7.7729101847371015E-2</v>
          </cell>
        </row>
        <row r="38">
          <cell r="B38" t="str">
            <v>Diesel Fuel (gallons/ 103 lbs of MSW landfilled)</v>
          </cell>
          <cell r="C38" t="str">
            <v>Total Energy (BTU/103 lb of MSW landfilled)</v>
          </cell>
          <cell r="D38" t="str">
            <v>Total Energy (BTU/ton of MSW landfilled)</v>
          </cell>
          <cell r="E38" t="str">
            <v>MTCO2E (per million BTUs)</v>
          </cell>
          <cell r="F38" t="str">
            <v>Total (MTCO2E/ton)</v>
          </cell>
        </row>
        <row r="39">
          <cell r="B39">
            <v>0.9</v>
          </cell>
          <cell r="C39">
            <v>148300</v>
          </cell>
          <cell r="D39">
            <v>296600</v>
          </cell>
          <cell r="E39">
            <v>7.3528734690733552E-2</v>
          </cell>
          <cell r="F39">
            <v>3.8779054675892877E-2</v>
          </cell>
        </row>
        <row r="40">
          <cell r="B40">
            <v>0.7</v>
          </cell>
          <cell r="C40">
            <v>115400</v>
          </cell>
          <cell r="D40">
            <v>230800</v>
          </cell>
        </row>
        <row r="43">
          <cell r="D43" t="str">
            <v>Broadloom Residential Carpeting Components (%)</v>
          </cell>
          <cell r="H43" t="str">
            <v>Personal Computers - material composition</v>
          </cell>
          <cell r="L43" t="str">
            <v>Non-Biomass Combustion CO2 Assumptions</v>
          </cell>
        </row>
        <row r="44">
          <cell r="B44" t="str">
            <v>Non-Biomass Carbon Content</v>
          </cell>
          <cell r="D44" t="str">
            <v>Components</v>
          </cell>
          <cell r="E44" t="str">
            <v>% of total weight</v>
          </cell>
          <cell r="H44" t="str">
            <v>Components</v>
          </cell>
          <cell r="I44" t="str">
            <v>Weight (lbs)</v>
          </cell>
          <cell r="J44" t="str">
            <v>% of total weight</v>
          </cell>
          <cell r="M44" t="str">
            <v>Non-Biomass Carbon Content</v>
          </cell>
          <cell r="N44" t="str">
            <v>Carbon Converted to CO2 during Combustion</v>
          </cell>
          <cell r="O44" t="str">
            <v xml:space="preserve">Combustion CO2 Emissions </v>
          </cell>
        </row>
        <row r="45">
          <cell r="B45" t="str">
            <v>(percent)*</v>
          </cell>
          <cell r="D45" t="str">
            <v>Styrene-butadiene (latex)</v>
          </cell>
          <cell r="E45">
            <v>9.5000000000000001E-2</v>
          </cell>
          <cell r="H45" t="str">
            <v>ABS (acrylonitrile-butadiene-styrene)</v>
          </cell>
          <cell r="I45">
            <v>80</v>
          </cell>
          <cell r="J45">
            <v>8.3203328133125323E-2</v>
          </cell>
          <cell r="L45" t="str">
            <v>Material</v>
          </cell>
          <cell r="M45" t="str">
            <v>(percent)*</v>
          </cell>
          <cell r="N45" t="str">
            <v>(percent)</v>
          </cell>
          <cell r="O45" t="str">
            <v>(MTCO2E/ton)</v>
          </cell>
        </row>
        <row r="46">
          <cell r="B46">
            <v>0.89600000000000002</v>
          </cell>
          <cell r="D46" t="str">
            <v>Limestone</v>
          </cell>
          <cell r="E46">
            <v>0.374</v>
          </cell>
          <cell r="H46" t="str">
            <v>PPO/HIPS (Polyphenylene oxide/High Impact Polystyrene)</v>
          </cell>
          <cell r="I46">
            <v>53</v>
          </cell>
          <cell r="J46">
            <v>5.5122204888195525E-2</v>
          </cell>
          <cell r="L46" t="str">
            <v>Mixed MSW**</v>
          </cell>
          <cell r="M46">
            <v>9.8107132650261761E-2</v>
          </cell>
          <cell r="N46">
            <v>0.98</v>
          </cell>
          <cell r="O46">
            <v>0.31981459674311946</v>
          </cell>
        </row>
        <row r="47">
          <cell r="B47">
            <v>0.84299999999999997</v>
          </cell>
          <cell r="D47" t="str">
            <v>Backing fabric (PP)</v>
          </cell>
          <cell r="E47">
            <v>0.107</v>
          </cell>
          <cell r="H47" t="str">
            <v>Total</v>
          </cell>
          <cell r="I47">
            <v>961.5</v>
          </cell>
          <cell r="L47" t="str">
            <v>HDPE</v>
          </cell>
          <cell r="M47">
            <v>0.8571428571428571</v>
          </cell>
          <cell r="N47">
            <v>0.98</v>
          </cell>
          <cell r="O47">
            <v>2.7941576703256823</v>
          </cell>
        </row>
        <row r="48">
          <cell r="B48">
            <v>0.84899999999999998</v>
          </cell>
          <cell r="D48" t="str">
            <v>Face Fibers:</v>
          </cell>
          <cell r="L48" t="str">
            <v>LDPE</v>
          </cell>
          <cell r="M48">
            <v>0.8571428571428571</v>
          </cell>
          <cell r="N48">
            <v>0.98</v>
          </cell>
          <cell r="O48">
            <v>2.7941576703256823</v>
          </cell>
        </row>
        <row r="49">
          <cell r="B49">
            <v>0.12</v>
          </cell>
          <cell r="D49" t="str">
            <v>Nylon 6 and Nylon 6-6</v>
          </cell>
          <cell r="E49">
            <v>0.27560000000000001</v>
          </cell>
          <cell r="I49">
            <v>38.5</v>
          </cell>
          <cell r="L49" t="str">
            <v>PET</v>
          </cell>
          <cell r="M49">
            <v>0.625</v>
          </cell>
          <cell r="N49">
            <v>0.98</v>
          </cell>
          <cell r="O49">
            <v>2.0374066346124766</v>
          </cell>
        </row>
        <row r="50">
          <cell r="B50">
            <v>0.86</v>
          </cell>
          <cell r="D50" t="str">
            <v xml:space="preserve">Polypropylene </v>
          </cell>
          <cell r="E50">
            <v>8.48E-2</v>
          </cell>
          <cell r="L50" t="str">
            <v>Carpet</v>
          </cell>
          <cell r="M50">
            <v>0.51108199999999993</v>
          </cell>
          <cell r="N50">
            <v>0.98</v>
          </cell>
          <cell r="O50">
            <v>1.6660509722096217</v>
          </cell>
        </row>
        <row r="51">
          <cell r="B51">
            <v>0.64</v>
          </cell>
          <cell r="D51" t="str">
            <v>PET</v>
          </cell>
          <cell r="E51">
            <v>6.359999999999999E-2</v>
          </cell>
          <cell r="L51" t="str">
            <v>Personal Computers</v>
          </cell>
          <cell r="M51">
            <v>0.11693915756630265</v>
          </cell>
          <cell r="N51">
            <v>0.98</v>
          </cell>
          <cell r="O51">
            <v>0.38120418475452611</v>
          </cell>
        </row>
        <row r="52">
          <cell r="B52">
            <v>0.625</v>
          </cell>
          <cell r="E52">
            <v>0.99999999999999989</v>
          </cell>
          <cell r="L52" t="str">
            <v>Tires</v>
          </cell>
          <cell r="N52">
            <v>0.98</v>
          </cell>
          <cell r="O52">
            <v>0</v>
          </cell>
        </row>
        <row r="53">
          <cell r="L53" t="str">
            <v>LLDPE</v>
          </cell>
          <cell r="M53">
            <v>0.8571428571428571</v>
          </cell>
          <cell r="N53">
            <v>0.98</v>
          </cell>
          <cell r="O53">
            <v>2.7941576703256823</v>
          </cell>
        </row>
        <row r="54">
          <cell r="L54" t="str">
            <v>PP</v>
          </cell>
          <cell r="M54">
            <v>0.8571428571428571</v>
          </cell>
          <cell r="N54">
            <v>0.98</v>
          </cell>
          <cell r="O54">
            <v>2.7941576703256823</v>
          </cell>
        </row>
        <row r="55">
          <cell r="A55" t="str">
            <v>Gas Conversion Factors</v>
          </cell>
          <cell r="L55" t="str">
            <v>PS</v>
          </cell>
          <cell r="M55">
            <v>0.92307692307692313</v>
          </cell>
          <cell r="N55">
            <v>0.98</v>
          </cell>
          <cell r="O55">
            <v>3.0090928757353503</v>
          </cell>
        </row>
        <row r="56">
          <cell r="A56" t="str">
            <v>Gas</v>
          </cell>
          <cell r="B56" t="str">
            <v>GWP of Gas</v>
          </cell>
          <cell r="C56" t="str">
            <v>MTCE per metric ton of Gas</v>
          </cell>
          <cell r="L56" t="str">
            <v>PVC</v>
          </cell>
          <cell r="M56">
            <v>0.38428898531695832</v>
          </cell>
          <cell r="N56">
            <v>0.98</v>
          </cell>
          <cell r="O56">
            <v>1.2527246852692282</v>
          </cell>
        </row>
        <row r="57">
          <cell r="A57" t="str">
            <v>CO2</v>
          </cell>
          <cell r="B57">
            <v>1</v>
          </cell>
          <cell r="C57">
            <v>0.27272727272727271</v>
          </cell>
          <cell r="L57" t="str">
            <v>* It is assumed that all carbon content in these materials is non-biogenic and are calculated based on the molecular formula of each resin.</v>
          </cell>
        </row>
        <row r="58">
          <cell r="A58" t="str">
            <v>CH4</v>
          </cell>
          <cell r="B58">
            <v>25</v>
          </cell>
          <cell r="C58">
            <v>6.8181818181818183</v>
          </cell>
          <cell r="L58" t="str">
            <v>* Value for mixed MSW is in pounds of of non-biogenic carbon per pound of mixed MSW.</v>
          </cell>
        </row>
        <row r="59">
          <cell r="A59" t="str">
            <v>CF4</v>
          </cell>
          <cell r="B59">
            <v>7390</v>
          </cell>
          <cell r="C59">
            <v>2015.4545454545455</v>
          </cell>
        </row>
        <row r="60">
          <cell r="A60" t="str">
            <v>C2F6</v>
          </cell>
          <cell r="B60">
            <v>12200</v>
          </cell>
          <cell r="C60">
            <v>3327.2727272727275</v>
          </cell>
        </row>
        <row r="61">
          <cell r="A61" t="str">
            <v>N2O</v>
          </cell>
          <cell r="B61">
            <v>298</v>
          </cell>
          <cell r="C61">
            <v>81.272727272727266</v>
          </cell>
        </row>
        <row r="62">
          <cell r="A62" t="str">
            <v>Source: IPCC 2007, Fourth Assessment Report. - updated in WARM from SAR GWPs in June 2014.</v>
          </cell>
        </row>
        <row r="63">
          <cell r="A63" t="str">
            <v>Generation and Recovery Rates for 2013: MSW in the US: Facts and Figures</v>
          </cell>
        </row>
        <row r="64">
          <cell r="H64" t="str">
            <v>Plastics in Products in MSW</v>
          </cell>
        </row>
        <row r="65">
          <cell r="A65" t="str">
            <v>Type of Product</v>
          </cell>
          <cell r="B65" t="str">
            <v>Generation (Tons)</v>
          </cell>
          <cell r="C65" t="str">
            <v>% of total generation</v>
          </cell>
          <cell r="D65" t="str">
            <v>Recovery (Tons)</v>
          </cell>
          <cell r="E65" t="str">
            <v>% of total recovery</v>
          </cell>
          <cell r="F65" t="str">
            <v>Recovery Rate (%)</v>
          </cell>
          <cell r="H65" t="str">
            <v>Total Plastics in MSW, by resin</v>
          </cell>
          <cell r="I65" t="str">
            <v>Discards (Tons)</v>
          </cell>
          <cell r="K65" t="str">
            <v>Material</v>
          </cell>
          <cell r="L65" t="str">
            <v>Carbon Content</v>
          </cell>
          <cell r="N65" t="str">
            <v>Material</v>
          </cell>
          <cell r="O65" t="str">
            <v xml:space="preserve"> Combustion (tons)</v>
          </cell>
          <cell r="P65" t="str">
            <v>Short Tons of CO2 Equiv</v>
          </cell>
        </row>
        <row r="66">
          <cell r="A66" t="str">
            <v>Aluminum Cans</v>
          </cell>
          <cell r="B66">
            <v>1390000</v>
          </cell>
          <cell r="C66">
            <v>1.6963631925799364E-2</v>
          </cell>
          <cell r="D66">
            <v>700000</v>
          </cell>
          <cell r="E66">
            <v>1.4239218877135883E-2</v>
          </cell>
          <cell r="F66">
            <v>50.359712230215827</v>
          </cell>
          <cell r="H66" t="str">
            <v>PET</v>
          </cell>
          <cell r="I66">
            <v>3750000</v>
          </cell>
          <cell r="K66" t="str">
            <v>PET</v>
          </cell>
          <cell r="L66">
            <v>0.625</v>
          </cell>
          <cell r="N66" t="str">
            <v>PET</v>
          </cell>
          <cell r="O66">
            <v>400936.75165516272</v>
          </cell>
          <cell r="P66">
            <v>250585.46978447671</v>
          </cell>
        </row>
        <row r="67">
          <cell r="A67" t="str">
            <v>Steel Cans</v>
          </cell>
          <cell r="B67">
            <v>1870000</v>
          </cell>
          <cell r="C67">
            <v>2.2821576763485476E-2</v>
          </cell>
          <cell r="D67">
            <v>1320000</v>
          </cell>
          <cell r="E67">
            <v>2.6851098454027666E-2</v>
          </cell>
          <cell r="F67">
            <v>70.588235294117652</v>
          </cell>
          <cell r="H67" t="str">
            <v>HDPE</v>
          </cell>
          <cell r="I67">
            <v>5010000</v>
          </cell>
          <cell r="K67" t="str">
            <v>HDPE</v>
          </cell>
          <cell r="L67">
            <v>0.8571428571428571</v>
          </cell>
          <cell r="N67" t="str">
            <v>HDPE</v>
          </cell>
          <cell r="O67">
            <v>535651.50021129742</v>
          </cell>
          <cell r="P67">
            <v>459129.85732396919</v>
          </cell>
        </row>
        <row r="68">
          <cell r="A68" t="str">
            <v>Glass</v>
          </cell>
          <cell r="B68">
            <v>9260000</v>
          </cell>
          <cell r="C68">
            <v>0.11300951916036124</v>
          </cell>
          <cell r="D68">
            <v>3150000</v>
          </cell>
          <cell r="E68">
            <v>6.4076484947111476E-2</v>
          </cell>
          <cell r="F68">
            <v>34.017278617710581</v>
          </cell>
          <cell r="H68" t="str">
            <v>PVC</v>
          </cell>
          <cell r="I68">
            <v>900000</v>
          </cell>
          <cell r="K68" t="str">
            <v>PVC</v>
          </cell>
          <cell r="L68">
            <v>0.38400000000000001</v>
          </cell>
          <cell r="N68" t="str">
            <v>PVC</v>
          </cell>
          <cell r="O68">
            <v>96224.820397239062</v>
          </cell>
          <cell r="P68">
            <v>36950.331032539798</v>
          </cell>
        </row>
        <row r="69">
          <cell r="A69" t="str">
            <v>HDPE</v>
          </cell>
          <cell r="B69">
            <v>3570000</v>
          </cell>
          <cell r="C69">
            <v>4.3568464730290454E-2</v>
          </cell>
          <cell r="D69">
            <v>570000</v>
          </cell>
          <cell r="E69">
            <v>1.1594792514239219E-2</v>
          </cell>
          <cell r="F69">
            <v>15.966386554621847</v>
          </cell>
          <cell r="H69" t="str">
            <v>LDPE/LLDPE</v>
          </cell>
          <cell r="I69">
            <v>6990000</v>
          </cell>
          <cell r="K69" t="str">
            <v>LDPE/LLDPE</v>
          </cell>
          <cell r="L69">
            <v>0.8571428571428571</v>
          </cell>
          <cell r="N69" t="str">
            <v>LDPE/LLDPE</v>
          </cell>
          <cell r="O69">
            <v>747346.10508522333</v>
          </cell>
          <cell r="P69">
            <v>640582.37578733428</v>
          </cell>
        </row>
        <row r="70">
          <cell r="A70" t="str">
            <v>LDPE/LLDPE</v>
          </cell>
          <cell r="B70">
            <v>3410000</v>
          </cell>
          <cell r="C70">
            <v>4.161581645106175E-2</v>
          </cell>
          <cell r="D70">
            <v>0</v>
          </cell>
          <cell r="E70">
            <v>0</v>
          </cell>
          <cell r="F70">
            <v>0</v>
          </cell>
          <cell r="H70" t="str">
            <v>PP</v>
          </cell>
          <cell r="I70">
            <v>7360000</v>
          </cell>
          <cell r="K70" t="str">
            <v>PP</v>
          </cell>
          <cell r="L70">
            <v>0.8571428571428571</v>
          </cell>
          <cell r="N70" t="str">
            <v>PP</v>
          </cell>
          <cell r="O70">
            <v>786905.19791519933</v>
          </cell>
          <cell r="P70">
            <v>674490.16964159941</v>
          </cell>
        </row>
        <row r="71">
          <cell r="A71" t="str">
            <v>PET</v>
          </cell>
          <cell r="B71">
            <v>3750000</v>
          </cell>
          <cell r="C71">
            <v>4.5765194044422745E-2</v>
          </cell>
          <cell r="D71">
            <v>930000</v>
          </cell>
          <cell r="E71">
            <v>1.8917819365337672E-2</v>
          </cell>
          <cell r="F71">
            <v>24.8</v>
          </cell>
          <cell r="H71" t="str">
            <v>PS</v>
          </cell>
          <cell r="I71">
            <v>2240000</v>
          </cell>
          <cell r="K71" t="str">
            <v>PS</v>
          </cell>
          <cell r="L71">
            <v>0.92307692307692313</v>
          </cell>
          <cell r="N71" t="str">
            <v>PS</v>
          </cell>
          <cell r="O71">
            <v>239492.88632201721</v>
          </cell>
          <cell r="P71">
            <v>221070.35660493898</v>
          </cell>
        </row>
        <row r="72">
          <cell r="A72" t="str">
            <v>Corrugated Containers</v>
          </cell>
          <cell r="B72">
            <v>30050000</v>
          </cell>
          <cell r="C72">
            <v>0.36673175494264093</v>
          </cell>
          <cell r="D72">
            <v>26590000</v>
          </cell>
          <cell r="E72">
            <v>0.54088689991863304</v>
          </cell>
          <cell r="F72">
            <v>88.485856905158073</v>
          </cell>
          <cell r="H72" t="str">
            <v>Other Resins</v>
          </cell>
          <cell r="I72">
            <v>3220000</v>
          </cell>
          <cell r="K72" t="str">
            <v>Other</v>
          </cell>
          <cell r="L72">
            <v>0.66</v>
          </cell>
          <cell r="N72" t="str">
            <v>Other</v>
          </cell>
          <cell r="O72">
            <v>344271.02408789971</v>
          </cell>
          <cell r="P72">
            <v>227218.87589801382</v>
          </cell>
        </row>
        <row r="73">
          <cell r="A73" t="str">
            <v>Magazines/Third-class Mail</v>
          </cell>
          <cell r="B73">
            <v>5560000</v>
          </cell>
          <cell r="C73">
            <v>6.7854527703197456E-2</v>
          </cell>
          <cell r="D73">
            <v>3730000</v>
          </cell>
          <cell r="E73">
            <v>7.587469487388121E-2</v>
          </cell>
          <cell r="F73">
            <v>67.086330935251809</v>
          </cell>
          <cell r="H73" t="str">
            <v>Total</v>
          </cell>
          <cell r="I73">
            <v>29470000</v>
          </cell>
          <cell r="N73" t="str">
            <v>Total</v>
          </cell>
          <cell r="O73">
            <v>3150828.2856740388</v>
          </cell>
          <cell r="P73">
            <v>2510027.436072872</v>
          </cell>
        </row>
        <row r="74">
          <cell r="A74" t="str">
            <v>Newspapers</v>
          </cell>
          <cell r="B74">
            <v>7427824.0190249709</v>
          </cell>
          <cell r="C74">
            <v>9.0649548682267156E-2</v>
          </cell>
          <cell r="D74">
            <v>5207288.1355932206</v>
          </cell>
          <cell r="E74">
            <v>0.105925307884321</v>
          </cell>
          <cell r="F74">
            <v>70.105162995996324</v>
          </cell>
        </row>
        <row r="75">
          <cell r="A75" t="str">
            <v>Office Paper</v>
          </cell>
          <cell r="B75">
            <v>4770000</v>
          </cell>
          <cell r="C75">
            <v>5.8213326824505737E-2</v>
          </cell>
          <cell r="D75">
            <v>3990000</v>
          </cell>
          <cell r="E75">
            <v>8.1163547599674535E-2</v>
          </cell>
          <cell r="F75">
            <v>83.647798742138363</v>
          </cell>
          <cell r="H75" t="str">
            <v>Rubber and Leather Products in MSW</v>
          </cell>
          <cell r="I75" t="str">
            <v>Generation (Tons)</v>
          </cell>
          <cell r="J75" t="str">
            <v>Recovery (Tons)</v>
          </cell>
          <cell r="K75" t="str">
            <v>Synthetic Generation (Tons)</v>
          </cell>
          <cell r="L75" t="str">
            <v>Synthetic Discards (Tons)</v>
          </cell>
          <cell r="M75" t="str">
            <v>Synthetic Combustion (Tons)</v>
          </cell>
          <cell r="O75" t="str">
            <v>Material</v>
          </cell>
          <cell r="P75" t="str">
            <v>Percent Synthetic</v>
          </cell>
        </row>
        <row r="76">
          <cell r="A76" t="str">
            <v>Phonebooks</v>
          </cell>
          <cell r="B76">
            <v>622175.98097502976</v>
          </cell>
          <cell r="C76">
            <v>7.5930678664270172E-3</v>
          </cell>
          <cell r="D76">
            <v>182711.86440677964</v>
          </cell>
          <cell r="E76">
            <v>3.7166774696252977E-3</v>
          </cell>
          <cell r="F76">
            <v>0</v>
          </cell>
          <cell r="H76" t="str">
            <v>Other Durables</v>
          </cell>
          <cell r="I76">
            <v>3600000</v>
          </cell>
          <cell r="J76">
            <v>0</v>
          </cell>
          <cell r="K76">
            <v>3600000</v>
          </cell>
          <cell r="L76">
            <v>3600000</v>
          </cell>
          <cell r="M76">
            <v>384899.28158895625</v>
          </cell>
          <cell r="O76" t="str">
            <v>Other Durables</v>
          </cell>
          <cell r="P76">
            <v>1</v>
          </cell>
        </row>
        <row r="77">
          <cell r="A77" t="str">
            <v>Textbooks</v>
          </cell>
          <cell r="B77">
            <v>850000</v>
          </cell>
          <cell r="C77">
            <v>1.0373443983402489E-2</v>
          </cell>
          <cell r="D77">
            <v>320000</v>
          </cell>
          <cell r="E77">
            <v>6.5093572009764034E-3</v>
          </cell>
          <cell r="F77">
            <v>37.647058823529413</v>
          </cell>
          <cell r="H77" t="str">
            <v>Clothing and Footwear</v>
          </cell>
          <cell r="I77">
            <v>810000</v>
          </cell>
          <cell r="J77">
            <v>0</v>
          </cell>
          <cell r="K77">
            <v>202500</v>
          </cell>
          <cell r="L77">
            <v>202500</v>
          </cell>
          <cell r="M77">
            <v>21650.584589378788</v>
          </cell>
          <cell r="O77" t="str">
            <v>Clothing and Footwear</v>
          </cell>
          <cell r="P77">
            <v>0.25</v>
          </cell>
        </row>
        <row r="78">
          <cell r="A78" t="str">
            <v>DL</v>
          </cell>
          <cell r="B78">
            <v>9410000</v>
          </cell>
          <cell r="C78">
            <v>0.11484012692213814</v>
          </cell>
          <cell r="D78">
            <v>2470000</v>
          </cell>
          <cell r="E78">
            <v>5.0244100895036614E-2</v>
          </cell>
          <cell r="F78">
            <v>26.248671625929859</v>
          </cell>
          <cell r="H78" t="str">
            <v>Other Nondurables</v>
          </cell>
          <cell r="I78">
            <v>250000</v>
          </cell>
          <cell r="J78">
            <v>0</v>
          </cell>
          <cell r="K78">
            <v>187500</v>
          </cell>
          <cell r="L78">
            <v>187500</v>
          </cell>
          <cell r="M78">
            <v>20046.837582758137</v>
          </cell>
          <cell r="O78" t="str">
            <v>Other Nondurables</v>
          </cell>
          <cell r="P78">
            <v>0.75</v>
          </cell>
        </row>
        <row r="79">
          <cell r="A79" t="str">
            <v>MDF</v>
          </cell>
          <cell r="B79" t="str">
            <v>na</v>
          </cell>
          <cell r="C79" t="str">
            <v>na</v>
          </cell>
          <cell r="D79">
            <v>0</v>
          </cell>
          <cell r="E79">
            <v>0</v>
          </cell>
          <cell r="F79">
            <v>0</v>
          </cell>
          <cell r="H79" t="str">
            <v>Containers and Packaging</v>
          </cell>
          <cell r="I79">
            <v>0</v>
          </cell>
          <cell r="J79">
            <v>0</v>
          </cell>
          <cell r="K79">
            <v>0</v>
          </cell>
          <cell r="L79">
            <v>0</v>
          </cell>
          <cell r="M79">
            <v>0</v>
          </cell>
          <cell r="O79" t="str">
            <v>Containers and Packaging</v>
          </cell>
          <cell r="P79">
            <v>1</v>
          </cell>
        </row>
        <row r="80">
          <cell r="A80" t="str">
            <v>Total</v>
          </cell>
          <cell r="B80">
            <v>81940000</v>
          </cell>
          <cell r="D80">
            <v>49160000</v>
          </cell>
          <cell r="H80" t="str">
            <v>Total</v>
          </cell>
          <cell r="I80">
            <v>4660000</v>
          </cell>
          <cell r="J80">
            <v>0</v>
          </cell>
          <cell r="K80">
            <v>3990000</v>
          </cell>
          <cell r="L80">
            <v>3990000</v>
          </cell>
          <cell r="M80">
            <v>426596.7037610932</v>
          </cell>
          <cell r="O80" t="str">
            <v>Textiles</v>
          </cell>
          <cell r="P80">
            <v>0.54719999999999991</v>
          </cell>
        </row>
        <row r="82">
          <cell r="B82" t="str">
            <v>Generation (Tons)</v>
          </cell>
          <cell r="C82" t="str">
            <v>% of total generation</v>
          </cell>
          <cell r="D82" t="str">
            <v>Recovery (Tons)</v>
          </cell>
          <cell r="E82" t="str">
            <v>Recovery Rate (%)</v>
          </cell>
          <cell r="H82" t="str">
            <v>Textile Products in MSW</v>
          </cell>
          <cell r="I82" t="str">
            <v>Generation (Tons)</v>
          </cell>
          <cell r="J82" t="str">
            <v>Recovery (Tons)</v>
          </cell>
          <cell r="K82" t="str">
            <v>Synthetic Generation (Tons)</v>
          </cell>
          <cell r="L82" t="str">
            <v>Synthetic Recovery (Tons)</v>
          </cell>
          <cell r="M82" t="str">
            <v>Synthetic Discards (Tons)</v>
          </cell>
          <cell r="N82" t="str">
            <v>Synthetic Combustion (Tons)</v>
          </cell>
        </row>
        <row r="83">
          <cell r="B83">
            <v>7320000</v>
          </cell>
          <cell r="C83">
            <v>8.9333658774713207E-2</v>
          </cell>
          <cell r="D83">
            <v>1500000</v>
          </cell>
          <cell r="E83">
            <v>20.491803278688526</v>
          </cell>
          <cell r="H83" t="str">
            <v>Textiles</v>
          </cell>
          <cell r="I83">
            <v>15130000</v>
          </cell>
          <cell r="J83">
            <v>2300000</v>
          </cell>
          <cell r="K83">
            <v>8279135.9999999991</v>
          </cell>
          <cell r="L83">
            <v>1258559.9999999998</v>
          </cell>
          <cell r="M83">
            <v>7020575.9999999991</v>
          </cell>
          <cell r="N83">
            <v>750615.18298351881</v>
          </cell>
        </row>
        <row r="84">
          <cell r="B84">
            <v>3260000</v>
          </cell>
          <cell r="C84">
            <v>3.978520868928484E-2</v>
          </cell>
          <cell r="D84">
            <v>2020000</v>
          </cell>
          <cell r="E84">
            <v>61.963190184049076</v>
          </cell>
        </row>
        <row r="85">
          <cell r="H85" t="str">
            <v>Total MSW Calculations</v>
          </cell>
        </row>
        <row r="86">
          <cell r="B86" t="str">
            <v>Generation (Tons)</v>
          </cell>
          <cell r="C86" t="str">
            <v>% of total generation</v>
          </cell>
          <cell r="D86" t="str">
            <v>Recovery (Tons)</v>
          </cell>
          <cell r="E86" t="str">
            <v>Recovery Rate (%)</v>
          </cell>
          <cell r="H86" t="str">
            <v>Percent MSW to WTE</v>
          </cell>
          <cell r="I86">
            <v>7.5899999999999995E-2</v>
          </cell>
        </row>
        <row r="87">
          <cell r="B87">
            <v>3820000</v>
          </cell>
          <cell r="C87">
            <v>4.4196793279680895E-2</v>
          </cell>
          <cell r="D87">
            <v>240000</v>
          </cell>
          <cell r="E87">
            <v>6.2827225130890048</v>
          </cell>
          <cell r="H87" t="str">
            <v>Percent MSW Landfilled</v>
          </cell>
          <cell r="I87">
            <v>0.63400000000000001</v>
          </cell>
          <cell r="K87" t="str">
            <v>Material</v>
          </cell>
          <cell r="L87" t="str">
            <v>C Content</v>
          </cell>
          <cell r="M87" t="str">
            <v>Total Combusted (tons)</v>
          </cell>
          <cell r="N87" t="str">
            <v>Carbon Equivalent (tons)</v>
          </cell>
        </row>
        <row r="88">
          <cell r="B88">
            <v>671610</v>
          </cell>
          <cell r="C88">
            <v>7.770421029991227E-3</v>
          </cell>
          <cell r="D88">
            <v>187014.44</v>
          </cell>
          <cell r="E88">
            <v>27.845690207114249</v>
          </cell>
          <cell r="H88" t="str">
            <v>Estimated MSW Generated (tons)</v>
          </cell>
          <cell r="I88">
            <v>456448840.44389433</v>
          </cell>
          <cell r="K88" t="str">
            <v>Weighted average plastics</v>
          </cell>
          <cell r="L88">
            <v>0.79662463596803601</v>
          </cell>
          <cell r="M88">
            <v>3150828.2856740388</v>
          </cell>
          <cell r="N88">
            <v>2510027.436072872</v>
          </cell>
        </row>
        <row r="89">
          <cell r="B89">
            <v>4491610</v>
          </cell>
          <cell r="H89" t="str">
            <v>Total Discards (tons)</v>
          </cell>
          <cell r="I89">
            <v>324033031.83112055</v>
          </cell>
          <cell r="K89" t="str">
            <v>Rubber</v>
          </cell>
          <cell r="L89">
            <v>0.85251988680707691</v>
          </cell>
          <cell r="M89">
            <v>426596.7037610932</v>
          </cell>
          <cell r="N89">
            <v>363682.17360267928</v>
          </cell>
        </row>
        <row r="90">
          <cell r="H90" t="str">
            <v>Total Landfilled (tons)</v>
          </cell>
          <cell r="I90">
            <v>289388564.841429</v>
          </cell>
          <cell r="K90" t="str">
            <v>Average Synthetic fibers</v>
          </cell>
          <cell r="L90">
            <v>0.69963907043866136</v>
          </cell>
          <cell r="M90">
            <v>750615.18298351881</v>
          </cell>
          <cell r="N90">
            <v>525159.70887973486</v>
          </cell>
        </row>
        <row r="91">
          <cell r="A91" t="str">
            <v>Type of Product</v>
          </cell>
          <cell r="B91" t="str">
            <v>Generation (Tons)</v>
          </cell>
          <cell r="C91" t="str">
            <v>% of total generation</v>
          </cell>
          <cell r="D91" t="str">
            <v>Recovery (Tons)</v>
          </cell>
          <cell r="E91" t="str">
            <v>Recovery Rate (%)</v>
          </cell>
          <cell r="H91" t="str">
            <v>Total Combusted (tons)</v>
          </cell>
          <cell r="I91">
            <v>34644466.989691578</v>
          </cell>
          <cell r="K91" t="str">
            <v>Total</v>
          </cell>
          <cell r="M91">
            <v>4328040.1724186512</v>
          </cell>
          <cell r="N91">
            <v>3398869.3185552862</v>
          </cell>
        </row>
        <row r="92">
          <cell r="A92" t="str">
            <v>Food Waste</v>
          </cell>
          <cell r="B92">
            <v>37060000</v>
          </cell>
          <cell r="C92">
            <v>0.5200673589671625</v>
          </cell>
          <cell r="D92">
            <v>1840000</v>
          </cell>
          <cell r="E92">
            <v>4.9649217485159198</v>
          </cell>
          <cell r="H92" t="str">
            <v>Percent of Discards Combusted</v>
          </cell>
          <cell r="I92">
            <v>0.10691646710804339</v>
          </cell>
        </row>
        <row r="93">
          <cell r="A93" t="str">
            <v>Yard Trimmings</v>
          </cell>
          <cell r="B93">
            <v>34200000</v>
          </cell>
          <cell r="C93">
            <v>0.4799326410328375</v>
          </cell>
          <cell r="D93">
            <v>20600000</v>
          </cell>
          <cell r="E93">
            <v>60.23391812865497</v>
          </cell>
          <cell r="N93">
            <v>0.78531371779201542</v>
          </cell>
          <cell r="O93" t="str">
            <v>average C content for fossil C materials in MSW</v>
          </cell>
        </row>
        <row r="94">
          <cell r="A94" t="str">
            <v>Total</v>
          </cell>
          <cell r="B94">
            <v>71260000</v>
          </cell>
          <cell r="D94">
            <v>22440000</v>
          </cell>
          <cell r="N94">
            <v>9.8107132650261761E-2</v>
          </cell>
          <cell r="O94" t="str">
            <v>average fossil C content in mixed MSW</v>
          </cell>
        </row>
        <row r="96">
          <cell r="A96" t="str">
            <v>Assumed yard waste composition:</v>
          </cell>
          <cell r="C96" t="str">
            <v>Assumed mixed plastics composition:</v>
          </cell>
          <cell r="E96" t="str">
            <v>Assumed mixed metals composition:</v>
          </cell>
        </row>
        <row r="97">
          <cell r="A97" t="str">
            <v>Grass</v>
          </cell>
          <cell r="B97">
            <v>0.5</v>
          </cell>
          <cell r="C97" t="str">
            <v>HDPE</v>
          </cell>
          <cell r="D97">
            <v>0.38</v>
          </cell>
          <cell r="E97" t="str">
            <v>Aluminum Cans</v>
          </cell>
          <cell r="F97">
            <v>0.34653465346534651</v>
          </cell>
        </row>
        <row r="98">
          <cell r="A98" t="str">
            <v>Leaves</v>
          </cell>
          <cell r="B98">
            <v>0.25</v>
          </cell>
          <cell r="C98" t="str">
            <v>PET</v>
          </cell>
          <cell r="D98">
            <v>0.62</v>
          </cell>
          <cell r="E98" t="str">
            <v>Steel Cans</v>
          </cell>
          <cell r="F98">
            <v>0.65346534653465349</v>
          </cell>
        </row>
        <row r="99">
          <cell r="A99" t="str">
            <v>Branches</v>
          </cell>
          <cell r="B99">
            <v>0.25</v>
          </cell>
        </row>
        <row r="101">
          <cell r="A101" t="str">
            <v>Compost Composition</v>
          </cell>
          <cell r="C101" t="str">
            <v>Assumed mixed organics composition:</v>
          </cell>
        </row>
        <row r="102">
          <cell r="A102" t="str">
            <v xml:space="preserve">Moisture content </v>
          </cell>
          <cell r="B102">
            <v>0.5</v>
          </cell>
          <cell r="C102" t="str">
            <v>Food Waste</v>
          </cell>
          <cell r="D102">
            <v>0.5200673589671625</v>
          </cell>
        </row>
        <row r="103">
          <cell r="A103" t="str">
            <v xml:space="preserve">Organic matter fraction (as dry weight) </v>
          </cell>
          <cell r="B103">
            <v>0.88</v>
          </cell>
          <cell r="C103" t="str">
            <v>Yard Trimmings</v>
          </cell>
          <cell r="D103">
            <v>0.4799326410328375</v>
          </cell>
        </row>
        <row r="104">
          <cell r="A104" t="str">
            <v>C content (as a fraction of organic matter)</v>
          </cell>
          <cell r="B104">
            <v>0.48</v>
          </cell>
        </row>
        <row r="105">
          <cell r="A105" t="str">
            <v>C as a fraction of wet wt.</v>
          </cell>
          <cell r="B105">
            <v>0.2112</v>
          </cell>
        </row>
        <row r="106">
          <cell r="A106" t="str">
            <v>Ratio of mass in: mass out of centralized compost facility:</v>
          </cell>
          <cell r="B106">
            <v>2.111513687600644</v>
          </cell>
          <cell r="C106" t="str">
            <v>Derivation:</v>
          </cell>
          <cell r="D106" t="str">
            <v>Low end cost</v>
          </cell>
          <cell r="E106" t="str">
            <v>High end cost</v>
          </cell>
        </row>
        <row r="107">
          <cell r="C107" t="str">
            <v>$/ton input</v>
          </cell>
          <cell r="D107">
            <v>2.91</v>
          </cell>
          <cell r="E107">
            <v>12.42</v>
          </cell>
          <cell r="F107" t="str">
            <v>Source: Renkow, M., C. Safley, and J.Chaffin. 1994. Cost Analysis of Yard Trimmings Composting, in Biocycle Staff (ed.s)  Composting Source Separated Organics.  Emmaus, PA. The JG Press, Inc.</v>
          </cell>
        </row>
        <row r="108">
          <cell r="C108" t="str">
            <v>$/ton output</v>
          </cell>
          <cell r="D108">
            <v>5.82</v>
          </cell>
          <cell r="E108">
            <v>27.61</v>
          </cell>
        </row>
        <row r="109">
          <cell r="C109" t="str">
            <v>Ratio, input to output</v>
          </cell>
          <cell r="D109">
            <v>2</v>
          </cell>
          <cell r="E109">
            <v>2.2230273752012879</v>
          </cell>
        </row>
        <row r="111">
          <cell r="A111" t="str">
            <v>Assumed mix of Medium Density Fiberboard and Dimensional Lumber is 10% MDF and 90% DL.</v>
          </cell>
        </row>
        <row r="114">
          <cell r="A114" t="str">
            <v>Exhibit 6-4</v>
          </cell>
        </row>
        <row r="115">
          <cell r="A115" t="str">
            <v xml:space="preserve">Estimating the Weighted Average Carbon Coefficient of the </v>
          </cell>
        </row>
        <row r="116">
          <cell r="A116" t="str">
            <v>U.S. Average Mix of Fuels Used to Generate Electricity</v>
          </cell>
        </row>
        <row r="117">
          <cell r="A117" t="str">
            <v>(Kg CO2E Emitted Per MMBtu)</v>
          </cell>
        </row>
        <row r="118">
          <cell r="L118" t="str">
            <v>Heat Rate Conversion</v>
          </cell>
          <cell r="S118" t="str">
            <v>Total Industry Electricity Cogeneration</v>
          </cell>
        </row>
        <row r="119">
          <cell r="A119" t="str">
            <v>Fuel</v>
          </cell>
          <cell r="B119" t="str">
            <v>Primary Energy Consumption* (Quads)</v>
          </cell>
          <cell r="C119" t="str">
            <v>Percentage of Generation: All Fuels (%)</v>
          </cell>
          <cell r="D119" t="str">
            <v>Percentage of Generation: Fossil Fuels (%)</v>
          </cell>
          <cell r="E119" t="str">
            <v>Carbon Coefficents**
(Kg CO2E Emitted Per Million Btu Consumed)</v>
          </cell>
          <cell r="F119" t="str">
            <v>Weighted Carbon Coefficients (Kg CO2E Per Million Btu Consumed)</v>
          </cell>
          <cell r="G119" t="str">
            <v>MTCO2E/Million Btu</v>
          </cell>
          <cell r="H119" t="str">
            <v>Fossil Fuels Percentage of Generation Out of All Fuels (%)</v>
          </cell>
          <cell r="I119" t="str">
            <v>Weighted Carbon Coefficients of Fossil Fuels Only (Kg CO2E Emitted per Million Btu Consumed)</v>
          </cell>
          <cell r="L119" t="str">
            <v>billion kwh gen</v>
          </cell>
          <cell r="M119" t="str">
            <v>Btu/kwh</v>
          </cell>
          <cell r="N119" t="str">
            <v>Fossil weighted Btu/kWh</v>
          </cell>
          <cell r="O119" t="str">
            <v>Nat Ave weighted Btu/kWh</v>
          </cell>
          <cell r="P119" t="str">
            <v>Fossil weighted Btu/kWh WITH LOSSES</v>
          </cell>
          <cell r="Q119" t="str">
            <v>Nat Ave weighted Btu/kWh WITH LOSSES</v>
          </cell>
          <cell r="R119" t="str">
            <v>Elec with Losses/Elec without Losses</v>
          </cell>
          <cell r="S119" t="str">
            <v>Fuel</v>
          </cell>
        </row>
        <row r="120">
          <cell r="H120">
            <v>0.41835699797160247</v>
          </cell>
          <cell r="I120">
            <v>61.659820031298906</v>
          </cell>
          <cell r="K120" t="str">
            <v>Coal</v>
          </cell>
          <cell r="L120">
            <v>1571.8679999999999</v>
          </cell>
          <cell r="M120">
            <v>10497.064639015491</v>
          </cell>
          <cell r="N120">
            <v>6776.2741214301877</v>
          </cell>
          <cell r="O120">
            <v>4391.520449892384</v>
          </cell>
          <cell r="P120">
            <v>7211.8262469618985</v>
          </cell>
          <cell r="Q120">
            <v>4673.7900322602982</v>
          </cell>
        </row>
        <row r="121">
          <cell r="H121">
            <v>0.22185598377281948</v>
          </cell>
          <cell r="I121">
            <v>18.150430359937403</v>
          </cell>
          <cell r="K121" t="str">
            <v>Natural Gas</v>
          </cell>
          <cell r="L121">
            <v>1029.394</v>
          </cell>
          <cell r="M121">
            <v>8500.1466882457062</v>
          </cell>
          <cell r="N121">
            <v>2909.8702473454587</v>
          </cell>
          <cell r="O121">
            <v>1885.8084057340247</v>
          </cell>
          <cell r="P121">
            <v>3096.9052091166486</v>
          </cell>
          <cell r="Q121">
            <v>2007.0207186871592</v>
          </cell>
        </row>
        <row r="122">
          <cell r="H122">
            <v>7.8600405679513183E-3</v>
          </cell>
          <cell r="I122">
            <v>0.9107563901930098</v>
          </cell>
          <cell r="K122" t="str">
            <v>Petroleum***</v>
          </cell>
          <cell r="L122">
            <v>28.332000000000001</v>
          </cell>
          <cell r="M122">
            <v>10941.691373711705</v>
          </cell>
          <cell r="N122">
            <v>132.70439459509498</v>
          </cell>
          <cell r="O122">
            <v>86.002138079376991</v>
          </cell>
          <cell r="P122">
            <v>141.23410872671477</v>
          </cell>
          <cell r="Q122">
            <v>91.530015696116379</v>
          </cell>
        </row>
        <row r="123">
          <cell r="I123" t="str">
            <v>-</v>
          </cell>
          <cell r="K123" t="str">
            <v>Nuclear</v>
          </cell>
          <cell r="L123">
            <v>797.06700000000001</v>
          </cell>
          <cell r="M123">
            <v>10450.815301599489</v>
          </cell>
          <cell r="O123">
            <v>2207.284266286099</v>
          </cell>
          <cell r="Q123">
            <v>2349.1597773126077</v>
          </cell>
        </row>
        <row r="124">
          <cell r="I124" t="str">
            <v>-</v>
          </cell>
          <cell r="K124" t="str">
            <v>Renewable</v>
          </cell>
          <cell r="L124">
            <v>504.358</v>
          </cell>
          <cell r="M124">
            <v>10429.099964707608</v>
          </cell>
          <cell r="O124">
            <v>1390.8992346440675</v>
          </cell>
          <cell r="Q124">
            <v>1480.3007416069813</v>
          </cell>
        </row>
        <row r="125">
          <cell r="I125" t="str">
            <v>-</v>
          </cell>
          <cell r="L125">
            <v>3934.9629999999997</v>
          </cell>
          <cell r="Q125">
            <v>0</v>
          </cell>
        </row>
        <row r="126">
          <cell r="H126">
            <v>0.64807302231237329</v>
          </cell>
        </row>
        <row r="129">
          <cell r="A129" t="str">
            <v>Note that totals may not add due to rounding, and more digits may be displayed than are significant.</v>
          </cell>
          <cell r="L129" t="str">
            <v>kWh source: EIA 2013. Electricity Net Generation, Table 7.2b. Retrieved from: http://www.eia.gov/totalenergy/data/monthly/pdf/sec7_6.pdf</v>
          </cell>
        </row>
        <row r="130">
          <cell r="A130" t="str">
            <v>* Source:  EIA's Annual Energy Review: 2011 "Electricity Flow," for 2011</v>
          </cell>
          <cell r="D130" t="str">
            <v>GHG Emissions per kWh</v>
          </cell>
          <cell r="E130" t="str">
            <v>Fossil Only</v>
          </cell>
          <cell r="F130" t="str">
            <v>National Average</v>
          </cell>
        </row>
        <row r="131">
          <cell r="A131" t="str">
            <v>** Values include fugitive methane emissions (weighted by the GWP of methane).</v>
          </cell>
          <cell r="E131">
            <v>0.79258735761387866</v>
          </cell>
          <cell r="F131">
            <v>0.52111777193590969</v>
          </cell>
          <cell r="G131" t="str">
            <v>kg CE/kWh</v>
          </cell>
          <cell r="N131" t="str">
            <v>MMBtu/kWh</v>
          </cell>
        </row>
        <row r="132">
          <cell r="A132" t="str">
            <v>*** Carbon coefficient based on 49% bituminous, 43% sub-bituminous; 8% lignite.</v>
          </cell>
          <cell r="E132">
            <v>2.9061536445842218</v>
          </cell>
          <cell r="F132">
            <v>1.9107651637650021</v>
          </cell>
          <cell r="G132" t="str">
            <v>kg CO2E/kWh</v>
          </cell>
          <cell r="L132" t="str">
            <v>Fossil</v>
          </cell>
          <cell r="N132">
            <v>9.8188487633707432E-3</v>
          </cell>
        </row>
        <row r="133">
          <cell r="A133" t="str">
            <v>**** The carbon coefficient for residual fuel is used as a proxy for petroleum.</v>
          </cell>
          <cell r="E133">
            <v>6.4080687863082089</v>
          </cell>
          <cell r="F133">
            <v>4.2132371861018294</v>
          </cell>
          <cell r="G133" t="str">
            <v>lbs CO2E/kWh</v>
          </cell>
          <cell r="L133" t="str">
            <v>National Ave</v>
          </cell>
          <cell r="N133">
            <v>9.9615144946359532E-3</v>
          </cell>
        </row>
        <row r="134">
          <cell r="E134">
            <v>851.74491341858788</v>
          </cell>
          <cell r="F134">
            <v>560.01323674238051</v>
          </cell>
          <cell r="G134" t="str">
            <v>kg CO2E/MMBtu</v>
          </cell>
        </row>
        <row r="138">
          <cell r="B138" t="str">
            <v>Percent of</v>
          </cell>
          <cell r="D138" t="str">
            <v>EIA National Average Emissions (2004)</v>
          </cell>
        </row>
        <row r="139">
          <cell r="B139" t="str">
            <v>Recycled</v>
          </cell>
          <cell r="D139">
            <v>2467</v>
          </cell>
          <cell r="E139" t="str">
            <v>MMTCO2</v>
          </cell>
        </row>
        <row r="140">
          <cell r="B140" t="str">
            <v>Inputs in</v>
          </cell>
          <cell r="D140">
            <v>3971</v>
          </cell>
          <cell r="E140" t="str">
            <v>billion kwh</v>
          </cell>
        </row>
        <row r="141">
          <cell r="A141" t="str">
            <v>Type of Product and</v>
          </cell>
          <cell r="B141" t="str">
            <v>"Virgin"</v>
          </cell>
          <cell r="D141">
            <v>1.369616771594057</v>
          </cell>
          <cell r="E141" t="str">
            <v>lbs CO2 per kWh</v>
          </cell>
        </row>
        <row r="142">
          <cell r="A142" t="str">
            <v>Type of Recycling</v>
          </cell>
          <cell r="B142" t="str">
            <v>Production</v>
          </cell>
          <cell r="D142" t="str">
            <v>This "top-down" calc confirms the "bottom-up" method above.</v>
          </cell>
        </row>
        <row r="143">
          <cell r="A143" t="str">
            <v>Newspaper</v>
          </cell>
          <cell r="B143">
            <v>0</v>
          </cell>
        </row>
        <row r="144">
          <cell r="A144" t="str">
            <v>Aluminum Cans</v>
          </cell>
          <cell r="B144">
            <v>0</v>
          </cell>
          <cell r="D144" t="str">
            <v>Transmission and Distribution Losses</v>
          </cell>
          <cell r="F144">
            <v>6.427604871447902E-2</v>
          </cell>
        </row>
        <row r="145">
          <cell r="A145" t="str">
            <v>Miscellaneous Durables</v>
          </cell>
          <cell r="B145">
            <v>0</v>
          </cell>
          <cell r="D145" t="str">
            <v>EIA 2015. Annualized Monthly Energy Review. Electricity Flow. Available at: http://www.eia.gov/totalenergy/data/monthly/pdf/flow/electricity.pdf</v>
          </cell>
        </row>
        <row r="146">
          <cell r="A146" t="str">
            <v>Office Paper</v>
          </cell>
          <cell r="B146">
            <v>0</v>
          </cell>
        </row>
        <row r="147">
          <cell r="A147" t="str">
            <v xml:space="preserve"> Office Paper Made from Office Paper (45%)</v>
          </cell>
          <cell r="D147" t="str">
            <v xml:space="preserve">Avoided Utility Emission Factor for Regions including transmission and distribution losses </v>
          </cell>
        </row>
        <row r="148">
          <cell r="A148" t="str">
            <v xml:space="preserve"> Tissue Paper Made from Office Paper (55%)</v>
          </cell>
        </row>
        <row r="149">
          <cell r="A149" t="str">
            <v>Steel Sheet</v>
          </cell>
          <cell r="B149">
            <v>31</v>
          </cell>
          <cell r="D149" t="str">
            <v>Emission Factor for non-baseload utility-generated electricity- National Average (kg CO2/million BTUs of electricity delivered):</v>
          </cell>
          <cell r="G149">
            <v>221.04985470168521</v>
          </cell>
        </row>
        <row r="150">
          <cell r="A150" t="str">
            <v>Steel Cans</v>
          </cell>
          <cell r="B150">
            <v>22</v>
          </cell>
          <cell r="D150" t="str">
            <v>Emission Factor for non-baseload utility-generated electricity- Pacific  (kg CO2/million BTUs of electricity delivered):</v>
          </cell>
          <cell r="G150">
            <v>151.23340139207281</v>
          </cell>
        </row>
        <row r="151">
          <cell r="A151" t="str">
            <v>Glass</v>
          </cell>
          <cell r="B151">
            <v>0</v>
          </cell>
          <cell r="D151" t="str">
            <v>Emission Factor for non-baseload utility-generated electricity- Mountain (kg CO2/million BTUs of electricity delivered):</v>
          </cell>
          <cell r="G151">
            <v>229.9196632451557</v>
          </cell>
        </row>
        <row r="152">
          <cell r="A152" t="str">
            <v>Corrugated Boxes</v>
          </cell>
          <cell r="B152">
            <v>9.8000000000000007</v>
          </cell>
          <cell r="D152" t="str">
            <v>Emission Factor for non-baseload utility-generated electricity- West North Central  (kg CO2/million BTUs of electricity delivered):</v>
          </cell>
          <cell r="G152">
            <v>294.02591650444498</v>
          </cell>
        </row>
        <row r="153">
          <cell r="A153" t="str">
            <v xml:space="preserve"> Corrugated Boxes Made from Corrugated Boxes (70%)</v>
          </cell>
          <cell r="D153" t="str">
            <v>Emission Factor for non-baseload utility-generated electricity- West South Central (kg CO2/million BTUs of electricity delivered):</v>
          </cell>
          <cell r="G153">
            <v>192.60549851189245</v>
          </cell>
        </row>
        <row r="154">
          <cell r="A154" t="str">
            <v xml:space="preserve"> Folding Boxes Made from Corrugated Boxes (30%)</v>
          </cell>
          <cell r="D154" t="str">
            <v>Emission Factor for non-baseload utility-generated electricity- East North Central (kg CO2/million BTUs of electricity delivered):</v>
          </cell>
          <cell r="G154">
            <v>265.22854722507896</v>
          </cell>
        </row>
        <row r="155">
          <cell r="A155" t="str">
            <v>LDPE</v>
          </cell>
          <cell r="B155">
            <v>0</v>
          </cell>
          <cell r="D155" t="str">
            <v>Emission Factor for non-baseload utility-generated electricity- East South Central (kg CO2/million BTUs of electricity delivered):</v>
          </cell>
          <cell r="G155">
            <v>237.15816559132435</v>
          </cell>
        </row>
        <row r="156">
          <cell r="A156" t="str">
            <v>HDPE</v>
          </cell>
          <cell r="B156">
            <v>0</v>
          </cell>
          <cell r="D156" t="str">
            <v>Emission Factor for non-baseload utility-generated electricity- New England (kg CO2/million BTUs of electricity delivered):</v>
          </cell>
          <cell r="G156">
            <v>156.19423495410302</v>
          </cell>
        </row>
        <row r="157">
          <cell r="A157" t="str">
            <v>PET</v>
          </cell>
          <cell r="B157">
            <v>0</v>
          </cell>
          <cell r="D157" t="str">
            <v>Emission Factor for non-baseload utility-generated electricity- Mid Atlantic (kg CO2/million BTUs of electricity delivered):</v>
          </cell>
          <cell r="G157">
            <v>202.77902003988859</v>
          </cell>
        </row>
        <row r="160">
          <cell r="H160" t="str">
            <v>kg CO2e/kWh output</v>
          </cell>
        </row>
        <row r="162">
          <cell r="D162" t="str">
            <v>National Average</v>
          </cell>
          <cell r="E162">
            <v>0.19247555114409401</v>
          </cell>
          <cell r="F162">
            <v>56.411357310695777</v>
          </cell>
          <cell r="G162">
            <v>9390.4037943280873</v>
          </cell>
          <cell r="H162">
            <v>0.70574368752834471</v>
          </cell>
        </row>
        <row r="163">
          <cell r="D163" t="str">
            <v>Pacific</v>
          </cell>
          <cell r="E163">
            <v>0.13168401455689033</v>
          </cell>
          <cell r="F163">
            <v>38.59437706825625</v>
          </cell>
          <cell r="G163">
            <v>7910.986620304323</v>
          </cell>
          <cell r="H163">
            <v>0.48284138670859783</v>
          </cell>
        </row>
        <row r="164">
          <cell r="D164" t="str">
            <v>Mountain</v>
          </cell>
          <cell r="E164">
            <v>0.20019879208560484</v>
          </cell>
          <cell r="F164">
            <v>58.674909755452767</v>
          </cell>
          <cell r="G164">
            <v>10083.120576137051</v>
          </cell>
          <cell r="H164">
            <v>0.73406223764721767</v>
          </cell>
        </row>
        <row r="165">
          <cell r="D165" t="str">
            <v>West North Central</v>
          </cell>
          <cell r="E165">
            <v>0.25601826522896587</v>
          </cell>
          <cell r="F165">
            <v>75.034661555968896</v>
          </cell>
          <cell r="G165">
            <v>10419.211609535763</v>
          </cell>
          <cell r="H165">
            <v>0.93873363917287478</v>
          </cell>
        </row>
        <row r="166">
          <cell r="D166" t="str">
            <v>West South Central</v>
          </cell>
          <cell r="E166">
            <v>0.16770809250017052</v>
          </cell>
          <cell r="F166">
            <v>49.152430392781511</v>
          </cell>
          <cell r="G166">
            <v>9100.7165059459039</v>
          </cell>
          <cell r="H166">
            <v>0.61492967250062525</v>
          </cell>
        </row>
        <row r="167">
          <cell r="A167" t="str">
            <v>Electronics</v>
          </cell>
          <cell r="B167">
            <v>0</v>
          </cell>
          <cell r="C167">
            <v>6</v>
          </cell>
          <cell r="D167" t="str">
            <v>East North Central</v>
          </cell>
          <cell r="E167">
            <v>0.23094342620214922</v>
          </cell>
          <cell r="F167">
            <v>67.685646600864359</v>
          </cell>
          <cell r="G167">
            <v>10117.311464071596</v>
          </cell>
          <cell r="H167">
            <v>0.84679256274121373</v>
          </cell>
        </row>
        <row r="168">
          <cell r="A168" t="str">
            <v>Clay Brick</v>
          </cell>
          <cell r="B168">
            <v>0</v>
          </cell>
          <cell r="C168">
            <v>7</v>
          </cell>
          <cell r="D168" t="str">
            <v>East South Central</v>
          </cell>
          <cell r="E168">
            <v>0.20650159979573363</v>
          </cell>
          <cell r="F168">
            <v>60.522157032747252</v>
          </cell>
          <cell r="G168">
            <v>9571.4141823840528</v>
          </cell>
          <cell r="H168">
            <v>0.75717253258435657</v>
          </cell>
        </row>
        <row r="169">
          <cell r="A169" t="str">
            <v>Aggregate</v>
          </cell>
          <cell r="B169">
            <v>0</v>
          </cell>
          <cell r="C169">
            <v>8</v>
          </cell>
          <cell r="D169" t="str">
            <v>New England</v>
          </cell>
          <cell r="E169">
            <v>0.13600357936852286</v>
          </cell>
          <cell r="F169">
            <v>39.860369099801545</v>
          </cell>
          <cell r="G169">
            <v>7794.5053893735403</v>
          </cell>
          <cell r="H169">
            <v>0.49867979101791715</v>
          </cell>
        </row>
        <row r="170">
          <cell r="A170" t="str">
            <v>Concrete</v>
          </cell>
          <cell r="C170">
            <v>9</v>
          </cell>
          <cell r="D170" t="str">
            <v>Middle Atlantic</v>
          </cell>
          <cell r="E170">
            <v>0.17656652023277394</v>
          </cell>
          <cell r="F170">
            <v>51.748687055326478</v>
          </cell>
          <cell r="G170">
            <v>9014.0941054778159</v>
          </cell>
          <cell r="H170">
            <v>0.64741057418683778</v>
          </cell>
        </row>
        <row r="171">
          <cell r="C171">
            <v>10</v>
          </cell>
          <cell r="D171" t="str">
            <v>South Atlantic</v>
          </cell>
          <cell r="E171">
            <v>0.20118027477373651</v>
          </cell>
          <cell r="F171">
            <v>58.962565877413979</v>
          </cell>
          <cell r="G171">
            <v>9151.49928732646</v>
          </cell>
          <cell r="H171">
            <v>0.73766100750370056</v>
          </cell>
        </row>
        <row r="172">
          <cell r="A172" t="str">
            <v xml:space="preserve">Mixed Recyclables </v>
          </cell>
          <cell r="D172" t="str">
            <v>US Average Grid Efficiency</v>
          </cell>
          <cell r="G172">
            <v>0.36345614893168826</v>
          </cell>
        </row>
        <row r="173">
          <cell r="A173" t="str">
            <v>Material</v>
          </cell>
          <cell r="B173" t="str">
            <v>Weight Recovered (thousand tons) in 1997</v>
          </cell>
          <cell r="C173" t="str">
            <v>Fraction of Mix by Weight Recovered</v>
          </cell>
        </row>
        <row r="174">
          <cell r="A174" t="str">
            <v>Newspaper</v>
          </cell>
          <cell r="B174">
            <v>7370</v>
          </cell>
          <cell r="C174">
            <v>0.19202709744658678</v>
          </cell>
        </row>
        <row r="175">
          <cell r="A175" t="str">
            <v>Office Paper</v>
          </cell>
          <cell r="B175">
            <v>3570</v>
          </cell>
          <cell r="C175">
            <v>9.3017196456487761E-2</v>
          </cell>
        </row>
        <row r="176">
          <cell r="A176" t="str">
            <v>Corrugated Containers</v>
          </cell>
          <cell r="B176">
            <v>20290</v>
          </cell>
          <cell r="C176">
            <v>0.52866076081292335</v>
          </cell>
        </row>
        <row r="177">
          <cell r="A177" t="str">
            <v>Aluminum Cans</v>
          </cell>
          <cell r="B177">
            <v>1030</v>
          </cell>
          <cell r="C177">
            <v>2.6836894215737362E-2</v>
          </cell>
        </row>
        <row r="178">
          <cell r="A178" t="str">
            <v>Steel Cans</v>
          </cell>
          <cell r="B178">
            <v>1730</v>
          </cell>
          <cell r="C178">
            <v>4.5075560187597709E-2</v>
          </cell>
        </row>
        <row r="179">
          <cell r="A179" t="str">
            <v>Glass</v>
          </cell>
          <cell r="B179">
            <v>2920</v>
          </cell>
          <cell r="C179">
            <v>7.6081292339760298E-2</v>
          </cell>
        </row>
        <row r="180">
          <cell r="A180" t="str">
            <v>HDPE</v>
          </cell>
          <cell r="B180">
            <v>420</v>
          </cell>
          <cell r="C180">
            <v>1.0943199583116207E-2</v>
          </cell>
        </row>
        <row r="181">
          <cell r="A181" t="str">
            <v>LDPE</v>
          </cell>
          <cell r="B181">
            <v>100</v>
          </cell>
          <cell r="C181">
            <v>2.6055237102657635E-3</v>
          </cell>
        </row>
        <row r="182">
          <cell r="A182" t="str">
            <v>PET</v>
          </cell>
          <cell r="B182">
            <v>360</v>
          </cell>
          <cell r="C182">
            <v>9.3798853569567481E-3</v>
          </cell>
        </row>
        <row r="183">
          <cell r="A183" t="str">
            <v>Wood</v>
          </cell>
          <cell r="B183">
            <v>590</v>
          </cell>
          <cell r="C183">
            <v>1.5372589890568004E-2</v>
          </cell>
        </row>
        <row r="184">
          <cell r="A184" t="str">
            <v>Total Weight Recovered</v>
          </cell>
          <cell r="B184">
            <v>38380</v>
          </cell>
          <cell r="C184">
            <v>1</v>
          </cell>
        </row>
        <row r="186">
          <cell r="A186" t="str">
            <v>Data on weight recovered from the "Characterization of Municipal Solid Waste" 1998 Update.</v>
          </cell>
        </row>
        <row r="191">
          <cell r="A191" t="str">
            <v>Assumptions  for "other" energy for concrete</v>
          </cell>
        </row>
        <row r="192">
          <cell r="B192" t="str">
            <v>million BTU/ton concrete</v>
          </cell>
          <cell r="C192" t="str">
            <v>% of total mix</v>
          </cell>
          <cell r="D192" t="str">
            <v>million BTU/ton concrete</v>
          </cell>
          <cell r="E192" t="str">
            <v>% of total mix</v>
          </cell>
        </row>
        <row r="193">
          <cell r="A193" t="str">
            <v>Concrete mix</v>
          </cell>
          <cell r="B193" t="str">
            <v>Pet. Coke</v>
          </cell>
          <cell r="D193" t="str">
            <v>Waste</v>
          </cell>
        </row>
        <row r="194">
          <cell r="A194" t="str">
            <v>Cement/Fly Ash</v>
          </cell>
          <cell r="B194">
            <v>0.83156981676500008</v>
          </cell>
          <cell r="C194">
            <v>17.445485326556572</v>
          </cell>
          <cell r="D194">
            <v>0.36514397500000007</v>
          </cell>
          <cell r="E194">
            <v>7.6603476094457887</v>
          </cell>
        </row>
        <row r="205">
          <cell r="A205" t="str">
            <v>Backing for Commercial Carpet Tiles</v>
          </cell>
          <cell r="B205">
            <v>8.3333333333333329E-2</v>
          </cell>
        </row>
        <row r="207">
          <cell r="A207" t="str">
            <v>Fate of Recycled PCs (% of recycled PCs going to each secondary product)</v>
          </cell>
          <cell r="C207" t="str">
            <v xml:space="preserve">Source: </v>
          </cell>
        </row>
        <row r="208">
          <cell r="A208" t="str">
            <v>Asphalt</v>
          </cell>
          <cell r="B208">
            <v>0.3833333333333333</v>
          </cell>
          <cell r="C208" t="str">
            <v>Franklin Associates, "Energy and Greenhouse Gas Factors for Personal Computers" August 7 2002, Figure 6 (p. 19).</v>
          </cell>
        </row>
        <row r="209">
          <cell r="A209" t="str">
            <v>Steel Sheet</v>
          </cell>
          <cell r="B209">
            <v>0.26666666666666666</v>
          </cell>
        </row>
        <row r="210">
          <cell r="A210" t="str">
            <v>Lead Bullion</v>
          </cell>
          <cell r="B210">
            <v>9.9999999999999992E-2</v>
          </cell>
        </row>
        <row r="211">
          <cell r="A211" t="str">
            <v>CRT Glass</v>
          </cell>
          <cell r="B211">
            <v>1.6666666666666666E-2</v>
          </cell>
        </row>
        <row r="212">
          <cell r="A212" t="str">
            <v>Copper Wire</v>
          </cell>
          <cell r="B212">
            <v>4.9999999999999996E-2</v>
          </cell>
        </row>
        <row r="213">
          <cell r="A213" t="str">
            <v>Aluminum Sheet</v>
          </cell>
          <cell r="B213">
            <v>0.18333333333333335</v>
          </cell>
        </row>
        <row r="214">
          <cell r="E214" t="str">
            <v>RPTA Data Calcs, December 2003</v>
          </cell>
        </row>
        <row r="215">
          <cell r="A215" t="str">
            <v>Fate of Recycled Cardboard (% of recycled OCC going to each secondary product)</v>
          </cell>
          <cell r="C215" t="str">
            <v xml:space="preserve">Source: </v>
          </cell>
          <cell r="E215" t="str">
            <v>Tonnage for Reporting Mills</v>
          </cell>
          <cell r="F215" t="str">
            <v>Percent of US Tonnage</v>
          </cell>
          <cell r="G215" t="str">
            <v>Est. Total US Tonnage</v>
          </cell>
          <cell r="H215" t="str">
            <v>Raw Stock Tonnage acct. for Losses</v>
          </cell>
          <cell r="I215" t="str">
            <v>Percent of Raw Stock that is OCC</v>
          </cell>
          <cell r="J215" t="str">
            <v>Est. Total US OCC Usage (tons)</v>
          </cell>
          <cell r="K215" t="str">
            <v>Total US OCC MSW Recovery (tons)1</v>
          </cell>
          <cell r="L215" t="str">
            <v>Percent of OCC going to boxboard</v>
          </cell>
        </row>
        <row r="216">
          <cell r="A216" t="str">
            <v>Cardboard</v>
          </cell>
          <cell r="B216">
            <v>0.75688826654461483</v>
          </cell>
          <cell r="C216" t="str">
            <v>RPTA, December 2003. (OCC use / total US recovery MSW F&amp;F 2001)</v>
          </cell>
          <cell r="E216">
            <v>4806932</v>
          </cell>
          <cell r="F216">
            <v>0.71</v>
          </cell>
          <cell r="G216">
            <v>6770326.760563381</v>
          </cell>
          <cell r="H216">
            <v>6905733</v>
          </cell>
          <cell r="I216">
            <v>0.71499999999999997</v>
          </cell>
          <cell r="J216">
            <v>4937599</v>
          </cell>
          <cell r="K216">
            <v>20310000</v>
          </cell>
          <cell r="L216">
            <v>0.24311173345538523</v>
          </cell>
        </row>
        <row r="217">
          <cell r="A217" t="str">
            <v>Boxboard</v>
          </cell>
          <cell r="B217">
            <v>0.24311173345538523</v>
          </cell>
          <cell r="E217" t="str">
            <v>1 MSW in the US: Facts and Figures 2000</v>
          </cell>
        </row>
        <row r="221">
          <cell r="A221" t="str">
            <v>Aggregate/Fly Ash/Brick Precombustion Factors</v>
          </cell>
        </row>
        <row r="222">
          <cell r="B222" t="str">
            <v>precombustion energy, %</v>
          </cell>
        </row>
        <row r="223">
          <cell r="A223" t="str">
            <v>Coal</v>
          </cell>
          <cell r="B223">
            <v>2.5500000000000002E-2</v>
          </cell>
        </row>
        <row r="224">
          <cell r="A224" t="str">
            <v>Diesel</v>
          </cell>
          <cell r="B224">
            <v>0.185</v>
          </cell>
        </row>
        <row r="225">
          <cell r="A225" t="str">
            <v>Distillate fuel oil</v>
          </cell>
          <cell r="B225">
            <v>0.185</v>
          </cell>
        </row>
        <row r="226">
          <cell r="A226" t="str">
            <v>Electricity</v>
          </cell>
          <cell r="B226">
            <v>0</v>
          </cell>
        </row>
        <row r="227">
          <cell r="A227" t="str">
            <v>Gasoline</v>
          </cell>
          <cell r="B227">
            <v>0.20499999999999999</v>
          </cell>
        </row>
        <row r="228">
          <cell r="A228" t="str">
            <v>LPG</v>
          </cell>
          <cell r="B228">
            <v>0.121</v>
          </cell>
          <cell r="C228" t="str">
            <v>ICF assumption (=natural gas)</v>
          </cell>
        </row>
        <row r="229">
          <cell r="A229" t="str">
            <v>Natural Gas</v>
          </cell>
          <cell r="B229">
            <v>0.121</v>
          </cell>
        </row>
        <row r="230">
          <cell r="A230" t="str">
            <v>Petroleum Coke</v>
          </cell>
          <cell r="B230">
            <v>0.20499999999999999</v>
          </cell>
          <cell r="C230" t="str">
            <v>ICF assumption (=gasoline)</v>
          </cell>
        </row>
        <row r="231">
          <cell r="A231" t="str">
            <v>Residual fuel oil</v>
          </cell>
          <cell r="B231">
            <v>0.17199999999999999</v>
          </cell>
        </row>
        <row r="232">
          <cell r="A232" t="str">
            <v>Waste Fuel</v>
          </cell>
          <cell r="B232">
            <v>0</v>
          </cell>
          <cell r="C232" t="str">
            <v>ICF assumption</v>
          </cell>
        </row>
        <row r="236">
          <cell r="H236" t="str">
            <v>Total</v>
          </cell>
        </row>
        <row r="237">
          <cell r="H237">
            <v>0.10416149999999999</v>
          </cell>
        </row>
        <row r="238">
          <cell r="H238">
            <v>0.10416149999999999</v>
          </cell>
        </row>
        <row r="243">
          <cell r="A243" t="str">
            <v xml:space="preserve">Demanufacturing Energy = </v>
          </cell>
          <cell r="B243">
            <v>309</v>
          </cell>
          <cell r="C243" t="str">
            <v>kj/lb</v>
          </cell>
          <cell r="E243" t="str">
            <v>Conversions</v>
          </cell>
        </row>
        <row r="244">
          <cell r="B244">
            <v>0.68121693121693105</v>
          </cell>
          <cell r="C244" t="str">
            <v>GJ/Tonne</v>
          </cell>
          <cell r="D244" t="str">
            <v>1GJ =</v>
          </cell>
          <cell r="E244">
            <v>0.94799999999999995</v>
          </cell>
          <cell r="F244" t="str">
            <v>MMBtu</v>
          </cell>
        </row>
        <row r="245">
          <cell r="B245">
            <v>0.58586015675737146</v>
          </cell>
          <cell r="C245" t="str">
            <v>MMBtu/ton</v>
          </cell>
          <cell r="D245" t="str">
            <v>1 tonne =</v>
          </cell>
          <cell r="E245">
            <v>1.1023000000000001</v>
          </cell>
          <cell r="F245" t="str">
            <v>tons</v>
          </cell>
        </row>
        <row r="246">
          <cell r="A246" t="str">
            <v xml:space="preserve">Factored by the National Average Fuel Mix for Electricity </v>
          </cell>
          <cell r="B246">
            <v>3.0648164967267015E-2</v>
          </cell>
          <cell r="C246" t="str">
            <v>MTCO2E/ton</v>
          </cell>
        </row>
        <row r="247">
          <cell r="A247" t="str">
            <v>Factored by the Loss Rate for Secondary Product Manufacturing</v>
          </cell>
          <cell r="B247">
            <v>2.3666991237826118E-2</v>
          </cell>
          <cell r="C247" t="str">
            <v>MTCO2E/ton</v>
          </cell>
        </row>
        <row r="248">
          <cell r="B248">
            <v>8.67789678720291E-2</v>
          </cell>
          <cell r="C248" t="str">
            <v>MTCO2E/ton</v>
          </cell>
        </row>
        <row r="249">
          <cell r="A249">
            <v>2204.5855379188711</v>
          </cell>
          <cell r="B249" t="str">
            <v>pounds per metric ton</v>
          </cell>
        </row>
        <row r="250">
          <cell r="A250" t="str">
            <v>Factored by the Loss Rate for Secondary Product Manufacturing</v>
          </cell>
          <cell r="B250">
            <v>0.45241035511838595</v>
          </cell>
          <cell r="C250" t="str">
            <v>MMBtu/ton</v>
          </cell>
        </row>
        <row r="253">
          <cell r="A253" t="str">
            <v>Passenger Tire Energy Requirements</v>
          </cell>
          <cell r="B253" t="str">
            <v>New</v>
          </cell>
          <cell r="C253" t="str">
            <v>Retread</v>
          </cell>
        </row>
        <row r="254">
          <cell r="A254" t="str">
            <v>Energy used to manufacture 1 passenger tire</v>
          </cell>
          <cell r="B254">
            <v>974</v>
          </cell>
          <cell r="C254">
            <v>400</v>
          </cell>
          <cell r="D254" t="str">
            <v xml:space="preserve"> MJ</v>
          </cell>
        </row>
        <row r="255">
          <cell r="A255" t="str">
            <v>Total GJ/tonne (assuming 1 Passenger Tire = 9.5 kg)</v>
          </cell>
          <cell r="B255">
            <v>102.52631578947368</v>
          </cell>
          <cell r="C255">
            <v>42.10526315789474</v>
          </cell>
          <cell r="D255" t="str">
            <v>GJ/tonne</v>
          </cell>
        </row>
        <row r="256">
          <cell r="A256" t="str">
            <v>Total MMBtu/ton (assuming 1 Passenger Tire = 9.5 kg)</v>
          </cell>
          <cell r="B256">
            <v>88.17467782674504</v>
          </cell>
          <cell r="C256">
            <v>36.211366663961002</v>
          </cell>
          <cell r="D256" t="str">
            <v>MMbtu/ton</v>
          </cell>
        </row>
        <row r="257">
          <cell r="A257" t="str">
            <v>Source: From Atech Group, A National Approach to Waste Tyres. Prepared for Environment Australia, June 2001.</v>
          </cell>
        </row>
        <row r="260">
          <cell r="A260" t="str">
            <v>Fuel Mix Distribution for Synthetic Rubber Products Manufacturing</v>
          </cell>
        </row>
        <row r="261">
          <cell r="B261" t="str">
            <v>Energy (TBtu)</v>
          </cell>
          <cell r="C261" t="str">
            <v>% Distribution</v>
          </cell>
        </row>
        <row r="262">
          <cell r="A262" t="str">
            <v>Total (Tbtu)</v>
          </cell>
          <cell r="B262">
            <v>52</v>
          </cell>
        </row>
        <row r="263">
          <cell r="A263" t="str">
            <v>Net Electricity</v>
          </cell>
          <cell r="B263">
            <v>6</v>
          </cell>
          <cell r="C263">
            <v>0.11538461538461539</v>
          </cell>
        </row>
        <row r="264">
          <cell r="A264" t="str">
            <v>Residual Fuel Oil</v>
          </cell>
          <cell r="B264" t="str">
            <v>*</v>
          </cell>
          <cell r="C264">
            <v>4.7999999999999996E-3</v>
          </cell>
        </row>
        <row r="265">
          <cell r="A265" t="str">
            <v>Distillate Fuel Oil</v>
          </cell>
          <cell r="B265" t="str">
            <v>*</v>
          </cell>
          <cell r="C265">
            <v>4.7999999999999996E-3</v>
          </cell>
        </row>
        <row r="266">
          <cell r="A266" t="str">
            <v>Natural Gas</v>
          </cell>
          <cell r="B266">
            <v>28</v>
          </cell>
          <cell r="C266">
            <v>0.53846153846153844</v>
          </cell>
        </row>
        <row r="267">
          <cell r="A267" t="str">
            <v>LPG and NGL</v>
          </cell>
          <cell r="B267" t="str">
            <v>*</v>
          </cell>
          <cell r="C267">
            <v>4.7999999999999996E-3</v>
          </cell>
        </row>
        <row r="268">
          <cell r="A268" t="str">
            <v>Coal</v>
          </cell>
          <cell r="B268">
            <v>5</v>
          </cell>
          <cell r="C268">
            <v>9.6153846153846159E-2</v>
          </cell>
        </row>
        <row r="269">
          <cell r="A269" t="str">
            <v>Other</v>
          </cell>
          <cell r="B269">
            <v>12</v>
          </cell>
          <cell r="C269">
            <v>0.23076923076923078</v>
          </cell>
        </row>
        <row r="270">
          <cell r="A270" t="str">
            <v>Source: Energy Information Administration, Manufacturing Energy Consumption Survey, Table 3.2  :Fuel Consumption, 2002 for Synthetic Rubber</v>
          </cell>
        </row>
        <row r="271">
          <cell r="A271" t="str">
            <v>* Assumes less than 0.5 Tbtu.</v>
          </cell>
        </row>
        <row r="281">
          <cell r="A281" t="str">
            <v>Paper Manufacturing (Tbtu)</v>
          </cell>
          <cell r="C281" t="str">
            <v>Percent of Total</v>
          </cell>
          <cell r="D281" t="str">
            <v>Weighted Average for Natural Gas, Coal, and Biomass</v>
          </cell>
        </row>
        <row r="282">
          <cell r="A282" t="str">
            <v>Total</v>
          </cell>
          <cell r="B282">
            <v>2361</v>
          </cell>
        </row>
        <row r="283">
          <cell r="A283" t="str">
            <v>Electricity</v>
          </cell>
          <cell r="B283">
            <v>223</v>
          </cell>
          <cell r="C283">
            <v>9.445150360016942E-2</v>
          </cell>
        </row>
        <row r="284">
          <cell r="A284" t="str">
            <v>Residual Fuel Oil</v>
          </cell>
          <cell r="B284">
            <v>100</v>
          </cell>
          <cell r="C284">
            <v>4.2354934349851756E-2</v>
          </cell>
        </row>
        <row r="285">
          <cell r="A285" t="str">
            <v>Distillate Fuel Oil</v>
          </cell>
          <cell r="B285">
            <v>13</v>
          </cell>
          <cell r="C285">
            <v>5.5061414654807286E-3</v>
          </cell>
        </row>
        <row r="286">
          <cell r="A286" t="str">
            <v>Natural Gas</v>
          </cell>
          <cell r="B286">
            <v>504</v>
          </cell>
          <cell r="C286">
            <v>0.21346886912325286</v>
          </cell>
          <cell r="D286">
            <v>0.25024826216484608</v>
          </cell>
        </row>
        <row r="287">
          <cell r="A287" t="str">
            <v>LPG and NGL</v>
          </cell>
          <cell r="B287">
            <v>6</v>
          </cell>
          <cell r="C287">
            <v>2.5412960609911056E-3</v>
          </cell>
        </row>
        <row r="288">
          <cell r="A288" t="str">
            <v>Coal</v>
          </cell>
          <cell r="B288">
            <v>234</v>
          </cell>
          <cell r="C288">
            <v>9.9110546378653117E-2</v>
          </cell>
          <cell r="D288">
            <v>0.11618669314796426</v>
          </cell>
        </row>
        <row r="289">
          <cell r="A289" t="str">
            <v>Coke and Breeze</v>
          </cell>
          <cell r="B289">
            <v>4</v>
          </cell>
          <cell r="C289">
            <v>1.6941973739940702E-3</v>
          </cell>
        </row>
        <row r="290">
          <cell r="A290" t="str">
            <v>Other (Assume Biomass)</v>
          </cell>
          <cell r="B290">
            <v>1276</v>
          </cell>
          <cell r="C290">
            <v>0.54044896230410844</v>
          </cell>
          <cell r="D290">
            <v>0.63356504468718966</v>
          </cell>
        </row>
        <row r="291">
          <cell r="A291" t="str">
            <v>Source: Energy Information Administration, Manufacturing Energy Consumption Survey, Table 3.2  :Fuel Consumption, 2002 for Paper</v>
          </cell>
        </row>
        <row r="294">
          <cell r="A294" t="str">
            <v>Scrap Tire Proportions (by weight)</v>
          </cell>
        </row>
        <row r="295">
          <cell r="A295" t="str">
            <v>Rubber</v>
          </cell>
          <cell r="B295">
            <v>0.7</v>
          </cell>
        </row>
        <row r="296">
          <cell r="A296" t="str">
            <v>Steel</v>
          </cell>
          <cell r="B296">
            <v>0.15</v>
          </cell>
        </row>
        <row r="297">
          <cell r="A297" t="str">
            <v>Fiber</v>
          </cell>
          <cell r="B297">
            <v>0.15</v>
          </cell>
        </row>
        <row r="298">
          <cell r="A298" t="str">
            <v>Source: NIST MEP Environemtnal Program, Best Practices in Scrap Tires &amp; Rubber Recycling, The Recycling Technology Assistance Partnership, June 1997, p. 89.</v>
          </cell>
        </row>
        <row r="300">
          <cell r="A300" t="str">
            <v>Tire Energy Content</v>
          </cell>
          <cell r="D300" t="str">
            <v>Tire Energy Content</v>
          </cell>
        </row>
        <row r="301">
          <cell r="A301" t="str">
            <v>DESCRIPTION</v>
          </cell>
          <cell r="B301" t="str">
            <v>VALUE</v>
          </cell>
          <cell r="D301">
            <v>15500</v>
          </cell>
          <cell r="E301" t="str">
            <v>Btu/lb</v>
          </cell>
        </row>
        <row r="302">
          <cell r="A302" t="str">
            <v>Energy content (GJ / metric ton)</v>
          </cell>
          <cell r="B302">
            <v>27</v>
          </cell>
          <cell r="D302">
            <v>34140.969162995592</v>
          </cell>
          <cell r="E302" t="str">
            <v>Btu/kg</v>
          </cell>
        </row>
        <row r="303">
          <cell r="A303" t="str">
            <v>Energy content (MMBtu/kg)</v>
          </cell>
          <cell r="B303">
            <v>25.596</v>
          </cell>
          <cell r="D303">
            <v>324339.20704845811</v>
          </cell>
          <cell r="E303" t="str">
            <v>Btu/Tire</v>
          </cell>
        </row>
        <row r="304">
          <cell r="A304" t="str">
            <v>Energy content (MMbtu/short ton)</v>
          </cell>
          <cell r="B304">
            <v>23.220538873264989</v>
          </cell>
          <cell r="D304">
            <v>29.423859842915544</v>
          </cell>
          <cell r="E304" t="str">
            <v>MMBtu/ton</v>
          </cell>
        </row>
        <row r="306">
          <cell r="A306" t="str">
            <v>TDF End-Use</v>
          </cell>
          <cell r="B306" t="str">
            <v>Number of Tires (millions)</v>
          </cell>
          <cell r="C306" t="str">
            <v>Weighted percent of total (for Combustion)</v>
          </cell>
        </row>
        <row r="307">
          <cell r="A307" t="str">
            <v>Cement Kilns</v>
          </cell>
          <cell r="B307">
            <v>58</v>
          </cell>
          <cell r="C307">
            <v>0.46774193548387094</v>
          </cell>
        </row>
        <row r="308">
          <cell r="A308" t="str">
            <v>Pulp and paper Mills</v>
          </cell>
          <cell r="B308">
            <v>39</v>
          </cell>
          <cell r="C308">
            <v>0.31451612903225806</v>
          </cell>
        </row>
        <row r="309">
          <cell r="A309" t="str">
            <v>Utility Boilers</v>
          </cell>
          <cell r="B309">
            <v>27</v>
          </cell>
          <cell r="C309">
            <v>0.21774193548387097</v>
          </cell>
        </row>
        <row r="319">
          <cell r="A319" t="str">
            <v>Energy Factors for Various Fuels: 2003</v>
          </cell>
        </row>
        <row r="322">
          <cell r="A322" t="str">
            <v>Mobile Sources</v>
          </cell>
          <cell r="B322" t="str">
            <v>unit</v>
          </cell>
          <cell r="C322" t="str">
            <v>Pre-Combustion energy (million BTU)</v>
          </cell>
          <cell r="D322" t="str">
            <v>Combustion Energy (million BTU)</v>
          </cell>
          <cell r="E322" t="str">
            <v>Total Energy (million BTU)</v>
          </cell>
          <cell r="G322" t="str">
            <v>unit</v>
          </cell>
          <cell r="H322" t="str">
            <v>Pre-Combustion energy (million BTU)</v>
          </cell>
          <cell r="I322" t="str">
            <v>Combustion Energy (million BTU)</v>
          </cell>
          <cell r="J322" t="str">
            <v>Total Energy (million BTU)</v>
          </cell>
        </row>
        <row r="323">
          <cell r="A323" t="str">
            <v xml:space="preserve">Diesel </v>
          </cell>
          <cell r="B323" t="str">
            <v>1000 gallons</v>
          </cell>
          <cell r="C323">
            <v>20.100000000000001</v>
          </cell>
          <cell r="D323">
            <v>139</v>
          </cell>
          <cell r="E323">
            <v>159.1</v>
          </cell>
          <cell r="G323" t="str">
            <v>1000 liters</v>
          </cell>
          <cell r="H323">
            <v>5.3098582580096485</v>
          </cell>
          <cell r="I323">
            <v>36.719915316584128</v>
          </cell>
          <cell r="J323">
            <v>42.029773574593776</v>
          </cell>
        </row>
        <row r="324">
          <cell r="A324" t="str">
            <v>Gasoline</v>
          </cell>
          <cell r="B324" t="str">
            <v>1000 gallons</v>
          </cell>
          <cell r="C324">
            <v>17.100000000000001</v>
          </cell>
          <cell r="D324">
            <v>125</v>
          </cell>
          <cell r="E324">
            <v>142.1</v>
          </cell>
          <cell r="G324" t="str">
            <v>1000 liters</v>
          </cell>
          <cell r="H324">
            <v>4.5173421000977605</v>
          </cell>
          <cell r="I324">
            <v>33.021506579661988</v>
          </cell>
          <cell r="J324">
            <v>37.538848679759752</v>
          </cell>
        </row>
        <row r="325">
          <cell r="A325" t="str">
            <v>Residual fuel oil</v>
          </cell>
          <cell r="B325" t="str">
            <v>1000 gallons</v>
          </cell>
          <cell r="C325">
            <v>21.9</v>
          </cell>
          <cell r="D325">
            <v>150</v>
          </cell>
          <cell r="E325">
            <v>171.9</v>
          </cell>
          <cell r="G325" t="str">
            <v>1000 liters</v>
          </cell>
          <cell r="H325">
            <v>5.7853679527567801</v>
          </cell>
          <cell r="I325">
            <v>39.625807895594384</v>
          </cell>
          <cell r="J325">
            <v>45.411175848351164</v>
          </cell>
        </row>
        <row r="326">
          <cell r="A326" t="str">
            <v>Jet fuel (Kerosene)</v>
          </cell>
          <cell r="B326" t="str">
            <v>1000 gallons</v>
          </cell>
          <cell r="C326">
            <v>18.7</v>
          </cell>
          <cell r="D326">
            <v>135</v>
          </cell>
          <cell r="E326">
            <v>153.69999999999999</v>
          </cell>
          <cell r="G326" t="str">
            <v>1000 liters</v>
          </cell>
          <cell r="H326">
            <v>4.9400173843174331</v>
          </cell>
          <cell r="I326">
            <v>35.663227106034945</v>
          </cell>
          <cell r="J326">
            <v>40.603244490352381</v>
          </cell>
        </row>
        <row r="328">
          <cell r="A328" t="str">
            <v>Industrial Heating</v>
          </cell>
        </row>
        <row r="329">
          <cell r="A329" t="str">
            <v>Anthracite Coal</v>
          </cell>
          <cell r="B329" t="str">
            <v>1000 pounds</v>
          </cell>
          <cell r="C329">
            <v>0.33</v>
          </cell>
          <cell r="D329">
            <v>12.4</v>
          </cell>
          <cell r="E329">
            <v>12.73</v>
          </cell>
          <cell r="G329" t="str">
            <v>1000 kg</v>
          </cell>
          <cell r="H329">
            <v>0.72752546521009598</v>
          </cell>
          <cell r="I329">
            <v>27.337320510924819</v>
          </cell>
          <cell r="J329">
            <v>28.064845976134915</v>
          </cell>
        </row>
        <row r="330">
          <cell r="A330" t="str">
            <v>Bit/Subbit Coal</v>
          </cell>
          <cell r="B330" t="str">
            <v>1000 pounds</v>
          </cell>
          <cell r="C330">
            <v>0.53</v>
          </cell>
          <cell r="D330">
            <v>10.7</v>
          </cell>
          <cell r="E330">
            <v>11.229999999999999</v>
          </cell>
          <cell r="G330" t="str">
            <v>1000 kg</v>
          </cell>
          <cell r="H330">
            <v>1.1684499895798512</v>
          </cell>
          <cell r="I330">
            <v>23.589462053781897</v>
          </cell>
          <cell r="J330">
            <v>24.757912043361749</v>
          </cell>
        </row>
        <row r="331">
          <cell r="A331" t="str">
            <v>Lignite Coal</v>
          </cell>
          <cell r="B331" t="str">
            <v>1000 pounds</v>
          </cell>
          <cell r="C331">
            <v>0.59</v>
          </cell>
          <cell r="D331">
            <v>6.46</v>
          </cell>
          <cell r="E331">
            <v>7.05</v>
          </cell>
          <cell r="G331" t="str">
            <v>1000 kg</v>
          </cell>
          <cell r="H331">
            <v>1.3007273468907776</v>
          </cell>
          <cell r="I331">
            <v>14.241862137143091</v>
          </cell>
          <cell r="J331">
            <v>15.542589484033869</v>
          </cell>
        </row>
        <row r="332">
          <cell r="A332" t="str">
            <v>Diesel</v>
          </cell>
          <cell r="B332" t="str">
            <v>1000 gallons</v>
          </cell>
          <cell r="C332">
            <v>20.100000000000001</v>
          </cell>
          <cell r="D332">
            <v>139</v>
          </cell>
          <cell r="E332">
            <v>159.1</v>
          </cell>
          <cell r="G332" t="str">
            <v>1000 liters</v>
          </cell>
          <cell r="H332">
            <v>5.3098582580096485</v>
          </cell>
          <cell r="I332">
            <v>36.719915316584128</v>
          </cell>
          <cell r="J332">
            <v>42.029773574593776</v>
          </cell>
        </row>
        <row r="333">
          <cell r="A333" t="str">
            <v>Distillate fuel oil</v>
          </cell>
          <cell r="B333" t="str">
            <v>1000 gallons</v>
          </cell>
          <cell r="C333">
            <v>20.100000000000001</v>
          </cell>
          <cell r="D333">
            <v>139</v>
          </cell>
          <cell r="E333">
            <v>159.1</v>
          </cell>
          <cell r="G333" t="str">
            <v>1000 liters</v>
          </cell>
          <cell r="H333">
            <v>5.3098582580096485</v>
          </cell>
          <cell r="I333">
            <v>36.719915316584128</v>
          </cell>
          <cell r="J333">
            <v>42.029773574593776</v>
          </cell>
        </row>
        <row r="334">
          <cell r="A334" t="str">
            <v>Gasoline</v>
          </cell>
          <cell r="B334" t="str">
            <v>1000 gallons</v>
          </cell>
          <cell r="C334">
            <v>17.100000000000001</v>
          </cell>
          <cell r="D334">
            <v>125</v>
          </cell>
          <cell r="E334">
            <v>142.1</v>
          </cell>
          <cell r="G334" t="str">
            <v>1000 liters</v>
          </cell>
          <cell r="H334">
            <v>4.5173421000977605</v>
          </cell>
          <cell r="I334">
            <v>33.021506579661988</v>
          </cell>
          <cell r="J334">
            <v>37.538848679759752</v>
          </cell>
        </row>
        <row r="335">
          <cell r="A335" t="str">
            <v>LPG</v>
          </cell>
          <cell r="B335" t="str">
            <v>1000 gallons</v>
          </cell>
          <cell r="C335">
            <v>12.6</v>
          </cell>
          <cell r="D335">
            <v>95.5</v>
          </cell>
          <cell r="E335">
            <v>108.1</v>
          </cell>
          <cell r="G335" t="str">
            <v>1000 liters</v>
          </cell>
          <cell r="H335">
            <v>3.3285678632299285</v>
          </cell>
          <cell r="I335">
            <v>25.22843102686176</v>
          </cell>
          <cell r="J335">
            <v>28.556998890091688</v>
          </cell>
        </row>
        <row r="336">
          <cell r="A336" t="str">
            <v>Natural gas</v>
          </cell>
          <cell r="B336" t="str">
            <v>1000 cu ft</v>
          </cell>
          <cell r="C336">
            <v>8.8999999999999996E-2</v>
          </cell>
          <cell r="D336">
            <v>1.03</v>
          </cell>
          <cell r="E336">
            <v>1.119</v>
          </cell>
          <cell r="G336" t="str">
            <v>1000 cu meters</v>
          </cell>
          <cell r="H336">
            <v>3.143005337324531</v>
          </cell>
          <cell r="I336">
            <v>36.374106712856936</v>
          </cell>
          <cell r="J336">
            <v>39.517112050181467</v>
          </cell>
        </row>
        <row r="337">
          <cell r="A337" t="str">
            <v>Residual fuel oil</v>
          </cell>
          <cell r="B337" t="str">
            <v>1000 gallons</v>
          </cell>
          <cell r="C337">
            <v>21.9</v>
          </cell>
          <cell r="D337">
            <v>150</v>
          </cell>
          <cell r="E337">
            <v>171.9</v>
          </cell>
          <cell r="G337" t="str">
            <v>1000 liters</v>
          </cell>
          <cell r="H337">
            <v>5.7853679527567801</v>
          </cell>
          <cell r="I337">
            <v>39.625807895594384</v>
          </cell>
          <cell r="J337">
            <v>45.411175848351164</v>
          </cell>
        </row>
        <row r="339">
          <cell r="A339" t="str">
            <v>Utility Heating</v>
          </cell>
        </row>
        <row r="340">
          <cell r="A340" t="str">
            <v>Anthracite Coal</v>
          </cell>
          <cell r="B340" t="str">
            <v>1000 pounds</v>
          </cell>
          <cell r="C340">
            <v>0.33</v>
          </cell>
          <cell r="D340">
            <v>12.4</v>
          </cell>
          <cell r="E340">
            <v>12.73</v>
          </cell>
          <cell r="G340" t="str">
            <v>1000 kg</v>
          </cell>
          <cell r="H340">
            <v>0.72752546521009598</v>
          </cell>
          <cell r="I340">
            <v>27.337320510924819</v>
          </cell>
          <cell r="J340">
            <v>28.064845976134915</v>
          </cell>
        </row>
        <row r="341">
          <cell r="A341" t="str">
            <v>Bit/Subbit Coal</v>
          </cell>
          <cell r="B341" t="str">
            <v>1000 pounds</v>
          </cell>
          <cell r="C341">
            <v>0.53</v>
          </cell>
          <cell r="D341">
            <v>10.7</v>
          </cell>
          <cell r="E341">
            <v>11.229999999999999</v>
          </cell>
          <cell r="G341" t="str">
            <v>1000 kg</v>
          </cell>
          <cell r="H341">
            <v>1.1684499895798512</v>
          </cell>
          <cell r="I341">
            <v>23.589462053781897</v>
          </cell>
          <cell r="J341">
            <v>24.757912043361749</v>
          </cell>
        </row>
        <row r="342">
          <cell r="A342" t="str">
            <v>Lignite Coal</v>
          </cell>
          <cell r="B342" t="str">
            <v>1000 pounds</v>
          </cell>
          <cell r="C342">
            <v>0.59</v>
          </cell>
          <cell r="D342">
            <v>6.46</v>
          </cell>
          <cell r="E342">
            <v>7.05</v>
          </cell>
          <cell r="G342" t="str">
            <v>1000 kg</v>
          </cell>
          <cell r="H342">
            <v>1.3007273468907776</v>
          </cell>
          <cell r="I342">
            <v>14.241862137143091</v>
          </cell>
          <cell r="J342">
            <v>15.542589484033869</v>
          </cell>
        </row>
        <row r="343">
          <cell r="A343" t="str">
            <v>Natural gas</v>
          </cell>
          <cell r="B343" t="str">
            <v>1000 cu ft</v>
          </cell>
          <cell r="C343">
            <v>8.8999999999999996E-2</v>
          </cell>
          <cell r="D343">
            <v>1.02</v>
          </cell>
          <cell r="E343">
            <v>1.109</v>
          </cell>
          <cell r="G343" t="str">
            <v>1000 cu meters</v>
          </cell>
          <cell r="H343">
            <v>3.143005337324531</v>
          </cell>
          <cell r="I343">
            <v>36.020960045741816</v>
          </cell>
          <cell r="J343">
            <v>39.163965383066348</v>
          </cell>
        </row>
        <row r="344">
          <cell r="A344" t="str">
            <v>Residual fuel oil</v>
          </cell>
          <cell r="B344" t="str">
            <v>1000 gallons</v>
          </cell>
          <cell r="C344">
            <v>21.9</v>
          </cell>
          <cell r="D344">
            <v>150</v>
          </cell>
          <cell r="E344">
            <v>171.9</v>
          </cell>
          <cell r="G344" t="str">
            <v>1000 liters</v>
          </cell>
          <cell r="H344">
            <v>5.7853679527567801</v>
          </cell>
          <cell r="I344">
            <v>39.625807895594384</v>
          </cell>
          <cell r="J344">
            <v>45.411175848351164</v>
          </cell>
        </row>
        <row r="345">
          <cell r="A345" t="str">
            <v>Distillate fuel oil</v>
          </cell>
          <cell r="B345" t="str">
            <v>1000 gallons</v>
          </cell>
          <cell r="C345">
            <v>20.100000000000001</v>
          </cell>
          <cell r="D345">
            <v>139</v>
          </cell>
          <cell r="E345">
            <v>159.1</v>
          </cell>
          <cell r="G345" t="str">
            <v>1000 liters</v>
          </cell>
          <cell r="H345">
            <v>5.3098582580096485</v>
          </cell>
          <cell r="I345">
            <v>36.719915316584128</v>
          </cell>
          <cell r="J345">
            <v>42.029773574593776</v>
          </cell>
        </row>
        <row r="346">
          <cell r="A346" t="str">
            <v>Fuel grade uranium</v>
          </cell>
          <cell r="B346" t="str">
            <v>1000 gallons</v>
          </cell>
          <cell r="C346">
            <v>20400</v>
          </cell>
          <cell r="D346">
            <v>985320</v>
          </cell>
          <cell r="E346">
            <v>1005720</v>
          </cell>
          <cell r="G346" t="str">
            <v>1000 liters</v>
          </cell>
          <cell r="H346">
            <v>5389.1098738008368</v>
          </cell>
          <cell r="I346">
            <v>260294.0069045804</v>
          </cell>
          <cell r="J346">
            <v>265683.11677838123</v>
          </cell>
        </row>
        <row r="357">
          <cell r="A357" t="str">
            <v>lbs/gallons</v>
          </cell>
          <cell r="B357">
            <v>8</v>
          </cell>
          <cell r="D357">
            <v>1</v>
          </cell>
          <cell r="F357">
            <v>3.78541178</v>
          </cell>
        </row>
        <row r="358">
          <cell r="A358" t="str">
            <v>gallons/tons</v>
          </cell>
          <cell r="B358">
            <v>250</v>
          </cell>
          <cell r="D358" t="str">
            <v>pounds</v>
          </cell>
          <cell r="E358" t="str">
            <v>=</v>
          </cell>
          <cell r="F358" t="str">
            <v>kg</v>
          </cell>
        </row>
        <row r="359">
          <cell r="A359" t="str">
            <v>metric ton/short ton</v>
          </cell>
          <cell r="B359">
            <v>0.90718474000000004</v>
          </cell>
          <cell r="D359">
            <v>1</v>
          </cell>
          <cell r="F359">
            <v>0.45359237000000002</v>
          </cell>
        </row>
        <row r="360">
          <cell r="A360" t="str">
            <v>thousand btu/million btu</v>
          </cell>
          <cell r="B360">
            <v>1000</v>
          </cell>
          <cell r="D360" t="str">
            <v>cu ft</v>
          </cell>
          <cell r="E360" t="str">
            <v>=</v>
          </cell>
          <cell r="F360" t="str">
            <v>cu meters</v>
          </cell>
        </row>
        <row r="361">
          <cell r="A361" t="str">
            <v>btu to Mmbtu</v>
          </cell>
          <cell r="B361">
            <v>9.9999999999999995E-7</v>
          </cell>
          <cell r="D361">
            <v>1</v>
          </cell>
          <cell r="F361">
            <v>2.8316846600000001E-2</v>
          </cell>
        </row>
        <row r="362">
          <cell r="A362" t="str">
            <v>joule/MJ</v>
          </cell>
          <cell r="B362">
            <v>1000000</v>
          </cell>
        </row>
        <row r="363">
          <cell r="A363" t="str">
            <v>btu/joule</v>
          </cell>
          <cell r="B363">
            <v>9.4781712266701337E-4</v>
          </cell>
        </row>
        <row r="364">
          <cell r="A364" t="str">
            <v>thousand btu/btu</v>
          </cell>
          <cell r="B364">
            <v>1E-3</v>
          </cell>
          <cell r="D364" t="str">
            <v>Fuel Types</v>
          </cell>
          <cell r="E364" t="str">
            <v>Heating Value (Btu/Gal)</v>
          </cell>
        </row>
        <row r="365">
          <cell r="A365" t="str">
            <v>million btu/MJ</v>
          </cell>
          <cell r="B365">
            <v>9.4781712266701337E-4</v>
          </cell>
          <cell r="D365" t="str">
            <v>Diesel</v>
          </cell>
          <cell r="E365">
            <v>140000</v>
          </cell>
        </row>
        <row r="366">
          <cell r="A366" t="str">
            <v>thousand btu/MJ</v>
          </cell>
          <cell r="B366">
            <v>0.94781712266701335</v>
          </cell>
          <cell r="D366" t="str">
            <v>Distillate Oil</v>
          </cell>
          <cell r="E366">
            <v>140000</v>
          </cell>
        </row>
        <row r="367">
          <cell r="A367" t="str">
            <v>btu/MJ</v>
          </cell>
          <cell r="B367">
            <v>947.81712266701334</v>
          </cell>
          <cell r="D367" t="str">
            <v>Residual Oil</v>
          </cell>
          <cell r="E367">
            <v>150000</v>
          </cell>
        </row>
        <row r="368">
          <cell r="A368" t="str">
            <v>btu/kwh</v>
          </cell>
          <cell r="B368">
            <v>3413</v>
          </cell>
          <cell r="D368" t="str">
            <v>Gasoline</v>
          </cell>
          <cell r="E368">
            <v>121000</v>
          </cell>
        </row>
        <row r="369">
          <cell r="A369" t="str">
            <v>kwh/MJ</v>
          </cell>
          <cell r="B369">
            <v>0.27770791757017677</v>
          </cell>
          <cell r="D369" t="str">
            <v>LPG</v>
          </cell>
          <cell r="E369">
            <v>95000</v>
          </cell>
        </row>
        <row r="370">
          <cell r="A370" t="str">
            <v>kwh/btu</v>
          </cell>
          <cell r="B370">
            <v>2.9299736302373279E-4</v>
          </cell>
          <cell r="D370" t="str">
            <v>Water (Diesel/Residual Oil)</v>
          </cell>
          <cell r="E370">
            <v>145000</v>
          </cell>
        </row>
        <row r="371">
          <cell r="A371" t="str">
            <v>pounds to kg</v>
          </cell>
          <cell r="B371">
            <v>0.4536</v>
          </cell>
        </row>
        <row r="372">
          <cell r="A372" t="str">
            <v>barrels_gallons</v>
          </cell>
          <cell r="B372">
            <v>42</v>
          </cell>
        </row>
        <row r="373">
          <cell r="A373" t="str">
            <v>lbs/tons</v>
          </cell>
          <cell r="B373">
            <v>2000</v>
          </cell>
          <cell r="D373" t="str">
            <v xml:space="preserve">Pre-Combustion Scale up Factors </v>
          </cell>
        </row>
        <row r="374">
          <cell r="A374" t="str">
            <v>liters/gal</v>
          </cell>
          <cell r="B374">
            <v>3.7854117891320316</v>
          </cell>
          <cell r="D374" t="str">
            <v>Fuel</v>
          </cell>
          <cell r="E374" t="str">
            <v>Scale up Factor</v>
          </cell>
        </row>
        <row r="375">
          <cell r="A375" t="str">
            <v>gallons/ton-mile, truck</v>
          </cell>
          <cell r="B375">
            <v>9.1667702200000003E-3</v>
          </cell>
          <cell r="D375" t="str">
            <v>Diesel</v>
          </cell>
          <cell r="E375">
            <v>1.1850000000000001</v>
          </cell>
        </row>
        <row r="376">
          <cell r="A376" t="str">
            <v>MJ/GJ</v>
          </cell>
          <cell r="B376">
            <v>1000</v>
          </cell>
          <cell r="D376" t="str">
            <v>Distillate Oil</v>
          </cell>
          <cell r="E376">
            <v>1.1850000000000001</v>
          </cell>
        </row>
        <row r="377">
          <cell r="A377" t="str">
            <v>NG conversion (m3/metric ton)</v>
          </cell>
          <cell r="B377">
            <v>1357</v>
          </cell>
          <cell r="D377" t="str">
            <v>Residual Oil</v>
          </cell>
          <cell r="E377">
            <v>1.1719999999999999</v>
          </cell>
        </row>
        <row r="378">
          <cell r="A378" t="str">
            <v>kg / short ton</v>
          </cell>
          <cell r="B378">
            <v>907.18474000000003</v>
          </cell>
          <cell r="D378" t="str">
            <v>Gasoline</v>
          </cell>
          <cell r="E378">
            <v>1.2050000000000001</v>
          </cell>
        </row>
        <row r="379">
          <cell r="A379" t="str">
            <v>cubic meters / cubic feet</v>
          </cell>
          <cell r="B379">
            <v>2.8316846600000001E-2</v>
          </cell>
          <cell r="D379" t="str">
            <v>LPG</v>
          </cell>
          <cell r="E379">
            <v>1.121</v>
          </cell>
        </row>
        <row r="380">
          <cell r="A380" t="str">
            <v>miles/km</v>
          </cell>
          <cell r="B380">
            <v>0.62137119223733395</v>
          </cell>
          <cell r="D380" t="str">
            <v>Water (Diesel/Residual Oil)</v>
          </cell>
          <cell r="E380">
            <v>1.1785000000000001</v>
          </cell>
        </row>
        <row r="381">
          <cell r="A381" t="str">
            <v>kg/lb</v>
          </cell>
          <cell r="B381">
            <v>0.45400000000000001</v>
          </cell>
        </row>
        <row r="382">
          <cell r="A382" t="str">
            <v>gasoline density (kg/l)</v>
          </cell>
          <cell r="B382">
            <v>0.73</v>
          </cell>
        </row>
        <row r="383">
          <cell r="A383" t="str">
            <v>kg/metric ton</v>
          </cell>
          <cell r="B383">
            <v>1000</v>
          </cell>
          <cell r="D383" t="str">
            <v>Natural gas density (m3/kg)</v>
          </cell>
          <cell r="E383">
            <v>1.357</v>
          </cell>
        </row>
        <row r="384">
          <cell r="A384" t="str">
            <v>cubic meters / cubic yard</v>
          </cell>
          <cell r="B384">
            <v>1.3080000000000001</v>
          </cell>
          <cell r="D384" t="str">
            <v>Source: Franklin Associates (2011) Cradle-to-Gate Life Cycle Inventory of Nine Plastic Resins and Four Polyurethane Precursores.  From LCI data sheets; cited as the conversion used in:  "SS_Ethylene Production.xls", Flow info tab, cell O11 from the plasti</v>
          </cell>
        </row>
        <row r="385">
          <cell r="A385" t="str">
            <v>carbon equivalent to carbon dioxide equivalent</v>
          </cell>
          <cell r="B385">
            <v>3.6666666666666665</v>
          </cell>
        </row>
      </sheetData>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 Savings by Material"/>
      <sheetName val="Conversion Factors"/>
      <sheetName val="Savings Summary"/>
      <sheetName val="2000 Natl Rec"/>
      <sheetName val="Increased Recovery"/>
      <sheetName val="Alt Energy Factors"/>
      <sheetName val="CA Energy Comparison"/>
      <sheetName val="Chart1"/>
      <sheetName val="Chart2"/>
      <sheetName val="Energy Savings_v14_LIVE_03-09-2"/>
    </sheetNames>
    <definedNames>
      <definedName name="EnergySavings" refersTo="='Energy Savings by Material'!$B$2:$BC$60"/>
    </definedNames>
    <sheetDataSet>
      <sheetData sheetId="0">
        <row r="2">
          <cell r="C2" t="str">
            <v>Energy Consumed/Avoided from Source Reduction and MSW Management Options (Assuming Initial Production Using the Current Mix of Virgin and Recycled Inputs)</v>
          </cell>
          <cell r="G2" t="str">
            <v>Source Reduction</v>
          </cell>
          <cell r="K2" t="str">
            <v>Recycling of Post-Consumer Material</v>
          </cell>
          <cell r="N2" t="str">
            <v>Combustion of Post-Consumer Material</v>
          </cell>
          <cell r="R2" t="str">
            <v>Landfilling of Post-Consumer Material</v>
          </cell>
          <cell r="U2" t="str">
            <v>Energy Consumed/Avoided for MSW Management Options Compared to Landfilling</v>
          </cell>
          <cell r="Z2" t="str">
            <v>Product Manufacture Using 100% Virgin Inputs</v>
          </cell>
          <cell r="AC2" t="str">
            <v>Product Manufacture Using Current Mix of Virgin and Recycled Inputs</v>
          </cell>
          <cell r="AG2" t="str">
            <v>Product Manufacture Using 100% Recycled Inputs</v>
          </cell>
          <cell r="AJ2" t="str">
            <v>Wet Anaerobic Digestion with Curing</v>
          </cell>
          <cell r="AO2" t="str">
            <v>Wet Anaerobic Digestion with Direct Application</v>
          </cell>
          <cell r="AT2" t="str">
            <v>Dry Anaerobic Digestion with Curing</v>
          </cell>
          <cell r="AY2" t="str">
            <v>Dry Anaerobic Digestion with Direct Application</v>
          </cell>
        </row>
        <row r="3">
          <cell r="C3" t="str">
            <v>(Million Btu/Ton)</v>
          </cell>
          <cell r="G3" t="str">
            <v>(Energy Consumed/Avoided in Million Btu/Ton)</v>
          </cell>
          <cell r="K3" t="str">
            <v>(Energy Consumed/Avoided in Million Btu/Ton)</v>
          </cell>
          <cell r="N3" t="str">
            <v>(Energy Consumed/Avoided in Million Btu/Ton)</v>
          </cell>
          <cell r="R3" t="str">
            <v>(Energy Consumed/Avoided in Million Btu/Ton)</v>
          </cell>
          <cell r="U3" t="str">
            <v>(Million Btu/ton)</v>
          </cell>
          <cell r="Z3" t="str">
            <v>(Energy Consumed/Avoided in Million Btu/Ton)</v>
          </cell>
          <cell r="AC3" t="str">
            <v>(Energy Consumed/Avoided in Million Btu/Ton)</v>
          </cell>
          <cell r="AG3" t="str">
            <v>(Energy Consumed/Avoided in Million Btu/Ton)</v>
          </cell>
          <cell r="AJ3" t="str">
            <v>(Energy Consumed/Avoided in Million Btu/Ton)</v>
          </cell>
          <cell r="AO3" t="str">
            <v>(Energy Consumed/Avoided in Million Btu/Ton)</v>
          </cell>
          <cell r="AT3" t="str">
            <v>(Energy Consumed/Avoided in Million Btu/Ton)</v>
          </cell>
          <cell r="AY3" t="str">
            <v>(Energy Consumed/Avoided in Million Btu/Ton)</v>
          </cell>
        </row>
        <row r="4">
          <cell r="U4" t="str">
            <v xml:space="preserve">Source Reduction Minus Landfilling </v>
          </cell>
          <cell r="AG4" t="str">
            <v xml:space="preserve"> </v>
          </cell>
        </row>
        <row r="5">
          <cell r="B5" t="str">
            <v>Material</v>
          </cell>
          <cell r="C5" t="str">
            <v>Source Reduction for Current Mix of Inputs</v>
          </cell>
          <cell r="D5" t="str">
            <v xml:space="preserve"> Recycling </v>
          </cell>
          <cell r="E5" t="str">
            <v xml:space="preserve">Combustion </v>
          </cell>
          <cell r="F5" t="str">
            <v xml:space="preserve">Landfilling </v>
          </cell>
          <cell r="G5" t="str">
            <v>Raw Material Acquisition and Manufacturing for Current Mix of Inputs</v>
          </cell>
          <cell r="H5" t="str">
            <v>Raw Material Acquisition and Manufacturing for 100% Virgin Inputs</v>
          </cell>
          <cell r="I5" t="str">
            <v>Net Consumption/ Savings for Current Mix of Inputs</v>
          </cell>
          <cell r="J5" t="str">
            <v>Net Consumption/Savings for 100% Virgin Inputs</v>
          </cell>
          <cell r="K5" t="str">
            <v>Recycled Input Credit* - Process Energy</v>
          </cell>
          <cell r="L5" t="str">
            <v>Recycled Input Credit* - Transportation Energy</v>
          </cell>
          <cell r="M5" t="str">
            <v>Net Consumption/Savings (Post-Consumer)</v>
          </cell>
          <cell r="N5" t="str">
            <v>Avoided Utility Fuel Consumption</v>
          </cell>
          <cell r="O5" t="str">
            <v>Energy Savings due to Steel Recovery</v>
          </cell>
          <cell r="P5" t="str">
            <v>Transportation to Combustion Facility</v>
          </cell>
          <cell r="Q5" t="str">
            <v>Net Consumption/ Savings (Post-Consumer)</v>
          </cell>
          <cell r="R5" t="str">
            <v>Transportation to Landfill</v>
          </cell>
          <cell r="S5" t="str">
            <v>Avoided Utility Emissions</v>
          </cell>
          <cell r="T5" t="str">
            <v>Net Consumption/ Savings (Post-Consumer)</v>
          </cell>
          <cell r="U5" t="str">
            <v>Current Mix of Inputs</v>
          </cell>
          <cell r="V5" t="str">
            <v>100% Virgin Inputs</v>
          </cell>
          <cell r="W5" t="str">
            <v xml:space="preserve">Recycling Minus Landfilling </v>
          </cell>
          <cell r="X5" t="str">
            <v xml:space="preserve">Combustion Minus Landfilling </v>
          </cell>
          <cell r="Y5" t="str">
            <v>Energy of Material Resource</v>
          </cell>
          <cell r="Z5" t="str">
            <v>Process Energy</v>
          </cell>
          <cell r="AA5" t="str">
            <v>Transportation Energy</v>
          </cell>
          <cell r="AB5" t="str">
            <v>Net Consumption</v>
          </cell>
          <cell r="AC5" t="str">
            <v>Percent Virgin Inputs in Current Mix</v>
          </cell>
          <cell r="AD5" t="str">
            <v>Energy of Material Resource + Process Energy</v>
          </cell>
          <cell r="AE5" t="str">
            <v>Transportation Energy</v>
          </cell>
          <cell r="AF5" t="str">
            <v>Net Consumption</v>
          </cell>
          <cell r="AG5" t="str">
            <v>Process Energy</v>
          </cell>
          <cell r="AH5" t="str">
            <v>Transportation Energy</v>
          </cell>
          <cell r="AI5" t="str">
            <v>Net Consumption</v>
          </cell>
          <cell r="AJ5" t="str">
            <v>Net electricity export to grid</v>
          </cell>
          <cell r="AK5" t="str">
            <v>Transportation Energy</v>
          </cell>
          <cell r="AL5" t="str">
            <v>Process Energy</v>
          </cell>
          <cell r="AM5" t="str">
            <v>Total Energy (without offsets)</v>
          </cell>
          <cell r="AN5" t="str">
            <v>Net Consumption</v>
          </cell>
          <cell r="AO5" t="str">
            <v>Net electricity export to grid</v>
          </cell>
          <cell r="AP5" t="str">
            <v>Transportation Energy</v>
          </cell>
          <cell r="AQ5" t="str">
            <v>Process Energy</v>
          </cell>
          <cell r="AR5" t="str">
            <v>Total Energy (without offsets)</v>
          </cell>
          <cell r="AS5" t="str">
            <v>Net Consumption</v>
          </cell>
          <cell r="AT5" t="str">
            <v>Net electricity export to grid</v>
          </cell>
          <cell r="AU5" t="str">
            <v>Transportation Energy</v>
          </cell>
          <cell r="AV5" t="str">
            <v>Process Energy</v>
          </cell>
          <cell r="AW5" t="str">
            <v>Total Energy (without offsets)</v>
          </cell>
          <cell r="AX5" t="str">
            <v>Net Consumption</v>
          </cell>
          <cell r="AY5" t="str">
            <v>Net electricity export to grid</v>
          </cell>
          <cell r="AZ5" t="str">
            <v>Transportation Energy</v>
          </cell>
          <cell r="BA5" t="str">
            <v>Process Energy</v>
          </cell>
          <cell r="BB5" t="str">
            <v>Total Energy (without offsets)</v>
          </cell>
          <cell r="BC5" t="str">
            <v>Net Consumption</v>
          </cell>
        </row>
        <row r="6">
          <cell r="B6" t="str">
            <v>Aluminum Cans</v>
          </cell>
          <cell r="C6">
            <v>-89.690841492210723</v>
          </cell>
          <cell r="D6">
            <v>-152.7644316983795</v>
          </cell>
          <cell r="E6">
            <v>0.59700760705437883</v>
          </cell>
          <cell r="F6">
            <v>0.26827304622443826</v>
          </cell>
          <cell r="G6">
            <v>-89.690841492210723</v>
          </cell>
          <cell r="H6">
            <v>-200.56711325446287</v>
          </cell>
          <cell r="I6">
            <v>-89.690841492210723</v>
          </cell>
          <cell r="J6">
            <v>-200.56711325446287</v>
          </cell>
          <cell r="K6">
            <v>-152.32365045168117</v>
          </cell>
          <cell r="L6">
            <v>-0.44078124669833441</v>
          </cell>
          <cell r="M6">
            <v>-152.7644316983795</v>
          </cell>
          <cell r="N6">
            <v>0.32873456082994063</v>
          </cell>
          <cell r="O6" t="str">
            <v>NA</v>
          </cell>
          <cell r="P6">
            <v>0.26827304622443826</v>
          </cell>
          <cell r="Q6">
            <v>0.59700760705437883</v>
          </cell>
          <cell r="R6">
            <v>0.26827304622443826</v>
          </cell>
          <cell r="S6" t="str">
            <v>NA</v>
          </cell>
          <cell r="T6">
            <v>0.26827304622443826</v>
          </cell>
          <cell r="U6">
            <v>-89.959114538435159</v>
          </cell>
          <cell r="V6">
            <v>-200.8353863006873</v>
          </cell>
          <cell r="W6">
            <v>-153.03270474460393</v>
          </cell>
          <cell r="X6">
            <v>0.32873456082994057</v>
          </cell>
          <cell r="Y6">
            <v>14.554674109767534</v>
          </cell>
          <cell r="Z6">
            <v>184.74488080807973</v>
          </cell>
          <cell r="AA6">
            <v>1.2675583366156076</v>
          </cell>
          <cell r="AB6">
            <v>200.56711325446287</v>
          </cell>
          <cell r="AC6">
            <v>0.32199999999999995</v>
          </cell>
          <cell r="AD6">
            <v>88.743201743667512</v>
          </cell>
          <cell r="AE6">
            <v>0.9476397485432031</v>
          </cell>
          <cell r="AF6">
            <v>89.690841492210723</v>
          </cell>
          <cell r="AG6">
            <v>36.237087109322573</v>
          </cell>
          <cell r="AH6">
            <v>0.79570201202504054</v>
          </cell>
          <cell r="AI6">
            <v>37.032789121347612</v>
          </cell>
          <cell r="AJ6" t="str">
            <v>NA</v>
          </cell>
          <cell r="AK6" t="str">
            <v>NA</v>
          </cell>
          <cell r="AL6" t="str">
            <v>NA</v>
          </cell>
          <cell r="AM6" t="str">
            <v>NA</v>
          </cell>
          <cell r="AN6" t="str">
            <v>NA</v>
          </cell>
          <cell r="AO6" t="str">
            <v>NA</v>
          </cell>
          <cell r="AP6" t="str">
            <v>NA</v>
          </cell>
          <cell r="AQ6" t="str">
            <v>NA</v>
          </cell>
          <cell r="AR6" t="str">
            <v>NA</v>
          </cell>
          <cell r="AS6" t="str">
            <v>NA</v>
          </cell>
          <cell r="AT6" t="str">
            <v>NA</v>
          </cell>
          <cell r="AU6" t="str">
            <v>NA</v>
          </cell>
          <cell r="AV6" t="str">
            <v>NA</v>
          </cell>
          <cell r="AW6" t="str">
            <v>NA</v>
          </cell>
          <cell r="AX6" t="str">
            <v>NA</v>
          </cell>
          <cell r="AY6" t="str">
            <v>NA</v>
          </cell>
          <cell r="AZ6" t="str">
            <v>NA</v>
          </cell>
          <cell r="BA6" t="str">
            <v>NA</v>
          </cell>
          <cell r="BB6" t="str">
            <v>NA</v>
          </cell>
          <cell r="BC6" t="str">
            <v>NA</v>
          </cell>
        </row>
        <row r="7">
          <cell r="B7" t="str">
            <v>Steel Cans</v>
          </cell>
          <cell r="C7">
            <v>-29.880553333880805</v>
          </cell>
          <cell r="D7">
            <v>-19.966201047692305</v>
          </cell>
          <cell r="E7">
            <v>-17.135843866573644</v>
          </cell>
          <cell r="F7">
            <v>0.26827304622443826</v>
          </cell>
          <cell r="G7">
            <v>-29.880553333880805</v>
          </cell>
          <cell r="H7">
            <v>-36.542744907957726</v>
          </cell>
          <cell r="I7">
            <v>-29.880553333880805</v>
          </cell>
          <cell r="J7">
            <v>-36.542744907957726</v>
          </cell>
          <cell r="K7">
            <v>-19.404521586153844</v>
          </cell>
          <cell r="L7">
            <v>-0.56167946153845993</v>
          </cell>
          <cell r="M7">
            <v>-19.966201047692305</v>
          </cell>
          <cell r="N7">
            <v>0.20607241126652992</v>
          </cell>
          <cell r="O7">
            <v>-17.610189324064613</v>
          </cell>
          <cell r="P7">
            <v>0.26827304622443826</v>
          </cell>
          <cell r="Q7">
            <v>-17.135843866573644</v>
          </cell>
          <cell r="R7">
            <v>0.26827304622443826</v>
          </cell>
          <cell r="S7" t="str">
            <v>NA</v>
          </cell>
          <cell r="T7">
            <v>0.26827304622443826</v>
          </cell>
          <cell r="U7">
            <v>-30.148826380105241</v>
          </cell>
          <cell r="V7">
            <v>-36.811017954182162</v>
          </cell>
          <cell r="W7">
            <v>-20.234474093916745</v>
          </cell>
          <cell r="X7">
            <v>-17.404116912798081</v>
          </cell>
          <cell r="Z7">
            <v>31.580319230769231</v>
          </cell>
          <cell r="AA7">
            <v>4.9624256771884943</v>
          </cell>
          <cell r="AB7">
            <v>36.542744907957726</v>
          </cell>
          <cell r="AC7">
            <v>0.67300000000000004</v>
          </cell>
          <cell r="AD7">
            <v>25.105545191307694</v>
          </cell>
          <cell r="AE7">
            <v>4.7750081425731103</v>
          </cell>
          <cell r="AF7">
            <v>29.880553333880805</v>
          </cell>
          <cell r="AG7">
            <v>11.779787000000001</v>
          </cell>
          <cell r="AH7">
            <v>4.3892833694961881</v>
          </cell>
          <cell r="AI7">
            <v>16.16907036949619</v>
          </cell>
          <cell r="AJ7" t="str">
            <v>NA</v>
          </cell>
          <cell r="AK7" t="str">
            <v>NA</v>
          </cell>
          <cell r="AL7" t="str">
            <v>NA</v>
          </cell>
          <cell r="AM7" t="str">
            <v>NA</v>
          </cell>
          <cell r="AN7" t="str">
            <v>NA</v>
          </cell>
          <cell r="AO7" t="str">
            <v>NA</v>
          </cell>
          <cell r="AP7" t="str">
            <v>NA</v>
          </cell>
          <cell r="AQ7" t="str">
            <v>NA</v>
          </cell>
          <cell r="AR7" t="str">
            <v>NA</v>
          </cell>
          <cell r="AS7" t="str">
            <v>NA</v>
          </cell>
          <cell r="AT7" t="str">
            <v>NA</v>
          </cell>
          <cell r="AU7" t="str">
            <v>NA</v>
          </cell>
          <cell r="AV7" t="str">
            <v>NA</v>
          </cell>
          <cell r="AW7" t="str">
            <v>NA</v>
          </cell>
          <cell r="AX7" t="str">
            <v>NA</v>
          </cell>
          <cell r="AY7" t="str">
            <v>NA</v>
          </cell>
          <cell r="AZ7" t="str">
            <v>NA</v>
          </cell>
          <cell r="BA7" t="str">
            <v>NA</v>
          </cell>
          <cell r="BB7" t="str">
            <v>NA</v>
          </cell>
          <cell r="BC7" t="str">
            <v>NA</v>
          </cell>
        </row>
        <row r="8">
          <cell r="B8" t="str">
            <v>Copper Wire</v>
          </cell>
          <cell r="C8">
            <v>-122.3574263694962</v>
          </cell>
          <cell r="D8">
            <v>-82.589644210684924</v>
          </cell>
          <cell r="E8">
            <v>0.53567653227267353</v>
          </cell>
          <cell r="F8">
            <v>0.26827304622443826</v>
          </cell>
          <cell r="G8">
            <v>-122.3574263694962</v>
          </cell>
          <cell r="H8">
            <v>-123.3456153694962</v>
          </cell>
          <cell r="I8">
            <v>-122.3574263694962</v>
          </cell>
          <cell r="J8">
            <v>-123.3456153694962</v>
          </cell>
          <cell r="K8">
            <v>-81.637141613424646</v>
          </cell>
          <cell r="L8">
            <v>-0.95250259726027386</v>
          </cell>
          <cell r="M8">
            <v>-82.589644210684924</v>
          </cell>
          <cell r="N8">
            <v>0.26740348604823527</v>
          </cell>
          <cell r="O8" t="str">
            <v>NA</v>
          </cell>
          <cell r="P8">
            <v>0.26827304622443826</v>
          </cell>
          <cell r="Q8">
            <v>0.53567653227267353</v>
          </cell>
          <cell r="R8">
            <v>0.26827304622443826</v>
          </cell>
          <cell r="S8" t="str">
            <v>NA</v>
          </cell>
          <cell r="T8">
            <v>0.26827304622443826</v>
          </cell>
          <cell r="U8">
            <v>-122.62569941572063</v>
          </cell>
          <cell r="V8">
            <v>-123.61388841572064</v>
          </cell>
          <cell r="W8">
            <v>-82.85791725690936</v>
          </cell>
          <cell r="X8">
            <v>0.26740348604823527</v>
          </cell>
          <cell r="Z8">
            <v>122.52204200000001</v>
          </cell>
          <cell r="AA8">
            <v>0.82357336949618842</v>
          </cell>
          <cell r="AB8">
            <v>123.3456153694962</v>
          </cell>
          <cell r="AC8">
            <v>0.95</v>
          </cell>
          <cell r="AD8">
            <v>121.448362</v>
          </cell>
          <cell r="AE8">
            <v>0.90906436949618852</v>
          </cell>
          <cell r="AF8">
            <v>122.3574263694962</v>
          </cell>
          <cell r="AG8">
            <v>101.04844200000001</v>
          </cell>
          <cell r="AH8">
            <v>2.533393369496189</v>
          </cell>
          <cell r="AI8">
            <v>103.5818353694962</v>
          </cell>
          <cell r="AJ8" t="str">
            <v>NA</v>
          </cell>
          <cell r="AK8" t="str">
            <v>NA</v>
          </cell>
          <cell r="AL8" t="str">
            <v>NA</v>
          </cell>
          <cell r="AM8" t="str">
            <v>NA</v>
          </cell>
          <cell r="AN8" t="str">
            <v>NA</v>
          </cell>
          <cell r="AO8" t="str">
            <v>NA</v>
          </cell>
          <cell r="AP8" t="str">
            <v>NA</v>
          </cell>
          <cell r="AQ8" t="str">
            <v>NA</v>
          </cell>
          <cell r="AR8" t="str">
            <v>NA</v>
          </cell>
          <cell r="AS8" t="str">
            <v>NA</v>
          </cell>
          <cell r="AT8" t="str">
            <v>NA</v>
          </cell>
          <cell r="AU8" t="str">
            <v>NA</v>
          </cell>
          <cell r="AV8" t="str">
            <v>NA</v>
          </cell>
          <cell r="AW8" t="str">
            <v>NA</v>
          </cell>
          <cell r="AX8" t="str">
            <v>NA</v>
          </cell>
          <cell r="AY8" t="str">
            <v>NA</v>
          </cell>
          <cell r="AZ8" t="str">
            <v>NA</v>
          </cell>
          <cell r="BA8" t="str">
            <v>NA</v>
          </cell>
          <cell r="BB8" t="str">
            <v>NA</v>
          </cell>
          <cell r="BC8" t="str">
            <v>NA</v>
          </cell>
        </row>
        <row r="9">
          <cell r="B9" t="str">
            <v>Glass</v>
          </cell>
          <cell r="C9">
            <v>-6.9045684030684162</v>
          </cell>
          <cell r="D9">
            <v>-2.125409819699291</v>
          </cell>
          <cell r="E9">
            <v>0.4988778874036503</v>
          </cell>
          <cell r="F9">
            <v>0.26827304622443826</v>
          </cell>
          <cell r="G9">
            <v>-6.9045684030684162</v>
          </cell>
          <cell r="H9">
            <v>-7.4630021214459079</v>
          </cell>
          <cell r="I9">
            <v>-6.9045684030684162</v>
          </cell>
          <cell r="J9">
            <v>-7.4630021214459079</v>
          </cell>
          <cell r="K9">
            <v>-1.912901407982218</v>
          </cell>
          <cell r="L9">
            <v>-0.21250841171707324</v>
          </cell>
          <cell r="M9">
            <v>-2.125409819699291</v>
          </cell>
          <cell r="N9">
            <v>0.23060484117921204</v>
          </cell>
          <cell r="O9" t="str">
            <v>NA</v>
          </cell>
          <cell r="P9">
            <v>0.26827304622443826</v>
          </cell>
          <cell r="Q9">
            <v>0.4988778874036503</v>
          </cell>
          <cell r="R9">
            <v>0.26827304622443826</v>
          </cell>
          <cell r="S9" t="str">
            <v>NA</v>
          </cell>
          <cell r="T9">
            <v>0.26827304622443826</v>
          </cell>
          <cell r="U9">
            <v>-7.1728414492928545</v>
          </cell>
          <cell r="V9">
            <v>-7.7312751676703462</v>
          </cell>
          <cell r="W9">
            <v>-2.3936828659237293</v>
          </cell>
          <cell r="X9">
            <v>0.23060484117921204</v>
          </cell>
          <cell r="Z9">
            <v>6.4938650434164726</v>
          </cell>
          <cell r="AA9">
            <v>0.96913707802943527</v>
          </cell>
          <cell r="AB9">
            <v>7.4630021214459079</v>
          </cell>
          <cell r="AC9">
            <v>0.76929999999999998</v>
          </cell>
          <cell r="AD9">
            <v>5.9912661393142113</v>
          </cell>
          <cell r="AE9">
            <v>0.91330226375420531</v>
          </cell>
          <cell r="AF9">
            <v>6.9045684030684162</v>
          </cell>
          <cell r="AG9">
            <v>4.3152828843256135</v>
          </cell>
          <cell r="AH9">
            <v>0.72711360912943523</v>
          </cell>
          <cell r="AI9">
            <v>5.0423964934550485</v>
          </cell>
          <cell r="AJ9" t="str">
            <v>NA</v>
          </cell>
          <cell r="AK9" t="str">
            <v>NA</v>
          </cell>
          <cell r="AL9" t="str">
            <v>NA</v>
          </cell>
          <cell r="AM9" t="str">
            <v>NA</v>
          </cell>
          <cell r="AN9" t="str">
            <v>NA</v>
          </cell>
          <cell r="AO9" t="str">
            <v>NA</v>
          </cell>
          <cell r="AP9" t="str">
            <v>NA</v>
          </cell>
          <cell r="AQ9" t="str">
            <v>NA</v>
          </cell>
          <cell r="AR9" t="str">
            <v>NA</v>
          </cell>
          <cell r="AS9" t="str">
            <v>NA</v>
          </cell>
          <cell r="AT9" t="str">
            <v>NA</v>
          </cell>
          <cell r="AU9" t="str">
            <v>NA</v>
          </cell>
          <cell r="AV9" t="str">
            <v>NA</v>
          </cell>
          <cell r="AW9" t="str">
            <v>NA</v>
          </cell>
          <cell r="AX9" t="str">
            <v>NA</v>
          </cell>
          <cell r="AY9" t="str">
            <v>NA</v>
          </cell>
          <cell r="AZ9" t="str">
            <v>NA</v>
          </cell>
          <cell r="BA9" t="str">
            <v>NA</v>
          </cell>
          <cell r="BB9" t="str">
            <v>NA</v>
          </cell>
          <cell r="BC9" t="str">
            <v>NA</v>
          </cell>
        </row>
        <row r="10">
          <cell r="B10" t="str">
            <v>HDPE</v>
          </cell>
          <cell r="C10">
            <v>-61.212690257282205</v>
          </cell>
          <cell r="D10">
            <v>-50.202595116398498</v>
          </cell>
          <cell r="E10">
            <v>-19.342951425973659</v>
          </cell>
          <cell r="F10">
            <v>0.26827304622443826</v>
          </cell>
          <cell r="G10">
            <v>-61.212690257282205</v>
          </cell>
          <cell r="H10">
            <v>-67.080552618168909</v>
          </cell>
          <cell r="I10">
            <v>-61.212690257282205</v>
          </cell>
          <cell r="J10">
            <v>-67.080552618168909</v>
          </cell>
          <cell r="K10">
            <v>-49.831196543641177</v>
          </cell>
          <cell r="L10">
            <v>-0.37139857275732091</v>
          </cell>
          <cell r="M10">
            <v>-50.202595116398498</v>
          </cell>
          <cell r="N10">
            <v>-19.611224472198096</v>
          </cell>
          <cell r="O10" t="str">
            <v>NA</v>
          </cell>
          <cell r="P10">
            <v>0.26827304622443826</v>
          </cell>
          <cell r="Q10">
            <v>-19.342951425973659</v>
          </cell>
          <cell r="R10">
            <v>0.26827304622443826</v>
          </cell>
          <cell r="S10" t="str">
            <v>NA</v>
          </cell>
          <cell r="T10">
            <v>0.26827304622443826</v>
          </cell>
          <cell r="U10">
            <v>-61.480963303506641</v>
          </cell>
          <cell r="V10">
            <v>-67.348825664393345</v>
          </cell>
          <cell r="W10">
            <v>-50.470868162622935</v>
          </cell>
          <cell r="X10">
            <v>-19.611224472198096</v>
          </cell>
          <cell r="Y10">
            <v>39.97</v>
          </cell>
          <cell r="Z10">
            <v>23.830433062929426</v>
          </cell>
          <cell r="AA10">
            <v>3.2801195552394828</v>
          </cell>
          <cell r="AB10">
            <v>67.080552618168909</v>
          </cell>
          <cell r="AC10">
            <v>0.9</v>
          </cell>
          <cell r="AD10">
            <v>57.975981121382937</v>
          </cell>
          <cell r="AE10">
            <v>3.2367091358992712</v>
          </cell>
          <cell r="AF10">
            <v>61.212690257282205</v>
          </cell>
          <cell r="AG10">
            <v>5.5559136474644548</v>
          </cell>
          <cell r="AH10">
            <v>2.8460153618373649</v>
          </cell>
          <cell r="AI10">
            <v>8.4019290093018206</v>
          </cell>
          <cell r="AJ10" t="str">
            <v>NA</v>
          </cell>
          <cell r="AK10" t="str">
            <v>NA</v>
          </cell>
          <cell r="AL10" t="str">
            <v>NA</v>
          </cell>
          <cell r="AM10" t="str">
            <v>NA</v>
          </cell>
          <cell r="AN10" t="str">
            <v>NA</v>
          </cell>
          <cell r="AO10" t="str">
            <v>NA</v>
          </cell>
          <cell r="AP10" t="str">
            <v>NA</v>
          </cell>
          <cell r="AQ10" t="str">
            <v>NA</v>
          </cell>
          <cell r="AR10" t="str">
            <v>NA</v>
          </cell>
          <cell r="AS10" t="str">
            <v>NA</v>
          </cell>
          <cell r="AT10" t="str">
            <v>NA</v>
          </cell>
          <cell r="AU10" t="str">
            <v>NA</v>
          </cell>
          <cell r="AV10" t="str">
            <v>NA</v>
          </cell>
          <cell r="AW10" t="str">
            <v>NA</v>
          </cell>
          <cell r="AX10" t="str">
            <v>NA</v>
          </cell>
          <cell r="AY10" t="str">
            <v>NA</v>
          </cell>
          <cell r="AZ10" t="str">
            <v>NA</v>
          </cell>
          <cell r="BA10" t="str">
            <v>NA</v>
          </cell>
          <cell r="BB10" t="str">
            <v>NA</v>
          </cell>
          <cell r="BC10" t="str">
            <v>NA</v>
          </cell>
        </row>
        <row r="11">
          <cell r="B11" t="str">
            <v>LDPE</v>
          </cell>
          <cell r="C11">
            <v>-71.015275961446619</v>
          </cell>
          <cell r="D11" t="str">
            <v>NA</v>
          </cell>
          <cell r="E11">
            <v>-19.236971328750869</v>
          </cell>
          <cell r="F11">
            <v>0.26827304622443826</v>
          </cell>
          <cell r="G11">
            <v>-71.015275961446619</v>
          </cell>
          <cell r="H11">
            <v>-71.015275961446619</v>
          </cell>
          <cell r="I11">
            <v>-71.015275961446619</v>
          </cell>
          <cell r="J11">
            <v>-71.015275961446619</v>
          </cell>
          <cell r="K11" t="str">
            <v>NA</v>
          </cell>
          <cell r="L11" t="str">
            <v>NA</v>
          </cell>
          <cell r="M11" t="str">
            <v>NA</v>
          </cell>
          <cell r="N11">
            <v>-19.505244374975309</v>
          </cell>
          <cell r="O11" t="str">
            <v>NA</v>
          </cell>
          <cell r="P11">
            <v>0.26827304622443826</v>
          </cell>
          <cell r="Q11">
            <v>-19.236971328750869</v>
          </cell>
          <cell r="R11">
            <v>0.26827304622443826</v>
          </cell>
          <cell r="S11" t="str">
            <v>NA</v>
          </cell>
          <cell r="T11">
            <v>0.26827304622443826</v>
          </cell>
          <cell r="U11">
            <v>-71.283549007671056</v>
          </cell>
          <cell r="V11">
            <v>-71.283549007671056</v>
          </cell>
          <cell r="W11">
            <v>-0.26827304622443826</v>
          </cell>
          <cell r="X11">
            <v>-19.505244374975305</v>
          </cell>
          <cell r="Y11">
            <v>39.753999999999998</v>
          </cell>
          <cell r="Z11">
            <v>27.931915601340471</v>
          </cell>
          <cell r="AA11">
            <v>3.3293603601061514</v>
          </cell>
          <cell r="AB11">
            <v>71.015275961446619</v>
          </cell>
          <cell r="AC11">
            <v>1</v>
          </cell>
          <cell r="AD11">
            <v>67.685915601340469</v>
          </cell>
          <cell r="AE11">
            <v>3.3293603601061514</v>
          </cell>
          <cell r="AF11">
            <v>71.015275961446619</v>
          </cell>
          <cell r="AG11">
            <v>0</v>
          </cell>
          <cell r="AH11">
            <v>0.53937768773294736</v>
          </cell>
          <cell r="AI11">
            <v>0.53937768773294736</v>
          </cell>
          <cell r="AJ11" t="str">
            <v>NA</v>
          </cell>
          <cell r="AK11" t="str">
            <v>NA</v>
          </cell>
          <cell r="AL11" t="str">
            <v>NA</v>
          </cell>
          <cell r="AM11" t="str">
            <v>NA</v>
          </cell>
          <cell r="AN11" t="str">
            <v>NA</v>
          </cell>
          <cell r="AO11" t="str">
            <v>NA</v>
          </cell>
          <cell r="AP11" t="str">
            <v>NA</v>
          </cell>
          <cell r="AQ11" t="str">
            <v>NA</v>
          </cell>
          <cell r="AR11" t="str">
            <v>NA</v>
          </cell>
          <cell r="AS11" t="str">
            <v>NA</v>
          </cell>
          <cell r="AT11" t="str">
            <v>NA</v>
          </cell>
          <cell r="AU11" t="str">
            <v>NA</v>
          </cell>
          <cell r="AV11" t="str">
            <v>NA</v>
          </cell>
          <cell r="AW11" t="str">
            <v>NA</v>
          </cell>
          <cell r="AX11" t="str">
            <v>NA</v>
          </cell>
          <cell r="AY11" t="str">
            <v>NA</v>
          </cell>
          <cell r="AZ11" t="str">
            <v>NA</v>
          </cell>
          <cell r="BA11" t="str">
            <v>NA</v>
          </cell>
          <cell r="BB11" t="str">
            <v>NA</v>
          </cell>
          <cell r="BC11" t="str">
            <v>NA</v>
          </cell>
        </row>
        <row r="12">
          <cell r="B12" t="str">
            <v>PET</v>
          </cell>
          <cell r="C12">
            <v>-50.255272492386652</v>
          </cell>
          <cell r="D12">
            <v>-31.871174900862655</v>
          </cell>
          <cell r="E12">
            <v>-10.133477236752785</v>
          </cell>
          <cell r="F12">
            <v>0.26827304622443826</v>
          </cell>
          <cell r="G12">
            <v>-50.255272492386652</v>
          </cell>
          <cell r="H12">
            <v>-51.327238882170633</v>
          </cell>
          <cell r="I12">
            <v>-50.255272492386652</v>
          </cell>
          <cell r="J12">
            <v>-51.327238882170633</v>
          </cell>
          <cell r="K12">
            <v>-33.295022877547801</v>
          </cell>
          <cell r="L12">
            <v>1.4238479766851468</v>
          </cell>
          <cell r="M12">
            <v>-31.871174900862655</v>
          </cell>
          <cell r="N12">
            <v>-10.401750282977224</v>
          </cell>
          <cell r="O12" t="str">
            <v>NA</v>
          </cell>
          <cell r="P12">
            <v>0.26827304622443826</v>
          </cell>
          <cell r="Q12">
            <v>-10.133477236752785</v>
          </cell>
          <cell r="R12">
            <v>0.26827304622443826</v>
          </cell>
          <cell r="S12" t="str">
            <v>NA</v>
          </cell>
          <cell r="T12">
            <v>0.26827304622443826</v>
          </cell>
          <cell r="U12">
            <v>-50.523545538611089</v>
          </cell>
          <cell r="V12">
            <v>-51.595511928395069</v>
          </cell>
          <cell r="W12">
            <v>-32.139447947087092</v>
          </cell>
          <cell r="X12">
            <v>-10.401750282977224</v>
          </cell>
          <cell r="Y12">
            <v>21.2</v>
          </cell>
          <cell r="Z12">
            <v>28.586500776244463</v>
          </cell>
          <cell r="AA12">
            <v>1.5407381059261671</v>
          </cell>
          <cell r="AB12">
            <v>51.327238882170633</v>
          </cell>
          <cell r="AC12">
            <v>0.97</v>
          </cell>
          <cell r="AD12">
            <v>48.666644179089211</v>
          </cell>
          <cell r="AE12">
            <v>1.5886283132974399</v>
          </cell>
          <cell r="AF12">
            <v>50.255272492386652</v>
          </cell>
          <cell r="AG12">
            <v>12.457947537735832</v>
          </cell>
          <cell r="AH12">
            <v>3.1370783516352532</v>
          </cell>
          <cell r="AI12">
            <v>15.595025889371085</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row>
        <row r="13">
          <cell r="B13" t="str">
            <v>Corrugated Containers</v>
          </cell>
          <cell r="C13">
            <v>-22.320513543509552</v>
          </cell>
          <cell r="D13">
            <v>-15.074420877698142</v>
          </cell>
          <cell r="E13">
            <v>-6.6430031087763721</v>
          </cell>
          <cell r="F13">
            <v>-0.24549179504083873</v>
          </cell>
          <cell r="G13">
            <v>-22.320513543509552</v>
          </cell>
          <cell r="H13">
            <v>-27.175692842518995</v>
          </cell>
          <cell r="I13">
            <v>-22.320513543509552</v>
          </cell>
          <cell r="J13">
            <v>-27.175692842518995</v>
          </cell>
          <cell r="K13">
            <v>-14.345424457468532</v>
          </cell>
          <cell r="L13">
            <v>-0.72899642022961064</v>
          </cell>
          <cell r="M13">
            <v>-15.074420877698142</v>
          </cell>
          <cell r="N13">
            <v>-6.9112761550008104</v>
          </cell>
          <cell r="O13" t="str">
            <v>NA</v>
          </cell>
          <cell r="P13">
            <v>0.26827304622443826</v>
          </cell>
          <cell r="Q13">
            <v>-6.6430031087763721</v>
          </cell>
          <cell r="R13">
            <v>0.26827304622443826</v>
          </cell>
          <cell r="S13">
            <v>-0.51376484126527699</v>
          </cell>
          <cell r="T13">
            <v>-0.24549179504083873</v>
          </cell>
          <cell r="U13">
            <v>-22.075021748468714</v>
          </cell>
          <cell r="V13">
            <v>-26.930201047478157</v>
          </cell>
          <cell r="W13">
            <v>-14.828929082657304</v>
          </cell>
          <cell r="X13">
            <v>-6.3975113137355333</v>
          </cell>
          <cell r="Z13">
            <v>25.128291765211031</v>
          </cell>
          <cell r="AA13">
            <v>2.0474010773079634</v>
          </cell>
          <cell r="AB13">
            <v>27.175692842518995</v>
          </cell>
          <cell r="AC13">
            <v>0.65100000000000002</v>
          </cell>
          <cell r="AD13">
            <v>20.452390923676962</v>
          </cell>
          <cell r="AE13">
            <v>1.8681226198325893</v>
          </cell>
          <cell r="AF13">
            <v>22.320513543509552</v>
          </cell>
          <cell r="AG13">
            <v>11.730295084597655</v>
          </cell>
          <cell r="AH13">
            <v>1.5337092220776651</v>
          </cell>
          <cell r="AI13">
            <v>13.26400430667532</v>
          </cell>
          <cell r="AJ13" t="str">
            <v>NA</v>
          </cell>
          <cell r="AK13" t="str">
            <v>NA</v>
          </cell>
          <cell r="AL13" t="str">
            <v>NA</v>
          </cell>
          <cell r="AM13" t="str">
            <v>NA</v>
          </cell>
          <cell r="AN13" t="str">
            <v>NA</v>
          </cell>
          <cell r="AO13" t="str">
            <v>NA</v>
          </cell>
          <cell r="AP13" t="str">
            <v>NA</v>
          </cell>
          <cell r="AQ13" t="str">
            <v>NA</v>
          </cell>
          <cell r="AR13" t="str">
            <v>NA</v>
          </cell>
          <cell r="AS13" t="str">
            <v>NA</v>
          </cell>
          <cell r="AT13" t="str">
            <v>NA</v>
          </cell>
          <cell r="AU13" t="str">
            <v>NA</v>
          </cell>
          <cell r="AV13" t="str">
            <v>NA</v>
          </cell>
          <cell r="AW13" t="str">
            <v>NA</v>
          </cell>
          <cell r="AX13" t="str">
            <v>NA</v>
          </cell>
          <cell r="AY13" t="str">
            <v>NA</v>
          </cell>
          <cell r="AZ13" t="str">
            <v>NA</v>
          </cell>
          <cell r="BA13" t="str">
            <v>NA</v>
          </cell>
          <cell r="BB13" t="str">
            <v>NA</v>
          </cell>
          <cell r="BC13" t="str">
            <v>NA</v>
          </cell>
        </row>
        <row r="14">
          <cell r="B14" t="str">
            <v>Magazines/Third-class Mail</v>
          </cell>
          <cell r="C14">
            <v>-33.225750782920784</v>
          </cell>
          <cell r="D14">
            <v>-0.68565151603619501</v>
          </cell>
          <cell r="E14">
            <v>-4.8913876130108678</v>
          </cell>
          <cell r="F14">
            <v>4.4838936826990444E-2</v>
          </cell>
          <cell r="G14">
            <v>-33.225750782920784</v>
          </cell>
          <cell r="H14">
            <v>-33.267474482017683</v>
          </cell>
          <cell r="I14">
            <v>-33.225750782920784</v>
          </cell>
          <cell r="J14">
            <v>-33.267474482017683</v>
          </cell>
          <cell r="K14">
            <v>-0.68565151603619501</v>
          </cell>
          <cell r="L14">
            <v>0</v>
          </cell>
          <cell r="M14">
            <v>-0.68565151603619501</v>
          </cell>
          <cell r="N14">
            <v>-5.159660659235306</v>
          </cell>
          <cell r="O14" t="str">
            <v>NA</v>
          </cell>
          <cell r="P14">
            <v>0.26827304622443826</v>
          </cell>
          <cell r="Q14">
            <v>-4.8913876130108678</v>
          </cell>
          <cell r="R14">
            <v>0.26827304622443826</v>
          </cell>
          <cell r="S14">
            <v>-0.22343410939744782</v>
          </cell>
          <cell r="T14">
            <v>4.4838936826990444E-2</v>
          </cell>
          <cell r="U14">
            <v>-33.270589719747775</v>
          </cell>
          <cell r="V14">
            <v>-33.312313418844674</v>
          </cell>
          <cell r="W14">
            <v>-0.73049045286318548</v>
          </cell>
          <cell r="X14">
            <v>-4.9362265498378584</v>
          </cell>
          <cell r="Z14">
            <v>32.988560868843905</v>
          </cell>
          <cell r="AA14">
            <v>0.27891361317377766</v>
          </cell>
          <cell r="AB14">
            <v>33.267474482017683</v>
          </cell>
          <cell r="AC14">
            <v>0.95899999999999996</v>
          </cell>
          <cell r="AD14">
            <v>32.946837169747006</v>
          </cell>
          <cell r="AE14">
            <v>0.27891361317377766</v>
          </cell>
          <cell r="AF14">
            <v>33.225750782920784</v>
          </cell>
          <cell r="AG14">
            <v>31.970909671358605</v>
          </cell>
          <cell r="AH14">
            <v>0.27891361317377766</v>
          </cell>
          <cell r="AI14">
            <v>32.249823284532383</v>
          </cell>
          <cell r="AJ14" t="str">
            <v>NA</v>
          </cell>
          <cell r="AK14" t="str">
            <v>NA</v>
          </cell>
          <cell r="AL14" t="str">
            <v>NA</v>
          </cell>
          <cell r="AM14" t="str">
            <v>NA</v>
          </cell>
          <cell r="AN14" t="str">
            <v>NA</v>
          </cell>
          <cell r="AO14" t="str">
            <v>NA</v>
          </cell>
          <cell r="AP14" t="str">
            <v>NA</v>
          </cell>
          <cell r="AQ14" t="str">
            <v>NA</v>
          </cell>
          <cell r="AR14" t="str">
            <v>NA</v>
          </cell>
          <cell r="AS14" t="str">
            <v>NA</v>
          </cell>
          <cell r="AT14" t="str">
            <v>NA</v>
          </cell>
          <cell r="AU14" t="str">
            <v>NA</v>
          </cell>
          <cell r="AV14" t="str">
            <v>NA</v>
          </cell>
          <cell r="AW14" t="str">
            <v>NA</v>
          </cell>
          <cell r="AX14" t="str">
            <v>NA</v>
          </cell>
          <cell r="AY14" t="str">
            <v>NA</v>
          </cell>
          <cell r="AZ14" t="str">
            <v>NA</v>
          </cell>
          <cell r="BA14" t="str">
            <v>NA</v>
          </cell>
          <cell r="BB14" t="str">
            <v>NA</v>
          </cell>
          <cell r="BC14" t="str">
            <v>NA</v>
          </cell>
        </row>
        <row r="15">
          <cell r="B15" t="str">
            <v>Newspaper</v>
          </cell>
          <cell r="C15">
            <v>-36.464546483715836</v>
          </cell>
          <cell r="D15">
            <v>-16.485950938072122</v>
          </cell>
          <cell r="E15">
            <v>-7.53303966600848</v>
          </cell>
          <cell r="F15">
            <v>5.1977494442774608E-2</v>
          </cell>
          <cell r="G15">
            <v>-36.464546483715836</v>
          </cell>
          <cell r="H15">
            <v>-40.699353438892402</v>
          </cell>
          <cell r="I15">
            <v>-36.464546483715836</v>
          </cell>
          <cell r="J15">
            <v>-40.699353438892402</v>
          </cell>
          <cell r="K15">
            <v>-16.068743461380322</v>
          </cell>
          <cell r="L15">
            <v>-0.41720747669180019</v>
          </cell>
          <cell r="M15">
            <v>-16.485950938072122</v>
          </cell>
          <cell r="N15">
            <v>-7.8013127122329182</v>
          </cell>
          <cell r="O15" t="str">
            <v>NA</v>
          </cell>
          <cell r="P15">
            <v>0.26827304622443826</v>
          </cell>
          <cell r="Q15">
            <v>-7.53303966600848</v>
          </cell>
          <cell r="R15">
            <v>0.26827304622443826</v>
          </cell>
          <cell r="S15">
            <v>-0.21629555178166365</v>
          </cell>
          <cell r="T15">
            <v>5.1977494442774608E-2</v>
          </cell>
          <cell r="U15">
            <v>-36.51652397815861</v>
          </cell>
          <cell r="V15">
            <v>-40.751330933335176</v>
          </cell>
          <cell r="W15">
            <v>-16.537928432514896</v>
          </cell>
          <cell r="X15">
            <v>-7.5850171604512546</v>
          </cell>
          <cell r="Z15">
            <v>39.924113560018625</v>
          </cell>
          <cell r="AA15">
            <v>0.77523987887377765</v>
          </cell>
          <cell r="AB15">
            <v>40.699353438892402</v>
          </cell>
          <cell r="AC15">
            <v>0.77</v>
          </cell>
          <cell r="AD15">
            <v>35.796476226460058</v>
          </cell>
          <cell r="AE15">
            <v>0.66807025725577762</v>
          </cell>
          <cell r="AF15">
            <v>36.464546483715836</v>
          </cell>
          <cell r="AG15">
            <v>21.977864283677025</v>
          </cell>
          <cell r="AH15">
            <v>0.30928500227377764</v>
          </cell>
          <cell r="AI15">
            <v>22.287149285950804</v>
          </cell>
          <cell r="AJ15" t="str">
            <v>NA</v>
          </cell>
          <cell r="AK15" t="str">
            <v>NA</v>
          </cell>
          <cell r="AL15" t="str">
            <v>NA</v>
          </cell>
          <cell r="AM15" t="str">
            <v>NA</v>
          </cell>
          <cell r="AN15" t="str">
            <v>NA</v>
          </cell>
          <cell r="AO15" t="str">
            <v>NA</v>
          </cell>
          <cell r="AP15" t="str">
            <v>NA</v>
          </cell>
          <cell r="AQ15" t="str">
            <v>NA</v>
          </cell>
          <cell r="AR15" t="str">
            <v>NA</v>
          </cell>
          <cell r="AS15" t="str">
            <v>NA</v>
          </cell>
          <cell r="AT15" t="str">
            <v>NA</v>
          </cell>
          <cell r="AU15" t="str">
            <v>NA</v>
          </cell>
          <cell r="AV15" t="str">
            <v>NA</v>
          </cell>
          <cell r="AW15" t="str">
            <v>NA</v>
          </cell>
          <cell r="AX15" t="str">
            <v>NA</v>
          </cell>
          <cell r="AY15" t="str">
            <v>NA</v>
          </cell>
          <cell r="AZ15" t="str">
            <v>NA</v>
          </cell>
          <cell r="BA15" t="str">
            <v>NA</v>
          </cell>
          <cell r="BB15" t="str">
            <v>NA</v>
          </cell>
          <cell r="BC15" t="str">
            <v>NA</v>
          </cell>
        </row>
        <row r="16">
          <cell r="B16" t="str">
            <v>Office Paper</v>
          </cell>
          <cell r="C16">
            <v>-36.59821281517732</v>
          </cell>
          <cell r="D16">
            <v>-10.081037231692992</v>
          </cell>
          <cell r="E16">
            <v>-6.4045478900251016</v>
          </cell>
          <cell r="F16">
            <v>-0.52582465283557278</v>
          </cell>
          <cell r="G16">
            <v>-36.59821281517732</v>
          </cell>
          <cell r="H16">
            <v>-37.290868697497764</v>
          </cell>
          <cell r="I16">
            <v>-36.59821281517732</v>
          </cell>
          <cell r="J16">
            <v>-37.290868697497764</v>
          </cell>
          <cell r="K16">
            <v>-10.081037231692992</v>
          </cell>
          <cell r="L16">
            <v>0</v>
          </cell>
          <cell r="M16">
            <v>-10.081037231692992</v>
          </cell>
          <cell r="N16">
            <v>-6.6728209362495399</v>
          </cell>
          <cell r="O16" t="str">
            <v>NA</v>
          </cell>
          <cell r="P16">
            <v>0.26827304622443826</v>
          </cell>
          <cell r="Q16">
            <v>-6.4045478900251016</v>
          </cell>
          <cell r="R16">
            <v>0.26827304622443826</v>
          </cell>
          <cell r="S16">
            <v>-0.79409769906001104</v>
          </cell>
          <cell r="T16">
            <v>-0.52582465283557278</v>
          </cell>
          <cell r="U16">
            <v>-36.072388162341745</v>
          </cell>
          <cell r="V16">
            <v>-36.76504404466219</v>
          </cell>
          <cell r="W16">
            <v>-9.5552125788574198</v>
          </cell>
          <cell r="X16">
            <v>-5.8787232371895293</v>
          </cell>
          <cell r="Z16">
            <v>37.011955084323986</v>
          </cell>
          <cell r="AA16">
            <v>0.27891361317377766</v>
          </cell>
          <cell r="AB16">
            <v>37.290868697497764</v>
          </cell>
          <cell r="AC16">
            <v>0.95899999999999996</v>
          </cell>
          <cell r="AD16">
            <v>36.319299202003542</v>
          </cell>
          <cell r="AE16">
            <v>0.27891361317377766</v>
          </cell>
          <cell r="AF16">
            <v>36.59821281517732</v>
          </cell>
          <cell r="AG16">
            <v>20.117909174069251</v>
          </cell>
          <cell r="AH16">
            <v>0.27891361317377766</v>
          </cell>
          <cell r="AI16">
            <v>20.396822787243028</v>
          </cell>
          <cell r="AJ16" t="str">
            <v>NA</v>
          </cell>
          <cell r="AK16" t="str">
            <v>NA</v>
          </cell>
          <cell r="AL16" t="str">
            <v>NA</v>
          </cell>
          <cell r="AM16" t="str">
            <v>NA</v>
          </cell>
          <cell r="AN16" t="str">
            <v>NA</v>
          </cell>
          <cell r="AO16" t="str">
            <v>NA</v>
          </cell>
          <cell r="AP16" t="str">
            <v>NA</v>
          </cell>
          <cell r="AQ16" t="str">
            <v>NA</v>
          </cell>
          <cell r="AR16" t="str">
            <v>NA</v>
          </cell>
          <cell r="AS16" t="str">
            <v>NA</v>
          </cell>
          <cell r="AT16" t="str">
            <v>NA</v>
          </cell>
          <cell r="AU16" t="str">
            <v>NA</v>
          </cell>
          <cell r="AV16" t="str">
            <v>NA</v>
          </cell>
          <cell r="AW16" t="str">
            <v>NA</v>
          </cell>
          <cell r="AX16" t="str">
            <v>NA</v>
          </cell>
          <cell r="AY16" t="str">
            <v>NA</v>
          </cell>
          <cell r="AZ16" t="str">
            <v>NA</v>
          </cell>
          <cell r="BA16" t="str">
            <v>NA</v>
          </cell>
          <cell r="BB16" t="str">
            <v>NA</v>
          </cell>
          <cell r="BC16" t="str">
            <v>NA</v>
          </cell>
        </row>
        <row r="17">
          <cell r="B17" t="str">
            <v>Phonebooks</v>
          </cell>
          <cell r="C17">
            <v>-40.198908550451655</v>
          </cell>
          <cell r="D17">
            <v>-11.931006857682895</v>
          </cell>
          <cell r="E17">
            <v>-7.53303966600848</v>
          </cell>
          <cell r="F17">
            <v>5.1977494442774608E-2</v>
          </cell>
          <cell r="G17">
            <v>-40.198908550451655</v>
          </cell>
          <cell r="H17">
            <v>-40.198908550451655</v>
          </cell>
          <cell r="I17">
            <v>-40.198908550451655</v>
          </cell>
          <cell r="J17">
            <v>-40.198908550451655</v>
          </cell>
          <cell r="K17">
            <v>-11.931006857682895</v>
          </cell>
          <cell r="L17">
            <v>0</v>
          </cell>
          <cell r="M17">
            <v>-11.931006857682895</v>
          </cell>
          <cell r="N17">
            <v>-7.8013127122329182</v>
          </cell>
          <cell r="O17" t="str">
            <v>NA</v>
          </cell>
          <cell r="P17">
            <v>0.26827304622443826</v>
          </cell>
          <cell r="Q17">
            <v>-7.53303966600848</v>
          </cell>
          <cell r="R17">
            <v>0.26827304622443826</v>
          </cell>
          <cell r="S17">
            <v>-0.21629555178166365</v>
          </cell>
          <cell r="T17">
            <v>5.1977494442774608E-2</v>
          </cell>
          <cell r="U17">
            <v>-40.250886044894429</v>
          </cell>
          <cell r="V17">
            <v>-40.250886044894429</v>
          </cell>
          <cell r="W17">
            <v>-11.982984352125669</v>
          </cell>
          <cell r="X17">
            <v>-7.5850171604512546</v>
          </cell>
          <cell r="Z17">
            <v>39.606352780829546</v>
          </cell>
          <cell r="AA17">
            <v>0.59255576962211132</v>
          </cell>
          <cell r="AB17">
            <v>40.198908550451655</v>
          </cell>
          <cell r="AC17">
            <v>1</v>
          </cell>
          <cell r="AD17">
            <v>39.606352780829546</v>
          </cell>
          <cell r="AE17">
            <v>0.59255576962211132</v>
          </cell>
          <cell r="AF17">
            <v>40.198908550451655</v>
          </cell>
          <cell r="AG17">
            <v>22.023816358981069</v>
          </cell>
          <cell r="AH17">
            <v>0.59255576962211132</v>
          </cell>
          <cell r="AI17">
            <v>22.616372128603182</v>
          </cell>
          <cell r="AJ17" t="str">
            <v>NA</v>
          </cell>
          <cell r="AK17" t="str">
            <v>NA</v>
          </cell>
          <cell r="AL17" t="str">
            <v>NA</v>
          </cell>
          <cell r="AM17" t="str">
            <v>NA</v>
          </cell>
          <cell r="AN17" t="str">
            <v>NA</v>
          </cell>
          <cell r="AO17" t="str">
            <v>NA</v>
          </cell>
          <cell r="AP17" t="str">
            <v>NA</v>
          </cell>
          <cell r="AQ17" t="str">
            <v>NA</v>
          </cell>
          <cell r="AR17" t="str">
            <v>NA</v>
          </cell>
          <cell r="AS17" t="str">
            <v>NA</v>
          </cell>
          <cell r="AT17" t="str">
            <v>NA</v>
          </cell>
          <cell r="AU17" t="str">
            <v>NA</v>
          </cell>
          <cell r="AV17" t="str">
            <v>NA</v>
          </cell>
          <cell r="AW17" t="str">
            <v>NA</v>
          </cell>
          <cell r="AX17" t="str">
            <v>NA</v>
          </cell>
          <cell r="AY17" t="str">
            <v>NA</v>
          </cell>
          <cell r="AZ17" t="str">
            <v>NA</v>
          </cell>
          <cell r="BA17" t="str">
            <v>NA</v>
          </cell>
          <cell r="BB17" t="str">
            <v>NA</v>
          </cell>
          <cell r="BC17" t="str">
            <v>NA</v>
          </cell>
        </row>
        <row r="18">
          <cell r="B18" t="str">
            <v>Textbooks</v>
          </cell>
          <cell r="C18">
            <v>-35.599721766002347</v>
          </cell>
          <cell r="D18">
            <v>-1.0271952983229131</v>
          </cell>
          <cell r="E18">
            <v>-6.4045478900251016</v>
          </cell>
          <cell r="F18">
            <v>-0.52582465283557278</v>
          </cell>
          <cell r="G18">
            <v>-35.599721766002347</v>
          </cell>
          <cell r="H18">
            <v>-35.663559250647594</v>
          </cell>
          <cell r="I18">
            <v>-35.599721766002347</v>
          </cell>
          <cell r="J18">
            <v>-35.663559250647594</v>
          </cell>
          <cell r="K18">
            <v>-1.0271952983229131</v>
          </cell>
          <cell r="L18">
            <v>0</v>
          </cell>
          <cell r="M18">
            <v>-1.0271952983229131</v>
          </cell>
          <cell r="N18">
            <v>-6.6728209362495399</v>
          </cell>
          <cell r="O18" t="str">
            <v>NA</v>
          </cell>
          <cell r="P18">
            <v>0.26827304622443826</v>
          </cell>
          <cell r="Q18">
            <v>-6.4045478900251016</v>
          </cell>
          <cell r="R18">
            <v>0.26827304622443826</v>
          </cell>
          <cell r="S18">
            <v>-0.79409769906001104</v>
          </cell>
          <cell r="T18">
            <v>-0.52582465283557278</v>
          </cell>
          <cell r="U18">
            <v>-35.073897113166772</v>
          </cell>
          <cell r="V18">
            <v>-35.13773459781202</v>
          </cell>
          <cell r="W18">
            <v>-0.50137064548734034</v>
          </cell>
          <cell r="X18">
            <v>-5.8787232371895293</v>
          </cell>
          <cell r="Z18">
            <v>35.071003481025485</v>
          </cell>
          <cell r="AA18">
            <v>0.59255576962211132</v>
          </cell>
          <cell r="AB18">
            <v>35.663559250647594</v>
          </cell>
          <cell r="AC18">
            <v>0.95899999999999996</v>
          </cell>
          <cell r="AD18">
            <v>35.007165996380238</v>
          </cell>
          <cell r="AE18">
            <v>0.59255576962211132</v>
          </cell>
          <cell r="AF18">
            <v>35.599721766002347</v>
          </cell>
          <cell r="AG18">
            <v>33.513991660409701</v>
          </cell>
          <cell r="AH18">
            <v>0.59255576962211132</v>
          </cell>
          <cell r="AI18">
            <v>34.10654743003181</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row>
        <row r="19">
          <cell r="B19" t="str">
            <v>Dimensional Lumber</v>
          </cell>
          <cell r="C19">
            <v>-3.6749756764231494</v>
          </cell>
          <cell r="D19">
            <v>0.58794120000000016</v>
          </cell>
          <cell r="E19">
            <v>-7.8764936847860305</v>
          </cell>
          <cell r="F19">
            <v>0.23480614912201328</v>
          </cell>
          <cell r="G19">
            <v>-3.6749756764231494</v>
          </cell>
          <cell r="H19">
            <v>-3.6749756764231494</v>
          </cell>
          <cell r="I19">
            <v>-3.6749756764231494</v>
          </cell>
          <cell r="J19">
            <v>-3.6749756764231494</v>
          </cell>
          <cell r="K19">
            <v>0.51594840000000008</v>
          </cell>
          <cell r="L19">
            <v>7.1992800000000065E-2</v>
          </cell>
          <cell r="M19">
            <v>0.58794120000000016</v>
          </cell>
          <cell r="N19">
            <v>-8.1447667310104688</v>
          </cell>
          <cell r="O19" t="str">
            <v>NA</v>
          </cell>
          <cell r="P19">
            <v>0.26827304622443826</v>
          </cell>
          <cell r="Q19">
            <v>-7.8764936847860305</v>
          </cell>
          <cell r="R19">
            <v>0.26827304622443826</v>
          </cell>
          <cell r="S19">
            <v>-3.3466897102424988E-2</v>
          </cell>
          <cell r="T19">
            <v>0.23480614912201328</v>
          </cell>
          <cell r="U19">
            <v>-3.9097818255451626</v>
          </cell>
          <cell r="V19">
            <v>-3.9097818255451626</v>
          </cell>
          <cell r="W19">
            <v>0.35313505087798691</v>
          </cell>
          <cell r="X19">
            <v>-8.1112998339080438</v>
          </cell>
          <cell r="Z19">
            <v>2.5270000000000001</v>
          </cell>
          <cell r="AA19">
            <v>1.147975676423149</v>
          </cell>
          <cell r="AB19">
            <v>3.6749756764231494</v>
          </cell>
          <cell r="AC19">
            <v>1</v>
          </cell>
          <cell r="AD19">
            <v>2.5270000000000001</v>
          </cell>
          <cell r="AE19">
            <v>1.147975676423149</v>
          </cell>
          <cell r="AF19">
            <v>3.6749756764231494</v>
          </cell>
          <cell r="AG19">
            <v>3.1720000000000002</v>
          </cell>
          <cell r="AH19">
            <v>1.2379756764231491</v>
          </cell>
          <cell r="AI19">
            <v>4.4099756764231497</v>
          </cell>
          <cell r="AJ19" t="str">
            <v>NA</v>
          </cell>
          <cell r="AK19" t="str">
            <v>NA</v>
          </cell>
          <cell r="AL19" t="str">
            <v>NA</v>
          </cell>
          <cell r="AM19" t="str">
            <v>NA</v>
          </cell>
          <cell r="AN19" t="str">
            <v>NA</v>
          </cell>
          <cell r="AO19" t="str">
            <v>NA</v>
          </cell>
          <cell r="AP19" t="str">
            <v>NA</v>
          </cell>
          <cell r="AQ19" t="str">
            <v>NA</v>
          </cell>
          <cell r="AR19" t="str">
            <v>NA</v>
          </cell>
          <cell r="AS19" t="str">
            <v>NA</v>
          </cell>
          <cell r="AT19" t="str">
            <v>NA</v>
          </cell>
          <cell r="AU19" t="str">
            <v>NA</v>
          </cell>
          <cell r="AV19" t="str">
            <v>NA</v>
          </cell>
          <cell r="AW19" t="str">
            <v>NA</v>
          </cell>
          <cell r="AX19" t="str">
            <v>NA</v>
          </cell>
          <cell r="AY19" t="str">
            <v>NA</v>
          </cell>
          <cell r="AZ19" t="str">
            <v>NA</v>
          </cell>
          <cell r="BA19" t="str">
            <v>NA</v>
          </cell>
          <cell r="BB19" t="str">
            <v>NA</v>
          </cell>
          <cell r="BC19" t="str">
            <v>NA</v>
          </cell>
        </row>
        <row r="20">
          <cell r="B20" t="str">
            <v>Medium-density Fiberboard</v>
          </cell>
          <cell r="C20">
            <v>-11.920555209697666</v>
          </cell>
          <cell r="D20">
            <v>0.85831415999999972</v>
          </cell>
          <cell r="E20">
            <v>-7.8764936847860305</v>
          </cell>
          <cell r="F20">
            <v>0.25673279267090809</v>
          </cell>
          <cell r="G20">
            <v>-11.920555209697666</v>
          </cell>
          <cell r="H20">
            <v>-11.920555209697666</v>
          </cell>
          <cell r="I20">
            <v>-11.920555209697666</v>
          </cell>
          <cell r="J20">
            <v>-11.920555209697666</v>
          </cell>
          <cell r="K20">
            <v>0.6519347999999997</v>
          </cell>
          <cell r="L20">
            <v>0.20637936000000001</v>
          </cell>
          <cell r="M20">
            <v>0.85831415999999972</v>
          </cell>
          <cell r="N20">
            <v>-8.1447667310104688</v>
          </cell>
          <cell r="O20" t="str">
            <v>NA</v>
          </cell>
          <cell r="P20">
            <v>0.26827304622443826</v>
          </cell>
          <cell r="Q20">
            <v>-7.8764936847860305</v>
          </cell>
          <cell r="R20">
            <v>0.26827304622443826</v>
          </cell>
          <cell r="S20">
            <v>-1.154025355353014E-2</v>
          </cell>
          <cell r="T20">
            <v>0.25673279267090809</v>
          </cell>
          <cell r="U20">
            <v>-12.177288002368574</v>
          </cell>
          <cell r="V20">
            <v>-12.177288002368574</v>
          </cell>
          <cell r="W20">
            <v>0.60158136732909162</v>
          </cell>
          <cell r="X20">
            <v>-8.1332264774569385</v>
          </cell>
          <cell r="Z20">
            <v>10.178000000000001</v>
          </cell>
          <cell r="AA20">
            <v>1.7425552096976653</v>
          </cell>
          <cell r="AB20">
            <v>11.920555209697666</v>
          </cell>
          <cell r="AC20">
            <v>1</v>
          </cell>
          <cell r="AD20">
            <v>10.178000000000001</v>
          </cell>
          <cell r="AE20">
            <v>1.7425552096976653</v>
          </cell>
          <cell r="AF20">
            <v>11.920555209697666</v>
          </cell>
          <cell r="AG20">
            <v>10.993</v>
          </cell>
          <cell r="AH20">
            <v>2.0005552096976653</v>
          </cell>
          <cell r="AI20">
            <v>12.993555209697666</v>
          </cell>
          <cell r="AJ20" t="str">
            <v>NA</v>
          </cell>
          <cell r="AK20" t="str">
            <v>NA</v>
          </cell>
          <cell r="AL20" t="str">
            <v>NA</v>
          </cell>
          <cell r="AM20" t="str">
            <v>NA</v>
          </cell>
          <cell r="AN20" t="str">
            <v>NA</v>
          </cell>
          <cell r="AO20" t="str">
            <v>NA</v>
          </cell>
          <cell r="AP20" t="str">
            <v>NA</v>
          </cell>
          <cell r="AQ20" t="str">
            <v>NA</v>
          </cell>
          <cell r="AR20" t="str">
            <v>NA</v>
          </cell>
          <cell r="AS20" t="str">
            <v>NA</v>
          </cell>
          <cell r="AT20" t="str">
            <v>NA</v>
          </cell>
          <cell r="AU20" t="str">
            <v>NA</v>
          </cell>
          <cell r="AV20" t="str">
            <v>NA</v>
          </cell>
          <cell r="AW20" t="str">
            <v>NA</v>
          </cell>
          <cell r="AX20" t="str">
            <v>NA</v>
          </cell>
          <cell r="AY20" t="str">
            <v>NA</v>
          </cell>
          <cell r="AZ20" t="str">
            <v>NA</v>
          </cell>
          <cell r="BA20" t="str">
            <v>NA</v>
          </cell>
          <cell r="BB20" t="str">
            <v>NA</v>
          </cell>
          <cell r="BC20" t="str">
            <v>NA</v>
          </cell>
        </row>
        <row r="21">
          <cell r="B21" t="str">
            <v>Food Waste</v>
          </cell>
          <cell r="C21">
            <v>-14.559042837202703</v>
          </cell>
          <cell r="D21">
            <v>0.25847304622443823</v>
          </cell>
          <cell r="E21">
            <v>-2.0574013094978278</v>
          </cell>
          <cell r="F21">
            <v>-2.3481946603406301E-2</v>
          </cell>
          <cell r="G21">
            <v>-14.559042837202703</v>
          </cell>
          <cell r="H21">
            <v>-14.559042837202703</v>
          </cell>
          <cell r="I21">
            <v>-14.559042837202703</v>
          </cell>
          <cell r="J21">
            <v>-14.559042837202703</v>
          </cell>
          <cell r="K21" t="str">
            <v>NA</v>
          </cell>
          <cell r="L21">
            <v>0.25847304622443823</v>
          </cell>
          <cell r="M21">
            <v>0.25847304622443823</v>
          </cell>
          <cell r="N21">
            <v>-2.3256743557222661</v>
          </cell>
          <cell r="O21" t="str">
            <v>NA</v>
          </cell>
          <cell r="P21">
            <v>0.26827304622443826</v>
          </cell>
          <cell r="Q21">
            <v>-2.0574013094978278</v>
          </cell>
          <cell r="R21">
            <v>0.26827304622443826</v>
          </cell>
          <cell r="S21">
            <v>-0.29175499282784456</v>
          </cell>
          <cell r="T21">
            <v>-2.3481946603406301E-2</v>
          </cell>
          <cell r="U21">
            <v>-14.535560890599298</v>
          </cell>
          <cell r="V21">
            <v>-14.535560890599298</v>
          </cell>
          <cell r="W21">
            <v>0.28195499282784453</v>
          </cell>
          <cell r="X21">
            <v>-2.0339193628944217</v>
          </cell>
          <cell r="Z21">
            <v>12.81139819619195</v>
          </cell>
          <cell r="AA21">
            <v>1.7476446410107538</v>
          </cell>
          <cell r="AB21">
            <v>14.559042837202703</v>
          </cell>
          <cell r="AC21">
            <v>1</v>
          </cell>
          <cell r="AD21">
            <v>12.81139819619195</v>
          </cell>
          <cell r="AE21">
            <v>1.7476446410107538</v>
          </cell>
          <cell r="AF21">
            <v>14.559042837202703</v>
          </cell>
          <cell r="AG21" t="str">
            <v>NA</v>
          </cell>
          <cell r="AH21" t="str">
            <v>NA</v>
          </cell>
          <cell r="AI21" t="str">
            <v>NA</v>
          </cell>
          <cell r="AJ21">
            <v>-0.56134499287533934</v>
          </cell>
          <cell r="AK21">
            <v>4.2585440490649468E-2</v>
          </cell>
          <cell r="AL21">
            <v>0.1005581429709073</v>
          </cell>
          <cell r="AM21">
            <v>0.14314358346155676</v>
          </cell>
          <cell r="AN21">
            <v>-0.41820140941378253</v>
          </cell>
          <cell r="AO21">
            <v>-0.56591815002282453</v>
          </cell>
          <cell r="AP21">
            <v>4.2585440490649468E-2</v>
          </cell>
          <cell r="AQ21">
            <v>7.8925271143284792E-2</v>
          </cell>
          <cell r="AR21">
            <v>0.12151071163393426</v>
          </cell>
          <cell r="AS21">
            <v>-0.44440743838889024</v>
          </cell>
          <cell r="AT21">
            <v>-0.66401298924643126</v>
          </cell>
          <cell r="AU21">
            <v>4.2585440490649468E-2</v>
          </cell>
          <cell r="AV21">
            <v>0.26027066048936548</v>
          </cell>
          <cell r="AW21">
            <v>0.30285610098001492</v>
          </cell>
          <cell r="AX21">
            <v>-0.36115688826641629</v>
          </cell>
          <cell r="AY21">
            <v>-0.6647751821043455</v>
          </cell>
          <cell r="AZ21">
            <v>4.2585440490649468E-2</v>
          </cell>
          <cell r="BA21">
            <v>0.25463641686988342</v>
          </cell>
          <cell r="BB21">
            <v>0.29722185736053286</v>
          </cell>
          <cell r="BC21">
            <v>-0.36755332474381258</v>
          </cell>
        </row>
        <row r="22">
          <cell r="B22" t="str">
            <v>Food Waste (non-meat)</v>
          </cell>
          <cell r="C22">
            <v>-7.201574287141435</v>
          </cell>
          <cell r="D22">
            <v>0.25847304622443823</v>
          </cell>
          <cell r="E22">
            <v>-2.0574013094978278</v>
          </cell>
          <cell r="F22">
            <v>-2.3481946603406301E-2</v>
          </cell>
          <cell r="G22">
            <v>-7.201574287141435</v>
          </cell>
          <cell r="H22">
            <v>-7.201574287141435</v>
          </cell>
          <cell r="I22">
            <v>-7.201574287141435</v>
          </cell>
          <cell r="J22">
            <v>-7.201574287141435</v>
          </cell>
          <cell r="K22" t="str">
            <v>NA</v>
          </cell>
          <cell r="L22">
            <v>0.25847304622443823</v>
          </cell>
          <cell r="M22">
            <v>0.25847304622443823</v>
          </cell>
          <cell r="N22">
            <v>-2.3256743557222661</v>
          </cell>
          <cell r="O22" t="str">
            <v>NA</v>
          </cell>
          <cell r="P22">
            <v>0.26827304622443826</v>
          </cell>
          <cell r="Q22">
            <v>-2.0574013094978278</v>
          </cell>
          <cell r="R22">
            <v>0.26827304622443826</v>
          </cell>
          <cell r="S22">
            <v>-0.29175499282784456</v>
          </cell>
          <cell r="T22">
            <v>-2.3481946603406301E-2</v>
          </cell>
          <cell r="U22">
            <v>-7.1780923405380284</v>
          </cell>
          <cell r="V22">
            <v>-7.1780923405380284</v>
          </cell>
          <cell r="W22">
            <v>0.28195499282784453</v>
          </cell>
          <cell r="X22">
            <v>-2.0339193628944217</v>
          </cell>
          <cell r="Z22">
            <v>5.7055257112622915</v>
          </cell>
          <cell r="AA22">
            <v>1.4960485758791433</v>
          </cell>
          <cell r="AB22">
            <v>7.201574287141435</v>
          </cell>
          <cell r="AC22">
            <v>1</v>
          </cell>
          <cell r="AD22">
            <v>5.7055257112622915</v>
          </cell>
          <cell r="AE22">
            <v>1.4960485758791433</v>
          </cell>
          <cell r="AF22">
            <v>7.201574287141435</v>
          </cell>
          <cell r="AG22" t="str">
            <v>NA</v>
          </cell>
          <cell r="AH22" t="str">
            <v>NA</v>
          </cell>
          <cell r="AI22" t="str">
            <v>NA</v>
          </cell>
          <cell r="AJ22">
            <v>-0.56134499287533934</v>
          </cell>
          <cell r="AK22">
            <v>4.2585440490649468E-2</v>
          </cell>
          <cell r="AL22">
            <v>0.1005581429709073</v>
          </cell>
          <cell r="AM22">
            <v>0.14314358346155676</v>
          </cell>
          <cell r="AN22">
            <v>-0.41820140941378253</v>
          </cell>
          <cell r="AO22">
            <v>-0.56591815002282453</v>
          </cell>
          <cell r="AP22">
            <v>4.2585440490649468E-2</v>
          </cell>
          <cell r="AQ22">
            <v>7.8925271143284792E-2</v>
          </cell>
          <cell r="AR22">
            <v>0.12151071163393426</v>
          </cell>
          <cell r="AS22">
            <v>-0.44440743838889024</v>
          </cell>
          <cell r="AT22">
            <v>-0.66401298924643126</v>
          </cell>
          <cell r="AU22">
            <v>4.2585440490649468E-2</v>
          </cell>
          <cell r="AV22">
            <v>0.26027066048936548</v>
          </cell>
          <cell r="AW22">
            <v>0.30285610098001492</v>
          </cell>
          <cell r="AX22">
            <v>-0.36115688826641629</v>
          </cell>
          <cell r="AY22">
            <v>-0.6647751821043455</v>
          </cell>
          <cell r="AZ22">
            <v>4.2585440490649468E-2</v>
          </cell>
          <cell r="BA22">
            <v>0.25463641686988342</v>
          </cell>
          <cell r="BB22">
            <v>0.29722185736053286</v>
          </cell>
          <cell r="BC22">
            <v>-0.36755332474381258</v>
          </cell>
        </row>
        <row r="23">
          <cell r="B23" t="str">
            <v>Food Waste (meat only)</v>
          </cell>
          <cell r="C23">
            <v>-43.602496945352172</v>
          </cell>
          <cell r="D23">
            <v>0.25847304622443823</v>
          </cell>
          <cell r="E23">
            <v>-2.0574013094978278</v>
          </cell>
          <cell r="F23">
            <v>-2.3481946603406301E-2</v>
          </cell>
          <cell r="G23">
            <v>-43.602496945352172</v>
          </cell>
          <cell r="H23">
            <v>-43.602496945352172</v>
          </cell>
          <cell r="I23">
            <v>-43.602496945352172</v>
          </cell>
          <cell r="J23">
            <v>-43.602496945352172</v>
          </cell>
          <cell r="K23" t="str">
            <v>NA</v>
          </cell>
          <cell r="L23">
            <v>0.25847304622443823</v>
          </cell>
          <cell r="M23">
            <v>0.25847304622443823</v>
          </cell>
          <cell r="N23">
            <v>-2.3256743557222661</v>
          </cell>
          <cell r="O23" t="str">
            <v>NA</v>
          </cell>
          <cell r="P23">
            <v>0.26827304622443826</v>
          </cell>
          <cell r="Q23">
            <v>-2.0574013094978278</v>
          </cell>
          <cell r="R23">
            <v>0.26827304622443826</v>
          </cell>
          <cell r="S23">
            <v>-0.29175499282784456</v>
          </cell>
          <cell r="T23">
            <v>-2.3481946603406301E-2</v>
          </cell>
          <cell r="U23">
            <v>-43.579014998748768</v>
          </cell>
          <cell r="V23">
            <v>-43.579014998748768</v>
          </cell>
          <cell r="W23">
            <v>0.28195499282784453</v>
          </cell>
          <cell r="X23">
            <v>-2.0339193628944217</v>
          </cell>
          <cell r="Z23">
            <v>40.861682068991918</v>
          </cell>
          <cell r="AA23">
            <v>2.7408148763602571</v>
          </cell>
          <cell r="AB23">
            <v>43.602496945352172</v>
          </cell>
          <cell r="AC23">
            <v>1</v>
          </cell>
          <cell r="AD23">
            <v>40.861682068991918</v>
          </cell>
          <cell r="AE23">
            <v>2.7408148763602571</v>
          </cell>
          <cell r="AF23">
            <v>43.602496945352172</v>
          </cell>
          <cell r="AG23" t="str">
            <v>NA</v>
          </cell>
          <cell r="AH23" t="str">
            <v>NA</v>
          </cell>
          <cell r="AI23" t="str">
            <v>NA</v>
          </cell>
          <cell r="AJ23">
            <v>-0.56134499287533934</v>
          </cell>
          <cell r="AK23">
            <v>4.2585440490649468E-2</v>
          </cell>
          <cell r="AL23">
            <v>0.1005581429709073</v>
          </cell>
          <cell r="AM23">
            <v>0.14314358346155676</v>
          </cell>
          <cell r="AN23">
            <v>-0.41820140941378253</v>
          </cell>
          <cell r="AO23">
            <v>-0.56591815002282453</v>
          </cell>
          <cell r="AP23">
            <v>4.2585440490649468E-2</v>
          </cell>
          <cell r="AQ23">
            <v>7.8925271143284792E-2</v>
          </cell>
          <cell r="AR23">
            <v>0.12151071163393426</v>
          </cell>
          <cell r="AS23">
            <v>-0.44440743838889024</v>
          </cell>
          <cell r="AT23">
            <v>-0.66401298924643126</v>
          </cell>
          <cell r="AU23">
            <v>4.2585440490649468E-2</v>
          </cell>
          <cell r="AV23">
            <v>0.26027066048936548</v>
          </cell>
          <cell r="AW23">
            <v>0.30285610098001492</v>
          </cell>
          <cell r="AX23">
            <v>-0.36115688826641629</v>
          </cell>
          <cell r="AY23">
            <v>-0.6647751821043455</v>
          </cell>
          <cell r="AZ23">
            <v>4.2585440490649468E-2</v>
          </cell>
          <cell r="BA23">
            <v>0.25463641686988342</v>
          </cell>
          <cell r="BB23">
            <v>0.29722185736053286</v>
          </cell>
          <cell r="BC23">
            <v>-0.36755332474381258</v>
          </cell>
        </row>
        <row r="24">
          <cell r="B24" t="str">
            <v>Beef</v>
          </cell>
          <cell r="C24">
            <v>-63.882874067756674</v>
          </cell>
          <cell r="D24">
            <v>0.25847304622443823</v>
          </cell>
          <cell r="E24">
            <v>-2.0574013094978278</v>
          </cell>
          <cell r="F24">
            <v>-2.3481946603406301E-2</v>
          </cell>
          <cell r="G24">
            <v>-63.882874067756674</v>
          </cell>
          <cell r="H24">
            <v>-63.882874067756674</v>
          </cell>
          <cell r="I24">
            <v>-63.882874067756674</v>
          </cell>
          <cell r="J24">
            <v>-63.882874067756674</v>
          </cell>
          <cell r="K24" t="str">
            <v>NA</v>
          </cell>
          <cell r="L24">
            <v>0.25847304622443823</v>
          </cell>
          <cell r="M24">
            <v>0.25847304622443823</v>
          </cell>
          <cell r="N24">
            <v>-2.3256743557222661</v>
          </cell>
          <cell r="O24" t="str">
            <v>NA</v>
          </cell>
          <cell r="P24">
            <v>0.26827304622443826</v>
          </cell>
          <cell r="Q24">
            <v>-2.0574013094978278</v>
          </cell>
          <cell r="R24">
            <v>0.26827304622443826</v>
          </cell>
          <cell r="S24">
            <v>-0.29175499282784456</v>
          </cell>
          <cell r="T24">
            <v>-2.3481946603406301E-2</v>
          </cell>
          <cell r="U24">
            <v>-63.85939212115327</v>
          </cell>
          <cell r="V24">
            <v>-63.85939212115327</v>
          </cell>
          <cell r="W24">
            <v>0.28195499282784453</v>
          </cell>
          <cell r="X24">
            <v>-2.0339193628944217</v>
          </cell>
          <cell r="Z24">
            <v>62.252628616769414</v>
          </cell>
          <cell r="AA24">
            <v>1.630245450987263</v>
          </cell>
          <cell r="AB24">
            <v>63.882874067756674</v>
          </cell>
          <cell r="AC24">
            <v>1</v>
          </cell>
          <cell r="AD24">
            <v>62.252628616769414</v>
          </cell>
          <cell r="AE24">
            <v>1.630245450987263</v>
          </cell>
          <cell r="AF24">
            <v>63.882874067756674</v>
          </cell>
          <cell r="AG24" t="str">
            <v>NA</v>
          </cell>
          <cell r="AH24" t="str">
            <v>NA</v>
          </cell>
          <cell r="AI24" t="str">
            <v>NA</v>
          </cell>
          <cell r="AJ24">
            <v>-0.56134499287533934</v>
          </cell>
          <cell r="AK24">
            <v>4.2585440490649468E-2</v>
          </cell>
          <cell r="AL24">
            <v>0.1005581429709073</v>
          </cell>
          <cell r="AM24">
            <v>0.14314358346155676</v>
          </cell>
          <cell r="AN24">
            <v>-0.41820140941378253</v>
          </cell>
          <cell r="AO24">
            <v>-0.56591815002282453</v>
          </cell>
          <cell r="AP24">
            <v>4.2585440490649468E-2</v>
          </cell>
          <cell r="AQ24">
            <v>7.8925271143284792E-2</v>
          </cell>
          <cell r="AR24">
            <v>0.12151071163393426</v>
          </cell>
          <cell r="AS24">
            <v>-0.44440743838889024</v>
          </cell>
          <cell r="AT24">
            <v>-0.66401298924643126</v>
          </cell>
          <cell r="AU24">
            <v>4.2585440490649468E-2</v>
          </cell>
          <cell r="AV24">
            <v>0.26027066048936548</v>
          </cell>
          <cell r="AW24">
            <v>0.30285610098001492</v>
          </cell>
          <cell r="AX24">
            <v>-0.36115688826641629</v>
          </cell>
          <cell r="AY24">
            <v>-0.6647751821043455</v>
          </cell>
          <cell r="AZ24">
            <v>4.2585440490649468E-2</v>
          </cell>
          <cell r="BA24">
            <v>0.25463641686988342</v>
          </cell>
          <cell r="BB24">
            <v>0.29722185736053286</v>
          </cell>
          <cell r="BC24">
            <v>-0.36755332474381258</v>
          </cell>
        </row>
        <row r="25">
          <cell r="B25" t="str">
            <v>Poultry</v>
          </cell>
          <cell r="C25">
            <v>-26.480489517117867</v>
          </cell>
          <cell r="D25">
            <v>0.25847304622443823</v>
          </cell>
          <cell r="E25">
            <v>-2.0574013094978278</v>
          </cell>
          <cell r="F25">
            <v>-2.3481946603406301E-2</v>
          </cell>
          <cell r="G25">
            <v>-26.480489517117867</v>
          </cell>
          <cell r="H25">
            <v>-26.480489517117867</v>
          </cell>
          <cell r="I25">
            <v>-26.480489517117867</v>
          </cell>
          <cell r="J25">
            <v>-26.480489517117867</v>
          </cell>
          <cell r="K25" t="str">
            <v>NA</v>
          </cell>
          <cell r="L25">
            <v>0.25847304622443823</v>
          </cell>
          <cell r="M25">
            <v>0.25847304622443823</v>
          </cell>
          <cell r="N25">
            <v>-2.3256743557222661</v>
          </cell>
          <cell r="O25" t="str">
            <v>NA</v>
          </cell>
          <cell r="P25">
            <v>0.26827304622443826</v>
          </cell>
          <cell r="Q25">
            <v>-2.0574013094978278</v>
          </cell>
          <cell r="R25">
            <v>0.26827304622443826</v>
          </cell>
          <cell r="S25">
            <v>-0.29175499282784456</v>
          </cell>
          <cell r="T25">
            <v>-2.3481946603406301E-2</v>
          </cell>
          <cell r="U25">
            <v>-26.45700757051446</v>
          </cell>
          <cell r="V25">
            <v>-26.45700757051446</v>
          </cell>
          <cell r="W25">
            <v>0.28195499282784453</v>
          </cell>
          <cell r="X25">
            <v>-2.0339193628944217</v>
          </cell>
          <cell r="Z25">
            <v>22.802060027575713</v>
          </cell>
          <cell r="AA25">
            <v>3.6784294895421543</v>
          </cell>
          <cell r="AB25">
            <v>26.480489517117867</v>
          </cell>
          <cell r="AC25">
            <v>1</v>
          </cell>
          <cell r="AD25">
            <v>22.802060027575713</v>
          </cell>
          <cell r="AE25">
            <v>3.6784294895421543</v>
          </cell>
          <cell r="AF25">
            <v>26.480489517117867</v>
          </cell>
          <cell r="AG25" t="str">
            <v>NA</v>
          </cell>
          <cell r="AH25" t="str">
            <v>NA</v>
          </cell>
          <cell r="AI25" t="str">
            <v>NA</v>
          </cell>
          <cell r="AJ25">
            <v>-0.56134499287533934</v>
          </cell>
          <cell r="AK25">
            <v>4.2585440490649468E-2</v>
          </cell>
          <cell r="AL25">
            <v>0.1005581429709073</v>
          </cell>
          <cell r="AM25">
            <v>0.14314358346155676</v>
          </cell>
          <cell r="AN25">
            <v>-0.41820140941378253</v>
          </cell>
          <cell r="AO25">
            <v>-0.56591815002282453</v>
          </cell>
          <cell r="AP25">
            <v>4.2585440490649468E-2</v>
          </cell>
          <cell r="AQ25">
            <v>7.8925271143284792E-2</v>
          </cell>
          <cell r="AR25">
            <v>0.12151071163393426</v>
          </cell>
          <cell r="AS25">
            <v>-0.44440743838889024</v>
          </cell>
          <cell r="AT25">
            <v>-0.66401298924643126</v>
          </cell>
          <cell r="AU25">
            <v>4.2585440490649468E-2</v>
          </cell>
          <cell r="AV25">
            <v>0.26027066048936548</v>
          </cell>
          <cell r="AW25">
            <v>0.30285610098001492</v>
          </cell>
          <cell r="AX25">
            <v>-0.36115688826641629</v>
          </cell>
          <cell r="AY25">
            <v>-0.6647751821043455</v>
          </cell>
          <cell r="AZ25">
            <v>4.2585440490649468E-2</v>
          </cell>
          <cell r="BA25">
            <v>0.25463641686988342</v>
          </cell>
          <cell r="BB25">
            <v>0.29722185736053286</v>
          </cell>
          <cell r="BC25">
            <v>-0.36755332474381258</v>
          </cell>
        </row>
        <row r="26">
          <cell r="B26" t="str">
            <v>Grains</v>
          </cell>
          <cell r="C26">
            <v>-5.642138563263372</v>
          </cell>
          <cell r="D26">
            <v>0.25847304622443823</v>
          </cell>
          <cell r="E26">
            <v>-2.0574013094978278</v>
          </cell>
          <cell r="F26">
            <v>-2.3481946603406301E-2</v>
          </cell>
          <cell r="G26">
            <v>-5.642138563263372</v>
          </cell>
          <cell r="H26">
            <v>-5.642138563263372</v>
          </cell>
          <cell r="I26">
            <v>-5.642138563263372</v>
          </cell>
          <cell r="J26">
            <v>-5.642138563263372</v>
          </cell>
          <cell r="K26" t="str">
            <v>NA</v>
          </cell>
          <cell r="L26">
            <v>0.25847304622443823</v>
          </cell>
          <cell r="M26">
            <v>0.25847304622443823</v>
          </cell>
          <cell r="N26">
            <v>-2.3256743557222661</v>
          </cell>
          <cell r="O26" t="str">
            <v>NA</v>
          </cell>
          <cell r="P26">
            <v>0.26827304622443826</v>
          </cell>
          <cell r="Q26">
            <v>-2.0574013094978278</v>
          </cell>
          <cell r="R26">
            <v>0.26827304622443826</v>
          </cell>
          <cell r="S26">
            <v>-0.29175499282784456</v>
          </cell>
          <cell r="T26">
            <v>-2.3481946603406301E-2</v>
          </cell>
          <cell r="U26">
            <v>-5.6186566166599654</v>
          </cell>
          <cell r="V26">
            <v>-5.6186566166599654</v>
          </cell>
          <cell r="W26">
            <v>0.28195499282784453</v>
          </cell>
          <cell r="X26">
            <v>-2.0339193628944217</v>
          </cell>
          <cell r="Z26">
            <v>5.354542814270955</v>
          </cell>
          <cell r="AA26">
            <v>0.28759574899241669</v>
          </cell>
          <cell r="AB26">
            <v>5.642138563263372</v>
          </cell>
          <cell r="AC26">
            <v>1</v>
          </cell>
          <cell r="AD26">
            <v>5.354542814270955</v>
          </cell>
          <cell r="AE26">
            <v>0.28759574899241669</v>
          </cell>
          <cell r="AF26">
            <v>5.642138563263372</v>
          </cell>
          <cell r="AG26" t="str">
            <v>NA</v>
          </cell>
          <cell r="AH26" t="str">
            <v>NA</v>
          </cell>
          <cell r="AI26" t="str">
            <v>NA</v>
          </cell>
          <cell r="AJ26">
            <v>-0.56134499287533934</v>
          </cell>
          <cell r="AK26">
            <v>4.2585440490649468E-2</v>
          </cell>
          <cell r="AL26">
            <v>0.1005581429709073</v>
          </cell>
          <cell r="AM26">
            <v>0.14314358346155676</v>
          </cell>
          <cell r="AN26">
            <v>-0.41820140941378253</v>
          </cell>
          <cell r="AO26">
            <v>-0.56591815002282453</v>
          </cell>
          <cell r="AP26">
            <v>4.2585440490649468E-2</v>
          </cell>
          <cell r="AQ26">
            <v>7.8925271143284792E-2</v>
          </cell>
          <cell r="AR26">
            <v>0.12151071163393426</v>
          </cell>
          <cell r="AS26">
            <v>-0.44440743838889024</v>
          </cell>
          <cell r="AT26">
            <v>-0.66401298924643126</v>
          </cell>
          <cell r="AU26">
            <v>4.2585440490649468E-2</v>
          </cell>
          <cell r="AV26">
            <v>0.26027066048936548</v>
          </cell>
          <cell r="AW26">
            <v>0.30285610098001492</v>
          </cell>
          <cell r="AX26">
            <v>-0.36115688826641629</v>
          </cell>
          <cell r="AY26">
            <v>-0.6647751821043455</v>
          </cell>
          <cell r="AZ26">
            <v>4.2585440490649468E-2</v>
          </cell>
          <cell r="BA26">
            <v>0.25463641686988342</v>
          </cell>
          <cell r="BB26">
            <v>0.29722185736053286</v>
          </cell>
          <cell r="BC26">
            <v>-0.36755332474381258</v>
          </cell>
        </row>
        <row r="27">
          <cell r="B27" t="str">
            <v>Bread</v>
          </cell>
          <cell r="C27">
            <v>-6.5221665213326432</v>
          </cell>
          <cell r="D27">
            <v>0.25847304622443823</v>
          </cell>
          <cell r="E27">
            <v>-2.0574013094978278</v>
          </cell>
          <cell r="F27">
            <v>-2.3481946603406301E-2</v>
          </cell>
          <cell r="G27">
            <v>-6.5221665213326432</v>
          </cell>
          <cell r="H27">
            <v>-6.5221665213326432</v>
          </cell>
          <cell r="I27">
            <v>-6.5221665213326432</v>
          </cell>
          <cell r="J27">
            <v>-6.5221665213326432</v>
          </cell>
          <cell r="K27" t="str">
            <v>NA</v>
          </cell>
          <cell r="L27">
            <v>0.25847304622443823</v>
          </cell>
          <cell r="M27">
            <v>0.25847304622443823</v>
          </cell>
          <cell r="N27">
            <v>-2.3256743557222661</v>
          </cell>
          <cell r="O27" t="str">
            <v>NA</v>
          </cell>
          <cell r="P27">
            <v>0.26827304622443826</v>
          </cell>
          <cell r="Q27">
            <v>-2.0574013094978278</v>
          </cell>
          <cell r="R27">
            <v>0.26827304622443826</v>
          </cell>
          <cell r="S27">
            <v>-0.29175499282784456</v>
          </cell>
          <cell r="T27">
            <v>-2.3481946603406301E-2</v>
          </cell>
          <cell r="U27">
            <v>-6.4986845747292366</v>
          </cell>
          <cell r="V27">
            <v>-6.4986845747292366</v>
          </cell>
          <cell r="W27">
            <v>0.28195499282784453</v>
          </cell>
          <cell r="X27">
            <v>-2.0339193628944217</v>
          </cell>
          <cell r="Z27">
            <v>6.3387564021638942</v>
          </cell>
          <cell r="AA27">
            <v>0.18341011916874872</v>
          </cell>
          <cell r="AB27">
            <v>6.5221665213326432</v>
          </cell>
          <cell r="AC27">
            <v>1</v>
          </cell>
          <cell r="AD27">
            <v>6.3387564021638942</v>
          </cell>
          <cell r="AE27">
            <v>0.18341011916874872</v>
          </cell>
          <cell r="AF27">
            <v>6.5221665213326432</v>
          </cell>
          <cell r="AG27" t="str">
            <v>NA</v>
          </cell>
          <cell r="AH27" t="str">
            <v>NA</v>
          </cell>
          <cell r="AI27" t="str">
            <v>NA</v>
          </cell>
          <cell r="AJ27">
            <v>-0.56134499287533934</v>
          </cell>
          <cell r="AK27">
            <v>4.2585440490649468E-2</v>
          </cell>
          <cell r="AL27">
            <v>0.1005581429709073</v>
          </cell>
          <cell r="AM27">
            <v>0.14314358346155676</v>
          </cell>
          <cell r="AN27">
            <v>-0.41820140941378253</v>
          </cell>
          <cell r="AO27">
            <v>-0.56591815002282453</v>
          </cell>
          <cell r="AP27">
            <v>4.2585440490649468E-2</v>
          </cell>
          <cell r="AQ27">
            <v>7.8925271143284792E-2</v>
          </cell>
          <cell r="AR27">
            <v>0.12151071163393426</v>
          </cell>
          <cell r="AS27">
            <v>-0.44440743838889024</v>
          </cell>
          <cell r="AT27">
            <v>-0.66401298924643126</v>
          </cell>
          <cell r="AU27">
            <v>4.2585440490649468E-2</v>
          </cell>
          <cell r="AV27">
            <v>0.26027066048936548</v>
          </cell>
          <cell r="AW27">
            <v>0.30285610098001492</v>
          </cell>
          <cell r="AX27">
            <v>-0.36115688826641629</v>
          </cell>
          <cell r="AY27">
            <v>-0.6647751821043455</v>
          </cell>
          <cell r="AZ27">
            <v>4.2585440490649468E-2</v>
          </cell>
          <cell r="BA27">
            <v>0.25463641686988342</v>
          </cell>
          <cell r="BB27">
            <v>0.29722185736053286</v>
          </cell>
          <cell r="BC27">
            <v>-0.36755332474381258</v>
          </cell>
        </row>
        <row r="28">
          <cell r="B28" t="str">
            <v>Fruits and Vegetables</v>
          </cell>
          <cell r="C28">
            <v>-5.0692234436343391</v>
          </cell>
          <cell r="D28">
            <v>0.25847304622443823</v>
          </cell>
          <cell r="E28">
            <v>-2.0574013094978278</v>
          </cell>
          <cell r="F28">
            <v>-2.3481946603406301E-2</v>
          </cell>
          <cell r="G28">
            <v>-5.0692234436343391</v>
          </cell>
          <cell r="H28">
            <v>-5.0692234436343391</v>
          </cell>
          <cell r="I28">
            <v>-5.0692234436343391</v>
          </cell>
          <cell r="J28">
            <v>-5.0692234436343391</v>
          </cell>
          <cell r="K28" t="str">
            <v>NA</v>
          </cell>
          <cell r="L28">
            <v>0.25847304622443823</v>
          </cell>
          <cell r="M28">
            <v>0.25847304622443823</v>
          </cell>
          <cell r="N28">
            <v>-2.3256743557222661</v>
          </cell>
          <cell r="O28" t="str">
            <v>NA</v>
          </cell>
          <cell r="P28">
            <v>0.26827304622443826</v>
          </cell>
          <cell r="Q28">
            <v>-2.0574013094978278</v>
          </cell>
          <cell r="R28">
            <v>0.26827304622443826</v>
          </cell>
          <cell r="S28">
            <v>-0.29175499282784456</v>
          </cell>
          <cell r="T28">
            <v>-2.3481946603406301E-2</v>
          </cell>
          <cell r="U28">
            <v>-5.0457414970309324</v>
          </cell>
          <cell r="V28">
            <v>-5.0457414970309324</v>
          </cell>
          <cell r="W28">
            <v>0.28195499282784453</v>
          </cell>
          <cell r="X28">
            <v>-2.0339193628944217</v>
          </cell>
          <cell r="Z28">
            <v>2.9478223751654755</v>
          </cell>
          <cell r="AA28">
            <v>2.121401068468864</v>
          </cell>
          <cell r="AB28">
            <v>5.0692234436343391</v>
          </cell>
          <cell r="AC28">
            <v>1</v>
          </cell>
          <cell r="AD28">
            <v>2.9478223751654755</v>
          </cell>
          <cell r="AE28">
            <v>2.121401068468864</v>
          </cell>
          <cell r="AF28">
            <v>5.0692234436343391</v>
          </cell>
          <cell r="AG28" t="str">
            <v>NA</v>
          </cell>
          <cell r="AH28" t="str">
            <v>NA</v>
          </cell>
          <cell r="AI28" t="str">
            <v>NA</v>
          </cell>
          <cell r="AJ28">
            <v>-0.56134499287533934</v>
          </cell>
          <cell r="AK28">
            <v>4.2585440490649468E-2</v>
          </cell>
          <cell r="AL28">
            <v>0.1005581429709073</v>
          </cell>
          <cell r="AM28">
            <v>0.14314358346155676</v>
          </cell>
          <cell r="AN28">
            <v>-0.41820140941378253</v>
          </cell>
          <cell r="AO28">
            <v>-0.56591815002282453</v>
          </cell>
          <cell r="AP28">
            <v>4.2585440490649468E-2</v>
          </cell>
          <cell r="AQ28">
            <v>7.8925271143284792E-2</v>
          </cell>
          <cell r="AR28">
            <v>0.12151071163393426</v>
          </cell>
          <cell r="AS28">
            <v>-0.44440743838889024</v>
          </cell>
          <cell r="AT28">
            <v>-0.66401298924643126</v>
          </cell>
          <cell r="AU28">
            <v>4.2585440490649468E-2</v>
          </cell>
          <cell r="AV28">
            <v>0.26027066048936548</v>
          </cell>
          <cell r="AW28">
            <v>0.30285610098001492</v>
          </cell>
          <cell r="AX28">
            <v>-0.36115688826641629</v>
          </cell>
          <cell r="AY28">
            <v>-0.6647751821043455</v>
          </cell>
          <cell r="AZ28">
            <v>4.2585440490649468E-2</v>
          </cell>
          <cell r="BA28">
            <v>0.25463641686988342</v>
          </cell>
          <cell r="BB28">
            <v>0.29722185736053286</v>
          </cell>
          <cell r="BC28">
            <v>-0.36755332474381258</v>
          </cell>
        </row>
        <row r="29">
          <cell r="B29" t="str">
            <v>Dairy Products</v>
          </cell>
          <cell r="C29">
            <v>-14.267376488498567</v>
          </cell>
          <cell r="D29">
            <v>0.25847304622443823</v>
          </cell>
          <cell r="E29">
            <v>-2.0574013094978278</v>
          </cell>
          <cell r="F29">
            <v>-2.3481946603406301E-2</v>
          </cell>
          <cell r="G29">
            <v>-14.267376488498567</v>
          </cell>
          <cell r="H29">
            <v>-14.267376488498567</v>
          </cell>
          <cell r="I29">
            <v>-14.267376488498567</v>
          </cell>
          <cell r="J29">
            <v>-14.267376488498567</v>
          </cell>
          <cell r="K29" t="str">
            <v>NA</v>
          </cell>
          <cell r="L29">
            <v>0.25847304622443823</v>
          </cell>
          <cell r="M29">
            <v>0.25847304622443823</v>
          </cell>
          <cell r="N29">
            <v>-2.3256743557222661</v>
          </cell>
          <cell r="O29" t="str">
            <v>NA</v>
          </cell>
          <cell r="P29">
            <v>0.26827304622443826</v>
          </cell>
          <cell r="Q29">
            <v>-2.0574013094978278</v>
          </cell>
          <cell r="R29">
            <v>0.26827304622443826</v>
          </cell>
          <cell r="S29">
            <v>-0.29175499282784456</v>
          </cell>
          <cell r="T29">
            <v>-2.3481946603406301E-2</v>
          </cell>
          <cell r="U29">
            <v>-14.243894541895161</v>
          </cell>
          <cell r="V29">
            <v>-14.243894541895161</v>
          </cell>
          <cell r="W29">
            <v>0.28195499282784453</v>
          </cell>
          <cell r="X29">
            <v>-2.0339193628944217</v>
          </cell>
          <cell r="Z29">
            <v>13.614106752104734</v>
          </cell>
          <cell r="AA29">
            <v>0.65326973639383323</v>
          </cell>
          <cell r="AB29">
            <v>14.267376488498567</v>
          </cell>
          <cell r="AC29">
            <v>1</v>
          </cell>
          <cell r="AD29">
            <v>13.614106752104734</v>
          </cell>
          <cell r="AE29">
            <v>0.65326973639383323</v>
          </cell>
          <cell r="AF29">
            <v>14.267376488498567</v>
          </cell>
          <cell r="AG29" t="str">
            <v>NA</v>
          </cell>
          <cell r="AH29" t="str">
            <v>NA</v>
          </cell>
          <cell r="AI29" t="str">
            <v>NA</v>
          </cell>
          <cell r="AJ29">
            <v>-0.56134499287533934</v>
          </cell>
          <cell r="AK29">
            <v>4.2585440490649468E-2</v>
          </cell>
          <cell r="AL29">
            <v>0.1005581429709073</v>
          </cell>
          <cell r="AM29">
            <v>0.14314358346155676</v>
          </cell>
          <cell r="AN29">
            <v>-0.41820140941378253</v>
          </cell>
          <cell r="AO29">
            <v>-0.56591815002282453</v>
          </cell>
          <cell r="AP29">
            <v>4.2585440490649468E-2</v>
          </cell>
          <cell r="AQ29">
            <v>7.8925271143284792E-2</v>
          </cell>
          <cell r="AR29">
            <v>0.12151071163393426</v>
          </cell>
          <cell r="AS29">
            <v>-0.44440743838889024</v>
          </cell>
          <cell r="AT29">
            <v>-0.66401298924643126</v>
          </cell>
          <cell r="AU29">
            <v>4.2585440490649468E-2</v>
          </cell>
          <cell r="AV29">
            <v>0.26027066048936548</v>
          </cell>
          <cell r="AW29">
            <v>0.30285610098001492</v>
          </cell>
          <cell r="AX29">
            <v>-0.36115688826641629</v>
          </cell>
          <cell r="AY29">
            <v>-0.6647751821043455</v>
          </cell>
          <cell r="AZ29">
            <v>4.2585440490649468E-2</v>
          </cell>
          <cell r="BA29">
            <v>0.25463641686988342</v>
          </cell>
          <cell r="BB29">
            <v>0.29722185736053286</v>
          </cell>
          <cell r="BC29">
            <v>-0.36755332474381258</v>
          </cell>
        </row>
        <row r="30">
          <cell r="B30" t="str">
            <v>Yard Trimmings</v>
          </cell>
          <cell r="C30" t="str">
            <v>NA</v>
          </cell>
          <cell r="D30">
            <v>0.25847304622443823</v>
          </cell>
          <cell r="E30">
            <v>-2.4793591039959604</v>
          </cell>
          <cell r="F30">
            <v>0.13685423589273019</v>
          </cell>
          <cell r="G30" t="str">
            <v>NA</v>
          </cell>
          <cell r="H30" t="str">
            <v>NA</v>
          </cell>
          <cell r="I30" t="str">
            <v>NA</v>
          </cell>
          <cell r="J30" t="str">
            <v>NA</v>
          </cell>
          <cell r="K30" t="str">
            <v>NA</v>
          </cell>
          <cell r="L30">
            <v>0.25847304622443823</v>
          </cell>
          <cell r="M30">
            <v>0.25847304622443823</v>
          </cell>
          <cell r="N30">
            <v>-2.7476321502203986</v>
          </cell>
          <cell r="O30" t="str">
            <v>NA</v>
          </cell>
          <cell r="P30">
            <v>0.26827304622443826</v>
          </cell>
          <cell r="Q30">
            <v>-2.4793591039959604</v>
          </cell>
          <cell r="R30">
            <v>0.26827304622443826</v>
          </cell>
          <cell r="S30">
            <v>-0.13141881033170807</v>
          </cell>
          <cell r="T30">
            <v>0.13685423589273019</v>
          </cell>
          <cell r="U30" t="str">
            <v>NA</v>
          </cell>
          <cell r="V30" t="str">
            <v>NA</v>
          </cell>
          <cell r="W30">
            <v>0.12161881033170804</v>
          </cell>
          <cell r="X30">
            <v>-2.6162133398886906</v>
          </cell>
          <cell r="Z30" t="str">
            <v>NA</v>
          </cell>
          <cell r="AA30" t="str">
            <v>NA</v>
          </cell>
          <cell r="AB30" t="str">
            <v>NA</v>
          </cell>
          <cell r="AC30" t="str">
            <v>NA</v>
          </cell>
          <cell r="AD30" t="str">
            <v>NA</v>
          </cell>
          <cell r="AE30" t="str">
            <v>NA</v>
          </cell>
          <cell r="AF30" t="str">
            <v>NA</v>
          </cell>
          <cell r="AG30" t="str">
            <v>NA</v>
          </cell>
          <cell r="AH30" t="str">
            <v>NA</v>
          </cell>
          <cell r="AI30" t="str">
            <v>NA</v>
          </cell>
          <cell r="AJ30" t="str">
            <v>NA</v>
          </cell>
          <cell r="AK30" t="str">
            <v>NA</v>
          </cell>
          <cell r="AL30" t="str">
            <v>NA</v>
          </cell>
          <cell r="AM30" t="str">
            <v>NA</v>
          </cell>
          <cell r="AN30" t="str">
            <v>NA</v>
          </cell>
          <cell r="AO30" t="str">
            <v>NA</v>
          </cell>
          <cell r="AP30" t="str">
            <v>NA</v>
          </cell>
          <cell r="AQ30" t="str">
            <v>NA</v>
          </cell>
          <cell r="AR30" t="str">
            <v>NA</v>
          </cell>
          <cell r="AS30" t="str">
            <v>NA</v>
          </cell>
          <cell r="AT30">
            <v>-0.18855839713852107</v>
          </cell>
          <cell r="AU30">
            <v>4.2585440490649468E-2</v>
          </cell>
          <cell r="AV30">
            <v>0.26929868172936039</v>
          </cell>
          <cell r="AW30">
            <v>0.31188412222000983</v>
          </cell>
          <cell r="AX30">
            <v>0.12332572508148879</v>
          </cell>
          <cell r="AY30">
            <v>-0.19096418290678432</v>
          </cell>
          <cell r="AZ30">
            <v>4.2585440490649468E-2</v>
          </cell>
          <cell r="BA30">
            <v>0.26929868172936039</v>
          </cell>
          <cell r="BB30">
            <v>0.31188412222000983</v>
          </cell>
          <cell r="BC30">
            <v>0.12091993931322553</v>
          </cell>
        </row>
        <row r="31">
          <cell r="B31" t="str">
            <v>Grass</v>
          </cell>
          <cell r="C31" t="str">
            <v>NA</v>
          </cell>
          <cell r="D31">
            <v>0.25847304622443823</v>
          </cell>
          <cell r="E31">
            <v>-2.4793591039959604</v>
          </cell>
          <cell r="F31">
            <v>0.18621245875479675</v>
          </cell>
          <cell r="G31" t="str">
            <v>NA</v>
          </cell>
          <cell r="H31" t="str">
            <v>NA</v>
          </cell>
          <cell r="I31" t="str">
            <v>NA</v>
          </cell>
          <cell r="J31" t="str">
            <v>NA</v>
          </cell>
          <cell r="K31" t="str">
            <v>NA</v>
          </cell>
          <cell r="L31">
            <v>0.25847304622443823</v>
          </cell>
          <cell r="M31">
            <v>0.25847304622443823</v>
          </cell>
          <cell r="N31">
            <v>-2.7476321502203986</v>
          </cell>
          <cell r="O31" t="str">
            <v>NA</v>
          </cell>
          <cell r="P31">
            <v>0.26827304622443826</v>
          </cell>
          <cell r="Q31">
            <v>-2.4793591039959604</v>
          </cell>
          <cell r="R31">
            <v>0.26827304622443826</v>
          </cell>
          <cell r="S31">
            <v>-8.2060587469641524E-2</v>
          </cell>
          <cell r="T31">
            <v>0.18621245875479675</v>
          </cell>
          <cell r="U31" t="str">
            <v>NA</v>
          </cell>
          <cell r="V31" t="str">
            <v>NA</v>
          </cell>
          <cell r="W31">
            <v>7.226058746964148E-2</v>
          </cell>
          <cell r="X31">
            <v>-2.665571562750757</v>
          </cell>
          <cell r="Z31" t="str">
            <v>NA</v>
          </cell>
          <cell r="AA31" t="str">
            <v>NA</v>
          </cell>
          <cell r="AB31" t="str">
            <v>NA</v>
          </cell>
          <cell r="AC31" t="str">
            <v>NA</v>
          </cell>
          <cell r="AD31" t="str">
            <v>NA</v>
          </cell>
          <cell r="AE31" t="str">
            <v>NA</v>
          </cell>
          <cell r="AF31" t="str">
            <v>NA</v>
          </cell>
          <cell r="AG31" t="str">
            <v>NA</v>
          </cell>
          <cell r="AH31" t="str">
            <v>NA</v>
          </cell>
          <cell r="AI31" t="str">
            <v>NA</v>
          </cell>
          <cell r="AJ31" t="str">
            <v>NA</v>
          </cell>
          <cell r="AK31" t="str">
            <v>NA</v>
          </cell>
          <cell r="AL31" t="str">
            <v>NA</v>
          </cell>
          <cell r="AM31" t="str">
            <v>NA</v>
          </cell>
          <cell r="AN31" t="str">
            <v>NA</v>
          </cell>
          <cell r="AO31" t="str">
            <v>NA</v>
          </cell>
          <cell r="AP31" t="str">
            <v>NA</v>
          </cell>
          <cell r="AQ31" t="str">
            <v>NA</v>
          </cell>
          <cell r="AR31" t="str">
            <v>NA</v>
          </cell>
          <cell r="AS31" t="str">
            <v>NA</v>
          </cell>
          <cell r="AT31">
            <v>-0.18323834831076871</v>
          </cell>
          <cell r="AU31">
            <v>4.2585440490649468E-2</v>
          </cell>
          <cell r="AV31">
            <v>0.25745087177482961</v>
          </cell>
          <cell r="AW31">
            <v>0.30003631226547911</v>
          </cell>
          <cell r="AX31">
            <v>0.11679796395471037</v>
          </cell>
          <cell r="AY31">
            <v>-0.18385217930293188</v>
          </cell>
          <cell r="AZ31">
            <v>4.2585440490649468E-2</v>
          </cell>
          <cell r="BA31">
            <v>0.25331290120064992</v>
          </cell>
          <cell r="BB31">
            <v>0.29589834169129936</v>
          </cell>
          <cell r="BC31">
            <v>0.11204616238836751</v>
          </cell>
        </row>
        <row r="32">
          <cell r="B32" t="str">
            <v>Leaves</v>
          </cell>
          <cell r="C32" t="str">
            <v>NA</v>
          </cell>
          <cell r="D32">
            <v>0.25847304622443823</v>
          </cell>
          <cell r="E32">
            <v>-2.4793591039959604</v>
          </cell>
          <cell r="F32">
            <v>0.15593669251161218</v>
          </cell>
          <cell r="G32" t="str">
            <v>NA</v>
          </cell>
          <cell r="H32" t="str">
            <v>NA</v>
          </cell>
          <cell r="I32" t="str">
            <v>NA</v>
          </cell>
          <cell r="J32" t="str">
            <v>NA</v>
          </cell>
          <cell r="K32" t="str">
            <v>NA</v>
          </cell>
          <cell r="L32">
            <v>0.25847304622443823</v>
          </cell>
          <cell r="M32">
            <v>0.25847304622443823</v>
          </cell>
          <cell r="N32">
            <v>-2.7476321502203986</v>
          </cell>
          <cell r="O32" t="str">
            <v>NA</v>
          </cell>
          <cell r="P32">
            <v>0.26827304622443826</v>
          </cell>
          <cell r="Q32">
            <v>-2.4793591039959604</v>
          </cell>
          <cell r="R32">
            <v>0.26827304622443826</v>
          </cell>
          <cell r="S32">
            <v>-0.11233635371282608</v>
          </cell>
          <cell r="T32">
            <v>0.15593669251161218</v>
          </cell>
          <cell r="U32" t="str">
            <v>NA</v>
          </cell>
          <cell r="V32" t="str">
            <v>NA</v>
          </cell>
          <cell r="W32">
            <v>0.10253635371282604</v>
          </cell>
          <cell r="X32">
            <v>-2.6352957965075725</v>
          </cell>
          <cell r="Z32" t="str">
            <v>NA</v>
          </cell>
          <cell r="AA32" t="str">
            <v>NA</v>
          </cell>
          <cell r="AB32" t="str">
            <v>NA</v>
          </cell>
          <cell r="AC32" t="str">
            <v>NA</v>
          </cell>
          <cell r="AD32" t="str">
            <v>NA</v>
          </cell>
          <cell r="AE32" t="str">
            <v>NA</v>
          </cell>
          <cell r="AF32" t="str">
            <v>NA</v>
          </cell>
          <cell r="AG32" t="str">
            <v>NA</v>
          </cell>
          <cell r="AH32" t="str">
            <v>NA</v>
          </cell>
          <cell r="AI32" t="str">
            <v>NA</v>
          </cell>
          <cell r="AJ32" t="str">
            <v>NA</v>
          </cell>
          <cell r="AK32" t="str">
            <v>NA</v>
          </cell>
          <cell r="AL32" t="str">
            <v>NA</v>
          </cell>
          <cell r="AM32" t="str">
            <v>NA</v>
          </cell>
          <cell r="AN32" t="str">
            <v>NA</v>
          </cell>
          <cell r="AO32" t="str">
            <v>NA</v>
          </cell>
          <cell r="AP32" t="str">
            <v>NA</v>
          </cell>
          <cell r="AQ32" t="str">
            <v>NA</v>
          </cell>
          <cell r="AR32" t="str">
            <v>NA</v>
          </cell>
          <cell r="AS32" t="str">
            <v>NA</v>
          </cell>
          <cell r="AT32">
            <v>-0.10553798375110664</v>
          </cell>
          <cell r="AU32">
            <v>4.2585440490649468E-2</v>
          </cell>
          <cell r="AV32">
            <v>0.30670224160666576</v>
          </cell>
          <cell r="AW32">
            <v>0.3492876820973152</v>
          </cell>
          <cell r="AX32">
            <v>0.24374969834620858</v>
          </cell>
          <cell r="AY32">
            <v>-0.10929218514348406</v>
          </cell>
          <cell r="AZ32">
            <v>4.2585440490649468E-2</v>
          </cell>
          <cell r="BA32">
            <v>0.28132771087455105</v>
          </cell>
          <cell r="BB32">
            <v>0.32391315136520049</v>
          </cell>
          <cell r="BC32">
            <v>0.21462096622171645</v>
          </cell>
        </row>
        <row r="33">
          <cell r="B33" t="str">
            <v>Branches</v>
          </cell>
          <cell r="C33" t="str">
            <v>NA</v>
          </cell>
          <cell r="D33">
            <v>0.25847304622443823</v>
          </cell>
          <cell r="E33">
            <v>-2.4793591039959604</v>
          </cell>
          <cell r="F33">
            <v>-4.8899192374005085E-3</v>
          </cell>
          <cell r="G33" t="str">
            <v>NA</v>
          </cell>
          <cell r="H33" t="str">
            <v>NA</v>
          </cell>
          <cell r="I33" t="str">
            <v>NA</v>
          </cell>
          <cell r="J33" t="str">
            <v>NA</v>
          </cell>
          <cell r="K33" t="str">
            <v>NA</v>
          </cell>
          <cell r="L33">
            <v>0.25847304622443823</v>
          </cell>
          <cell r="M33">
            <v>0.25847304622443823</v>
          </cell>
          <cell r="N33">
            <v>-2.7476321502203986</v>
          </cell>
          <cell r="O33" t="str">
            <v>NA</v>
          </cell>
          <cell r="P33">
            <v>0.26827304622443826</v>
          </cell>
          <cell r="Q33">
            <v>-2.4793591039959604</v>
          </cell>
          <cell r="R33">
            <v>0.26827304622443826</v>
          </cell>
          <cell r="S33">
            <v>-0.27316296546183877</v>
          </cell>
          <cell r="T33">
            <v>-4.8899192374005085E-3</v>
          </cell>
          <cell r="U33" t="str">
            <v>NA</v>
          </cell>
          <cell r="V33" t="str">
            <v>NA</v>
          </cell>
          <cell r="W33">
            <v>0.26336296546183874</v>
          </cell>
          <cell r="X33">
            <v>-2.47446918475856</v>
          </cell>
          <cell r="Z33" t="str">
            <v>NA</v>
          </cell>
          <cell r="AA33" t="str">
            <v>NA</v>
          </cell>
          <cell r="AB33" t="str">
            <v>NA</v>
          </cell>
          <cell r="AC33" t="str">
            <v>NA</v>
          </cell>
          <cell r="AD33" t="str">
            <v>NA</v>
          </cell>
          <cell r="AE33" t="str">
            <v>NA</v>
          </cell>
          <cell r="AF33" t="str">
            <v>NA</v>
          </cell>
          <cell r="AG33" t="str">
            <v>NA</v>
          </cell>
          <cell r="AH33" t="str">
            <v>NA</v>
          </cell>
          <cell r="AI33" t="str">
            <v>NA</v>
          </cell>
          <cell r="AJ33" t="str">
            <v>NA</v>
          </cell>
          <cell r="AK33" t="str">
            <v>NA</v>
          </cell>
          <cell r="AL33" t="str">
            <v>NA</v>
          </cell>
          <cell r="AM33" t="str">
            <v>NA</v>
          </cell>
          <cell r="AN33" t="str">
            <v>NA</v>
          </cell>
          <cell r="AO33" t="str">
            <v>NA</v>
          </cell>
          <cell r="AP33" t="str">
            <v>NA</v>
          </cell>
          <cell r="AQ33" t="str">
            <v>NA</v>
          </cell>
          <cell r="AR33" t="str">
            <v>NA</v>
          </cell>
          <cell r="AS33" t="str">
            <v>NA</v>
          </cell>
          <cell r="AT33">
            <v>-0.28221890818144013</v>
          </cell>
          <cell r="AU33">
            <v>4.2585440490649468E-2</v>
          </cell>
          <cell r="AV33">
            <v>0.32022008266165708</v>
          </cell>
          <cell r="AW33">
            <v>0.36280552315230652</v>
          </cell>
          <cell r="AX33">
            <v>8.0586614970866416E-2</v>
          </cell>
          <cell r="AY33">
            <v>-0.28686018787778961</v>
          </cell>
          <cell r="AZ33">
            <v>4.2585440490649468E-2</v>
          </cell>
          <cell r="BA33">
            <v>0.2892412136415905</v>
          </cell>
          <cell r="BB33">
            <v>0.33182665413224</v>
          </cell>
          <cell r="BC33">
            <v>4.496646625445036E-2</v>
          </cell>
        </row>
        <row r="34">
          <cell r="B34" t="str">
            <v xml:space="preserve">Mixed Paper </v>
          </cell>
          <cell r="R34">
            <v>0.26827304622443826</v>
          </cell>
          <cell r="AC34">
            <v>0</v>
          </cell>
        </row>
        <row r="35">
          <cell r="B35" t="str">
            <v>Mixed Paper (general)</v>
          </cell>
          <cell r="C35">
            <v>-29.443040282645512</v>
          </cell>
          <cell r="D35">
            <v>-20.451481173499502</v>
          </cell>
          <cell r="E35">
            <v>-6.6687915991005839</v>
          </cell>
          <cell r="F35">
            <v>-0.20697781763451961</v>
          </cell>
          <cell r="G35">
            <v>-29.443040282645512</v>
          </cell>
          <cell r="H35">
            <v>-32.931749087804263</v>
          </cell>
          <cell r="I35">
            <v>-29.443040282645512</v>
          </cell>
          <cell r="J35">
            <v>-32.931749087804263</v>
          </cell>
          <cell r="K35">
            <v>-19.022739673896051</v>
          </cell>
          <cell r="L35">
            <v>-1.4287414996034524</v>
          </cell>
          <cell r="M35">
            <v>-20.451481173499502</v>
          </cell>
          <cell r="N35">
            <v>-6.9370646453250222</v>
          </cell>
          <cell r="O35" t="str">
            <v>NA</v>
          </cell>
          <cell r="P35">
            <v>0.26827304622443826</v>
          </cell>
          <cell r="Q35">
            <v>-6.6687915991005839</v>
          </cell>
          <cell r="R35">
            <v>0.26827304622443826</v>
          </cell>
          <cell r="S35">
            <v>-0.47525086385895787</v>
          </cell>
          <cell r="T35">
            <v>-0.20697781763451961</v>
          </cell>
          <cell r="U35">
            <v>-29.236062465010992</v>
          </cell>
          <cell r="V35">
            <v>-32.724771270169747</v>
          </cell>
          <cell r="W35">
            <v>-20.244503355864982</v>
          </cell>
          <cell r="X35">
            <v>-6.4618137814660646</v>
          </cell>
          <cell r="Z35">
            <v>31.684843188078077</v>
          </cell>
          <cell r="AA35">
            <v>1.2469058997261868</v>
          </cell>
          <cell r="AB35">
            <v>32.931749087804263</v>
          </cell>
          <cell r="AC35">
            <v>0.76579999999999993</v>
          </cell>
          <cell r="AD35">
            <v>28.307908751695827</v>
          </cell>
          <cell r="AE35">
            <v>1.1351315309496872</v>
          </cell>
          <cell r="AF35">
            <v>29.443040282645512</v>
          </cell>
          <cell r="AG35">
            <v>17.486483677211901</v>
          </cell>
          <cell r="AH35">
            <v>0.88850463883164366</v>
          </cell>
          <cell r="AI35">
            <v>18.374988316043545</v>
          </cell>
          <cell r="AJ35" t="str">
            <v>NA</v>
          </cell>
          <cell r="AK35" t="str">
            <v>NA</v>
          </cell>
          <cell r="AL35" t="str">
            <v>NA</v>
          </cell>
          <cell r="AM35" t="str">
            <v>NA</v>
          </cell>
          <cell r="AN35" t="str">
            <v>NA</v>
          </cell>
          <cell r="AO35" t="str">
            <v>NA</v>
          </cell>
          <cell r="AP35" t="str">
            <v>NA</v>
          </cell>
          <cell r="AQ35" t="str">
            <v>NA</v>
          </cell>
          <cell r="AR35" t="str">
            <v>NA</v>
          </cell>
          <cell r="AS35" t="str">
            <v>NA</v>
          </cell>
          <cell r="AT35" t="str">
            <v>NA</v>
          </cell>
          <cell r="AU35" t="str">
            <v>NA</v>
          </cell>
          <cell r="AV35" t="str">
            <v>NA</v>
          </cell>
          <cell r="AW35" t="str">
            <v>NA</v>
          </cell>
          <cell r="AX35" t="str">
            <v>NA</v>
          </cell>
          <cell r="AY35" t="str">
            <v>NA</v>
          </cell>
          <cell r="AZ35" t="str">
            <v>NA</v>
          </cell>
          <cell r="BA35" t="str">
            <v>NA</v>
          </cell>
          <cell r="BB35" t="str">
            <v>NA</v>
          </cell>
          <cell r="BC35" t="str">
            <v>NA</v>
          </cell>
        </row>
        <row r="36">
          <cell r="B36" t="str">
            <v>Mixed Paper (primarily residential)</v>
          </cell>
          <cell r="C36">
            <v>-28.663042741731605</v>
          </cell>
          <cell r="D36">
            <v>-20.451481173499502</v>
          </cell>
          <cell r="E36">
            <v>-6.6391662367380295</v>
          </cell>
          <cell r="F36">
            <v>-0.1874945796202474</v>
          </cell>
          <cell r="G36">
            <v>-28.663042741731605</v>
          </cell>
          <cell r="H36">
            <v>-32.311437563331779</v>
          </cell>
          <cell r="I36">
            <v>-28.663042741731605</v>
          </cell>
          <cell r="J36">
            <v>-32.311437563331779</v>
          </cell>
          <cell r="K36">
            <v>-19.022739673896051</v>
          </cell>
          <cell r="L36">
            <v>-1.4287414996034524</v>
          </cell>
          <cell r="M36">
            <v>-20.451481173499502</v>
          </cell>
          <cell r="N36">
            <v>-6.9074392829624678</v>
          </cell>
          <cell r="O36" t="str">
            <v>NA</v>
          </cell>
          <cell r="P36">
            <v>0.26827304622443826</v>
          </cell>
          <cell r="Q36">
            <v>-6.6391662367380295</v>
          </cell>
          <cell r="R36">
            <v>0.26827304622443826</v>
          </cell>
          <cell r="S36">
            <v>-0.45576762584468566</v>
          </cell>
          <cell r="T36">
            <v>-0.1874945796202474</v>
          </cell>
          <cell r="U36">
            <v>-28.475548162111359</v>
          </cell>
          <cell r="V36">
            <v>-32.12394298371153</v>
          </cell>
          <cell r="W36">
            <v>-20.263986593879256</v>
          </cell>
          <cell r="X36">
            <v>-6.4516716571177817</v>
          </cell>
          <cell r="Z36">
            <v>30.981070553055883</v>
          </cell>
          <cell r="AA36">
            <v>1.330367010275896</v>
          </cell>
          <cell r="AB36">
            <v>32.311437563331779</v>
          </cell>
          <cell r="AC36">
            <v>0.75229000000000001</v>
          </cell>
          <cell r="AD36">
            <v>27.452342326889799</v>
          </cell>
          <cell r="AE36">
            <v>1.2107004148418079</v>
          </cell>
          <cell r="AF36">
            <v>28.663042741731605</v>
          </cell>
          <cell r="AG36">
            <v>17.285563431588031</v>
          </cell>
          <cell r="AH36">
            <v>0.95094070538583797</v>
          </cell>
          <cell r="AI36">
            <v>18.236504136973871</v>
          </cell>
          <cell r="AJ36" t="str">
            <v>NA</v>
          </cell>
          <cell r="AK36" t="str">
            <v>NA</v>
          </cell>
          <cell r="AL36" t="str">
            <v>NA</v>
          </cell>
          <cell r="AM36" t="str">
            <v>NA</v>
          </cell>
          <cell r="AN36" t="str">
            <v>NA</v>
          </cell>
          <cell r="AO36" t="str">
            <v>NA</v>
          </cell>
          <cell r="AP36" t="str">
            <v>NA</v>
          </cell>
          <cell r="AQ36" t="str">
            <v>NA</v>
          </cell>
          <cell r="AR36" t="str">
            <v>NA</v>
          </cell>
          <cell r="AS36" t="str">
            <v>NA</v>
          </cell>
          <cell r="AT36" t="str">
            <v>NA</v>
          </cell>
          <cell r="AU36" t="str">
            <v>NA</v>
          </cell>
          <cell r="AV36" t="str">
            <v>NA</v>
          </cell>
          <cell r="AW36" t="str">
            <v>NA</v>
          </cell>
          <cell r="AX36" t="str">
            <v>NA</v>
          </cell>
          <cell r="AY36" t="str">
            <v>NA</v>
          </cell>
          <cell r="AZ36" t="str">
            <v>NA</v>
          </cell>
          <cell r="BA36" t="str">
            <v>NA</v>
          </cell>
          <cell r="BB36" t="str">
            <v>NA</v>
          </cell>
          <cell r="BC36" t="str">
            <v>NA</v>
          </cell>
        </row>
        <row r="37">
          <cell r="B37" t="str">
            <v>Mixed Paper (primarily from offices)</v>
          </cell>
          <cell r="C37">
            <v>-34.642171590374666</v>
          </cell>
          <cell r="D37">
            <v>-20.850283999999998</v>
          </cell>
          <cell r="E37">
            <v>-6.1087162241940502</v>
          </cell>
          <cell r="F37">
            <v>-0.17911687124601788</v>
          </cell>
          <cell r="G37">
            <v>-34.642171590374666</v>
          </cell>
          <cell r="H37">
            <v>-36.052469782868869</v>
          </cell>
          <cell r="I37">
            <v>-34.642171590374666</v>
          </cell>
          <cell r="J37">
            <v>-36.052469782868869</v>
          </cell>
          <cell r="K37">
            <v>-19.3939746</v>
          </cell>
          <cell r="L37">
            <v>-1.4563094000000001</v>
          </cell>
          <cell r="M37">
            <v>-20.850283999999998</v>
          </cell>
          <cell r="N37">
            <v>-6.3769892704184885</v>
          </cell>
          <cell r="O37" t="str">
            <v>NA</v>
          </cell>
          <cell r="P37">
            <v>0.26827304622443826</v>
          </cell>
          <cell r="Q37">
            <v>-6.1087162241940502</v>
          </cell>
          <cell r="R37">
            <v>0.26827304622443826</v>
          </cell>
          <cell r="S37">
            <v>-0.44738991747045614</v>
          </cell>
          <cell r="T37">
            <v>-0.17911687124601788</v>
          </cell>
          <cell r="U37">
            <v>-34.46305471912865</v>
          </cell>
          <cell r="V37">
            <v>-35.873352911622852</v>
          </cell>
          <cell r="W37">
            <v>-20.671167128753982</v>
          </cell>
          <cell r="X37">
            <v>-5.9295993529480322</v>
          </cell>
          <cell r="Z37">
            <v>35.580903280691381</v>
          </cell>
          <cell r="AA37">
            <v>0.47156650217748697</v>
          </cell>
          <cell r="AB37">
            <v>36.052469782868869</v>
          </cell>
          <cell r="AC37">
            <v>0.90390999999999999</v>
          </cell>
          <cell r="AD37">
            <v>34.202074631610728</v>
          </cell>
          <cell r="AE37">
            <v>0.44009695876393828</v>
          </cell>
          <cell r="AF37">
            <v>34.642171590374666</v>
          </cell>
          <cell r="AG37">
            <v>24.356199221637471</v>
          </cell>
          <cell r="AH37">
            <v>0.34803138532997202</v>
          </cell>
          <cell r="AI37">
            <v>24.704230606967442</v>
          </cell>
          <cell r="AJ37" t="str">
            <v>NA</v>
          </cell>
          <cell r="AK37" t="str">
            <v>NA</v>
          </cell>
          <cell r="AL37" t="str">
            <v>NA</v>
          </cell>
          <cell r="AM37" t="str">
            <v>NA</v>
          </cell>
          <cell r="AN37" t="str">
            <v>NA</v>
          </cell>
          <cell r="AO37" t="str">
            <v>NA</v>
          </cell>
          <cell r="AP37" t="str">
            <v>NA</v>
          </cell>
          <cell r="AQ37" t="str">
            <v>NA</v>
          </cell>
          <cell r="AR37" t="str">
            <v>NA</v>
          </cell>
          <cell r="AS37" t="str">
            <v>NA</v>
          </cell>
          <cell r="AT37" t="str">
            <v>NA</v>
          </cell>
          <cell r="AU37" t="str">
            <v>NA</v>
          </cell>
          <cell r="AV37" t="str">
            <v>NA</v>
          </cell>
          <cell r="AW37" t="str">
            <v>NA</v>
          </cell>
          <cell r="AX37" t="str">
            <v>NA</v>
          </cell>
          <cell r="AY37" t="str">
            <v>NA</v>
          </cell>
          <cell r="AZ37" t="str">
            <v>NA</v>
          </cell>
          <cell r="BA37" t="str">
            <v>NA</v>
          </cell>
          <cell r="BB37" t="str">
            <v>NA</v>
          </cell>
          <cell r="BC37" t="str">
            <v>NA</v>
          </cell>
        </row>
        <row r="38">
          <cell r="B38" t="str">
            <v>Mixed Metals</v>
          </cell>
          <cell r="C38">
            <v>-50.606890814490178</v>
          </cell>
          <cell r="D38">
            <v>-65.985389887039346</v>
          </cell>
          <cell r="E38">
            <v>-10.990796326207498</v>
          </cell>
          <cell r="F38">
            <v>0.26827304622443826</v>
          </cell>
          <cell r="G38">
            <v>-50.606890814490178</v>
          </cell>
          <cell r="H38">
            <v>-88.339173603856906</v>
          </cell>
          <cell r="I38">
            <v>-50.606890814490178</v>
          </cell>
          <cell r="J38">
            <v>-88.339173603856906</v>
          </cell>
          <cell r="K38">
            <v>-65.46560584648509</v>
          </cell>
          <cell r="L38">
            <v>-0.51978404055425809</v>
          </cell>
          <cell r="M38">
            <v>-65.985389887039346</v>
          </cell>
          <cell r="N38">
            <v>0.24857909675880097</v>
          </cell>
          <cell r="O38">
            <v>-11.507648469190737</v>
          </cell>
          <cell r="P38">
            <v>0.26827304622443826</v>
          </cell>
          <cell r="Q38">
            <v>-10.990796326207498</v>
          </cell>
          <cell r="R38">
            <v>0.26827304622443826</v>
          </cell>
          <cell r="S38" t="str">
            <v>NA</v>
          </cell>
          <cell r="T38">
            <v>0.26827304622443826</v>
          </cell>
          <cell r="U38">
            <v>-50.875163860714615</v>
          </cell>
          <cell r="V38">
            <v>-88.607446650081343</v>
          </cell>
          <cell r="W38">
            <v>-66.253662933263797</v>
          </cell>
          <cell r="X38">
            <v>-11.259069372431934</v>
          </cell>
          <cell r="Z38">
            <v>84.657147500134258</v>
          </cell>
          <cell r="AA38">
            <v>3.6820261037226425</v>
          </cell>
          <cell r="AB38">
            <v>88.339173603856906</v>
          </cell>
          <cell r="AC38">
            <v>0.55136633663366341</v>
          </cell>
          <cell r="AD38">
            <v>47.15819845202644</v>
          </cell>
          <cell r="AE38">
            <v>3.4486923624637367</v>
          </cell>
          <cell r="AF38">
            <v>50.606890814490178</v>
          </cell>
          <cell r="AG38">
            <v>20.255089018082082</v>
          </cell>
          <cell r="AH38">
            <v>3.1439828990853944</v>
          </cell>
          <cell r="AI38">
            <v>23.399071917167475</v>
          </cell>
          <cell r="AJ38" t="str">
            <v>NA</v>
          </cell>
          <cell r="AK38" t="str">
            <v>NA</v>
          </cell>
          <cell r="AL38" t="str">
            <v>NA</v>
          </cell>
          <cell r="AM38" t="str">
            <v>NA</v>
          </cell>
          <cell r="AN38" t="str">
            <v>NA</v>
          </cell>
          <cell r="AO38" t="str">
            <v>NA</v>
          </cell>
          <cell r="AP38" t="str">
            <v>NA</v>
          </cell>
          <cell r="AQ38" t="str">
            <v>NA</v>
          </cell>
          <cell r="AR38" t="str">
            <v>NA</v>
          </cell>
          <cell r="AS38" t="str">
            <v>NA</v>
          </cell>
          <cell r="AT38" t="str">
            <v>NA</v>
          </cell>
          <cell r="AU38" t="str">
            <v>NA</v>
          </cell>
          <cell r="AV38" t="str">
            <v>NA</v>
          </cell>
          <cell r="AW38" t="str">
            <v>NA</v>
          </cell>
          <cell r="AX38" t="str">
            <v>NA</v>
          </cell>
          <cell r="AY38" t="str">
            <v>NA</v>
          </cell>
          <cell r="AZ38" t="str">
            <v>NA</v>
          </cell>
          <cell r="BA38" t="str">
            <v>NA</v>
          </cell>
          <cell r="BB38" t="str">
            <v>NA</v>
          </cell>
          <cell r="BC38" t="str">
            <v>NA</v>
          </cell>
        </row>
        <row r="39">
          <cell r="B39" t="str">
            <v>Mixed Plastics</v>
          </cell>
          <cell r="C39">
            <v>-54.419091243046957</v>
          </cell>
          <cell r="D39">
            <v>-38.837114582766276</v>
          </cell>
          <cell r="E39">
            <v>-13.633077428656717</v>
          </cell>
          <cell r="F39">
            <v>0.26827304622443826</v>
          </cell>
          <cell r="G39">
            <v>-54.419091243046957</v>
          </cell>
          <cell r="H39">
            <v>-28.980898101849977</v>
          </cell>
          <cell r="I39">
            <v>-54.419091243046957</v>
          </cell>
          <cell r="J39">
            <v>-28.980898101849977</v>
          </cell>
          <cell r="K39">
            <v>-39.578768870663282</v>
          </cell>
          <cell r="L39">
            <v>0.74165428789700916</v>
          </cell>
          <cell r="M39">
            <v>-38.837114582766276</v>
          </cell>
          <cell r="N39">
            <v>-13.901350474881156</v>
          </cell>
          <cell r="O39" t="str">
            <v>NA</v>
          </cell>
          <cell r="P39">
            <v>0.26827304622443826</v>
          </cell>
          <cell r="Q39">
            <v>-13.633077428656717</v>
          </cell>
          <cell r="R39">
            <v>0.26827304622443826</v>
          </cell>
          <cell r="S39" t="str">
            <v>NA</v>
          </cell>
          <cell r="T39">
            <v>0.26827304622443826</v>
          </cell>
          <cell r="U39">
            <v>-54.687364289271393</v>
          </cell>
          <cell r="V39">
            <v>-29.249171148074417</v>
          </cell>
          <cell r="W39">
            <v>-39.105387628990712</v>
          </cell>
          <cell r="X39">
            <v>-13.901350474881156</v>
          </cell>
          <cell r="Z39">
            <v>26.77919504518475</v>
          </cell>
          <cell r="AA39">
            <v>2.2017030566652274</v>
          </cell>
          <cell r="AB39">
            <v>28.980898101849977</v>
          </cell>
          <cell r="AC39">
            <v>0.94340000000000002</v>
          </cell>
          <cell r="AD39">
            <v>52.204192217160823</v>
          </cell>
          <cell r="AE39">
            <v>2.2148990258861359</v>
          </cell>
          <cell r="AF39">
            <v>54.419091243046957</v>
          </cell>
          <cell r="AG39">
            <v>9.8351746594327079</v>
          </cell>
          <cell r="AH39">
            <v>3.0264744155120553</v>
          </cell>
          <cell r="AI39">
            <v>12.861649074944763</v>
          </cell>
          <cell r="AJ39" t="str">
            <v>NA</v>
          </cell>
          <cell r="AK39" t="str">
            <v>NA</v>
          </cell>
          <cell r="AL39" t="str">
            <v>NA</v>
          </cell>
          <cell r="AM39" t="str">
            <v>NA</v>
          </cell>
          <cell r="AN39" t="str">
            <v>NA</v>
          </cell>
          <cell r="AO39" t="str">
            <v>NA</v>
          </cell>
          <cell r="AP39" t="str">
            <v>NA</v>
          </cell>
          <cell r="AQ39" t="str">
            <v>NA</v>
          </cell>
          <cell r="AR39" t="str">
            <v>NA</v>
          </cell>
          <cell r="AS39" t="str">
            <v>NA</v>
          </cell>
          <cell r="AT39" t="str">
            <v>NA</v>
          </cell>
          <cell r="AU39" t="str">
            <v>NA</v>
          </cell>
          <cell r="AV39" t="str">
            <v>NA</v>
          </cell>
          <cell r="AW39" t="str">
            <v>NA</v>
          </cell>
          <cell r="AX39" t="str">
            <v>NA</v>
          </cell>
          <cell r="AY39" t="str">
            <v>NA</v>
          </cell>
          <cell r="AZ39" t="str">
            <v>NA</v>
          </cell>
          <cell r="BA39" t="str">
            <v>NA</v>
          </cell>
          <cell r="BB39" t="str">
            <v>NA</v>
          </cell>
          <cell r="BC39" t="str">
            <v>NA</v>
          </cell>
        </row>
        <row r="40">
          <cell r="B40" t="str">
            <v>Mixed Recyclables</v>
          </cell>
          <cell r="C40" t="str">
            <v>NA</v>
          </cell>
          <cell r="D40">
            <v>-14.824133262566331</v>
          </cell>
          <cell r="E40">
            <v>-6.5830657535132708</v>
          </cell>
          <cell r="F40">
            <v>-6.876094209052519E-2</v>
          </cell>
          <cell r="G40" t="str">
            <v>NA</v>
          </cell>
          <cell r="H40" t="str">
            <v>NA</v>
          </cell>
          <cell r="I40" t="str">
            <v>NA</v>
          </cell>
          <cell r="J40" t="str">
            <v>NA</v>
          </cell>
          <cell r="K40">
            <v>-14.376907958084105</v>
          </cell>
          <cell r="L40">
            <v>-0.44722530448222564</v>
          </cell>
          <cell r="M40">
            <v>-14.824133262566331</v>
          </cell>
          <cell r="N40">
            <v>-6.378485872403183</v>
          </cell>
          <cell r="O40">
            <v>-0.47285292733452589</v>
          </cell>
          <cell r="P40">
            <v>0.26827304622443826</v>
          </cell>
          <cell r="Q40">
            <v>-6.5830657535132708</v>
          </cell>
          <cell r="R40">
            <v>0.26827304622443826</v>
          </cell>
          <cell r="S40">
            <v>-0.33703398831496345</v>
          </cell>
          <cell r="T40">
            <v>-6.876094209052519E-2</v>
          </cell>
          <cell r="U40" t="str">
            <v>NA</v>
          </cell>
          <cell r="V40" t="str">
            <v>NA</v>
          </cell>
          <cell r="W40">
            <v>-14.702547201789324</v>
          </cell>
          <cell r="X40">
            <v>-6.4614796927362645</v>
          </cell>
          <cell r="Z40">
            <v>28.541813279231885</v>
          </cell>
          <cell r="AA40">
            <v>1.5776427788772511</v>
          </cell>
          <cell r="AB40">
            <v>30.119456058109137</v>
          </cell>
          <cell r="AC40">
            <v>0.74521824102549972</v>
          </cell>
          <cell r="AD40">
            <v>23.516416339581202</v>
          </cell>
          <cell r="AE40">
            <v>1.4423014703091204</v>
          </cell>
          <cell r="AF40">
            <v>24.958717809890324</v>
          </cell>
          <cell r="AG40">
            <v>14.599676193636258</v>
          </cell>
          <cell r="AH40">
            <v>1.2425086882884266</v>
          </cell>
          <cell r="AI40">
            <v>15.842184881924684</v>
          </cell>
          <cell r="AJ40" t="str">
            <v>NA</v>
          </cell>
          <cell r="AK40" t="str">
            <v>NA</v>
          </cell>
          <cell r="AL40" t="str">
            <v>NA</v>
          </cell>
          <cell r="AM40" t="str">
            <v>NA</v>
          </cell>
          <cell r="AN40" t="str">
            <v>NA</v>
          </cell>
          <cell r="AO40" t="str">
            <v>NA</v>
          </cell>
          <cell r="AP40" t="str">
            <v>NA</v>
          </cell>
          <cell r="AQ40" t="str">
            <v>NA</v>
          </cell>
          <cell r="AR40" t="str">
            <v>NA</v>
          </cell>
          <cell r="AS40" t="str">
            <v>NA</v>
          </cell>
          <cell r="AT40" t="str">
            <v>NA</v>
          </cell>
          <cell r="AU40" t="str">
            <v>NA</v>
          </cell>
          <cell r="AV40" t="str">
            <v>NA</v>
          </cell>
          <cell r="AW40" t="str">
            <v>NA</v>
          </cell>
          <cell r="AX40" t="str">
            <v>NA</v>
          </cell>
          <cell r="AY40" t="str">
            <v>NA</v>
          </cell>
          <cell r="AZ40" t="str">
            <v>NA</v>
          </cell>
          <cell r="BA40" t="str">
            <v>NA</v>
          </cell>
          <cell r="BB40" t="str">
            <v>NA</v>
          </cell>
          <cell r="BC40" t="str">
            <v>NA</v>
          </cell>
        </row>
        <row r="41">
          <cell r="B41" t="str">
            <v>Mixed Organics</v>
          </cell>
          <cell r="C41" t="str">
            <v>NA</v>
          </cell>
          <cell r="D41">
            <v>0.25847304622443823</v>
          </cell>
          <cell r="E41">
            <v>-2.2599126282157078</v>
          </cell>
          <cell r="F41">
            <v>5.7040194903087038E-2</v>
          </cell>
          <cell r="G41" t="str">
            <v>NA</v>
          </cell>
          <cell r="H41" t="str">
            <v>NA</v>
          </cell>
          <cell r="I41" t="str">
            <v>NA</v>
          </cell>
          <cell r="J41" t="str">
            <v>NA</v>
          </cell>
          <cell r="K41" t="str">
            <v>NA</v>
          </cell>
          <cell r="L41">
            <v>0.25847304622443823</v>
          </cell>
          <cell r="M41">
            <v>0.25847304622443823</v>
          </cell>
          <cell r="N41">
            <v>-2.5281856744401461</v>
          </cell>
          <cell r="O41" t="str">
            <v>NA</v>
          </cell>
          <cell r="P41">
            <v>0.26827304622443826</v>
          </cell>
          <cell r="Q41">
            <v>-2.2599126282157078</v>
          </cell>
          <cell r="R41">
            <v>0.26827304622443826</v>
          </cell>
          <cell r="S41">
            <v>-0.21123285132135122</v>
          </cell>
          <cell r="T41">
            <v>5.7040194903087038E-2</v>
          </cell>
          <cell r="U41" t="str">
            <v>NA</v>
          </cell>
          <cell r="V41" t="str">
            <v>NA</v>
          </cell>
          <cell r="W41">
            <v>0.20143285132135119</v>
          </cell>
          <cell r="X41">
            <v>-2.3133812491307957</v>
          </cell>
          <cell r="Z41" t="str">
            <v>NA</v>
          </cell>
          <cell r="AA41" t="str">
            <v>NA</v>
          </cell>
          <cell r="AB41">
            <v>0</v>
          </cell>
          <cell r="AC41" t="str">
            <v>NA</v>
          </cell>
          <cell r="AD41" t="str">
            <v>NA</v>
          </cell>
          <cell r="AE41" t="str">
            <v>NA</v>
          </cell>
          <cell r="AF41" t="str">
            <v>NA</v>
          </cell>
          <cell r="AG41" t="str">
            <v>NA</v>
          </cell>
          <cell r="AH41" t="str">
            <v>NA</v>
          </cell>
          <cell r="AI41" t="str">
            <v>NA</v>
          </cell>
          <cell r="AJ41" t="str">
            <v>NA</v>
          </cell>
          <cell r="AK41" t="str">
            <v>NA</v>
          </cell>
          <cell r="AL41" t="str">
            <v>NA</v>
          </cell>
          <cell r="AM41" t="str">
            <v>NA</v>
          </cell>
          <cell r="AN41" t="str">
            <v>NA</v>
          </cell>
          <cell r="AO41" t="str">
            <v>NA</v>
          </cell>
          <cell r="AP41" t="str">
            <v>NA</v>
          </cell>
          <cell r="AQ41" t="str">
            <v>NA</v>
          </cell>
          <cell r="AR41" t="str">
            <v>NA</v>
          </cell>
          <cell r="AS41" t="str">
            <v>NA</v>
          </cell>
          <cell r="AT41">
            <v>-0.43582681116489136</v>
          </cell>
          <cell r="AU41">
            <v>4.2585440490649468E-2</v>
          </cell>
          <cell r="AV41">
            <v>0.27235793513302881</v>
          </cell>
          <cell r="AW41">
            <v>0.31494337562367825</v>
          </cell>
          <cell r="AX41">
            <v>-0.12088343554121311</v>
          </cell>
          <cell r="AY41">
            <v>-0.43737781790905228</v>
          </cell>
          <cell r="AZ41">
            <v>4.2585440490649468E-2</v>
          </cell>
          <cell r="BA41">
            <v>0.26167331636741514</v>
          </cell>
          <cell r="BB41">
            <v>0.30425875685806458</v>
          </cell>
          <cell r="BC41">
            <v>-0.13311906105098764</v>
          </cell>
        </row>
        <row r="42">
          <cell r="B42" t="str">
            <v>Mixed MSW</v>
          </cell>
          <cell r="C42" t="str">
            <v>NA</v>
          </cell>
          <cell r="D42" t="str">
            <v>NA</v>
          </cell>
          <cell r="E42">
            <v>-4.6382129363119882</v>
          </cell>
          <cell r="F42">
            <v>-6.9800055866369615E-2</v>
          </cell>
          <cell r="G42" t="str">
            <v>NA</v>
          </cell>
          <cell r="H42" t="str">
            <v>NA</v>
          </cell>
          <cell r="I42" t="str">
            <v>NA</v>
          </cell>
          <cell r="J42" t="str">
            <v>NA</v>
          </cell>
          <cell r="K42" t="str">
            <v>NA</v>
          </cell>
          <cell r="L42" t="str">
            <v>NA</v>
          </cell>
          <cell r="M42" t="str">
            <v>NA</v>
          </cell>
          <cell r="N42">
            <v>-4.9064859825364264</v>
          </cell>
          <cell r="O42" t="str">
            <v>NA</v>
          </cell>
          <cell r="P42">
            <v>0.26827304622443826</v>
          </cell>
          <cell r="Q42">
            <v>-4.6382129363119882</v>
          </cell>
          <cell r="R42">
            <v>0.26827304622443826</v>
          </cell>
          <cell r="S42">
            <v>-0.33807310209080788</v>
          </cell>
          <cell r="T42">
            <v>-6.9800055866369615E-2</v>
          </cell>
          <cell r="U42" t="str">
            <v>NA</v>
          </cell>
          <cell r="V42" t="str">
            <v>NA</v>
          </cell>
          <cell r="W42">
            <v>6.9800055866369615E-2</v>
          </cell>
          <cell r="X42">
            <v>-4.568412880445619</v>
          </cell>
          <cell r="Z42" t="str">
            <v>NA</v>
          </cell>
          <cell r="AA42" t="str">
            <v>NA</v>
          </cell>
          <cell r="AB42">
            <v>0</v>
          </cell>
          <cell r="AC42" t="str">
            <v>NA</v>
          </cell>
          <cell r="AD42" t="str">
            <v>NA</v>
          </cell>
          <cell r="AE42" t="str">
            <v>NA</v>
          </cell>
          <cell r="AF42" t="str">
            <v>NA</v>
          </cell>
          <cell r="AG42" t="str">
            <v>NA</v>
          </cell>
          <cell r="AH42" t="str">
            <v>NA</v>
          </cell>
          <cell r="AI42" t="str">
            <v>NA</v>
          </cell>
          <cell r="AJ42" t="str">
            <v>NA</v>
          </cell>
          <cell r="AK42" t="str">
            <v>NA</v>
          </cell>
          <cell r="AL42" t="str">
            <v>NA</v>
          </cell>
          <cell r="AM42" t="str">
            <v>NA</v>
          </cell>
          <cell r="AN42" t="str">
            <v>NA</v>
          </cell>
          <cell r="AO42" t="str">
            <v>NA</v>
          </cell>
          <cell r="AP42" t="str">
            <v>NA</v>
          </cell>
          <cell r="AQ42" t="str">
            <v>NA</v>
          </cell>
          <cell r="AR42" t="str">
            <v>NA</v>
          </cell>
          <cell r="AS42" t="str">
            <v>NA</v>
          </cell>
          <cell r="AT42" t="str">
            <v>NA</v>
          </cell>
          <cell r="AU42" t="str">
            <v>NA</v>
          </cell>
          <cell r="AV42" t="str">
            <v>NA</v>
          </cell>
          <cell r="AW42" t="str">
            <v>NA</v>
          </cell>
          <cell r="AX42" t="str">
            <v>NA</v>
          </cell>
          <cell r="AY42" t="str">
            <v>NA</v>
          </cell>
          <cell r="AZ42" t="str">
            <v>NA</v>
          </cell>
          <cell r="BA42" t="str">
            <v>NA</v>
          </cell>
          <cell r="BB42" t="str">
            <v>NA</v>
          </cell>
          <cell r="BC42" t="str">
            <v>NA</v>
          </cell>
        </row>
        <row r="43">
          <cell r="B43" t="str">
            <v>Carpet</v>
          </cell>
          <cell r="C43">
            <v>-91.064720000000023</v>
          </cell>
          <cell r="D43">
            <v>-21.473523219143274</v>
          </cell>
          <cell r="E43">
            <v>-7.1895856472309294</v>
          </cell>
          <cell r="F43">
            <v>0.26827304622443826</v>
          </cell>
          <cell r="G43">
            <v>-91.064720000000023</v>
          </cell>
          <cell r="H43">
            <v>-91.064720000000023</v>
          </cell>
          <cell r="I43">
            <v>-91.064720000000023</v>
          </cell>
          <cell r="J43">
            <v>-91.064720000000023</v>
          </cell>
          <cell r="K43">
            <v>-21.836367078934853</v>
          </cell>
          <cell r="L43">
            <v>0.36284385979157902</v>
          </cell>
          <cell r="M43">
            <v>-21.473523219143274</v>
          </cell>
          <cell r="N43">
            <v>-7.4578586934553677</v>
          </cell>
          <cell r="O43" t="str">
            <v>NA</v>
          </cell>
          <cell r="P43">
            <v>0.26827304622443826</v>
          </cell>
          <cell r="Q43">
            <v>-7.1895856472309294</v>
          </cell>
          <cell r="R43">
            <v>0.26827304622443826</v>
          </cell>
          <cell r="S43" t="str">
            <v>NA</v>
          </cell>
          <cell r="T43">
            <v>0.26827304622443826</v>
          </cell>
          <cell r="U43">
            <v>-91.332993046224459</v>
          </cell>
          <cell r="V43">
            <v>-91.332993046224459</v>
          </cell>
          <cell r="W43">
            <v>-21.741796265367711</v>
          </cell>
          <cell r="X43">
            <v>-7.4578586934553677</v>
          </cell>
          <cell r="Y43">
            <v>29.380000000000003</v>
          </cell>
          <cell r="Z43">
            <v>60.320200000000014</v>
          </cell>
          <cell r="AA43">
            <v>1.3645200000000002</v>
          </cell>
          <cell r="AB43">
            <v>91.064720000000023</v>
          </cell>
          <cell r="AC43">
            <v>1</v>
          </cell>
          <cell r="AD43">
            <v>89.700200000000024</v>
          </cell>
          <cell r="AE43">
            <v>1.3645200000000002</v>
          </cell>
          <cell r="AF43">
            <v>91.064720000000023</v>
          </cell>
          <cell r="AG43" t="str">
            <v>NA</v>
          </cell>
          <cell r="AH43" t="str">
            <v>NA</v>
          </cell>
          <cell r="AI43" t="str">
            <v>NA</v>
          </cell>
          <cell r="AJ43" t="str">
            <v>NA</v>
          </cell>
          <cell r="AK43" t="str">
            <v>NA</v>
          </cell>
          <cell r="AL43" t="str">
            <v>NA</v>
          </cell>
          <cell r="AM43" t="str">
            <v>NA</v>
          </cell>
          <cell r="AN43" t="str">
            <v>NA</v>
          </cell>
          <cell r="AO43" t="str">
            <v>NA</v>
          </cell>
          <cell r="AP43" t="str">
            <v>NA</v>
          </cell>
          <cell r="AQ43" t="str">
            <v>NA</v>
          </cell>
          <cell r="AR43" t="str">
            <v>NA</v>
          </cell>
          <cell r="AS43" t="str">
            <v>NA</v>
          </cell>
          <cell r="AT43" t="str">
            <v>NA</v>
          </cell>
          <cell r="AU43" t="str">
            <v>NA</v>
          </cell>
          <cell r="AV43" t="str">
            <v>NA</v>
          </cell>
          <cell r="AW43" t="str">
            <v>NA</v>
          </cell>
          <cell r="AX43" t="str">
            <v>NA</v>
          </cell>
          <cell r="AY43" t="str">
            <v>NA</v>
          </cell>
          <cell r="AZ43" t="str">
            <v>NA</v>
          </cell>
          <cell r="BA43" t="str">
            <v>NA</v>
          </cell>
          <cell r="BB43" t="str">
            <v>NA</v>
          </cell>
          <cell r="BC43" t="str">
            <v>NA</v>
          </cell>
        </row>
        <row r="44">
          <cell r="B44" t="str">
            <v>Personal Computers</v>
          </cell>
          <cell r="C44">
            <v>-956.74208205372872</v>
          </cell>
          <cell r="D44">
            <v>-29.154004151975091</v>
          </cell>
          <cell r="E44">
            <v>-6.2728968017692122</v>
          </cell>
          <cell r="F44">
            <v>0.26827304622443826</v>
          </cell>
          <cell r="G44">
            <v>-956.74208205372872</v>
          </cell>
          <cell r="H44">
            <v>-956.74208205372872</v>
          </cell>
          <cell r="I44">
            <v>-956.74208205372872</v>
          </cell>
          <cell r="J44">
            <v>-956.74208205372872</v>
          </cell>
          <cell r="K44">
            <v>-29.516848011766669</v>
          </cell>
          <cell r="L44">
            <v>0.36284385979157902</v>
          </cell>
          <cell r="M44">
            <v>-29.154004151975091</v>
          </cell>
          <cell r="N44">
            <v>-1.504655701311171</v>
          </cell>
          <cell r="O44">
            <v>-5.036514146682479</v>
          </cell>
          <cell r="P44">
            <v>0.26827304622443826</v>
          </cell>
          <cell r="Q44">
            <v>-6.2728968017692122</v>
          </cell>
          <cell r="R44">
            <v>0.26827304622443826</v>
          </cell>
          <cell r="S44" t="str">
            <v>NA</v>
          </cell>
          <cell r="T44">
            <v>0.26827304622443826</v>
          </cell>
          <cell r="U44">
            <v>-957.01035509995313</v>
          </cell>
          <cell r="V44">
            <v>-957.01035509995313</v>
          </cell>
          <cell r="W44">
            <v>-29.422277198199531</v>
          </cell>
          <cell r="X44">
            <v>-6.5411698479936504</v>
          </cell>
          <cell r="Y44">
            <v>6.58</v>
          </cell>
          <cell r="Z44">
            <v>945.12868223430814</v>
          </cell>
          <cell r="AA44">
            <v>5.0333998194205209</v>
          </cell>
          <cell r="AB44">
            <v>956.74208205372872</v>
          </cell>
          <cell r="AC44">
            <v>1</v>
          </cell>
          <cell r="AD44">
            <v>951.70868223430818</v>
          </cell>
          <cell r="AE44">
            <v>5.0333998194205209</v>
          </cell>
          <cell r="AF44">
            <v>956.74208205372872</v>
          </cell>
          <cell r="AG44" t="str">
            <v>NA</v>
          </cell>
          <cell r="AH44" t="str">
            <v>NA</v>
          </cell>
          <cell r="AI44" t="str">
            <v>NA</v>
          </cell>
          <cell r="AJ44" t="str">
            <v>NA</v>
          </cell>
          <cell r="AK44" t="str">
            <v>NA</v>
          </cell>
          <cell r="AL44" t="str">
            <v>NA</v>
          </cell>
          <cell r="AM44" t="str">
            <v>NA</v>
          </cell>
          <cell r="AN44" t="str">
            <v>NA</v>
          </cell>
          <cell r="AO44" t="str">
            <v>NA</v>
          </cell>
          <cell r="AP44" t="str">
            <v>NA</v>
          </cell>
          <cell r="AQ44" t="str">
            <v>NA</v>
          </cell>
          <cell r="AR44" t="str">
            <v>NA</v>
          </cell>
          <cell r="AS44" t="str">
            <v>NA</v>
          </cell>
          <cell r="AT44" t="str">
            <v>NA</v>
          </cell>
          <cell r="AU44" t="str">
            <v>NA</v>
          </cell>
          <cell r="AV44" t="str">
            <v>NA</v>
          </cell>
          <cell r="AW44" t="str">
            <v>NA</v>
          </cell>
          <cell r="AX44" t="str">
            <v>NA</v>
          </cell>
          <cell r="AY44" t="str">
            <v>NA</v>
          </cell>
          <cell r="AZ44" t="str">
            <v>NA</v>
          </cell>
          <cell r="BA44" t="str">
            <v>NA</v>
          </cell>
          <cell r="BB44" t="str">
            <v>NA</v>
          </cell>
          <cell r="BC44" t="str">
            <v>NA</v>
          </cell>
        </row>
        <row r="45">
          <cell r="B45" t="str">
            <v>Clay Bricks</v>
          </cell>
          <cell r="C45">
            <v>-5.1314789596929602</v>
          </cell>
          <cell r="D45" t="str">
            <v>NA</v>
          </cell>
          <cell r="E45" t="str">
            <v>NA</v>
          </cell>
          <cell r="F45">
            <v>0.26827304622443826</v>
          </cell>
          <cell r="G45">
            <v>-5.1314789596929602</v>
          </cell>
          <cell r="H45">
            <v>-5.1314789596929602</v>
          </cell>
          <cell r="I45">
            <v>-5.1314789596929602</v>
          </cell>
          <cell r="J45">
            <v>-5.1314789596929602</v>
          </cell>
          <cell r="K45" t="str">
            <v>NA</v>
          </cell>
          <cell r="L45" t="str">
            <v>NA</v>
          </cell>
          <cell r="M45" t="str">
            <v>NA</v>
          </cell>
          <cell r="N45" t="str">
            <v>NA</v>
          </cell>
          <cell r="O45" t="str">
            <v>NA</v>
          </cell>
          <cell r="P45" t="str">
            <v>NA</v>
          </cell>
          <cell r="Q45" t="str">
            <v>NA</v>
          </cell>
          <cell r="R45">
            <v>0.26827304622443826</v>
          </cell>
          <cell r="S45" t="str">
            <v>NA</v>
          </cell>
          <cell r="T45">
            <v>0.26827304622443826</v>
          </cell>
          <cell r="U45">
            <v>-5.3997520059173985</v>
          </cell>
          <cell r="V45">
            <v>-5.3997520059173985</v>
          </cell>
          <cell r="W45" t="str">
            <v>NA</v>
          </cell>
          <cell r="X45" t="str">
            <v>NA</v>
          </cell>
          <cell r="Z45">
            <v>5.1007839107601605</v>
          </cell>
          <cell r="AA45">
            <v>3.06950489328E-2</v>
          </cell>
          <cell r="AB45">
            <v>5.1314789596929602</v>
          </cell>
          <cell r="AC45">
            <v>1</v>
          </cell>
          <cell r="AD45">
            <v>5.1007839107601605</v>
          </cell>
          <cell r="AE45">
            <v>3.06950489328E-2</v>
          </cell>
          <cell r="AF45">
            <v>5.1314789596929602</v>
          </cell>
          <cell r="AG45" t="str">
            <v>NA</v>
          </cell>
          <cell r="AH45" t="str">
            <v>NA</v>
          </cell>
          <cell r="AI45" t="str">
            <v>NA</v>
          </cell>
          <cell r="AJ45" t="str">
            <v>NA</v>
          </cell>
          <cell r="AK45" t="str">
            <v>NA</v>
          </cell>
          <cell r="AL45" t="str">
            <v>NA</v>
          </cell>
          <cell r="AM45" t="str">
            <v>NA</v>
          </cell>
          <cell r="AN45" t="str">
            <v>NA</v>
          </cell>
          <cell r="AO45" t="str">
            <v>NA</v>
          </cell>
          <cell r="AP45" t="str">
            <v>NA</v>
          </cell>
          <cell r="AQ45" t="str">
            <v>NA</v>
          </cell>
          <cell r="AR45" t="str">
            <v>NA</v>
          </cell>
          <cell r="AS45" t="str">
            <v>NA</v>
          </cell>
          <cell r="AT45" t="str">
            <v>NA</v>
          </cell>
          <cell r="AU45" t="str">
            <v>NA</v>
          </cell>
          <cell r="AV45" t="str">
            <v>NA</v>
          </cell>
          <cell r="AW45" t="str">
            <v>NA</v>
          </cell>
          <cell r="AX45" t="str">
            <v>NA</v>
          </cell>
          <cell r="AY45" t="str">
            <v>NA</v>
          </cell>
          <cell r="AZ45" t="str">
            <v>NA</v>
          </cell>
          <cell r="BA45" t="str">
            <v>NA</v>
          </cell>
          <cell r="BB45" t="str">
            <v>NA</v>
          </cell>
          <cell r="BC45" t="str">
            <v>NA</v>
          </cell>
        </row>
        <row r="46">
          <cell r="B46" t="str">
            <v>Concrete</v>
          </cell>
          <cell r="C46" t="str">
            <v>NA</v>
          </cell>
          <cell r="D46">
            <v>-0.10682211567448255</v>
          </cell>
          <cell r="E46" t="str">
            <v>NA</v>
          </cell>
          <cell r="F46">
            <v>0.26827304622443826</v>
          </cell>
          <cell r="G46" t="str">
            <v>NA</v>
          </cell>
          <cell r="H46" t="str">
            <v>NA</v>
          </cell>
          <cell r="I46" t="str">
            <v>NA</v>
          </cell>
          <cell r="J46" t="str">
            <v>NA</v>
          </cell>
          <cell r="K46">
            <v>-1.3357590432519502E-2</v>
          </cell>
          <cell r="L46">
            <v>-9.3464525241963053E-2</v>
          </cell>
          <cell r="M46">
            <v>-0.10682211567448255</v>
          </cell>
          <cell r="N46" t="str">
            <v>NA</v>
          </cell>
          <cell r="O46" t="str">
            <v>NA</v>
          </cell>
          <cell r="P46" t="str">
            <v>NA</v>
          </cell>
          <cell r="Q46" t="str">
            <v>NA</v>
          </cell>
          <cell r="R46">
            <v>0.26827304622443826</v>
          </cell>
          <cell r="S46" t="str">
            <v>NA</v>
          </cell>
          <cell r="T46">
            <v>0.26827304622443826</v>
          </cell>
          <cell r="U46" t="str">
            <v>NA</v>
          </cell>
          <cell r="V46" t="str">
            <v>NA</v>
          </cell>
          <cell r="W46">
            <v>-0.37509516189892078</v>
          </cell>
          <cell r="X46" t="str">
            <v>NA</v>
          </cell>
          <cell r="Z46">
            <v>4.8563621432519501E-2</v>
          </cell>
          <cell r="AA46">
            <v>0.18683889177790491</v>
          </cell>
          <cell r="AB46">
            <v>0.23540251321042441</v>
          </cell>
          <cell r="AC46" t="str">
            <v>NA</v>
          </cell>
          <cell r="AD46" t="str">
            <v>NA</v>
          </cell>
          <cell r="AE46" t="str">
            <v>NA</v>
          </cell>
          <cell r="AF46" t="str">
            <v>NA</v>
          </cell>
          <cell r="AG46">
            <v>3.5206030999999999E-2</v>
          </cell>
          <cell r="AH46">
            <v>9.3374366535941861E-2</v>
          </cell>
          <cell r="AI46">
            <v>0.12858039753594186</v>
          </cell>
          <cell r="AJ46" t="str">
            <v>NA</v>
          </cell>
          <cell r="AK46" t="str">
            <v>NA</v>
          </cell>
          <cell r="AL46" t="str">
            <v>NA</v>
          </cell>
          <cell r="AM46" t="str">
            <v>NA</v>
          </cell>
          <cell r="AN46" t="str">
            <v>NA</v>
          </cell>
          <cell r="AO46" t="str">
            <v>NA</v>
          </cell>
          <cell r="AP46" t="str">
            <v>NA</v>
          </cell>
          <cell r="AQ46" t="str">
            <v>NA</v>
          </cell>
          <cell r="AR46" t="str">
            <v>NA</v>
          </cell>
          <cell r="AS46" t="str">
            <v>NA</v>
          </cell>
          <cell r="AT46" t="str">
            <v>NA</v>
          </cell>
          <cell r="AU46" t="str">
            <v>NA</v>
          </cell>
          <cell r="AV46" t="str">
            <v>NA</v>
          </cell>
          <cell r="AW46" t="str">
            <v>NA</v>
          </cell>
          <cell r="AX46" t="str">
            <v>NA</v>
          </cell>
          <cell r="AY46" t="str">
            <v>NA</v>
          </cell>
          <cell r="AZ46" t="str">
            <v>NA</v>
          </cell>
          <cell r="BA46" t="str">
            <v>NA</v>
          </cell>
          <cell r="BB46" t="str">
            <v>NA</v>
          </cell>
          <cell r="BC46" t="str">
            <v>NA</v>
          </cell>
        </row>
        <row r="47">
          <cell r="B47" t="str">
            <v>Fly Ash</v>
          </cell>
          <cell r="C47" t="str">
            <v>NA</v>
          </cell>
          <cell r="D47">
            <v>-4.7666763130925007</v>
          </cell>
          <cell r="E47" t="str">
            <v>NA</v>
          </cell>
          <cell r="F47">
            <v>0.26827304622443826</v>
          </cell>
          <cell r="G47" t="str">
            <v>NA</v>
          </cell>
          <cell r="H47" t="str">
            <v>NA</v>
          </cell>
          <cell r="I47" t="str">
            <v>NA</v>
          </cell>
          <cell r="J47" t="str">
            <v>NA</v>
          </cell>
          <cell r="K47">
            <v>-4.7666763130925007</v>
          </cell>
          <cell r="L47">
            <v>0</v>
          </cell>
          <cell r="M47">
            <v>-4.7666763130925007</v>
          </cell>
          <cell r="N47" t="str">
            <v>NA</v>
          </cell>
          <cell r="O47" t="str">
            <v>NA</v>
          </cell>
          <cell r="P47" t="str">
            <v>NA</v>
          </cell>
          <cell r="Q47" t="str">
            <v>NA</v>
          </cell>
          <cell r="R47">
            <v>0.26827304622443826</v>
          </cell>
          <cell r="S47" t="str">
            <v>NA</v>
          </cell>
          <cell r="T47">
            <v>0.26827304622443826</v>
          </cell>
          <cell r="U47" t="str">
            <v>NA</v>
          </cell>
          <cell r="V47" t="str">
            <v>NA</v>
          </cell>
          <cell r="W47">
            <v>-5.034949359316939</v>
          </cell>
          <cell r="X47" t="str">
            <v>NA</v>
          </cell>
          <cell r="Z47">
            <v>4.7666763130925007</v>
          </cell>
          <cell r="AA47">
            <v>0.10416149999999999</v>
          </cell>
          <cell r="AB47">
            <v>4.8708378130925007</v>
          </cell>
          <cell r="AC47" t="str">
            <v>NA</v>
          </cell>
          <cell r="AD47" t="str">
            <v>NA</v>
          </cell>
          <cell r="AE47" t="str">
            <v>NA</v>
          </cell>
          <cell r="AF47" t="str">
            <v>NA</v>
          </cell>
          <cell r="AG47">
            <v>0</v>
          </cell>
          <cell r="AH47">
            <v>0.10416149999999999</v>
          </cell>
          <cell r="AI47">
            <v>0.10416149999999999</v>
          </cell>
          <cell r="AJ47" t="str">
            <v>NA</v>
          </cell>
          <cell r="AK47" t="str">
            <v>NA</v>
          </cell>
          <cell r="AL47" t="str">
            <v>NA</v>
          </cell>
          <cell r="AM47" t="str">
            <v>NA</v>
          </cell>
          <cell r="AN47" t="str">
            <v>NA</v>
          </cell>
          <cell r="AO47" t="str">
            <v>NA</v>
          </cell>
          <cell r="AP47" t="str">
            <v>NA</v>
          </cell>
          <cell r="AQ47" t="str">
            <v>NA</v>
          </cell>
          <cell r="AR47" t="str">
            <v>NA</v>
          </cell>
          <cell r="AS47" t="str">
            <v>NA</v>
          </cell>
          <cell r="AT47" t="str">
            <v>NA</v>
          </cell>
          <cell r="AU47" t="str">
            <v>NA</v>
          </cell>
          <cell r="AV47" t="str">
            <v>NA</v>
          </cell>
          <cell r="AW47" t="str">
            <v>NA</v>
          </cell>
          <cell r="AX47" t="str">
            <v>NA</v>
          </cell>
          <cell r="AY47" t="str">
            <v>NA</v>
          </cell>
          <cell r="AZ47" t="str">
            <v>NA</v>
          </cell>
          <cell r="BA47" t="str">
            <v>NA</v>
          </cell>
          <cell r="BB47" t="str">
            <v>NA</v>
          </cell>
          <cell r="BC47" t="str">
            <v>NA</v>
          </cell>
        </row>
        <row r="48">
          <cell r="B48" t="str">
            <v>Tires</v>
          </cell>
          <cell r="C48">
            <v>-71.710606568138289</v>
          </cell>
          <cell r="D48">
            <v>-3.5602948558483529</v>
          </cell>
          <cell r="E48">
            <v>-28.520246356755237</v>
          </cell>
          <cell r="F48">
            <v>0.26827304622443826</v>
          </cell>
          <cell r="G48">
            <v>-71.710606568138289</v>
          </cell>
          <cell r="H48">
            <v>-74.326977160364933</v>
          </cell>
          <cell r="I48">
            <v>-71.710606568138289</v>
          </cell>
          <cell r="J48">
            <v>-74.326977160364933</v>
          </cell>
          <cell r="K48">
            <v>-4.9513813513396041</v>
          </cell>
          <cell r="L48">
            <v>1.3910864954912512</v>
          </cell>
          <cell r="M48">
            <v>-3.5602948558483529</v>
          </cell>
          <cell r="N48">
            <v>-27.777777777777775</v>
          </cell>
          <cell r="O48">
            <v>-1.0107416252019017</v>
          </cell>
          <cell r="P48">
            <v>0.26827304622443826</v>
          </cell>
          <cell r="Q48">
            <v>-28.520246356755237</v>
          </cell>
          <cell r="R48">
            <v>0.26827304622443826</v>
          </cell>
          <cell r="S48" t="str">
            <v>NA</v>
          </cell>
          <cell r="T48">
            <v>0.26827304622443826</v>
          </cell>
          <cell r="U48">
            <v>-71.978879614362725</v>
          </cell>
          <cell r="V48">
            <v>-74.59525020658937</v>
          </cell>
          <cell r="W48">
            <v>-3.8285679020727912</v>
          </cell>
          <cell r="X48">
            <v>-28.788519402979674</v>
          </cell>
          <cell r="Z48">
            <v>73.787599472631982</v>
          </cell>
          <cell r="AA48">
            <v>0.53937768773294736</v>
          </cell>
          <cell r="AB48">
            <v>74.326977160364933</v>
          </cell>
          <cell r="AC48">
            <v>0.96314444444444447</v>
          </cell>
          <cell r="AD48">
            <v>71.139838679123855</v>
          </cell>
          <cell r="AE48">
            <v>0.57076788901443942</v>
          </cell>
          <cell r="AF48">
            <v>71.710606568138289</v>
          </cell>
          <cell r="AG48">
            <v>1.9460343789533314</v>
          </cell>
          <cell r="AH48">
            <v>1.3910864954912512</v>
          </cell>
          <cell r="AI48">
            <v>3.3371208744445826</v>
          </cell>
          <cell r="AJ48" t="str">
            <v>NA</v>
          </cell>
          <cell r="AK48" t="str">
            <v>NA</v>
          </cell>
          <cell r="AL48" t="str">
            <v>NA</v>
          </cell>
          <cell r="AM48" t="str">
            <v>NA</v>
          </cell>
          <cell r="AN48" t="str">
            <v>NA</v>
          </cell>
          <cell r="AO48" t="str">
            <v>NA</v>
          </cell>
          <cell r="AP48" t="str">
            <v>NA</v>
          </cell>
          <cell r="AQ48" t="str">
            <v>NA</v>
          </cell>
          <cell r="AR48" t="str">
            <v>NA</v>
          </cell>
          <cell r="AS48" t="str">
            <v>NA</v>
          </cell>
          <cell r="AT48" t="str">
            <v>NA</v>
          </cell>
          <cell r="AU48" t="str">
            <v>NA</v>
          </cell>
          <cell r="AV48" t="str">
            <v>NA</v>
          </cell>
          <cell r="AW48" t="str">
            <v>NA</v>
          </cell>
          <cell r="AX48" t="str">
            <v>NA</v>
          </cell>
          <cell r="AY48" t="str">
            <v>NA</v>
          </cell>
          <cell r="AZ48" t="str">
            <v>NA</v>
          </cell>
          <cell r="BA48" t="str">
            <v>NA</v>
          </cell>
          <cell r="BB48" t="str">
            <v>NA</v>
          </cell>
          <cell r="BC48" t="str">
            <v>NA</v>
          </cell>
        </row>
        <row r="49">
          <cell r="B49" t="str">
            <v>Asphalt Concrete</v>
          </cell>
          <cell r="C49">
            <v>-1.6794485293324295</v>
          </cell>
          <cell r="D49">
            <v>-1.2205762377670069</v>
          </cell>
          <cell r="E49" t="str">
            <v>NA</v>
          </cell>
          <cell r="F49">
            <v>0.26827304622443826</v>
          </cell>
          <cell r="G49">
            <v>-1.6794485293324295</v>
          </cell>
          <cell r="H49">
            <v>-1.6794485293324295</v>
          </cell>
          <cell r="I49">
            <v>-1.6794485293324295</v>
          </cell>
          <cell r="J49">
            <v>-1.6794485293324295</v>
          </cell>
          <cell r="K49">
            <v>-0.53333670002887124</v>
          </cell>
          <cell r="L49">
            <v>-0.68723953773813562</v>
          </cell>
          <cell r="M49">
            <v>-1.2205762377670069</v>
          </cell>
          <cell r="N49" t="str">
            <v>NA</v>
          </cell>
          <cell r="O49" t="str">
            <v>NA</v>
          </cell>
          <cell r="P49" t="str">
            <v>NA</v>
          </cell>
          <cell r="Q49" t="str">
            <v>NA</v>
          </cell>
          <cell r="R49">
            <v>0.26827304622443826</v>
          </cell>
          <cell r="S49" t="str">
            <v>NA</v>
          </cell>
          <cell r="T49">
            <v>0.26827304622443826</v>
          </cell>
          <cell r="U49">
            <v>-1.9477215755568678</v>
          </cell>
          <cell r="V49">
            <v>-1.9477215755568678</v>
          </cell>
          <cell r="W49">
            <v>-1.4888492839914451</v>
          </cell>
          <cell r="X49">
            <v>-0.26827304622443826</v>
          </cell>
          <cell r="Z49">
            <v>0.94460627159429389</v>
          </cell>
          <cell r="AA49">
            <v>0.73484225773813561</v>
          </cell>
          <cell r="AB49">
            <v>1.6794485293324295</v>
          </cell>
          <cell r="AC49">
            <v>1</v>
          </cell>
          <cell r="AD49">
            <v>0.94460627159429389</v>
          </cell>
          <cell r="AE49">
            <v>0.73484225773813561</v>
          </cell>
          <cell r="AF49">
            <v>1.6794485293324295</v>
          </cell>
          <cell r="AG49">
            <v>0.41126957156542265</v>
          </cell>
          <cell r="AH49">
            <v>4.7602720000000015E-2</v>
          </cell>
          <cell r="AI49">
            <v>0.45887229156542264</v>
          </cell>
          <cell r="AJ49" t="str">
            <v>NA</v>
          </cell>
          <cell r="AK49" t="str">
            <v>NA</v>
          </cell>
          <cell r="AL49" t="str">
            <v>NA</v>
          </cell>
          <cell r="AM49" t="str">
            <v>NA</v>
          </cell>
          <cell r="AN49" t="str">
            <v>NA</v>
          </cell>
          <cell r="AO49" t="str">
            <v>NA</v>
          </cell>
          <cell r="AP49" t="str">
            <v>NA</v>
          </cell>
          <cell r="AQ49" t="str">
            <v>NA</v>
          </cell>
          <cell r="AR49" t="str">
            <v>NA</v>
          </cell>
          <cell r="AS49" t="str">
            <v>NA</v>
          </cell>
          <cell r="AT49" t="str">
            <v>NA</v>
          </cell>
          <cell r="AU49" t="str">
            <v>NA</v>
          </cell>
          <cell r="AV49" t="str">
            <v>NA</v>
          </cell>
          <cell r="AW49" t="str">
            <v>NA</v>
          </cell>
          <cell r="AX49" t="str">
            <v>NA</v>
          </cell>
          <cell r="AY49" t="str">
            <v>NA</v>
          </cell>
          <cell r="AZ49" t="str">
            <v>NA</v>
          </cell>
          <cell r="BA49" t="str">
            <v>NA</v>
          </cell>
          <cell r="BB49" t="str">
            <v>NA</v>
          </cell>
          <cell r="BC49" t="str">
            <v>NA</v>
          </cell>
        </row>
        <row r="50">
          <cell r="B50" t="str">
            <v>Asphalt Shingles</v>
          </cell>
          <cell r="C50">
            <v>-3.1290380094721417</v>
          </cell>
          <cell r="D50">
            <v>-2.4334558234493109</v>
          </cell>
          <cell r="E50">
            <v>-8.5317269537755607</v>
          </cell>
          <cell r="F50">
            <v>0.26827304622443826</v>
          </cell>
          <cell r="G50">
            <v>-3.1290380094721417</v>
          </cell>
          <cell r="H50">
            <v>-3.1290380094721417</v>
          </cell>
          <cell r="I50">
            <v>-3.1290380094721417</v>
          </cell>
          <cell r="J50">
            <v>-3.1290380094721417</v>
          </cell>
          <cell r="K50">
            <v>-1.9787493644058993</v>
          </cell>
          <cell r="L50">
            <v>-0.45470645904341134</v>
          </cell>
          <cell r="M50">
            <v>-2.4334558234493109</v>
          </cell>
          <cell r="N50">
            <v>-8.7999999999999989</v>
          </cell>
          <cell r="O50" t="str">
            <v>NA</v>
          </cell>
          <cell r="P50">
            <v>0.26827304622443826</v>
          </cell>
          <cell r="Q50">
            <v>-8.5317269537755607</v>
          </cell>
          <cell r="R50">
            <v>0.26827304622443826</v>
          </cell>
          <cell r="S50" t="str">
            <v>NA</v>
          </cell>
          <cell r="T50">
            <v>0.26827304622443826</v>
          </cell>
          <cell r="U50">
            <v>-3.39731105569658</v>
          </cell>
          <cell r="V50">
            <v>-3.39731105569658</v>
          </cell>
          <cell r="W50">
            <v>-2.7017288696737491</v>
          </cell>
          <cell r="X50">
            <v>-8.7999999999999989</v>
          </cell>
          <cell r="Z50">
            <v>2.1675266764188788</v>
          </cell>
          <cell r="AA50">
            <v>0.96151133305326275</v>
          </cell>
          <cell r="AB50">
            <v>3.1290380094721417</v>
          </cell>
          <cell r="AC50">
            <v>1</v>
          </cell>
          <cell r="AD50">
            <v>2.1675266764188788</v>
          </cell>
          <cell r="AE50">
            <v>0.96151133305326275</v>
          </cell>
          <cell r="AF50">
            <v>3.1290380094721417</v>
          </cell>
          <cell r="AG50">
            <v>3.525365442976313E-2</v>
          </cell>
          <cell r="AH50">
            <v>0.47152592460131093</v>
          </cell>
          <cell r="AI50">
            <v>0.50677957903107407</v>
          </cell>
          <cell r="AJ50" t="str">
            <v>NA</v>
          </cell>
          <cell r="AK50" t="str">
            <v>NA</v>
          </cell>
          <cell r="AL50" t="str">
            <v>NA</v>
          </cell>
          <cell r="AM50" t="str">
            <v>NA</v>
          </cell>
          <cell r="AN50" t="str">
            <v>NA</v>
          </cell>
          <cell r="AO50" t="str">
            <v>NA</v>
          </cell>
          <cell r="AP50" t="str">
            <v>NA</v>
          </cell>
          <cell r="AQ50" t="str">
            <v>NA</v>
          </cell>
          <cell r="AR50" t="str">
            <v>NA</v>
          </cell>
          <cell r="AS50" t="str">
            <v>NA</v>
          </cell>
          <cell r="AT50" t="str">
            <v>NA</v>
          </cell>
          <cell r="AU50" t="str">
            <v>NA</v>
          </cell>
          <cell r="AV50" t="str">
            <v>NA</v>
          </cell>
          <cell r="AW50" t="str">
            <v>NA</v>
          </cell>
          <cell r="AX50" t="str">
            <v>NA</v>
          </cell>
          <cell r="AY50" t="str">
            <v>NA</v>
          </cell>
          <cell r="AZ50" t="str">
            <v>NA</v>
          </cell>
          <cell r="BA50" t="str">
            <v>NA</v>
          </cell>
          <cell r="BB50" t="str">
            <v>NA</v>
          </cell>
          <cell r="BC50" t="str">
            <v>NA</v>
          </cell>
        </row>
        <row r="51">
          <cell r="B51" t="str">
            <v>Drywall</v>
          </cell>
          <cell r="C51">
            <v>-3.5601579633859353</v>
          </cell>
          <cell r="D51">
            <v>-2.6170139135801853</v>
          </cell>
          <cell r="E51" t="str">
            <v>NA</v>
          </cell>
          <cell r="F51">
            <v>0.26827304622443826</v>
          </cell>
          <cell r="G51">
            <v>-3.5601579633859353</v>
          </cell>
          <cell r="H51">
            <v>-3.5601579633859353</v>
          </cell>
          <cell r="I51">
            <v>-3.5601579633859353</v>
          </cell>
          <cell r="J51">
            <v>-3.5601579633859353</v>
          </cell>
          <cell r="K51">
            <v>-2.1280084759451374</v>
          </cell>
          <cell r="L51">
            <v>-0.48900543763504789</v>
          </cell>
          <cell r="M51">
            <v>-2.6170139135801853</v>
          </cell>
          <cell r="N51" t="str">
            <v>NA</v>
          </cell>
          <cell r="O51" t="str">
            <v>NA</v>
          </cell>
          <cell r="P51" t="str">
            <v>NA</v>
          </cell>
          <cell r="Q51" t="str">
            <v>NA</v>
          </cell>
          <cell r="R51">
            <v>0.26827304622443826</v>
          </cell>
          <cell r="S51" t="str">
            <v>NA</v>
          </cell>
          <cell r="T51">
            <v>0.26827304622443826</v>
          </cell>
          <cell r="U51">
            <v>-3.8284310096103735</v>
          </cell>
          <cell r="V51">
            <v>-3.8284310096103735</v>
          </cell>
          <cell r="W51">
            <v>-2.8852869598046236</v>
          </cell>
          <cell r="X51">
            <v>-0.26827304622443826</v>
          </cell>
          <cell r="Z51">
            <v>3.0782645466811958</v>
          </cell>
          <cell r="AA51">
            <v>0.4818934167047394</v>
          </cell>
          <cell r="AB51">
            <v>3.5601579633859353</v>
          </cell>
          <cell r="AC51">
            <v>1</v>
          </cell>
          <cell r="AD51">
            <v>3.0782645466811958</v>
          </cell>
          <cell r="AE51">
            <v>0.4818934167047394</v>
          </cell>
          <cell r="AF51">
            <v>3.5601579633859353</v>
          </cell>
          <cell r="AG51">
            <v>3.1863462714209239</v>
          </cell>
          <cell r="AH51">
            <v>0.4099207369333423</v>
          </cell>
          <cell r="AI51">
            <v>3.5962670083542663</v>
          </cell>
          <cell r="AJ51" t="str">
            <v>NA</v>
          </cell>
          <cell r="AK51" t="str">
            <v>NA</v>
          </cell>
          <cell r="AL51" t="str">
            <v>NA</v>
          </cell>
          <cell r="AM51" t="str">
            <v>NA</v>
          </cell>
          <cell r="AN51" t="str">
            <v>NA</v>
          </cell>
          <cell r="AO51" t="str">
            <v>NA</v>
          </cell>
          <cell r="AP51" t="str">
            <v>NA</v>
          </cell>
          <cell r="AQ51" t="str">
            <v>NA</v>
          </cell>
          <cell r="AR51" t="str">
            <v>NA</v>
          </cell>
          <cell r="AS51" t="str">
            <v>NA</v>
          </cell>
          <cell r="AT51" t="str">
            <v>NA</v>
          </cell>
          <cell r="AU51" t="str">
            <v>NA</v>
          </cell>
          <cell r="AV51" t="str">
            <v>NA</v>
          </cell>
          <cell r="AW51" t="str">
            <v>NA</v>
          </cell>
          <cell r="AX51" t="str">
            <v>NA</v>
          </cell>
          <cell r="AY51" t="str">
            <v>NA</v>
          </cell>
          <cell r="AZ51" t="str">
            <v>NA</v>
          </cell>
          <cell r="BA51" t="str">
            <v>NA</v>
          </cell>
          <cell r="BB51" t="str">
            <v>NA</v>
          </cell>
          <cell r="BC51" t="str">
            <v>NA</v>
          </cell>
        </row>
        <row r="52">
          <cell r="B52" t="str">
            <v>Fiberglass Insulation</v>
          </cell>
          <cell r="C52">
            <v>-4.7319505773729853</v>
          </cell>
          <cell r="D52" t="str">
            <v>NA</v>
          </cell>
          <cell r="E52" t="str">
            <v>NA</v>
          </cell>
          <cell r="F52">
            <v>0.26827304622443826</v>
          </cell>
          <cell r="G52">
            <v>-4.7319505773729853</v>
          </cell>
          <cell r="H52">
            <v>-5.5630471655475819</v>
          </cell>
          <cell r="I52">
            <v>-4.7319505773729853</v>
          </cell>
          <cell r="J52">
            <v>-5.5630471655475819</v>
          </cell>
          <cell r="K52" t="str">
            <v>NA</v>
          </cell>
          <cell r="L52" t="str">
            <v>NA</v>
          </cell>
          <cell r="M52" t="str">
            <v>NA</v>
          </cell>
          <cell r="N52" t="str">
            <v>NA</v>
          </cell>
          <cell r="O52" t="str">
            <v>NA</v>
          </cell>
          <cell r="P52" t="str">
            <v>NA</v>
          </cell>
          <cell r="Q52" t="str">
            <v>NA</v>
          </cell>
          <cell r="R52">
            <v>0.26827304622443826</v>
          </cell>
          <cell r="S52" t="str">
            <v>NA</v>
          </cell>
          <cell r="T52">
            <v>0.26827304622443826</v>
          </cell>
          <cell r="U52">
            <v>-5.0002236235974236</v>
          </cell>
          <cell r="V52">
            <v>-5.8313202117720202</v>
          </cell>
          <cell r="W52">
            <v>-0.26827304622443826</v>
          </cell>
          <cell r="X52">
            <v>-0.26827304622443826</v>
          </cell>
          <cell r="Z52">
            <v>4.7357922731332982</v>
          </cell>
          <cell r="AA52">
            <v>0.82725489241428374</v>
          </cell>
          <cell r="AB52">
            <v>5.5630471655475819</v>
          </cell>
          <cell r="AC52">
            <v>0.65999999999999992</v>
          </cell>
          <cell r="AD52">
            <v>3.9641893689755383</v>
          </cell>
          <cell r="AE52">
            <v>0.76776120839744699</v>
          </cell>
          <cell r="AF52">
            <v>4.7319505773729853</v>
          </cell>
          <cell r="AG52">
            <v>2.4663719667869466</v>
          </cell>
          <cell r="AH52">
            <v>0.65227346883535187</v>
          </cell>
          <cell r="AI52">
            <v>3.1186454356222986</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row>
        <row r="53">
          <cell r="B53" t="str">
            <v>Vinyl Flooring</v>
          </cell>
          <cell r="C53">
            <v>-10.726430452626698</v>
          </cell>
          <cell r="D53" t="str">
            <v>NA</v>
          </cell>
          <cell r="E53">
            <v>-7.4594423762704336</v>
          </cell>
          <cell r="F53">
            <v>0.26827304622443826</v>
          </cell>
          <cell r="G53">
            <v>-10.726430452626698</v>
          </cell>
          <cell r="H53">
            <v>-10.726430452626698</v>
          </cell>
          <cell r="I53">
            <v>-10.726430452626698</v>
          </cell>
          <cell r="J53">
            <v>-10.726430452626698</v>
          </cell>
          <cell r="K53" t="str">
            <v>NA</v>
          </cell>
          <cell r="L53" t="str">
            <v>NA</v>
          </cell>
          <cell r="M53" t="str">
            <v>NA</v>
          </cell>
          <cell r="N53">
            <v>-7.7277154224948719</v>
          </cell>
          <cell r="O53" t="str">
            <v>NA</v>
          </cell>
          <cell r="P53">
            <v>0.26827304622443826</v>
          </cell>
          <cell r="Q53">
            <v>-7.4594423762704336</v>
          </cell>
          <cell r="R53">
            <v>0.26827304622443826</v>
          </cell>
          <cell r="S53" t="str">
            <v>NA</v>
          </cell>
          <cell r="T53">
            <v>0.26827304622443826</v>
          </cell>
          <cell r="U53">
            <v>-10.994703498851136</v>
          </cell>
          <cell r="V53">
            <v>-10.994703498851136</v>
          </cell>
          <cell r="W53">
            <v>-0.26827304622443826</v>
          </cell>
          <cell r="X53">
            <v>-7.7277154224948719</v>
          </cell>
          <cell r="Z53">
            <v>9.4669712395988128</v>
          </cell>
          <cell r="AA53">
            <v>1.2594592130278839</v>
          </cell>
          <cell r="AB53">
            <v>10.726430452626698</v>
          </cell>
          <cell r="AC53">
            <v>1</v>
          </cell>
          <cell r="AD53">
            <v>9.4669712395988128</v>
          </cell>
          <cell r="AE53">
            <v>1.2594592130278839</v>
          </cell>
          <cell r="AF53">
            <v>10.726430452626698</v>
          </cell>
          <cell r="AG53" t="str">
            <v>NA</v>
          </cell>
          <cell r="AH53">
            <v>0.53937768773294736</v>
          </cell>
          <cell r="AI53">
            <v>0.53937768773294736</v>
          </cell>
          <cell r="AJ53" t="str">
            <v>NA</v>
          </cell>
          <cell r="AK53" t="str">
            <v>NA</v>
          </cell>
          <cell r="AL53" t="str">
            <v>NA</v>
          </cell>
          <cell r="AM53" t="str">
            <v>NA</v>
          </cell>
          <cell r="AN53" t="str">
            <v>NA</v>
          </cell>
          <cell r="AO53" t="str">
            <v>NA</v>
          </cell>
          <cell r="AP53" t="str">
            <v>NA</v>
          </cell>
          <cell r="AQ53" t="str">
            <v>NA</v>
          </cell>
          <cell r="AR53" t="str">
            <v>NA</v>
          </cell>
          <cell r="AS53" t="str">
            <v>NA</v>
          </cell>
          <cell r="AT53" t="str">
            <v>NA</v>
          </cell>
          <cell r="AU53" t="str">
            <v>NA</v>
          </cell>
          <cell r="AV53" t="str">
            <v>NA</v>
          </cell>
          <cell r="AW53" t="str">
            <v>NA</v>
          </cell>
          <cell r="AX53" t="str">
            <v>NA</v>
          </cell>
          <cell r="AY53" t="str">
            <v>NA</v>
          </cell>
          <cell r="AZ53" t="str">
            <v>NA</v>
          </cell>
          <cell r="BA53" t="str">
            <v>NA</v>
          </cell>
          <cell r="BB53" t="str">
            <v>NA</v>
          </cell>
          <cell r="BC53" t="str">
            <v>NA</v>
          </cell>
        </row>
        <row r="54">
          <cell r="B54" t="str">
            <v>Wood Flooring</v>
          </cell>
          <cell r="C54">
            <v>-14.449222251883416</v>
          </cell>
          <cell r="D54" t="str">
            <v>NA</v>
          </cell>
          <cell r="E54">
            <v>-10.390983905387516</v>
          </cell>
          <cell r="F54">
            <v>0.26827304622443826</v>
          </cell>
          <cell r="G54">
            <v>-14.449222251883416</v>
          </cell>
          <cell r="H54">
            <v>-14.449222251883416</v>
          </cell>
          <cell r="I54">
            <v>-14.449222251883416</v>
          </cell>
          <cell r="J54">
            <v>-14.449222251883416</v>
          </cell>
          <cell r="K54" t="str">
            <v>NA</v>
          </cell>
          <cell r="L54" t="str">
            <v>NA</v>
          </cell>
          <cell r="M54" t="str">
            <v>NA</v>
          </cell>
          <cell r="N54">
            <v>-10.659256951611955</v>
          </cell>
          <cell r="O54" t="str">
            <v>NA</v>
          </cell>
          <cell r="P54">
            <v>0.26827304622443826</v>
          </cell>
          <cell r="Q54">
            <v>-10.390983905387516</v>
          </cell>
          <cell r="R54">
            <v>0.26827304622443826</v>
          </cell>
          <cell r="S54" t="str">
            <v>NA</v>
          </cell>
          <cell r="T54">
            <v>0.26827304622443826</v>
          </cell>
          <cell r="U54">
            <v>-14.717495298107854</v>
          </cell>
          <cell r="V54">
            <v>-14.717495298107854</v>
          </cell>
          <cell r="W54">
            <v>-0.26827304622443826</v>
          </cell>
          <cell r="X54">
            <v>-10.659256951611955</v>
          </cell>
          <cell r="Z54">
            <v>13.050186237712804</v>
          </cell>
          <cell r="AA54">
            <v>1.3990360141706124</v>
          </cell>
          <cell r="AB54">
            <v>14.449222251883416</v>
          </cell>
          <cell r="AC54">
            <v>1</v>
          </cell>
          <cell r="AD54">
            <v>13.050186237712804</v>
          </cell>
          <cell r="AE54">
            <v>1.3990360141706124</v>
          </cell>
          <cell r="AF54">
            <v>14.449222251883416</v>
          </cell>
          <cell r="AG54" t="str">
            <v>NA</v>
          </cell>
          <cell r="AH54">
            <v>0.31798322435765308</v>
          </cell>
          <cell r="AI54">
            <v>0.31798322435765308</v>
          </cell>
          <cell r="AJ54" t="str">
            <v>NA</v>
          </cell>
          <cell r="AK54" t="str">
            <v>NA</v>
          </cell>
          <cell r="AL54" t="str">
            <v>NA</v>
          </cell>
          <cell r="AM54" t="str">
            <v>NA</v>
          </cell>
          <cell r="AN54" t="str">
            <v>NA</v>
          </cell>
          <cell r="AO54" t="str">
            <v>NA</v>
          </cell>
          <cell r="AP54" t="str">
            <v>NA</v>
          </cell>
          <cell r="AQ54" t="str">
            <v>NA</v>
          </cell>
          <cell r="AR54" t="str">
            <v>NA</v>
          </cell>
          <cell r="AS54" t="str">
            <v>NA</v>
          </cell>
          <cell r="AT54" t="str">
            <v>NA</v>
          </cell>
          <cell r="AU54" t="str">
            <v>NA</v>
          </cell>
          <cell r="AV54" t="str">
            <v>NA</v>
          </cell>
          <cell r="AW54" t="str">
            <v>NA</v>
          </cell>
          <cell r="AX54" t="str">
            <v>NA</v>
          </cell>
          <cell r="AY54" t="str">
            <v>NA</v>
          </cell>
          <cell r="AZ54" t="str">
            <v>NA</v>
          </cell>
          <cell r="BA54" t="str">
            <v>NA</v>
          </cell>
          <cell r="BB54" t="str">
            <v>NA</v>
          </cell>
          <cell r="BC54" t="str">
            <v>NA</v>
          </cell>
        </row>
        <row r="55">
          <cell r="B55" t="str">
            <v>Aluminum Ingot</v>
          </cell>
          <cell r="C55">
            <v>-126.94877293249891</v>
          </cell>
          <cell r="D55">
            <v>-113.84671667218909</v>
          </cell>
          <cell r="E55">
            <v>0.59700760705437883</v>
          </cell>
          <cell r="F55">
            <v>0.26827304622443826</v>
          </cell>
          <cell r="G55">
            <v>-126.94877293249891</v>
          </cell>
          <cell r="H55">
            <v>-126.94877293249891</v>
          </cell>
          <cell r="I55">
            <v>-126.94877293249891</v>
          </cell>
          <cell r="J55">
            <v>-126.94877293249891</v>
          </cell>
          <cell r="K55">
            <v>-113.52662152293625</v>
          </cell>
          <cell r="L55">
            <v>-0.32009514925282906</v>
          </cell>
          <cell r="M55">
            <v>-113.84671667218909</v>
          </cell>
          <cell r="N55">
            <v>0.32873456082994063</v>
          </cell>
          <cell r="O55" t="str">
            <v>NA</v>
          </cell>
          <cell r="P55">
            <v>0.26827304622443826</v>
          </cell>
          <cell r="Q55">
            <v>0.59700760705437883</v>
          </cell>
          <cell r="R55">
            <v>0.26827304622443826</v>
          </cell>
          <cell r="S55" t="str">
            <v>NA</v>
          </cell>
          <cell r="T55">
            <v>0.26827304622443826</v>
          </cell>
          <cell r="U55">
            <v>-127.21704597872335</v>
          </cell>
          <cell r="V55">
            <v>-127.21704597872335</v>
          </cell>
          <cell r="W55">
            <v>-114.11498971841353</v>
          </cell>
          <cell r="X55">
            <v>0.32873456082994057</v>
          </cell>
          <cell r="Y55">
            <v>10.865100874331219</v>
          </cell>
          <cell r="Z55">
            <v>115.16230480507434</v>
          </cell>
          <cell r="AA55">
            <v>0.92136725309335343</v>
          </cell>
          <cell r="AB55">
            <v>126.94877293249891</v>
          </cell>
          <cell r="AC55">
            <v>1</v>
          </cell>
          <cell r="AD55">
            <v>126.02740567940556</v>
          </cell>
          <cell r="AE55">
            <v>0.92136725309335343</v>
          </cell>
          <cell r="AF55">
            <v>126.94877293249891</v>
          </cell>
          <cell r="AG55">
            <v>4.4971573391022961</v>
          </cell>
          <cell r="AH55">
            <v>0.57870539581819991</v>
          </cell>
          <cell r="AI55">
            <v>5.0758627349204959</v>
          </cell>
          <cell r="AJ55" t="str">
            <v>NA</v>
          </cell>
          <cell r="AK55" t="str">
            <v>NA</v>
          </cell>
          <cell r="AL55" t="str">
            <v>NA</v>
          </cell>
          <cell r="AM55" t="str">
            <v>NA</v>
          </cell>
          <cell r="AN55" t="str">
            <v>NA</v>
          </cell>
          <cell r="AO55" t="str">
            <v>NA</v>
          </cell>
          <cell r="AP55" t="str">
            <v>NA</v>
          </cell>
          <cell r="AQ55" t="str">
            <v>NA</v>
          </cell>
          <cell r="AR55" t="str">
            <v>NA</v>
          </cell>
          <cell r="AS55" t="str">
            <v>NA</v>
          </cell>
          <cell r="AT55" t="str">
            <v>NA</v>
          </cell>
          <cell r="AU55" t="str">
            <v>NA</v>
          </cell>
          <cell r="AV55" t="str">
            <v>NA</v>
          </cell>
          <cell r="AW55" t="str">
            <v>NA</v>
          </cell>
          <cell r="AX55" t="str">
            <v>NA</v>
          </cell>
          <cell r="AY55" t="str">
            <v>NA</v>
          </cell>
          <cell r="AZ55" t="str">
            <v>NA</v>
          </cell>
          <cell r="BA55" t="str">
            <v>NA</v>
          </cell>
          <cell r="BB55" t="str">
            <v>NA</v>
          </cell>
          <cell r="BC55" t="str">
            <v>NA</v>
          </cell>
        </row>
        <row r="56">
          <cell r="B56" t="str">
            <v>PLA</v>
          </cell>
          <cell r="C56">
            <v>-30.693159400792101</v>
          </cell>
          <cell r="D56">
            <v>0.25847304622443823</v>
          </cell>
          <cell r="E56">
            <v>-7.9432218941485253</v>
          </cell>
          <cell r="F56">
            <v>0.26827304622443826</v>
          </cell>
          <cell r="G56">
            <v>-30.693159400792101</v>
          </cell>
          <cell r="H56">
            <v>-30.693159400792101</v>
          </cell>
          <cell r="I56">
            <v>-30.693159400792101</v>
          </cell>
          <cell r="J56">
            <v>-30.693159400792101</v>
          </cell>
          <cell r="K56" t="str">
            <v>NA</v>
          </cell>
          <cell r="L56">
            <v>0.25847304622443823</v>
          </cell>
          <cell r="M56">
            <v>0.25847304622443823</v>
          </cell>
          <cell r="N56">
            <v>-8.2114949403729636</v>
          </cell>
          <cell r="O56" t="str">
            <v>NA</v>
          </cell>
          <cell r="P56">
            <v>0.26827304622443826</v>
          </cell>
          <cell r="Q56">
            <v>-7.9432218941485253</v>
          </cell>
          <cell r="R56">
            <v>0.26827304622443826</v>
          </cell>
          <cell r="S56" t="str">
            <v>NA</v>
          </cell>
          <cell r="T56">
            <v>0.26827304622443826</v>
          </cell>
          <cell r="U56">
            <v>-30.961432447016541</v>
          </cell>
          <cell r="V56">
            <v>-30.961432447016541</v>
          </cell>
          <cell r="W56" t="str">
            <v>NA</v>
          </cell>
          <cell r="X56">
            <v>-8.2114949403729636</v>
          </cell>
          <cell r="Z56">
            <v>29.986069576406472</v>
          </cell>
          <cell r="AA56">
            <v>0.70708982438562951</v>
          </cell>
          <cell r="AB56">
            <v>30.693159400792101</v>
          </cell>
          <cell r="AC56">
            <v>1</v>
          </cell>
          <cell r="AD56">
            <v>29.986069576406472</v>
          </cell>
          <cell r="AE56">
            <v>0.70708982438562951</v>
          </cell>
          <cell r="AF56">
            <v>30.693159400792101</v>
          </cell>
          <cell r="AG56" t="str">
            <v>NA</v>
          </cell>
          <cell r="AH56" t="str">
            <v>NA</v>
          </cell>
          <cell r="AI56" t="str">
            <v>NA</v>
          </cell>
          <cell r="AJ56" t="str">
            <v>NA</v>
          </cell>
          <cell r="AK56" t="str">
            <v>NA</v>
          </cell>
          <cell r="AL56" t="str">
            <v>NA</v>
          </cell>
          <cell r="AM56" t="str">
            <v>NA</v>
          </cell>
          <cell r="AN56" t="str">
            <v>NA</v>
          </cell>
          <cell r="AO56" t="str">
            <v>NA</v>
          </cell>
          <cell r="AP56" t="str">
            <v>NA</v>
          </cell>
          <cell r="AQ56" t="str">
            <v>NA</v>
          </cell>
          <cell r="AR56" t="str">
            <v>NA</v>
          </cell>
          <cell r="AS56" t="str">
            <v>NA</v>
          </cell>
          <cell r="AT56" t="str">
            <v>NA</v>
          </cell>
          <cell r="AU56" t="str">
            <v>NA</v>
          </cell>
          <cell r="AV56" t="str">
            <v>NA</v>
          </cell>
          <cell r="AW56" t="str">
            <v>NA</v>
          </cell>
          <cell r="AX56" t="str">
            <v>NA</v>
          </cell>
          <cell r="AY56" t="str">
            <v>NA</v>
          </cell>
          <cell r="AZ56" t="str">
            <v>NA</v>
          </cell>
          <cell r="BA56" t="str">
            <v>NA</v>
          </cell>
          <cell r="BB56" t="str">
            <v>NA</v>
          </cell>
          <cell r="BC56" t="str">
            <v>NA</v>
          </cell>
        </row>
        <row r="57">
          <cell r="B57" t="str">
            <v>LLDPE</v>
          </cell>
          <cell r="C57">
            <v>-66.366112170201077</v>
          </cell>
          <cell r="D57" t="str">
            <v>NA</v>
          </cell>
          <cell r="E57">
            <v>-19.304680835309874</v>
          </cell>
          <cell r="F57">
            <v>0.26827304622443826</v>
          </cell>
          <cell r="G57">
            <v>-66.366112170201077</v>
          </cell>
          <cell r="H57">
            <v>-66.366112170201077</v>
          </cell>
          <cell r="I57">
            <v>-66.366112170201077</v>
          </cell>
          <cell r="J57">
            <v>-66.366112170201077</v>
          </cell>
          <cell r="K57" t="str">
            <v>NA</v>
          </cell>
          <cell r="L57" t="str">
            <v>NA</v>
          </cell>
          <cell r="M57" t="str">
            <v>NA</v>
          </cell>
          <cell r="N57">
            <v>-19.572953881534314</v>
          </cell>
          <cell r="O57" t="str">
            <v>NA</v>
          </cell>
          <cell r="P57">
            <v>0.26827304622443826</v>
          </cell>
          <cell r="Q57">
            <v>-19.304680835309874</v>
          </cell>
          <cell r="R57">
            <v>0.26827304622443826</v>
          </cell>
          <cell r="S57" t="str">
            <v>NA</v>
          </cell>
          <cell r="T57">
            <v>0.26827304622443826</v>
          </cell>
          <cell r="U57">
            <v>-66.634385216425514</v>
          </cell>
          <cell r="V57">
            <v>-66.634385216425514</v>
          </cell>
          <cell r="W57">
            <v>-0.26827304622443826</v>
          </cell>
          <cell r="X57">
            <v>-19.57295388153431</v>
          </cell>
          <cell r="Y57">
            <v>39.891999999999996</v>
          </cell>
          <cell r="Z57">
            <v>23.167969409350935</v>
          </cell>
          <cell r="AA57">
            <v>3.3061427608501504</v>
          </cell>
          <cell r="AB57">
            <v>66.366112170201077</v>
          </cell>
          <cell r="AC57">
            <v>1</v>
          </cell>
          <cell r="AD57">
            <v>63.059969409350927</v>
          </cell>
          <cell r="AE57">
            <v>3.3061427608501504</v>
          </cell>
          <cell r="AF57">
            <v>66.366112170201077</v>
          </cell>
          <cell r="AG57">
            <v>0</v>
          </cell>
          <cell r="AH57">
            <v>0.53937768773294736</v>
          </cell>
          <cell r="AI57">
            <v>0.53937768773294736</v>
          </cell>
          <cell r="AJ57" t="str">
            <v>NA</v>
          </cell>
          <cell r="AK57" t="str">
            <v>NA</v>
          </cell>
          <cell r="AL57" t="str">
            <v>NA</v>
          </cell>
          <cell r="AM57" t="str">
            <v>NA</v>
          </cell>
          <cell r="AN57" t="str">
            <v>NA</v>
          </cell>
          <cell r="AO57" t="str">
            <v>NA</v>
          </cell>
          <cell r="AP57" t="str">
            <v>NA</v>
          </cell>
          <cell r="AQ57" t="str">
            <v>NA</v>
          </cell>
          <cell r="AR57" t="str">
            <v>NA</v>
          </cell>
          <cell r="AS57" t="str">
            <v>NA</v>
          </cell>
          <cell r="AT57" t="str">
            <v>NA</v>
          </cell>
          <cell r="AU57" t="str">
            <v>NA</v>
          </cell>
          <cell r="AV57" t="str">
            <v>NA</v>
          </cell>
          <cell r="AW57" t="str">
            <v>NA</v>
          </cell>
          <cell r="AX57" t="str">
            <v>NA</v>
          </cell>
          <cell r="AY57" t="str">
            <v>NA</v>
          </cell>
          <cell r="AZ57" t="str">
            <v>NA</v>
          </cell>
          <cell r="BA57" t="str">
            <v>NA</v>
          </cell>
          <cell r="BB57" t="str">
            <v>NA</v>
          </cell>
          <cell r="BC57" t="str">
            <v>NA</v>
          </cell>
        </row>
        <row r="58">
          <cell r="B58" t="str">
            <v>PP</v>
          </cell>
          <cell r="C58">
            <v>-66.589347135656709</v>
          </cell>
          <cell r="D58" t="str">
            <v>NA</v>
          </cell>
          <cell r="E58">
            <v>-19.306643429702888</v>
          </cell>
          <cell r="F58">
            <v>0.26827304622443826</v>
          </cell>
          <cell r="G58">
            <v>-66.589347135656709</v>
          </cell>
          <cell r="H58">
            <v>-66.589347135656709</v>
          </cell>
          <cell r="I58">
            <v>-66.589347135656709</v>
          </cell>
          <cell r="J58">
            <v>-66.589347135656709</v>
          </cell>
          <cell r="K58" t="str">
            <v>NA</v>
          </cell>
          <cell r="L58" t="str">
            <v>NA</v>
          </cell>
          <cell r="M58" t="str">
            <v>NA</v>
          </cell>
          <cell r="N58">
            <v>-19.574916475927328</v>
          </cell>
          <cell r="O58" t="str">
            <v>NA</v>
          </cell>
          <cell r="P58">
            <v>0.26827304622443826</v>
          </cell>
          <cell r="Q58">
            <v>-19.306643429702888</v>
          </cell>
          <cell r="R58">
            <v>0.26827304622443826</v>
          </cell>
          <cell r="S58" t="str">
            <v>NA</v>
          </cell>
          <cell r="T58">
            <v>0.26827304622443826</v>
          </cell>
          <cell r="U58">
            <v>-66.857620181881146</v>
          </cell>
          <cell r="V58">
            <v>-66.857620181881146</v>
          </cell>
          <cell r="W58">
            <v>-0.26827304622443826</v>
          </cell>
          <cell r="X58">
            <v>-19.574916475927324</v>
          </cell>
          <cell r="Y58">
            <v>39.896000000000001</v>
          </cell>
          <cell r="Z58">
            <v>23.791860660163877</v>
          </cell>
          <cell r="AA58">
            <v>2.9014864754928253</v>
          </cell>
          <cell r="AB58">
            <v>66.589347135656709</v>
          </cell>
          <cell r="AC58">
            <v>1</v>
          </cell>
          <cell r="AD58">
            <v>63.687860660163878</v>
          </cell>
          <cell r="AE58">
            <v>2.9014864754928253</v>
          </cell>
          <cell r="AF58">
            <v>66.589347135656709</v>
          </cell>
          <cell r="AG58">
            <v>0</v>
          </cell>
          <cell r="AH58">
            <v>0.53937768773294736</v>
          </cell>
          <cell r="AI58">
            <v>0.53937768773294736</v>
          </cell>
          <cell r="AJ58" t="str">
            <v>NA</v>
          </cell>
          <cell r="AK58" t="str">
            <v>NA</v>
          </cell>
          <cell r="AL58" t="str">
            <v>NA</v>
          </cell>
          <cell r="AM58" t="str">
            <v>NA</v>
          </cell>
          <cell r="AN58" t="str">
            <v>NA</v>
          </cell>
          <cell r="AO58" t="str">
            <v>NA</v>
          </cell>
          <cell r="AP58" t="str">
            <v>NA</v>
          </cell>
          <cell r="AQ58" t="str">
            <v>NA</v>
          </cell>
          <cell r="AR58" t="str">
            <v>NA</v>
          </cell>
          <cell r="AS58" t="str">
            <v>NA</v>
          </cell>
          <cell r="AT58" t="str">
            <v>NA</v>
          </cell>
          <cell r="AU58" t="str">
            <v>NA</v>
          </cell>
          <cell r="AV58" t="str">
            <v>NA</v>
          </cell>
          <cell r="AW58" t="str">
            <v>NA</v>
          </cell>
          <cell r="AX58" t="str">
            <v>NA</v>
          </cell>
          <cell r="AY58" t="str">
            <v>NA</v>
          </cell>
          <cell r="AZ58" t="str">
            <v>NA</v>
          </cell>
          <cell r="BA58" t="str">
            <v>NA</v>
          </cell>
          <cell r="BB58" t="str">
            <v>NA</v>
          </cell>
          <cell r="BC58" t="str">
            <v>NA</v>
          </cell>
        </row>
        <row r="59">
          <cell r="B59" t="str">
            <v>PS</v>
          </cell>
          <cell r="C59">
            <v>-74.988253481395404</v>
          </cell>
          <cell r="D59" t="str">
            <v>NA</v>
          </cell>
          <cell r="E59">
            <v>-17.395076490906696</v>
          </cell>
          <cell r="F59">
            <v>0.26827304622443826</v>
          </cell>
          <cell r="G59">
            <v>-74.988253481395404</v>
          </cell>
          <cell r="H59">
            <v>-74.988253481395404</v>
          </cell>
          <cell r="I59">
            <v>-74.988253481395404</v>
          </cell>
          <cell r="J59">
            <v>-74.988253481395404</v>
          </cell>
          <cell r="K59" t="str">
            <v>NA</v>
          </cell>
          <cell r="L59" t="str">
            <v>NA</v>
          </cell>
          <cell r="M59" t="str">
            <v>NA</v>
          </cell>
          <cell r="N59">
            <v>-17.663349537131136</v>
          </cell>
          <cell r="O59" t="str">
            <v>NA</v>
          </cell>
          <cell r="P59">
            <v>0.26827304622443826</v>
          </cell>
          <cell r="Q59">
            <v>-17.395076490906696</v>
          </cell>
          <cell r="R59">
            <v>0.26827304622443826</v>
          </cell>
          <cell r="S59" t="str">
            <v>NA</v>
          </cell>
          <cell r="T59">
            <v>0.26827304622443826</v>
          </cell>
          <cell r="U59">
            <v>-75.25652652761984</v>
          </cell>
          <cell r="V59">
            <v>-75.25652652761984</v>
          </cell>
          <cell r="W59">
            <v>-0.26827304622443826</v>
          </cell>
          <cell r="X59">
            <v>-17.663349537131133</v>
          </cell>
          <cell r="Y59">
            <v>36</v>
          </cell>
          <cell r="Z59">
            <v>36.085021674319442</v>
          </cell>
          <cell r="AA59">
            <v>2.9032318070759549</v>
          </cell>
          <cell r="AB59">
            <v>74.988253481395404</v>
          </cell>
          <cell r="AC59">
            <v>1</v>
          </cell>
          <cell r="AD59">
            <v>72.085021674319449</v>
          </cell>
          <cell r="AE59">
            <v>2.9032318070759549</v>
          </cell>
          <cell r="AF59">
            <v>74.988253481395404</v>
          </cell>
          <cell r="AG59">
            <v>0</v>
          </cell>
          <cell r="AH59">
            <v>0.53937768773294736</v>
          </cell>
          <cell r="AI59">
            <v>0.53937768773294736</v>
          </cell>
          <cell r="AJ59" t="str">
            <v>NA</v>
          </cell>
          <cell r="AK59" t="str">
            <v>NA</v>
          </cell>
          <cell r="AL59" t="str">
            <v>NA</v>
          </cell>
          <cell r="AM59" t="str">
            <v>NA</v>
          </cell>
          <cell r="AN59" t="str">
            <v>NA</v>
          </cell>
          <cell r="AO59" t="str">
            <v>NA</v>
          </cell>
          <cell r="AP59" t="str">
            <v>NA</v>
          </cell>
          <cell r="AQ59" t="str">
            <v>NA</v>
          </cell>
          <cell r="AR59" t="str">
            <v>NA</v>
          </cell>
          <cell r="AS59" t="str">
            <v>NA</v>
          </cell>
          <cell r="AT59" t="str">
            <v>NA</v>
          </cell>
          <cell r="AU59" t="str">
            <v>NA</v>
          </cell>
          <cell r="AV59" t="str">
            <v>NA</v>
          </cell>
          <cell r="AW59" t="str">
            <v>NA</v>
          </cell>
          <cell r="AX59" t="str">
            <v>NA</v>
          </cell>
          <cell r="AY59" t="str">
            <v>NA</v>
          </cell>
          <cell r="AZ59" t="str">
            <v>NA</v>
          </cell>
          <cell r="BA59" t="str">
            <v>NA</v>
          </cell>
          <cell r="BB59" t="str">
            <v>NA</v>
          </cell>
          <cell r="BC59" t="str">
            <v>NA</v>
          </cell>
        </row>
        <row r="60">
          <cell r="B60" t="str">
            <v>PVC</v>
          </cell>
          <cell r="C60">
            <v>-48.339669074902645</v>
          </cell>
          <cell r="D60" t="str">
            <v>NA</v>
          </cell>
          <cell r="E60">
            <v>-7.4594423762704336</v>
          </cell>
          <cell r="F60">
            <v>0.26827304622443826</v>
          </cell>
          <cell r="G60">
            <v>-48.339669074902645</v>
          </cell>
          <cell r="H60">
            <v>-48.339669074902645</v>
          </cell>
          <cell r="I60">
            <v>-48.339669074902645</v>
          </cell>
          <cell r="J60">
            <v>-48.339669074902645</v>
          </cell>
          <cell r="K60" t="str">
            <v>NA</v>
          </cell>
          <cell r="L60" t="str">
            <v>NA</v>
          </cell>
          <cell r="M60" t="str">
            <v>NA</v>
          </cell>
          <cell r="N60">
            <v>-7.7277154224948719</v>
          </cell>
          <cell r="O60" t="str">
            <v>NA</v>
          </cell>
          <cell r="P60">
            <v>0.26827304622443826</v>
          </cell>
          <cell r="Q60">
            <v>-7.4594423762704336</v>
          </cell>
          <cell r="R60">
            <v>0.26827304622443826</v>
          </cell>
          <cell r="S60" t="str">
            <v>NA</v>
          </cell>
          <cell r="T60">
            <v>0.26827304622443826</v>
          </cell>
          <cell r="U60">
            <v>-48.607942121127081</v>
          </cell>
          <cell r="V60">
            <v>-48.607942121127081</v>
          </cell>
          <cell r="W60">
            <v>-0.26827304622443826</v>
          </cell>
          <cell r="X60">
            <v>-7.7277154224948719</v>
          </cell>
          <cell r="Y60">
            <v>15.75</v>
          </cell>
          <cell r="Z60">
            <v>30.588312347941319</v>
          </cell>
          <cell r="AA60">
            <v>2.0013567269613275</v>
          </cell>
          <cell r="AB60">
            <v>48.339669074902645</v>
          </cell>
          <cell r="AC60">
            <v>1</v>
          </cell>
          <cell r="AD60">
            <v>46.338312347941319</v>
          </cell>
          <cell r="AE60">
            <v>2.0013567269613275</v>
          </cell>
          <cell r="AF60">
            <v>48.339669074902645</v>
          </cell>
          <cell r="AG60">
            <v>0</v>
          </cell>
          <cell r="AH60">
            <v>0.53937768773294736</v>
          </cell>
          <cell r="AI60">
            <v>0.53937768773294736</v>
          </cell>
          <cell r="AJ60" t="str">
            <v>NA</v>
          </cell>
          <cell r="AK60" t="str">
            <v>NA</v>
          </cell>
          <cell r="AL60" t="str">
            <v>NA</v>
          </cell>
          <cell r="AM60" t="str">
            <v>NA</v>
          </cell>
          <cell r="AN60" t="str">
            <v>NA</v>
          </cell>
          <cell r="AO60" t="str">
            <v>NA</v>
          </cell>
          <cell r="AP60" t="str">
            <v>NA</v>
          </cell>
          <cell r="AQ60" t="str">
            <v>NA</v>
          </cell>
          <cell r="AR60" t="str">
            <v>NA</v>
          </cell>
          <cell r="AS60" t="str">
            <v>NA</v>
          </cell>
          <cell r="AT60" t="str">
            <v>NA</v>
          </cell>
          <cell r="AU60" t="str">
            <v>NA</v>
          </cell>
          <cell r="AV60" t="str">
            <v>NA</v>
          </cell>
          <cell r="AW60" t="str">
            <v>NA</v>
          </cell>
          <cell r="AX60" t="str">
            <v>NA</v>
          </cell>
          <cell r="AY60" t="str">
            <v>NA</v>
          </cell>
          <cell r="AZ60" t="str">
            <v>NA</v>
          </cell>
          <cell r="BA60" t="str">
            <v>NA</v>
          </cell>
          <cell r="BB60" t="str">
            <v>NA</v>
          </cell>
          <cell r="BC60" t="str">
            <v>NA</v>
          </cell>
        </row>
      </sheetData>
      <sheetData sheetId="1">
        <row r="3">
          <cell r="J3">
            <v>5.245268629457926</v>
          </cell>
        </row>
        <row r="4">
          <cell r="B4">
            <v>528.87850467289718</v>
          </cell>
          <cell r="E4" t="str">
            <v>Gallons per MTCE</v>
          </cell>
          <cell r="G4">
            <v>412.58767488091212</v>
          </cell>
        </row>
        <row r="5">
          <cell r="B5">
            <v>65.7068580329328</v>
          </cell>
          <cell r="E5" t="str">
            <v>Gallons per MTCO2E</v>
          </cell>
          <cell r="G5">
            <v>112.52391133115786</v>
          </cell>
        </row>
        <row r="6">
          <cell r="B6">
            <v>4.75</v>
          </cell>
          <cell r="E6">
            <v>1.2954545454545454</v>
          </cell>
          <cell r="F6" t="str">
            <v>MTCE</v>
          </cell>
        </row>
        <row r="7">
          <cell r="C7" t="str">
            <v>http://www.usctcgateway.net/tool/</v>
          </cell>
        </row>
        <row r="9">
          <cell r="B9">
            <v>5.81</v>
          </cell>
        </row>
        <row r="12">
          <cell r="B12">
            <v>5.218</v>
          </cell>
          <cell r="C12" t="str">
            <v>2014 GHG Inventory, Annex 6 table A-286: Conversion Factors to Energy Units</v>
          </cell>
        </row>
        <row r="13">
          <cell r="B13">
            <v>42</v>
          </cell>
        </row>
        <row r="14">
          <cell r="B14">
            <v>0.12423809523809523</v>
          </cell>
        </row>
        <row r="17">
          <cell r="B17">
            <v>41.179428000000001</v>
          </cell>
          <cell r="C17" t="str">
            <v>MMBtu/household/year (Electricity only. Does not include onsite oil/gas/wood fuel consumption)</v>
          </cell>
        </row>
        <row r="18">
          <cell r="B18">
            <v>115.00228100000001</v>
          </cell>
          <cell r="C18" t="str">
            <v>MMBtu/household/year (total primary energy consumption)</v>
          </cell>
        </row>
        <row r="19">
          <cell r="I19" t="str">
            <v>Primary Energy consumption per household</v>
          </cell>
        </row>
        <row r="20">
          <cell r="B20">
            <v>12069</v>
          </cell>
          <cell r="C20" t="str">
            <v>kWh</v>
          </cell>
          <cell r="M20" t="str">
            <v>mmBTU</v>
          </cell>
        </row>
        <row r="21">
          <cell r="B21">
            <v>3412</v>
          </cell>
          <cell r="C21" t="str">
            <v>Btu/kWh</v>
          </cell>
          <cell r="I21" t="str">
            <v>Natural Gas</v>
          </cell>
          <cell r="J21">
            <v>52372</v>
          </cell>
          <cell r="K21" t="str">
            <v>cubic feet of gas per single-family household</v>
          </cell>
          <cell r="M21">
            <v>58.604267999999998</v>
          </cell>
        </row>
        <row r="22">
          <cell r="I22" t="str">
            <v>Fuel Oil</v>
          </cell>
          <cell r="J22">
            <v>47</v>
          </cell>
          <cell r="K22" t="str">
            <v>gallons per single-family household</v>
          </cell>
          <cell r="M22">
            <v>7.4776999999999996</v>
          </cell>
        </row>
        <row r="23">
          <cell r="B23">
            <v>0.31507474246575345</v>
          </cell>
          <cell r="C23" t="str">
            <v>MMBtu/household/day energy consumed</v>
          </cell>
          <cell r="I23" t="str">
            <v>LPG</v>
          </cell>
          <cell r="J23">
            <v>70.400000000000006</v>
          </cell>
          <cell r="K23" t="str">
            <v>gallons per single-family household</v>
          </cell>
          <cell r="M23">
            <v>7.6102400000000001</v>
          </cell>
        </row>
        <row r="24">
          <cell r="I24" t="str">
            <v>Kerosone</v>
          </cell>
          <cell r="J24">
            <v>0.85</v>
          </cell>
          <cell r="K24" t="str">
            <v>gallons per single-family household</v>
          </cell>
          <cell r="M24">
            <v>0.13064499999999998</v>
          </cell>
        </row>
        <row r="25">
          <cell r="M25">
            <v>73.822853000000009</v>
          </cell>
        </row>
        <row r="26">
          <cell r="B26">
            <v>8.8870000000000008E-3</v>
          </cell>
          <cell r="E26">
            <v>2.4237272727272731E-3</v>
          </cell>
          <cell r="F26" t="str">
            <v>MTCE</v>
          </cell>
        </row>
        <row r="30">
          <cell r="B30">
            <v>2.4E-2</v>
          </cell>
          <cell r="E30">
            <v>6.5454545454545461E-3</v>
          </cell>
          <cell r="F30" t="str">
            <v>MTCE</v>
          </cell>
        </row>
        <row r="34">
          <cell r="B34">
            <v>186.5</v>
          </cell>
          <cell r="E34">
            <v>50.863636363636367</v>
          </cell>
          <cell r="F34" t="str">
            <v>MTCE</v>
          </cell>
        </row>
        <row r="37">
          <cell r="B37" t="str">
            <v>http://www.epa.gov/cleanenergy/energy-resources/refs.html</v>
          </cell>
        </row>
        <row r="38">
          <cell r="B38" t="str">
            <v>EPA. 2014. Greenhouse Gas Equivalencies Calculator. http://www.epa.gov/energy/greenhouse-gas-equivalencies-calculator</v>
          </cell>
        </row>
        <row r="39">
          <cell r="B39" t="str">
            <v>EPA. Greenhouse Gas Equivalencies Calculator- Calculations and References. http://www.epa.gov/energy/ghg-equivalencies-calculator-calculations-and-references#railcars</v>
          </cell>
        </row>
        <row r="41">
          <cell r="B41">
            <v>1739.5</v>
          </cell>
          <cell r="D41">
            <v>1739500000</v>
          </cell>
          <cell r="E41" t="str">
            <v>MTCO2e</v>
          </cell>
          <cell r="G41">
            <v>474409090.90909094</v>
          </cell>
          <cell r="H41" t="str">
            <v>MTCE</v>
          </cell>
        </row>
        <row r="43">
          <cell r="B43">
            <v>2022.7</v>
          </cell>
          <cell r="D43">
            <v>2022700000</v>
          </cell>
          <cell r="E43" t="str">
            <v>MTCO2e</v>
          </cell>
          <cell r="G43">
            <v>551645454.54545462</v>
          </cell>
          <cell r="H43" t="str">
            <v>MTCE</v>
          </cell>
        </row>
      </sheetData>
      <sheetData sheetId="2">
        <row r="3">
          <cell r="B3" t="str">
            <v>Million Btu's per Ton Saved through Recycling</v>
          </cell>
          <cell r="C3" t="str">
            <v>Energy Savings in Terms of Barrels of Oil Saved Per Ton Recycled</v>
          </cell>
        </row>
        <row r="4">
          <cell r="B4">
            <v>153.03270474460393</v>
          </cell>
          <cell r="C4">
            <v>26.3395361006203</v>
          </cell>
        </row>
        <row r="5">
          <cell r="B5">
            <v>20.234474093916745</v>
          </cell>
          <cell r="C5">
            <v>3.4826977786431579</v>
          </cell>
        </row>
        <row r="6">
          <cell r="B6">
            <v>2.3936828659237293</v>
          </cell>
          <cell r="C6">
            <v>0.41199360859272449</v>
          </cell>
        </row>
        <row r="7">
          <cell r="B7">
            <v>39.105387628990712</v>
          </cell>
          <cell r="C7">
            <v>6.7307035506008113</v>
          </cell>
        </row>
        <row r="8">
          <cell r="B8">
            <v>20.244503355864982</v>
          </cell>
          <cell r="C8">
            <v>3.4844239855189301</v>
          </cell>
        </row>
        <row r="9">
          <cell r="B9">
            <v>-0.47735820910353927</v>
          </cell>
          <cell r="C9">
            <v>-8.2161481773414688E-2</v>
          </cell>
        </row>
        <row r="13">
          <cell r="B13" t="str">
            <v>Energy Savings under 30% Recovery Scenario</v>
          </cell>
          <cell r="C13" t="str">
            <v>Energy Savings under 35% Recovery Scenario</v>
          </cell>
          <cell r="D13" t="str">
            <v>Delta (Savings Associated with Increasing from 30% to 35% Recycling)</v>
          </cell>
        </row>
        <row r="14">
          <cell r="B14">
            <v>652107042.93388653</v>
          </cell>
          <cell r="C14">
            <v>879599349.50487804</v>
          </cell>
          <cell r="D14">
            <v>227492306.57099152</v>
          </cell>
        </row>
        <row r="15">
          <cell r="B15">
            <v>9924489.8090705425</v>
          </cell>
          <cell r="C15">
            <v>13386720.592605658</v>
          </cell>
          <cell r="D15">
            <v>3462230.7835351154</v>
          </cell>
        </row>
        <row r="16">
          <cell r="B16">
            <v>112238733.72356051</v>
          </cell>
          <cell r="C16">
            <v>151394036.0593594</v>
          </cell>
          <cell r="D16">
            <v>39155302.335798889</v>
          </cell>
        </row>
        <row r="17">
          <cell r="B17">
            <v>5248849329.8626366</v>
          </cell>
          <cell r="C17">
            <v>7079948769.4911613</v>
          </cell>
          <cell r="D17">
            <v>1831099439.6285248</v>
          </cell>
        </row>
        <row r="23">
          <cell r="B23" t="str">
            <v>Million Btu's Saved by a Typical Household Recycling 50% of Its Waste</v>
          </cell>
          <cell r="C23" t="str">
            <v>Barrels of Oil Saved by a Typical Household Recycling 50% of Its Waste</v>
          </cell>
        </row>
        <row r="24">
          <cell r="B24">
            <v>1.2123139728797039</v>
          </cell>
          <cell r="C24">
            <v>0.20865989206191118</v>
          </cell>
        </row>
        <row r="25">
          <cell r="B25">
            <v>0.30227252168934327</v>
          </cell>
          <cell r="C25">
            <v>5.2026251581642563E-2</v>
          </cell>
        </row>
        <row r="26">
          <cell r="B26">
            <v>8.5331618194311371E-2</v>
          </cell>
          <cell r="C26">
            <v>1.4687025506766158E-2</v>
          </cell>
        </row>
        <row r="27">
          <cell r="B27">
            <v>0.66383580158738487</v>
          </cell>
          <cell r="C27">
            <v>0.11425745294103011</v>
          </cell>
        </row>
        <row r="28">
          <cell r="B28">
            <v>9.168895603235768</v>
          </cell>
          <cell r="C28">
            <v>1.5781231675104592</v>
          </cell>
        </row>
        <row r="29">
          <cell r="B29">
            <v>-1.3343635354558613E-2</v>
          </cell>
          <cell r="C29">
            <v>-2.2966670145539783E-3</v>
          </cell>
        </row>
        <row r="30">
          <cell r="B30">
            <v>11.432649517586512</v>
          </cell>
          <cell r="C30">
            <v>1.9677537896018094</v>
          </cell>
        </row>
      </sheetData>
      <sheetData sheetId="3">
        <row r="3">
          <cell r="I3" t="str">
            <v>Energy Efs (MBtu/ton)</v>
          </cell>
        </row>
        <row r="4">
          <cell r="B4" t="str">
            <v>Material</v>
          </cell>
          <cell r="C4" t="str">
            <v>Tons Recovered in 2000</v>
          </cell>
          <cell r="D4" t="str">
            <v>Net Avoided/Saved Energy Consumption (Recycling/Composting Minus Landfilling) MBtu/ton</v>
          </cell>
          <cell r="E4" t="str">
            <v>Net Avoided/Saved Energy Consumption (Recycling/Composting Minus Combustion) MBtu/ton</v>
          </cell>
          <cell r="F4" t="str">
            <v>Recycling/Composting Energy Savings over Landfilling (Mbtu)</v>
          </cell>
          <cell r="G4" t="str">
            <v>Recycling/Composting Energy Savings over Combustion (Mbtu)</v>
          </cell>
          <cell r="H4" t="str">
            <v>Total Energy Savings (MBtu)</v>
          </cell>
          <cell r="I4" t="str">
            <v>Recycling</v>
          </cell>
          <cell r="J4" t="str">
            <v>Combustion</v>
          </cell>
          <cell r="K4" t="str">
            <v>Landfilling</v>
          </cell>
          <cell r="L4" t="str">
            <v xml:space="preserve">Baseline Energy </v>
          </cell>
          <cell r="M4" t="str">
            <v>Alternate Energy</v>
          </cell>
        </row>
        <row r="5">
          <cell r="B5" t="str">
            <v>Aluminum Cans</v>
          </cell>
          <cell r="C5">
            <v>700000</v>
          </cell>
          <cell r="D5">
            <v>-153.03270474460393</v>
          </cell>
          <cell r="E5">
            <v>-153.36143930543386</v>
          </cell>
          <cell r="F5">
            <v>-87813615.731756672</v>
          </cell>
          <cell r="G5">
            <v>-19350756.48052346</v>
          </cell>
          <cell r="H5">
            <v>-107164372.21228012</v>
          </cell>
          <cell r="I5">
            <v>-152.7644316983795</v>
          </cell>
          <cell r="J5">
            <v>0.59700760705437883</v>
          </cell>
          <cell r="K5">
            <v>0.26827304622443826</v>
          </cell>
          <cell r="L5">
            <v>229270.02341447974</v>
          </cell>
          <cell r="M5">
            <v>-106935102.18886565</v>
          </cell>
        </row>
        <row r="6">
          <cell r="B6" t="str">
            <v>Steel Cans</v>
          </cell>
          <cell r="C6">
            <v>1320000</v>
          </cell>
          <cell r="D6">
            <v>-20.234474093916745</v>
          </cell>
          <cell r="E6">
            <v>-2.8303571811186607</v>
          </cell>
          <cell r="F6">
            <v>-21895023.615743604</v>
          </cell>
          <cell r="G6">
            <v>-673440.00004978932</v>
          </cell>
          <cell r="H6">
            <v>-22568463.615793392</v>
          </cell>
          <cell r="I6">
            <v>-19.966201047692305</v>
          </cell>
          <cell r="J6">
            <v>-17.135843866573644</v>
          </cell>
          <cell r="K6">
            <v>0.26827304622443826</v>
          </cell>
          <cell r="L6">
            <v>-3786921.7671604501</v>
          </cell>
          <cell r="M6">
            <v>-26355385.382953841</v>
          </cell>
        </row>
        <row r="7">
          <cell r="B7" t="str">
            <v>Glass</v>
          </cell>
          <cell r="C7">
            <v>3150000</v>
          </cell>
          <cell r="D7">
            <v>-2.3936828659237293</v>
          </cell>
          <cell r="E7">
            <v>-2.6242877071029413</v>
          </cell>
          <cell r="F7">
            <v>-6180971.346956322</v>
          </cell>
          <cell r="G7">
            <v>-1490066.7771009533</v>
          </cell>
          <cell r="H7">
            <v>-7671038.1240572752</v>
          </cell>
          <cell r="I7">
            <v>-2.125409819699291</v>
          </cell>
          <cell r="J7">
            <v>0.4988778874036503</v>
          </cell>
          <cell r="K7">
            <v>0.26827304622443826</v>
          </cell>
          <cell r="L7">
            <v>975997.19200450857</v>
          </cell>
          <cell r="M7">
            <v>-6695040.9320527669</v>
          </cell>
        </row>
        <row r="8">
          <cell r="B8" t="str">
            <v>HDPE</v>
          </cell>
          <cell r="C8">
            <v>570000</v>
          </cell>
          <cell r="D8">
            <v>-50.470868162622935</v>
          </cell>
          <cell r="E8">
            <v>-30.859643690424839</v>
          </cell>
          <cell r="F8">
            <v>-23582790.685448375</v>
          </cell>
          <cell r="G8">
            <v>-3170658.6937477193</v>
          </cell>
          <cell r="H8">
            <v>-26753449.379196092</v>
          </cell>
          <cell r="I8">
            <v>-50.202595116398498</v>
          </cell>
          <cell r="J8">
            <v>-19.342951425973659</v>
          </cell>
          <cell r="K8">
            <v>0.26827304622443826</v>
          </cell>
          <cell r="L8">
            <v>-1862029.8371510515</v>
          </cell>
          <cell r="M8">
            <v>-28615479.216347143</v>
          </cell>
        </row>
        <row r="9">
          <cell r="B9" t="str">
            <v>LDPE</v>
          </cell>
          <cell r="C9">
            <v>0</v>
          </cell>
          <cell r="D9" t="str">
            <v>NA</v>
          </cell>
          <cell r="E9" t="str">
            <v>NA</v>
          </cell>
          <cell r="F9" t="str">
            <v>NA</v>
          </cell>
          <cell r="G9" t="str">
            <v>NA</v>
          </cell>
          <cell r="H9">
            <v>0</v>
          </cell>
          <cell r="I9" t="str">
            <v>NA</v>
          </cell>
          <cell r="J9">
            <v>-19.236971328750869</v>
          </cell>
          <cell r="K9">
            <v>0.26827304622443826</v>
          </cell>
          <cell r="L9">
            <v>0</v>
          </cell>
          <cell r="M9" t="str">
            <v>NA</v>
          </cell>
        </row>
        <row r="10">
          <cell r="B10" t="str">
            <v>PET</v>
          </cell>
          <cell r="C10">
            <v>930000</v>
          </cell>
          <cell r="D10">
            <v>-32.139447947087092</v>
          </cell>
          <cell r="E10">
            <v>-21.73769766410987</v>
          </cell>
          <cell r="F10">
            <v>-24501965.651317608</v>
          </cell>
          <cell r="G10">
            <v>-3644015.5746819894</v>
          </cell>
          <cell r="H10">
            <v>-28145981.225999597</v>
          </cell>
          <cell r="I10">
            <v>-31.871174900862655</v>
          </cell>
          <cell r="J10">
            <v>-10.133477236752785</v>
          </cell>
          <cell r="K10">
            <v>0.26827304622443826</v>
          </cell>
          <cell r="L10">
            <v>-1494211.4318026693</v>
          </cell>
          <cell r="M10">
            <v>-29640192.657802269</v>
          </cell>
        </row>
        <row r="11">
          <cell r="B11" t="str">
            <v>Corrugated Containers</v>
          </cell>
          <cell r="C11">
            <v>26590000</v>
          </cell>
          <cell r="D11">
            <v>-14.828929082657304</v>
          </cell>
          <cell r="E11">
            <v>-8.4314177689217686</v>
          </cell>
          <cell r="F11">
            <v>-323227044.38260013</v>
          </cell>
          <cell r="G11">
            <v>-40411286.627177961</v>
          </cell>
          <cell r="H11">
            <v>-363638331.00977808</v>
          </cell>
          <cell r="I11">
            <v>-15.074420877698142</v>
          </cell>
          <cell r="J11">
            <v>-6.6430031087763721</v>
          </cell>
          <cell r="K11">
            <v>-0.24549179504083873</v>
          </cell>
          <cell r="L11">
            <v>-37190520.128215492</v>
          </cell>
          <cell r="M11">
            <v>-400828851.13799357</v>
          </cell>
        </row>
        <row r="12">
          <cell r="B12" t="str">
            <v>Magazines/third class mail</v>
          </cell>
          <cell r="C12">
            <v>3730000</v>
          </cell>
          <cell r="D12">
            <v>-0.73049045286318548</v>
          </cell>
          <cell r="E12">
            <v>4.2057360969746727</v>
          </cell>
          <cell r="F12">
            <v>-2233587.3512767209</v>
          </cell>
          <cell r="G12">
            <v>2827708.1369837672</v>
          </cell>
          <cell r="H12">
            <v>594120.78570704628</v>
          </cell>
          <cell r="I12">
            <v>-0.68565151603619501</v>
          </cell>
          <cell r="J12">
            <v>-4.8913876130108678</v>
          </cell>
          <cell r="K12">
            <v>4.4838936826990444E-2</v>
          </cell>
          <cell r="L12">
            <v>-3151600.9405220537</v>
          </cell>
          <cell r="M12">
            <v>-2557480.1548150075</v>
          </cell>
        </row>
        <row r="13">
          <cell r="B13" t="str">
            <v>Newspaper</v>
          </cell>
          <cell r="C13">
            <v>5207288.1355932206</v>
          </cell>
          <cell r="D13">
            <v>-16.537928432514896</v>
          </cell>
          <cell r="E13">
            <v>-8.9529112720636412</v>
          </cell>
          <cell r="F13">
            <v>-70594730.214627013</v>
          </cell>
          <cell r="G13">
            <v>-8403488.7201534659</v>
          </cell>
          <cell r="H13">
            <v>-78998218.934780478</v>
          </cell>
          <cell r="I13">
            <v>-16.485950938072122</v>
          </cell>
          <cell r="J13">
            <v>-7.53303966600848</v>
          </cell>
          <cell r="K13">
            <v>5.1977494442774608E-2</v>
          </cell>
          <cell r="L13">
            <v>-6848877.7890143935</v>
          </cell>
          <cell r="M13">
            <v>-85847096.723794892</v>
          </cell>
        </row>
        <row r="14">
          <cell r="B14" t="str">
            <v>Office Paper</v>
          </cell>
          <cell r="C14">
            <v>3990000</v>
          </cell>
          <cell r="D14">
            <v>-9.5552125788574198</v>
          </cell>
          <cell r="E14">
            <v>-3.6764893416678905</v>
          </cell>
          <cell r="F14">
            <v>-31253079.347330377</v>
          </cell>
          <cell r="G14">
            <v>-2644173.4413391585</v>
          </cell>
          <cell r="H14">
            <v>-33897252.788669534</v>
          </cell>
          <cell r="I14">
            <v>-10.081037231692992</v>
          </cell>
          <cell r="J14">
            <v>-6.4045478900251016</v>
          </cell>
          <cell r="K14">
            <v>-0.52582465283557278</v>
          </cell>
          <cell r="L14">
            <v>-6326085.7657855041</v>
          </cell>
          <cell r="M14">
            <v>-40223338.554455042</v>
          </cell>
        </row>
        <row r="15">
          <cell r="B15" t="str">
            <v>Phonebooks</v>
          </cell>
          <cell r="C15">
            <v>182711.86440677964</v>
          </cell>
          <cell r="D15">
            <v>-11.982984352125669</v>
          </cell>
          <cell r="E15">
            <v>-4.3979671916744154</v>
          </cell>
          <cell r="F15">
            <v>-1794780.3533171248</v>
          </cell>
          <cell r="G15">
            <v>-144844.6525312642</v>
          </cell>
          <cell r="H15">
            <v>-1939625.0058483889</v>
          </cell>
          <cell r="I15">
            <v>-11.931006857682895</v>
          </cell>
          <cell r="J15">
            <v>-7.53303966600848</v>
          </cell>
          <cell r="K15">
            <v>5.1977494442774608E-2</v>
          </cell>
          <cell r="L15">
            <v>-240311.50136892602</v>
          </cell>
          <cell r="M15">
            <v>-2179936.507217315</v>
          </cell>
        </row>
        <row r="16">
          <cell r="B16" t="str">
            <v>Textbooks</v>
          </cell>
          <cell r="C16">
            <v>320000</v>
          </cell>
          <cell r="D16">
            <v>-0.50137064548734034</v>
          </cell>
          <cell r="E16">
            <v>5.3773525917021887</v>
          </cell>
          <cell r="F16">
            <v>-131518.98448444353</v>
          </cell>
          <cell r="G16">
            <v>310171.73840741738</v>
          </cell>
          <cell r="H16">
            <v>178652.75392297385</v>
          </cell>
          <cell r="I16">
            <v>-1.0271952983229131</v>
          </cell>
          <cell r="J16">
            <v>-6.4045478900251016</v>
          </cell>
          <cell r="K16">
            <v>-0.52582465283557278</v>
          </cell>
          <cell r="L16">
            <v>-507355.24938630604</v>
          </cell>
          <cell r="M16">
            <v>-328702.49546333222</v>
          </cell>
        </row>
        <row r="17">
          <cell r="B17" t="str">
            <v>Wood - DL</v>
          </cell>
          <cell r="C17">
            <v>2470000</v>
          </cell>
          <cell r="D17">
            <v>0.35313505087798691</v>
          </cell>
          <cell r="E17">
            <v>8.46443488478603</v>
          </cell>
          <cell r="F17">
            <v>715018.60903418693</v>
          </cell>
          <cell r="G17">
            <v>3768587.9354969398</v>
          </cell>
          <cell r="H17">
            <v>4483606.5445311265</v>
          </cell>
          <cell r="I17">
            <v>0.58794120000000016</v>
          </cell>
          <cell r="J17">
            <v>-7.8764936847860305</v>
          </cell>
          <cell r="K17">
            <v>0.23480614912201328</v>
          </cell>
          <cell r="L17">
            <v>-3031391.780531127</v>
          </cell>
          <cell r="M17">
            <v>1452214.7640000004</v>
          </cell>
        </row>
        <row r="18">
          <cell r="B18" t="str">
            <v>Wood - MDF</v>
          </cell>
          <cell r="C18">
            <v>0</v>
          </cell>
          <cell r="D18">
            <v>0.60158136732909162</v>
          </cell>
          <cell r="E18">
            <v>8.7348078447860296</v>
          </cell>
          <cell r="F18">
            <v>0</v>
          </cell>
          <cell r="G18">
            <v>0</v>
          </cell>
          <cell r="H18">
            <v>0</v>
          </cell>
          <cell r="I18">
            <v>0.85831415999999972</v>
          </cell>
          <cell r="J18">
            <v>-7.8764936847860305</v>
          </cell>
          <cell r="K18">
            <v>0.25673279267090809</v>
          </cell>
          <cell r="L18">
            <v>0</v>
          </cell>
          <cell r="M18">
            <v>0</v>
          </cell>
        </row>
        <row r="19">
          <cell r="B19" t="str">
            <v>Food Waste (non-meat)</v>
          </cell>
          <cell r="C19">
            <v>1840000</v>
          </cell>
          <cell r="D19">
            <v>0.28195499282784453</v>
          </cell>
          <cell r="E19">
            <v>2.3158743557222659</v>
          </cell>
          <cell r="F19">
            <v>425282.1725795368</v>
          </cell>
          <cell r="G19">
            <v>768097.84832537209</v>
          </cell>
          <cell r="H19">
            <v>1193380.0209049089</v>
          </cell>
          <cell r="I19">
            <v>0.25847304622443823</v>
          </cell>
          <cell r="J19">
            <v>-2.0574013094978278</v>
          </cell>
          <cell r="K19">
            <v>-2.3481946603406301E-2</v>
          </cell>
          <cell r="L19">
            <v>-717789.61585194257</v>
          </cell>
          <cell r="M19">
            <v>475590.40505296632</v>
          </cell>
        </row>
        <row r="20">
          <cell r="B20" t="str">
            <v>Grains</v>
          </cell>
        </row>
        <row r="21">
          <cell r="B21" t="str">
            <v>Bread</v>
          </cell>
        </row>
        <row r="22">
          <cell r="B22" t="str">
            <v>Fruits and Vegetables</v>
          </cell>
        </row>
        <row r="23">
          <cell r="B23" t="str">
            <v>Dairy Products</v>
          </cell>
        </row>
        <row r="24">
          <cell r="B24" t="str">
            <v>Yard Trimmings</v>
          </cell>
          <cell r="C24">
            <v>20600000</v>
          </cell>
          <cell r="D24">
            <v>0.12161881033170804</v>
          </cell>
          <cell r="E24">
            <v>2.7378321502203988</v>
          </cell>
          <cell r="F24">
            <v>2053749.8119142673</v>
          </cell>
          <cell r="G24">
            <v>10166179.445536297</v>
          </cell>
          <cell r="H24">
            <v>12219929.257450564</v>
          </cell>
          <cell r="I24">
            <v>0.25847304622443823</v>
          </cell>
          <cell r="J24">
            <v>-2.4793591039959604</v>
          </cell>
          <cell r="K24">
            <v>0.13685423589273019</v>
          </cell>
          <cell r="L24">
            <v>-6895384.5052271355</v>
          </cell>
          <cell r="M24">
            <v>5324544.7522234274</v>
          </cell>
        </row>
        <row r="25">
          <cell r="B25" t="str">
            <v>Carpet</v>
          </cell>
          <cell r="D25">
            <v>-21.741796265367711</v>
          </cell>
          <cell r="E25">
            <v>-14.283937571912345</v>
          </cell>
          <cell r="F25">
            <v>0</v>
          </cell>
          <cell r="G25">
            <v>0</v>
          </cell>
          <cell r="H25">
            <v>0</v>
          </cell>
        </row>
        <row r="26">
          <cell r="B26" t="str">
            <v>Personal Computers</v>
          </cell>
          <cell r="D26">
            <v>-29.422277198199531</v>
          </cell>
          <cell r="E26">
            <v>-22.88110735020588</v>
          </cell>
          <cell r="F26">
            <v>0</v>
          </cell>
          <cell r="G26">
            <v>0</v>
          </cell>
          <cell r="H26">
            <v>0</v>
          </cell>
        </row>
        <row r="27">
          <cell r="B27" t="str">
            <v>TOTAL</v>
          </cell>
          <cell r="C27">
            <v>71600000</v>
          </cell>
          <cell r="D27">
            <v>-362.21387660086089</v>
          </cell>
          <cell r="E27">
            <v>-242.20121812044454</v>
          </cell>
          <cell r="F27">
            <v>-590015057.07133031</v>
          </cell>
          <cell r="G27">
            <v>-62091985.862555966</v>
          </cell>
          <cell r="H27">
            <v>-652107042.93388653</v>
          </cell>
          <cell r="L27">
            <v>-70847213.096598074</v>
          </cell>
          <cell r="M27">
            <v>-722954256.03048444</v>
          </cell>
        </row>
        <row r="29">
          <cell r="B29" t="str">
            <v>thousand tons</v>
          </cell>
          <cell r="C29" t="str">
            <v>% of total discards</v>
          </cell>
        </row>
        <row r="30">
          <cell r="B30">
            <v>160940</v>
          </cell>
          <cell r="C30">
            <v>1</v>
          </cell>
        </row>
        <row r="31">
          <cell r="B31">
            <v>29010</v>
          </cell>
          <cell r="C31">
            <v>0.18025351062507766</v>
          </cell>
        </row>
        <row r="32">
          <cell r="B32">
            <v>131930</v>
          </cell>
          <cell r="C32">
            <v>0.81974648937492234</v>
          </cell>
        </row>
        <row r="33">
          <cell r="F33" t="str">
            <v>recycling</v>
          </cell>
          <cell r="J33" t="str">
            <v>combustion</v>
          </cell>
          <cell r="K33" t="str">
            <v>landfilling</v>
          </cell>
        </row>
        <row r="34">
          <cell r="B34" t="str">
            <v>Total tons recovered (not including food scraps, yard trimmings, or other materials included in the characterization report for which we could not identify proxies)</v>
          </cell>
          <cell r="C34">
            <v>71600000</v>
          </cell>
          <cell r="F34" t="e">
            <v>#VALUE!</v>
          </cell>
          <cell r="G34">
            <v>-1403993096.3076782</v>
          </cell>
          <cell r="H34">
            <v>29684564.505033128</v>
          </cell>
          <cell r="J34">
            <v>-421768045.96154386</v>
          </cell>
          <cell r="K34">
            <v>7542116.4300626181</v>
          </cell>
        </row>
        <row r="35">
          <cell r="F35">
            <v>-1061407941.5997493</v>
          </cell>
          <cell r="G35">
            <v>-1029386609.7988219</v>
          </cell>
          <cell r="H35">
            <v>-32021331.800927356</v>
          </cell>
          <cell r="J35">
            <v>-471347507.95155019</v>
          </cell>
          <cell r="K35">
            <v>-4923283.453681604</v>
          </cell>
        </row>
        <row r="37">
          <cell r="B37">
            <v>231900000</v>
          </cell>
          <cell r="G37">
            <v>374606486.5088563</v>
          </cell>
          <cell r="H37">
            <v>-61705896.305960484</v>
          </cell>
        </row>
        <row r="38">
          <cell r="B38">
            <v>71600000</v>
          </cell>
          <cell r="F38">
            <v>-1061407941.5997493</v>
          </cell>
          <cell r="K38">
            <v>49579461.990006328</v>
          </cell>
        </row>
        <row r="39">
          <cell r="B39">
            <v>0.30875377317809399</v>
          </cell>
          <cell r="F39">
            <v>-4035844.3273531375</v>
          </cell>
        </row>
        <row r="40">
          <cell r="F40">
            <v>-84962043.032648638</v>
          </cell>
          <cell r="G40">
            <v>-88997887.360001773</v>
          </cell>
          <cell r="H40">
            <v>-972410054.23974752</v>
          </cell>
        </row>
        <row r="43">
          <cell r="D43">
            <v>26.400000000000006</v>
          </cell>
        </row>
        <row r="44">
          <cell r="H44">
            <v>320303011.305861</v>
          </cell>
        </row>
        <row r="45">
          <cell r="B45" t="str">
            <v>Tons recovered in 2000</v>
          </cell>
          <cell r="C45" t="str">
            <v>%</v>
          </cell>
        </row>
        <row r="46">
          <cell r="B46">
            <v>570000</v>
          </cell>
          <cell r="C46">
            <v>0.38</v>
          </cell>
        </row>
        <row r="47">
          <cell r="B47">
            <v>930000</v>
          </cell>
          <cell r="C47">
            <v>0.62</v>
          </cell>
        </row>
        <row r="48">
          <cell r="B48">
            <v>0</v>
          </cell>
          <cell r="C48">
            <v>0</v>
          </cell>
        </row>
        <row r="49">
          <cell r="B49">
            <v>1500000</v>
          </cell>
        </row>
      </sheetData>
      <sheetData sheetId="4">
        <row r="2">
          <cell r="L2">
            <v>1310299</v>
          </cell>
          <cell r="M2" t="str">
            <v>plastic in warm</v>
          </cell>
        </row>
        <row r="3">
          <cell r="I3" t="str">
            <v>Energy Efs (MBtu/ton)</v>
          </cell>
        </row>
        <row r="4">
          <cell r="B4" t="str">
            <v>Material</v>
          </cell>
          <cell r="C4" t="str">
            <v>Projected Tons Recovered in 2005 (35% Scenario)</v>
          </cell>
          <cell r="D4" t="str">
            <v>Net Avoided/Saved Energy Consumption (Recycling/Composting Minus Landfilling) MBtu/ton</v>
          </cell>
          <cell r="E4" t="str">
            <v>Net Avoided/Saved Energy Consumption (Recycling/Composting Minus Combustion) MBtu/ton</v>
          </cell>
          <cell r="F4" t="str">
            <v>Recycling/Composting Energy Savings over Landfilling (Mbtu)</v>
          </cell>
          <cell r="G4" t="str">
            <v>Recycling/Composting Energy Savings over Combustion (Mbtu)</v>
          </cell>
          <cell r="H4" t="str">
            <v>Total Energy Savings (MBtu)</v>
          </cell>
          <cell r="I4" t="str">
            <v>Recycling</v>
          </cell>
          <cell r="J4" t="str">
            <v>Combustion</v>
          </cell>
          <cell r="K4" t="str">
            <v>Landfilling</v>
          </cell>
          <cell r="L4" t="str">
            <v xml:space="preserve">Baseline Energy </v>
          </cell>
          <cell r="M4" t="str">
            <v>Alternate Energy</v>
          </cell>
        </row>
        <row r="5">
          <cell r="B5" t="str">
            <v>Aluminum Cans</v>
          </cell>
          <cell r="C5">
            <v>1600000</v>
          </cell>
          <cell r="D5">
            <v>-153.03270474460393</v>
          </cell>
          <cell r="E5">
            <v>-153.36143930543386</v>
          </cell>
          <cell r="F5">
            <v>-200716835.95830095</v>
          </cell>
          <cell r="G5">
            <v>-44230300.52691076</v>
          </cell>
          <cell r="H5">
            <v>-244947136.4852117</v>
          </cell>
          <cell r="I5">
            <v>-152.7644316983795</v>
          </cell>
          <cell r="J5">
            <v>0.59700760705437883</v>
          </cell>
          <cell r="K5">
            <v>0.26827304622443826</v>
          </cell>
          <cell r="L5">
            <v>524045.76780452509</v>
          </cell>
          <cell r="M5">
            <v>-244423090.7174072</v>
          </cell>
        </row>
        <row r="6">
          <cell r="B6" t="str">
            <v>Steel Cans</v>
          </cell>
          <cell r="C6">
            <v>2350000</v>
          </cell>
          <cell r="D6">
            <v>-20.234474093916745</v>
          </cell>
          <cell r="E6">
            <v>-2.8303571811186607</v>
          </cell>
          <cell r="F6">
            <v>-38979776.891664751</v>
          </cell>
          <cell r="G6">
            <v>-1198927.272815913</v>
          </cell>
          <cell r="H6">
            <v>-40178704.164480664</v>
          </cell>
          <cell r="I6">
            <v>-19.966201047692305</v>
          </cell>
          <cell r="J6">
            <v>-17.135843866573644</v>
          </cell>
          <cell r="K6">
            <v>0.26827304622443826</v>
          </cell>
          <cell r="L6">
            <v>-6741868.2975962572</v>
          </cell>
          <cell r="M6">
            <v>-46920572.462076917</v>
          </cell>
        </row>
        <row r="7">
          <cell r="B7" t="str">
            <v>Glass</v>
          </cell>
          <cell r="C7">
            <v>3800000</v>
          </cell>
          <cell r="D7">
            <v>-2.3936828659237293</v>
          </cell>
          <cell r="E7">
            <v>-2.6242877071029413</v>
          </cell>
          <cell r="F7">
            <v>-7456409.8788679447</v>
          </cell>
          <cell r="G7">
            <v>-1797540.8739630547</v>
          </cell>
          <cell r="H7">
            <v>-9253950.752830999</v>
          </cell>
          <cell r="I7">
            <v>-2.125409819699291</v>
          </cell>
          <cell r="J7">
            <v>0.4988778874036503</v>
          </cell>
          <cell r="K7">
            <v>0.26827304622443826</v>
          </cell>
          <cell r="L7">
            <v>1177393.437973693</v>
          </cell>
          <cell r="M7">
            <v>-8076557.314857306</v>
          </cell>
        </row>
        <row r="8">
          <cell r="B8" t="str">
            <v>Mixed Plastics</v>
          </cell>
          <cell r="C8">
            <v>1890000</v>
          </cell>
          <cell r="D8">
            <v>-39.105387628990712</v>
          </cell>
          <cell r="E8">
            <v>-25.204037154109557</v>
          </cell>
          <cell r="F8">
            <v>-60586792.984325133</v>
          </cell>
          <cell r="G8">
            <v>-8586489.5782214329</v>
          </cell>
          <cell r="H8">
            <v>-69173282.562546566</v>
          </cell>
          <cell r="I8">
            <v>-38.837114582766276</v>
          </cell>
          <cell r="J8">
            <v>-13.633077428656717</v>
          </cell>
          <cell r="K8">
            <v>0.26827304622443826</v>
          </cell>
          <cell r="L8">
            <v>-4228863.9988816883</v>
          </cell>
          <cell r="M8">
            <v>-73402146.561428264</v>
          </cell>
        </row>
        <row r="9">
          <cell r="B9" t="str">
            <v>Corrugated Containers</v>
          </cell>
          <cell r="C9">
            <v>26000000</v>
          </cell>
          <cell r="D9">
            <v>-14.828929082657304</v>
          </cell>
          <cell r="E9">
            <v>-8.4314177689217686</v>
          </cell>
          <cell r="F9">
            <v>-316055026.47414827</v>
          </cell>
          <cell r="G9">
            <v>-39514608.962265022</v>
          </cell>
          <cell r="H9">
            <v>-355569635.43641329</v>
          </cell>
          <cell r="I9">
            <v>-15.074420877698142</v>
          </cell>
          <cell r="J9">
            <v>-6.6430031087763721</v>
          </cell>
          <cell r="K9">
            <v>-0.24549179504083873</v>
          </cell>
          <cell r="L9">
            <v>-36365307.383738354</v>
          </cell>
          <cell r="M9">
            <v>-391934942.82015169</v>
          </cell>
        </row>
        <row r="10">
          <cell r="B10" t="str">
            <v>Magazines/third class mail</v>
          </cell>
          <cell r="C10">
            <v>2500000</v>
          </cell>
          <cell r="D10">
            <v>-0.73049045286318548</v>
          </cell>
          <cell r="E10">
            <v>4.2057360969746727</v>
          </cell>
          <cell r="F10">
            <v>-1497042.4606412337</v>
          </cell>
          <cell r="G10">
            <v>1895246.740605742</v>
          </cell>
          <cell r="H10">
            <v>398204.27996450826</v>
          </cell>
          <cell r="I10">
            <v>-0.68565151603619501</v>
          </cell>
          <cell r="J10">
            <v>-4.8913876130108678</v>
          </cell>
          <cell r="K10">
            <v>4.4838936826990444E-2</v>
          </cell>
          <cell r="L10">
            <v>-2112333.0700549958</v>
          </cell>
          <cell r="M10">
            <v>-1714128.7900904876</v>
          </cell>
        </row>
        <row r="11">
          <cell r="B11" t="str">
            <v>Newspaper</v>
          </cell>
          <cell r="C11">
            <v>8950000</v>
          </cell>
          <cell r="D11">
            <v>-16.537928432514896</v>
          </cell>
          <cell r="E11">
            <v>-8.9529112720636412</v>
          </cell>
          <cell r="F11">
            <v>-121334333.5280858</v>
          </cell>
          <cell r="G11">
            <v>-14443453.499583496</v>
          </cell>
          <cell r="H11">
            <v>-135777787.02766928</v>
          </cell>
          <cell r="I11">
            <v>-16.485950938072122</v>
          </cell>
          <cell r="J11">
            <v>-7.53303966600848</v>
          </cell>
          <cell r="K11">
            <v>5.1977494442774608E-2</v>
          </cell>
          <cell r="L11">
            <v>-11771473.868076198</v>
          </cell>
          <cell r="M11">
            <v>-147549260.89574549</v>
          </cell>
        </row>
        <row r="12">
          <cell r="B12" t="str">
            <v>Office Paper</v>
          </cell>
          <cell r="C12">
            <v>4500000</v>
          </cell>
          <cell r="D12">
            <v>-9.5552125788574198</v>
          </cell>
          <cell r="E12">
            <v>-3.6764893416678905</v>
          </cell>
          <cell r="F12">
            <v>-35247833.850372605</v>
          </cell>
          <cell r="G12">
            <v>-2982150.4977509305</v>
          </cell>
          <cell r="H12">
            <v>-38229984.348123536</v>
          </cell>
          <cell r="I12">
            <v>-10.081037231692992</v>
          </cell>
          <cell r="J12">
            <v>-6.4045478900251016</v>
          </cell>
          <cell r="K12">
            <v>-0.52582465283557278</v>
          </cell>
          <cell r="L12">
            <v>-7134683.1944949292</v>
          </cell>
          <cell r="M12">
            <v>-45364667.542618468</v>
          </cell>
        </row>
        <row r="13">
          <cell r="B13" t="str">
            <v>Phonebooks</v>
          </cell>
          <cell r="C13">
            <v>100000</v>
          </cell>
          <cell r="D13">
            <v>-11.982984352125669</v>
          </cell>
          <cell r="E13">
            <v>-4.3979671916744154</v>
          </cell>
          <cell r="F13">
            <v>-982300.93548896455</v>
          </cell>
          <cell r="G13">
            <v>-79274.902591322723</v>
          </cell>
          <cell r="H13">
            <v>-1061575.8380802872</v>
          </cell>
          <cell r="I13">
            <v>-11.931006857682895</v>
          </cell>
          <cell r="J13">
            <v>-7.53303966600848</v>
          </cell>
          <cell r="K13">
            <v>5.1977494442774608E-2</v>
          </cell>
          <cell r="L13">
            <v>-131524.84768800219</v>
          </cell>
          <cell r="M13">
            <v>-1193100.6857682895</v>
          </cell>
        </row>
        <row r="14">
          <cell r="B14" t="str">
            <v>Textbooks</v>
          </cell>
          <cell r="C14">
            <v>320000</v>
          </cell>
          <cell r="D14">
            <v>-0.50137064548734034</v>
          </cell>
          <cell r="E14">
            <v>5.3773525917021887</v>
          </cell>
          <cell r="F14">
            <v>-131518.98448444353</v>
          </cell>
          <cell r="G14">
            <v>310171.73840741738</v>
          </cell>
          <cell r="H14">
            <v>178652.75392297385</v>
          </cell>
          <cell r="I14">
            <v>-1.0271952983229131</v>
          </cell>
          <cell r="J14">
            <v>-6.4045478900251016</v>
          </cell>
          <cell r="K14">
            <v>-0.52582465283557278</v>
          </cell>
          <cell r="L14">
            <v>-507355.24938630604</v>
          </cell>
          <cell r="M14">
            <v>-328702.49546333222</v>
          </cell>
        </row>
        <row r="15">
          <cell r="B15" t="str">
            <v>Wood</v>
          </cell>
          <cell r="C15">
            <v>2300000</v>
          </cell>
          <cell r="D15">
            <v>0.35313505087798691</v>
          </cell>
          <cell r="E15">
            <v>8.46443488478603</v>
          </cell>
          <cell r="F15">
            <v>665806.80193466798</v>
          </cell>
          <cell r="G15">
            <v>3509211.4379121298</v>
          </cell>
          <cell r="H15">
            <v>4175018.2398467977</v>
          </cell>
          <cell r="I15">
            <v>0.58794120000000016</v>
          </cell>
          <cell r="J15">
            <v>-7.8764936847860305</v>
          </cell>
          <cell r="K15">
            <v>0.24576947089646067</v>
          </cell>
          <cell r="L15">
            <v>-2802083.0474128691</v>
          </cell>
          <cell r="M15">
            <v>1352264.7600000005</v>
          </cell>
        </row>
        <row r="16">
          <cell r="L16">
            <v>0</v>
          </cell>
          <cell r="M16">
            <v>0</v>
          </cell>
        </row>
        <row r="17">
          <cell r="B17" t="str">
            <v>Food Waste (non-meat)</v>
          </cell>
          <cell r="C17">
            <v>3100000</v>
          </cell>
          <cell r="D17">
            <v>0.28195499282784453</v>
          </cell>
          <cell r="E17">
            <v>2.3158743557222659</v>
          </cell>
          <cell r="F17">
            <v>716508.00815030653</v>
          </cell>
          <cell r="G17">
            <v>1294077.896635138</v>
          </cell>
          <cell r="H17">
            <v>2010585.9047854445</v>
          </cell>
          <cell r="I17">
            <v>0.25847304622443823</v>
          </cell>
          <cell r="J17">
            <v>-2.0574013094978278</v>
          </cell>
          <cell r="K17">
            <v>-2.3481946603406301E-2</v>
          </cell>
          <cell r="L17">
            <v>-1209319.461489686</v>
          </cell>
          <cell r="M17">
            <v>801266.44329575857</v>
          </cell>
        </row>
        <row r="18">
          <cell r="B18" t="str">
            <v>Grains</v>
          </cell>
        </row>
        <row r="19">
          <cell r="B19" t="str">
            <v>Bread</v>
          </cell>
        </row>
        <row r="20">
          <cell r="B20" t="str">
            <v>Fruits and Vegetables</v>
          </cell>
        </row>
        <row r="21">
          <cell r="B21" t="str">
            <v>Dairy Products</v>
          </cell>
        </row>
        <row r="22">
          <cell r="B22" t="str">
            <v>Yard Trimmings</v>
          </cell>
          <cell r="C22">
            <v>13200000</v>
          </cell>
          <cell r="D22">
            <v>0.12161881033170804</v>
          </cell>
          <cell r="E22">
            <v>2.7378321502203988</v>
          </cell>
          <cell r="F22">
            <v>1315995.025110113</v>
          </cell>
          <cell r="G22">
            <v>6514250.9068485014</v>
          </cell>
          <cell r="H22">
            <v>7830245.9319586139</v>
          </cell>
          <cell r="I22">
            <v>0.25847304622443823</v>
          </cell>
          <cell r="J22">
            <v>-2.4793591039959604</v>
          </cell>
          <cell r="K22">
            <v>0.13685423589273019</v>
          </cell>
          <cell r="L22">
            <v>-4418401.7217960283</v>
          </cell>
          <cell r="M22">
            <v>3411844.2101625847</v>
          </cell>
        </row>
        <row r="23">
          <cell r="B23" t="str">
            <v>Carpet</v>
          </cell>
          <cell r="D23">
            <v>-21.741796265367711</v>
          </cell>
          <cell r="E23">
            <v>-15.200626417374062</v>
          </cell>
          <cell r="F23">
            <v>0</v>
          </cell>
          <cell r="G23">
            <v>0</v>
          </cell>
          <cell r="H23">
            <v>0</v>
          </cell>
        </row>
        <row r="24">
          <cell r="B24" t="str">
            <v>Personal Computers</v>
          </cell>
          <cell r="D24">
            <v>-29.422277198199531</v>
          </cell>
          <cell r="E24">
            <v>-0.63375779521985365</v>
          </cell>
        </row>
        <row r="25">
          <cell r="B25" t="str">
            <v>TOTAL</v>
          </cell>
          <cell r="C25">
            <v>70610000</v>
          </cell>
          <cell r="D25">
            <v>-319.31052948747072</v>
          </cell>
          <cell r="E25">
            <v>-202.21206105528105</v>
          </cell>
          <cell r="F25">
            <v>-780289562.11118495</v>
          </cell>
          <cell r="G25">
            <v>-99309787.39369297</v>
          </cell>
          <cell r="H25">
            <v>-879599349.50487804</v>
          </cell>
          <cell r="L25">
            <v>-75721774.934837103</v>
          </cell>
          <cell r="M25">
            <v>-955341794.87214911</v>
          </cell>
        </row>
        <row r="27">
          <cell r="B27" t="str">
            <v>% of total discards</v>
          </cell>
        </row>
        <row r="28">
          <cell r="B28">
            <v>1</v>
          </cell>
        </row>
        <row r="29">
          <cell r="B29">
            <v>0.18025351062507766</v>
          </cell>
        </row>
        <row r="30">
          <cell r="B30">
            <v>0.81974648937492234</v>
          </cell>
        </row>
        <row r="36">
          <cell r="B36">
            <v>239540000</v>
          </cell>
        </row>
        <row r="37">
          <cell r="B37">
            <v>70610000</v>
          </cell>
        </row>
        <row r="38">
          <cell r="B38">
            <v>0.29477331552141606</v>
          </cell>
        </row>
      </sheetData>
      <sheetData sheetId="5">
        <row r="5">
          <cell r="B5" t="str">
            <v>Year One</v>
          </cell>
          <cell r="C5" t="str">
            <v>Years 2-15</v>
          </cell>
          <cell r="D5" t="str">
            <v>Years 16-30</v>
          </cell>
          <cell r="E5" t="str">
            <v>Total for 30 Years</v>
          </cell>
        </row>
        <row r="6">
          <cell r="B6">
            <v>-89.690841492210723</v>
          </cell>
          <cell r="C6">
            <v>0</v>
          </cell>
          <cell r="D6">
            <v>0</v>
          </cell>
        </row>
        <row r="7">
          <cell r="B7">
            <v>-29.880553333880805</v>
          </cell>
          <cell r="C7">
            <v>0</v>
          </cell>
          <cell r="D7">
            <v>0</v>
          </cell>
        </row>
        <row r="8">
          <cell r="B8">
            <v>-122.3574263694962</v>
          </cell>
          <cell r="C8">
            <v>0</v>
          </cell>
          <cell r="D8">
            <v>0</v>
          </cell>
        </row>
        <row r="9">
          <cell r="B9">
            <v>-6.9045684030684162</v>
          </cell>
          <cell r="C9">
            <v>0</v>
          </cell>
          <cell r="D9">
            <v>0</v>
          </cell>
        </row>
        <row r="10">
          <cell r="B10">
            <v>-61.212690257282205</v>
          </cell>
          <cell r="C10">
            <v>0</v>
          </cell>
          <cell r="D10">
            <v>0</v>
          </cell>
        </row>
        <row r="11">
          <cell r="B11">
            <v>-71.015275961446619</v>
          </cell>
          <cell r="C11">
            <v>0</v>
          </cell>
          <cell r="D11">
            <v>0</v>
          </cell>
        </row>
        <row r="12">
          <cell r="B12">
            <v>-50.255272492386652</v>
          </cell>
          <cell r="C12">
            <v>0</v>
          </cell>
          <cell r="D12">
            <v>0</v>
          </cell>
        </row>
        <row r="13">
          <cell r="B13">
            <v>-22.320513543509552</v>
          </cell>
          <cell r="C13">
            <v>0</v>
          </cell>
          <cell r="D13">
            <v>0</v>
          </cell>
        </row>
        <row r="14">
          <cell r="B14">
            <v>-33.225750782920784</v>
          </cell>
          <cell r="C14">
            <v>0</v>
          </cell>
          <cell r="D14">
            <v>0</v>
          </cell>
        </row>
        <row r="15">
          <cell r="B15">
            <v>-36.464546483715836</v>
          </cell>
          <cell r="C15">
            <v>0</v>
          </cell>
          <cell r="D15">
            <v>0</v>
          </cell>
        </row>
        <row r="16">
          <cell r="B16">
            <v>-36.59821281517732</v>
          </cell>
          <cell r="C16">
            <v>0</v>
          </cell>
          <cell r="D16">
            <v>0</v>
          </cell>
        </row>
        <row r="17">
          <cell r="B17">
            <v>-40.198908550451655</v>
          </cell>
          <cell r="C17">
            <v>0</v>
          </cell>
          <cell r="D17">
            <v>0</v>
          </cell>
        </row>
        <row r="18">
          <cell r="B18">
            <v>-35.599721766002347</v>
          </cell>
          <cell r="C18">
            <v>0</v>
          </cell>
          <cell r="D18">
            <v>0</v>
          </cell>
        </row>
        <row r="19">
          <cell r="B19">
            <v>-3.6749756764231494</v>
          </cell>
          <cell r="C19">
            <v>0</v>
          </cell>
          <cell r="D19">
            <v>0</v>
          </cell>
        </row>
        <row r="20">
          <cell r="B20">
            <v>-11.920555209697666</v>
          </cell>
          <cell r="C20">
            <v>0</v>
          </cell>
          <cell r="D20">
            <v>0</v>
          </cell>
        </row>
        <row r="21">
          <cell r="B21">
            <v>-14.559042837202703</v>
          </cell>
          <cell r="C21">
            <v>0</v>
          </cell>
          <cell r="D21">
            <v>0</v>
          </cell>
        </row>
        <row r="22">
          <cell r="B22">
            <v>-5.642138563263372</v>
          </cell>
        </row>
        <row r="23">
          <cell r="B23">
            <v>-6.5221665213326432</v>
          </cell>
        </row>
        <row r="24">
          <cell r="B24">
            <v>-5.0692234436343391</v>
          </cell>
        </row>
        <row r="25">
          <cell r="B25">
            <v>-14.267376488498567</v>
          </cell>
        </row>
        <row r="26">
          <cell r="B26" t="str">
            <v>NA</v>
          </cell>
          <cell r="C26">
            <v>0</v>
          </cell>
          <cell r="D26">
            <v>0</v>
          </cell>
        </row>
        <row r="27">
          <cell r="B27" t="str">
            <v>NA</v>
          </cell>
          <cell r="C27">
            <v>0</v>
          </cell>
          <cell r="D27">
            <v>0</v>
          </cell>
        </row>
        <row r="28">
          <cell r="B28" t="str">
            <v>NA</v>
          </cell>
          <cell r="C28">
            <v>0</v>
          </cell>
          <cell r="D28">
            <v>0</v>
          </cell>
        </row>
        <row r="29">
          <cell r="B29" t="str">
            <v>NA</v>
          </cell>
          <cell r="C29">
            <v>0</v>
          </cell>
          <cell r="D29">
            <v>0</v>
          </cell>
        </row>
        <row r="30">
          <cell r="B30">
            <v>0</v>
          </cell>
          <cell r="C30">
            <v>0</v>
          </cell>
          <cell r="D30">
            <v>0</v>
          </cell>
        </row>
        <row r="31">
          <cell r="B31">
            <v>-29.443040282645512</v>
          </cell>
          <cell r="C31">
            <v>0</v>
          </cell>
          <cell r="D31">
            <v>0</v>
          </cell>
        </row>
        <row r="32">
          <cell r="B32">
            <v>-28.663042741731605</v>
          </cell>
          <cell r="C32">
            <v>0</v>
          </cell>
          <cell r="D32">
            <v>0</v>
          </cell>
        </row>
        <row r="33">
          <cell r="B33">
            <v>-34.642171590374666</v>
          </cell>
          <cell r="C33">
            <v>0</v>
          </cell>
          <cell r="D33">
            <v>0</v>
          </cell>
        </row>
        <row r="34">
          <cell r="B34">
            <v>-50.606890814490178</v>
          </cell>
          <cell r="C34">
            <v>0</v>
          </cell>
          <cell r="D34">
            <v>0</v>
          </cell>
        </row>
        <row r="35">
          <cell r="B35">
            <v>-54.419091243046957</v>
          </cell>
          <cell r="C35">
            <v>0</v>
          </cell>
          <cell r="D35">
            <v>0</v>
          </cell>
        </row>
        <row r="36">
          <cell r="B36" t="str">
            <v>NA</v>
          </cell>
          <cell r="C36">
            <v>0</v>
          </cell>
          <cell r="D36">
            <v>0</v>
          </cell>
        </row>
        <row r="37">
          <cell r="B37" t="str">
            <v>NA</v>
          </cell>
          <cell r="C37">
            <v>0</v>
          </cell>
          <cell r="D37">
            <v>0</v>
          </cell>
        </row>
        <row r="38">
          <cell r="B38" t="str">
            <v>NA</v>
          </cell>
          <cell r="C38">
            <v>0</v>
          </cell>
          <cell r="D38">
            <v>0</v>
          </cell>
        </row>
        <row r="39">
          <cell r="B39">
            <v>-91.064720000000023</v>
          </cell>
          <cell r="C39">
            <v>0</v>
          </cell>
          <cell r="D39">
            <v>0</v>
          </cell>
        </row>
        <row r="40">
          <cell r="B40">
            <v>-956.74208205372872</v>
          </cell>
          <cell r="C40">
            <v>0</v>
          </cell>
          <cell r="D40">
            <v>0</v>
          </cell>
        </row>
        <row r="41">
          <cell r="B41">
            <v>-5.1314789596929602</v>
          </cell>
          <cell r="C41">
            <v>0</v>
          </cell>
          <cell r="D41">
            <v>0</v>
          </cell>
        </row>
        <row r="42">
          <cell r="B42" t="str">
            <v>NA</v>
          </cell>
          <cell r="C42" t="str">
            <v>NA</v>
          </cell>
          <cell r="D42" t="str">
            <v>NA</v>
          </cell>
        </row>
        <row r="43">
          <cell r="B43" t="str">
            <v>NA</v>
          </cell>
          <cell r="C43" t="str">
            <v>NA</v>
          </cell>
          <cell r="D43" t="str">
            <v>NA</v>
          </cell>
        </row>
        <row r="44">
          <cell r="B44">
            <v>-71.710606568138289</v>
          </cell>
        </row>
        <row r="50">
          <cell r="B50" t="str">
            <v>Year One</v>
          </cell>
          <cell r="C50" t="str">
            <v>Years 2-15</v>
          </cell>
          <cell r="D50" t="str">
            <v>Years 16-30</v>
          </cell>
          <cell r="E50" t="str">
            <v>Total for 30 Years</v>
          </cell>
        </row>
        <row r="51">
          <cell r="B51">
            <v>-152.7644316983795</v>
          </cell>
          <cell r="C51">
            <v>0</v>
          </cell>
          <cell r="D51">
            <v>0</v>
          </cell>
        </row>
        <row r="52">
          <cell r="B52">
            <v>-19.966201047692305</v>
          </cell>
          <cell r="C52">
            <v>0</v>
          </cell>
          <cell r="D52">
            <v>0</v>
          </cell>
        </row>
        <row r="53">
          <cell r="B53">
            <v>-82.589644210684924</v>
          </cell>
          <cell r="C53">
            <v>0</v>
          </cell>
          <cell r="D53">
            <v>0</v>
          </cell>
        </row>
        <row r="54">
          <cell r="B54">
            <v>-2.125409819699291</v>
          </cell>
          <cell r="C54">
            <v>0</v>
          </cell>
          <cell r="D54">
            <v>0</v>
          </cell>
        </row>
        <row r="55">
          <cell r="B55">
            <v>-50.202595116398498</v>
          </cell>
          <cell r="C55">
            <v>0</v>
          </cell>
          <cell r="D55">
            <v>0</v>
          </cell>
        </row>
        <row r="56">
          <cell r="B56" t="str">
            <v>NA</v>
          </cell>
          <cell r="C56">
            <v>0</v>
          </cell>
          <cell r="D56">
            <v>0</v>
          </cell>
        </row>
        <row r="57">
          <cell r="B57">
            <v>-31.871174900862655</v>
          </cell>
          <cell r="C57">
            <v>0</v>
          </cell>
          <cell r="D57">
            <v>0</v>
          </cell>
        </row>
        <row r="58">
          <cell r="B58">
            <v>-15.074420877698142</v>
          </cell>
          <cell r="C58">
            <v>0</v>
          </cell>
          <cell r="D58">
            <v>0</v>
          </cell>
        </row>
        <row r="59">
          <cell r="B59">
            <v>-0.68565151603619501</v>
          </cell>
          <cell r="C59">
            <v>0</v>
          </cell>
          <cell r="D59">
            <v>0</v>
          </cell>
        </row>
        <row r="60">
          <cell r="B60">
            <v>-16.485950938072122</v>
          </cell>
          <cell r="C60">
            <v>0</v>
          </cell>
          <cell r="D60">
            <v>0</v>
          </cell>
        </row>
      </sheetData>
      <sheetData sheetId="6">
        <row r="3">
          <cell r="B3" t="str">
            <v>EPA Calculated Life Cycle Energy Savings in Terms of Barrels of Oil Saved Per Ton Recycled</v>
          </cell>
          <cell r="C3" t="str">
            <v>CA/NRDC Calculated Process Energy Savings in Terms of Barrels of Oil Saved Per Ton Recycled</v>
          </cell>
        </row>
        <row r="4">
          <cell r="B4">
            <v>26.3395361006203</v>
          </cell>
          <cell r="C4">
            <v>31.3</v>
          </cell>
        </row>
        <row r="5">
          <cell r="B5">
            <v>3.4826977786431579</v>
          </cell>
          <cell r="C5">
            <v>2.75</v>
          </cell>
        </row>
        <row r="6">
          <cell r="B6">
            <v>0.41199360859272449</v>
          </cell>
          <cell r="C6">
            <v>1</v>
          </cell>
        </row>
        <row r="7">
          <cell r="B7">
            <v>6.7307035506008113</v>
          </cell>
          <cell r="C7">
            <v>10.5</v>
          </cell>
        </row>
        <row r="8">
          <cell r="B8">
            <v>3.4844239855189301</v>
          </cell>
          <cell r="C8">
            <v>3.1</v>
          </cell>
        </row>
      </sheetData>
      <sheetData sheetId="7">
        <row r="4">
          <cell r="B4">
            <v>153.03270474460393</v>
          </cell>
        </row>
        <row r="5">
          <cell r="B5">
            <v>114.11498971841353</v>
          </cell>
        </row>
        <row r="6">
          <cell r="B6">
            <v>82.85791725690936</v>
          </cell>
        </row>
        <row r="7">
          <cell r="B7">
            <v>66.253662933263797</v>
          </cell>
        </row>
        <row r="8">
          <cell r="B8">
            <v>50.470868162622935</v>
          </cell>
        </row>
        <row r="9">
          <cell r="B9">
            <v>39.105387628990712</v>
          </cell>
        </row>
        <row r="10">
          <cell r="B10">
            <v>32.139447947087092</v>
          </cell>
        </row>
        <row r="11">
          <cell r="B11">
            <v>29.422277198199531</v>
          </cell>
        </row>
        <row r="12">
          <cell r="B12">
            <v>21.741796265367711</v>
          </cell>
        </row>
        <row r="13">
          <cell r="B13">
            <v>20.671167128753982</v>
          </cell>
        </row>
        <row r="14">
          <cell r="B14">
            <v>20.263986593879256</v>
          </cell>
        </row>
        <row r="15">
          <cell r="B15">
            <v>20.244503355864982</v>
          </cell>
        </row>
        <row r="16">
          <cell r="B16">
            <v>20.234474093916745</v>
          </cell>
        </row>
        <row r="17">
          <cell r="B17">
            <v>16.537928432514896</v>
          </cell>
        </row>
        <row r="18">
          <cell r="B18">
            <v>14.828929082657304</v>
          </cell>
        </row>
        <row r="19">
          <cell r="B19">
            <v>14.702547201789324</v>
          </cell>
        </row>
        <row r="20">
          <cell r="B20">
            <v>11.982984352125669</v>
          </cell>
        </row>
        <row r="21">
          <cell r="B21">
            <v>9.5552125788574198</v>
          </cell>
        </row>
        <row r="22">
          <cell r="B22">
            <v>5.034949359316939</v>
          </cell>
        </row>
        <row r="23">
          <cell r="B23">
            <v>3.8285679020727912</v>
          </cell>
        </row>
        <row r="24">
          <cell r="B24">
            <v>2.8852869598046236</v>
          </cell>
        </row>
        <row r="25">
          <cell r="B25">
            <v>2.7017288696737491</v>
          </cell>
        </row>
        <row r="26">
          <cell r="B26">
            <v>2.3936828659237293</v>
          </cell>
        </row>
        <row r="27">
          <cell r="B27">
            <v>1.4888492839914451</v>
          </cell>
        </row>
        <row r="28">
          <cell r="B28">
            <v>0.73049045286318548</v>
          </cell>
        </row>
        <row r="29">
          <cell r="B29">
            <v>0.50137064548734034</v>
          </cell>
        </row>
        <row r="30">
          <cell r="B30">
            <v>0.37509516189892078</v>
          </cell>
        </row>
        <row r="31">
          <cell r="B31">
            <v>-0.35313505087798691</v>
          </cell>
        </row>
        <row r="32">
          <cell r="B32">
            <v>-0.60158136732909162</v>
          </cell>
        </row>
      </sheetData>
      <sheetData sheetId="8">
        <row r="3">
          <cell r="B3">
            <v>-4.0778993323122732</v>
          </cell>
          <cell r="C3">
            <v>0.36821784834577431</v>
          </cell>
          <cell r="D3">
            <v>-9.0295963274057908E-2</v>
          </cell>
        </row>
        <row r="4">
          <cell r="B4">
            <v>-1.4488806657598772</v>
          </cell>
          <cell r="C4">
            <v>5.9477952623133636E-2</v>
          </cell>
          <cell r="D4">
            <v>-4.1050967156042451E-2</v>
          </cell>
        </row>
        <row r="5">
          <cell r="B5">
            <v>-1.5863063290535697</v>
          </cell>
          <cell r="C5">
            <v>4.5608860089392397E-2</v>
          </cell>
          <cell r="D5">
            <v>-2.8751609480499134E-2</v>
          </cell>
        </row>
        <row r="6">
          <cell r="B6">
            <v>-4.3247075092657656</v>
          </cell>
          <cell r="C6">
            <v>0.10540669076635006</v>
          </cell>
          <cell r="D6">
            <v>-2.4373137499013351E-2</v>
          </cell>
        </row>
        <row r="7">
          <cell r="B7">
            <v>-3.3555764199577705</v>
          </cell>
          <cell r="C7">
            <v>3.4345625769668764E-2</v>
          </cell>
          <cell r="D7">
            <v>-1.0235387746019804E-2</v>
          </cell>
        </row>
        <row r="8">
          <cell r="B8">
            <v>-2.6765509702885693</v>
          </cell>
          <cell r="C8">
            <v>1.5264730911509594E-2</v>
          </cell>
          <cell r="D8">
            <v>-5.7031347734296444E-3</v>
          </cell>
        </row>
        <row r="9">
          <cell r="B9">
            <v>-2.8906920101102846</v>
          </cell>
          <cell r="C9">
            <v>-0.19464646482871517</v>
          </cell>
          <cell r="D9">
            <v>6.7335594434804247E-2</v>
          </cell>
        </row>
        <row r="10">
          <cell r="B10">
            <v>8.9291519766447974E-2</v>
          </cell>
          <cell r="C10">
            <v>7.9956712659146265E-3</v>
          </cell>
          <cell r="D10">
            <v>8.9545695793152649E-2</v>
          </cell>
        </row>
        <row r="11">
          <cell r="B11">
            <v>-3.6573043514756414</v>
          </cell>
          <cell r="C11">
            <v>-0.38288982748042955</v>
          </cell>
          <cell r="D11">
            <v>0.10469181415704219</v>
          </cell>
        </row>
        <row r="12">
          <cell r="B12">
            <v>-3.5958305778282522</v>
          </cell>
          <cell r="C12">
            <v>-0.38719659441260279</v>
          </cell>
          <cell r="D12">
            <v>0.10767932082229945</v>
          </cell>
        </row>
        <row r="13">
          <cell r="B13">
            <v>-3.7540259143708434</v>
          </cell>
          <cell r="C13">
            <v>-0.44993756615815839</v>
          </cell>
          <cell r="D13">
            <v>0.1198546777303123</v>
          </cell>
        </row>
        <row r="14">
          <cell r="B14">
            <v>-1.8128824028691906</v>
          </cell>
          <cell r="C14">
            <v>-0.5917748606945249</v>
          </cell>
          <cell r="D14">
            <v>0.32642760487825462</v>
          </cell>
        </row>
        <row r="15">
          <cell r="B15">
            <v>-1.9252548716951257</v>
          </cell>
          <cell r="C15">
            <v>-0.70414732952045989</v>
          </cell>
          <cell r="D15">
            <v>0.36574239591482272</v>
          </cell>
        </row>
        <row r="16">
          <cell r="B16">
            <v>-0.88782869312604618</v>
          </cell>
          <cell r="C16">
            <v>-0.43941511819353901</v>
          </cell>
          <cell r="D16">
            <v>0.49493232376434887</v>
          </cell>
        </row>
        <row r="17">
          <cell r="B17">
            <v>-0.29677699231023896</v>
          </cell>
          <cell r="C17">
            <v>-0.15499065538536053</v>
          </cell>
          <cell r="D17">
            <v>0.52224619630668478</v>
          </cell>
        </row>
        <row r="18">
          <cell r="B18">
            <v>-7.2087769007179174</v>
          </cell>
          <cell r="C18">
            <v>-4.0305133014768098</v>
          </cell>
          <cell r="D18">
            <v>0.55911194880721216</v>
          </cell>
        </row>
        <row r="19">
          <cell r="B19">
            <v>-9.1280540966782944</v>
          </cell>
          <cell r="C19">
            <v>-5.4075397924561956</v>
          </cell>
          <cell r="D19">
            <v>0.5924088239599723</v>
          </cell>
        </row>
        <row r="20">
          <cell r="B20">
            <v>-2.3782862331744021</v>
          </cell>
          <cell r="C20">
            <v>-1.4361992937190726</v>
          </cell>
          <cell r="D20">
            <v>0.60387991726383372</v>
          </cell>
        </row>
        <row r="21">
          <cell r="B21">
            <v>-2.5243545954286155</v>
          </cell>
          <cell r="C21">
            <v>-1.6409356598877234</v>
          </cell>
          <cell r="D21">
            <v>0.65004166326684598</v>
          </cell>
        </row>
        <row r="22">
          <cell r="B22">
            <v>-1.1375699025366355</v>
          </cell>
          <cell r="C22">
            <v>-0.79347501656838038</v>
          </cell>
          <cell r="D22">
            <v>0.69751758973143763</v>
          </cell>
        </row>
        <row r="23">
          <cell r="B23">
            <v>-4.3606786647578639</v>
          </cell>
          <cell r="C23">
            <v>-3.0713915296313941</v>
          </cell>
          <cell r="D23">
            <v>0.70433796336652099</v>
          </cell>
        </row>
        <row r="24">
          <cell r="B24">
            <v>-1.0430911360750332</v>
          </cell>
          <cell r="C24">
            <v>-0.76502892999998928</v>
          </cell>
          <cell r="D24">
            <v>0.73342482122766117</v>
          </cell>
        </row>
        <row r="25">
          <cell r="B25">
            <v>-0.88894156974294525</v>
          </cell>
          <cell r="C25">
            <v>-0.71861689401998274</v>
          </cell>
          <cell r="D25">
            <v>0.80839609540116886</v>
          </cell>
        </row>
        <row r="26">
          <cell r="B26">
            <v>-4.727409191508567</v>
          </cell>
          <cell r="C26">
            <v>-4.727409191508567</v>
          </cell>
          <cell r="D26">
            <v>1</v>
          </cell>
        </row>
        <row r="27">
          <cell r="B27">
            <v>-1.8325250266182418</v>
          </cell>
          <cell r="C27">
            <v>-1.8325250266182418</v>
          </cell>
          <cell r="D27">
            <v>1</v>
          </cell>
        </row>
        <row r="28">
          <cell r="B28">
            <v>-0.39641500582852374</v>
          </cell>
          <cell r="C28">
            <v>-0.39641500582852374</v>
          </cell>
          <cell r="D28">
            <v>1</v>
          </cell>
        </row>
        <row r="29">
          <cell r="B29">
            <v>-0.11091510906344312</v>
          </cell>
          <cell r="C29">
            <v>-0.11091510906344312</v>
          </cell>
          <cell r="D29">
            <v>1</v>
          </cell>
        </row>
        <row r="30">
          <cell r="B30">
            <v>-0.10156748029198207</v>
          </cell>
          <cell r="C30">
            <v>-0.10156748029198207</v>
          </cell>
          <cell r="D30">
            <v>1</v>
          </cell>
        </row>
        <row r="31">
          <cell r="B31">
            <v>-2.8211035000628392E-2</v>
          </cell>
          <cell r="C31">
            <v>-2.8211035000628392E-2</v>
          </cell>
          <cell r="D31">
            <v>1</v>
          </cell>
        </row>
      </sheetData>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epa.gov/energy/ghg-equivalencies-calculator-calculations-and-references" TargetMode="External"/><Relationship Id="rId1" Type="http://schemas.openxmlformats.org/officeDocument/2006/relationships/hyperlink" Target="http://www.usctcgateway.net/tool/" TargetMode="External"/><Relationship Id="rId5" Type="http://schemas.openxmlformats.org/officeDocument/2006/relationships/comments" Target="../comments5.xml"/><Relationship Id="rId4" Type="http://schemas.openxmlformats.org/officeDocument/2006/relationships/vmlDrawing" Target="../drawings/vmlDrawing6.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1:P101"/>
  <sheetViews>
    <sheetView showGridLines="0" showRowColHeaders="0" topLeftCell="A16" zoomScaleNormal="100" workbookViewId="0"/>
  </sheetViews>
  <sheetFormatPr defaultColWidth="9.1796875" defaultRowHeight="12.5" x14ac:dyDescent="0.25"/>
  <cols>
    <col min="1" max="1" width="6.26953125" style="6" customWidth="1"/>
    <col min="2" max="16384" width="9.1796875" style="6"/>
  </cols>
  <sheetData>
    <row r="1" spans="2:16" ht="13" thickBot="1" x14ac:dyDescent="0.3"/>
    <row r="2" spans="2:16" x14ac:dyDescent="0.25">
      <c r="B2" s="167"/>
      <c r="C2" s="160"/>
      <c r="D2" s="160"/>
      <c r="E2" s="160"/>
      <c r="F2" s="160"/>
      <c r="G2" s="160"/>
      <c r="H2" s="160"/>
      <c r="I2" s="160"/>
      <c r="J2" s="160"/>
      <c r="K2" s="160"/>
      <c r="L2" s="160"/>
      <c r="M2" s="160"/>
      <c r="N2" s="160"/>
      <c r="O2" s="160"/>
      <c r="P2" s="168"/>
    </row>
    <row r="3" spans="2:16" x14ac:dyDescent="0.25">
      <c r="B3" s="169"/>
      <c r="C3" s="152"/>
      <c r="D3" s="152"/>
      <c r="E3" s="152"/>
      <c r="F3" s="152"/>
      <c r="G3" s="152"/>
      <c r="H3" s="152"/>
      <c r="I3" s="152"/>
      <c r="J3" s="152"/>
      <c r="K3" s="152"/>
      <c r="L3" s="152"/>
      <c r="M3" s="152"/>
      <c r="N3" s="152"/>
      <c r="O3" s="152"/>
      <c r="P3" s="174"/>
    </row>
    <row r="4" spans="2:16" x14ac:dyDescent="0.25">
      <c r="B4" s="169"/>
      <c r="C4" s="152"/>
      <c r="D4" s="152"/>
      <c r="E4" s="152"/>
      <c r="F4" s="152"/>
      <c r="G4" s="152"/>
      <c r="H4" s="152"/>
      <c r="I4" s="152"/>
      <c r="J4" s="152"/>
      <c r="K4" s="152"/>
      <c r="L4" s="152"/>
      <c r="M4" s="152"/>
      <c r="N4" s="152"/>
      <c r="O4" s="152"/>
      <c r="P4" s="174"/>
    </row>
    <row r="5" spans="2:16" x14ac:dyDescent="0.25">
      <c r="B5" s="169"/>
      <c r="C5" s="152"/>
      <c r="D5" s="152"/>
      <c r="E5" s="152"/>
      <c r="F5" s="152"/>
      <c r="G5" s="152"/>
      <c r="H5" s="152"/>
      <c r="I5" s="152"/>
      <c r="J5" s="152"/>
      <c r="K5" s="152"/>
      <c r="L5" s="152"/>
      <c r="M5" s="152"/>
      <c r="N5" s="152"/>
      <c r="O5" s="152"/>
      <c r="P5" s="174"/>
    </row>
    <row r="6" spans="2:16" x14ac:dyDescent="0.25">
      <c r="B6" s="169"/>
      <c r="C6" s="152"/>
      <c r="D6" s="152"/>
      <c r="E6" s="152"/>
      <c r="F6" s="152"/>
      <c r="G6" s="152"/>
      <c r="H6" s="152"/>
      <c r="I6" s="152"/>
      <c r="J6" s="152"/>
      <c r="K6" s="152"/>
      <c r="L6" s="152"/>
      <c r="M6" s="152"/>
      <c r="N6" s="152"/>
      <c r="O6" s="152"/>
      <c r="P6" s="174"/>
    </row>
    <row r="7" spans="2:16" x14ac:dyDescent="0.25">
      <c r="B7" s="169"/>
      <c r="C7" s="152"/>
      <c r="D7" s="152"/>
      <c r="E7" s="152"/>
      <c r="F7" s="152"/>
      <c r="G7" s="152"/>
      <c r="H7" s="152"/>
      <c r="I7" s="152"/>
      <c r="J7" s="152"/>
      <c r="K7" s="152"/>
      <c r="L7" s="152"/>
      <c r="M7" s="152"/>
      <c r="N7" s="152"/>
      <c r="O7" s="152"/>
      <c r="P7" s="174"/>
    </row>
    <row r="8" spans="2:16" x14ac:dyDescent="0.25">
      <c r="B8" s="169"/>
      <c r="C8" s="152"/>
      <c r="D8" s="152"/>
      <c r="E8" s="152"/>
      <c r="F8" s="152"/>
      <c r="G8" s="152"/>
      <c r="H8" s="152"/>
      <c r="I8" s="152"/>
      <c r="J8" s="152"/>
      <c r="K8" s="152"/>
      <c r="L8" s="152"/>
      <c r="M8" s="152"/>
      <c r="N8" s="152"/>
      <c r="O8" s="152"/>
      <c r="P8" s="174"/>
    </row>
    <row r="9" spans="2:16" x14ac:dyDescent="0.25">
      <c r="B9" s="169"/>
      <c r="C9" s="152"/>
      <c r="D9" s="152"/>
      <c r="E9" s="152"/>
      <c r="F9" s="152"/>
      <c r="G9" s="152"/>
      <c r="H9" s="152"/>
      <c r="I9" s="152"/>
      <c r="J9" s="152"/>
      <c r="K9" s="152"/>
      <c r="L9" s="152"/>
      <c r="M9" s="152"/>
      <c r="N9" s="152"/>
      <c r="O9" s="152"/>
      <c r="P9" s="174"/>
    </row>
    <row r="10" spans="2:16" x14ac:dyDescent="0.25">
      <c r="B10" s="169"/>
      <c r="C10" s="152"/>
      <c r="D10" s="152"/>
      <c r="E10" s="152"/>
      <c r="F10" s="152"/>
      <c r="G10" s="152"/>
      <c r="H10" s="152"/>
      <c r="I10" s="152"/>
      <c r="J10" s="152"/>
      <c r="K10" s="152"/>
      <c r="L10" s="152"/>
      <c r="M10" s="152"/>
      <c r="N10" s="152"/>
      <c r="O10" s="152"/>
      <c r="P10" s="174"/>
    </row>
    <row r="11" spans="2:16" x14ac:dyDescent="0.25">
      <c r="B11" s="169"/>
      <c r="C11" s="152"/>
      <c r="D11" s="152"/>
      <c r="E11" s="152"/>
      <c r="F11" s="152"/>
      <c r="G11" s="152"/>
      <c r="H11" s="152"/>
      <c r="I11" s="152"/>
      <c r="J11" s="152"/>
      <c r="K11" s="152"/>
      <c r="L11" s="152"/>
      <c r="M11" s="152"/>
      <c r="N11" s="152"/>
      <c r="O11" s="152"/>
      <c r="P11" s="174"/>
    </row>
    <row r="12" spans="2:16" x14ac:dyDescent="0.25">
      <c r="B12" s="169"/>
      <c r="C12" s="152"/>
      <c r="D12" s="152"/>
      <c r="E12" s="152"/>
      <c r="F12" s="152"/>
      <c r="G12" s="152"/>
      <c r="H12" s="152"/>
      <c r="I12" s="152"/>
      <c r="J12" s="152"/>
      <c r="K12" s="152"/>
      <c r="L12" s="152"/>
      <c r="M12" s="152"/>
      <c r="N12" s="152"/>
      <c r="O12" s="152"/>
      <c r="P12" s="174"/>
    </row>
    <row r="13" spans="2:16" x14ac:dyDescent="0.25">
      <c r="B13" s="169"/>
      <c r="C13" s="152"/>
      <c r="D13" s="152"/>
      <c r="E13" s="152"/>
      <c r="F13" s="152"/>
      <c r="G13" s="152"/>
      <c r="H13" s="152"/>
      <c r="I13" s="152"/>
      <c r="J13" s="152"/>
      <c r="K13" s="152"/>
      <c r="L13" s="152"/>
      <c r="M13" s="152"/>
      <c r="N13" s="152"/>
      <c r="O13" s="152"/>
      <c r="P13" s="174"/>
    </row>
    <row r="14" spans="2:16" x14ac:dyDescent="0.25">
      <c r="B14" s="169"/>
      <c r="C14" s="152"/>
      <c r="D14" s="152"/>
      <c r="E14" s="152"/>
      <c r="F14" s="152"/>
      <c r="G14" s="152"/>
      <c r="H14" s="152"/>
      <c r="I14" s="152"/>
      <c r="J14" s="152"/>
      <c r="K14" s="152"/>
      <c r="L14" s="152"/>
      <c r="M14" s="152"/>
      <c r="N14" s="152"/>
      <c r="O14" s="152"/>
      <c r="P14" s="174"/>
    </row>
    <row r="15" spans="2:16" x14ac:dyDescent="0.25">
      <c r="B15" s="169"/>
      <c r="C15" s="152"/>
      <c r="D15" s="152"/>
      <c r="E15" s="152"/>
      <c r="F15" s="152"/>
      <c r="G15" s="152"/>
      <c r="H15" s="152"/>
      <c r="I15" s="152"/>
      <c r="J15" s="152"/>
      <c r="K15" s="152"/>
      <c r="L15" s="152"/>
      <c r="M15" s="152"/>
      <c r="N15" s="152"/>
      <c r="O15" s="152"/>
      <c r="P15" s="174"/>
    </row>
    <row r="16" spans="2:16" x14ac:dyDescent="0.25">
      <c r="B16" s="169"/>
      <c r="C16" s="152"/>
      <c r="D16" s="152"/>
      <c r="E16" s="152"/>
      <c r="F16" s="152"/>
      <c r="G16" s="152"/>
      <c r="H16" s="152"/>
      <c r="I16" s="152"/>
      <c r="J16" s="152"/>
      <c r="K16" s="152"/>
      <c r="L16" s="152"/>
      <c r="M16" s="152"/>
      <c r="N16" s="152"/>
      <c r="O16" s="152"/>
      <c r="P16" s="174"/>
    </row>
    <row r="17" spans="2:16" x14ac:dyDescent="0.25">
      <c r="B17" s="169"/>
      <c r="C17" s="152"/>
      <c r="D17" s="152"/>
      <c r="E17" s="152"/>
      <c r="F17" s="152"/>
      <c r="G17" s="152"/>
      <c r="H17" s="152"/>
      <c r="I17" s="152"/>
      <c r="J17" s="152"/>
      <c r="K17" s="152"/>
      <c r="L17" s="152"/>
      <c r="M17" s="152"/>
      <c r="N17" s="152"/>
      <c r="O17" s="152"/>
      <c r="P17" s="174"/>
    </row>
    <row r="18" spans="2:16" x14ac:dyDescent="0.25">
      <c r="B18" s="169"/>
      <c r="C18" s="152"/>
      <c r="D18" s="152"/>
      <c r="E18" s="152"/>
      <c r="F18" s="152"/>
      <c r="G18" s="152"/>
      <c r="H18" s="152"/>
      <c r="I18" s="152"/>
      <c r="J18" s="152"/>
      <c r="K18" s="152"/>
      <c r="L18" s="152"/>
      <c r="M18" s="152"/>
      <c r="N18" s="152"/>
      <c r="O18" s="152"/>
      <c r="P18" s="174"/>
    </row>
    <row r="19" spans="2:16" x14ac:dyDescent="0.25">
      <c r="B19" s="169"/>
      <c r="C19" s="152"/>
      <c r="D19" s="152"/>
      <c r="E19" s="152"/>
      <c r="F19" s="152"/>
      <c r="G19" s="152"/>
      <c r="H19" s="152"/>
      <c r="I19" s="152"/>
      <c r="J19" s="152"/>
      <c r="K19" s="152"/>
      <c r="L19" s="152"/>
      <c r="M19" s="152"/>
      <c r="N19" s="152"/>
      <c r="O19" s="152"/>
      <c r="P19" s="174"/>
    </row>
    <row r="20" spans="2:16" x14ac:dyDescent="0.25">
      <c r="B20" s="169"/>
      <c r="C20" s="152"/>
      <c r="D20" s="152"/>
      <c r="E20" s="152"/>
      <c r="F20" s="152"/>
      <c r="G20" s="152"/>
      <c r="H20" s="152"/>
      <c r="I20" s="152"/>
      <c r="J20" s="152"/>
      <c r="K20" s="152"/>
      <c r="L20" s="152"/>
      <c r="M20" s="152"/>
      <c r="N20" s="152"/>
      <c r="O20" s="152"/>
      <c r="P20" s="174"/>
    </row>
    <row r="21" spans="2:16" x14ac:dyDescent="0.25">
      <c r="B21" s="169"/>
      <c r="C21" s="152"/>
      <c r="D21" s="152"/>
      <c r="E21" s="152"/>
      <c r="F21" s="152"/>
      <c r="G21" s="152"/>
      <c r="H21" s="152"/>
      <c r="I21" s="152"/>
      <c r="J21" s="152"/>
      <c r="K21" s="152"/>
      <c r="L21" s="152"/>
      <c r="M21" s="152"/>
      <c r="N21" s="152"/>
      <c r="O21" s="152"/>
      <c r="P21" s="174"/>
    </row>
    <row r="22" spans="2:16" x14ac:dyDescent="0.25">
      <c r="B22" s="169"/>
      <c r="C22" s="152"/>
      <c r="D22" s="152"/>
      <c r="E22" s="152"/>
      <c r="F22" s="152"/>
      <c r="G22" s="152"/>
      <c r="H22" s="152"/>
      <c r="I22" s="152"/>
      <c r="J22" s="152"/>
      <c r="K22" s="152"/>
      <c r="L22" s="152"/>
      <c r="M22" s="152"/>
      <c r="N22" s="152"/>
      <c r="O22" s="152"/>
      <c r="P22" s="174"/>
    </row>
    <row r="23" spans="2:16" x14ac:dyDescent="0.25">
      <c r="B23" s="169"/>
      <c r="C23" s="152"/>
      <c r="D23" s="152"/>
      <c r="E23" s="152"/>
      <c r="F23" s="152"/>
      <c r="G23" s="152"/>
      <c r="H23" s="152"/>
      <c r="I23" s="152"/>
      <c r="J23" s="152"/>
      <c r="K23" s="152"/>
      <c r="L23" s="152"/>
      <c r="M23" s="152"/>
      <c r="N23" s="152"/>
      <c r="O23" s="152"/>
      <c r="P23" s="174"/>
    </row>
    <row r="24" spans="2:16" x14ac:dyDescent="0.25">
      <c r="B24" s="169"/>
      <c r="C24" s="152"/>
      <c r="D24" s="152"/>
      <c r="E24" s="152"/>
      <c r="F24" s="152"/>
      <c r="G24" s="152"/>
      <c r="H24" s="152"/>
      <c r="I24" s="152"/>
      <c r="J24" s="152"/>
      <c r="K24" s="152"/>
      <c r="L24" s="152"/>
      <c r="M24" s="152"/>
      <c r="N24" s="152"/>
      <c r="O24" s="152"/>
      <c r="P24" s="174"/>
    </row>
    <row r="25" spans="2:16" x14ac:dyDescent="0.25">
      <c r="B25" s="169"/>
      <c r="C25" s="152"/>
      <c r="D25" s="152"/>
      <c r="E25" s="152"/>
      <c r="F25" s="152"/>
      <c r="G25" s="152"/>
      <c r="H25" s="152"/>
      <c r="I25" s="152"/>
      <c r="J25" s="152"/>
      <c r="K25" s="152"/>
      <c r="L25" s="152"/>
      <c r="M25" s="152"/>
      <c r="N25" s="152"/>
      <c r="O25" s="152"/>
      <c r="P25" s="174"/>
    </row>
    <row r="26" spans="2:16" x14ac:dyDescent="0.25">
      <c r="B26" s="169"/>
      <c r="C26" s="152"/>
      <c r="D26" s="152"/>
      <c r="E26" s="152"/>
      <c r="F26" s="152"/>
      <c r="G26" s="152"/>
      <c r="H26" s="152"/>
      <c r="I26" s="152"/>
      <c r="J26" s="152"/>
      <c r="K26" s="152"/>
      <c r="L26" s="152"/>
      <c r="M26" s="152"/>
      <c r="N26" s="152"/>
      <c r="O26" s="152"/>
      <c r="P26" s="174"/>
    </row>
    <row r="27" spans="2:16" x14ac:dyDescent="0.25">
      <c r="B27" s="169"/>
      <c r="C27" s="152"/>
      <c r="D27" s="152"/>
      <c r="E27" s="152"/>
      <c r="F27" s="152"/>
      <c r="G27" s="152"/>
      <c r="H27" s="152"/>
      <c r="I27" s="152"/>
      <c r="J27" s="152"/>
      <c r="K27" s="152"/>
      <c r="L27" s="152"/>
      <c r="M27" s="152"/>
      <c r="N27" s="152"/>
      <c r="O27" s="152"/>
      <c r="P27" s="174"/>
    </row>
    <row r="28" spans="2:16" x14ac:dyDescent="0.25">
      <c r="B28" s="169"/>
      <c r="C28" s="152"/>
      <c r="D28" s="152"/>
      <c r="E28" s="152"/>
      <c r="F28" s="152"/>
      <c r="G28" s="152"/>
      <c r="H28" s="152"/>
      <c r="I28" s="152"/>
      <c r="J28" s="152"/>
      <c r="K28" s="152"/>
      <c r="L28" s="152"/>
      <c r="M28" s="152"/>
      <c r="N28" s="152"/>
      <c r="O28" s="152"/>
      <c r="P28" s="174"/>
    </row>
    <row r="29" spans="2:16" x14ac:dyDescent="0.25">
      <c r="B29" s="169"/>
      <c r="C29" s="152"/>
      <c r="D29" s="152"/>
      <c r="E29" s="152"/>
      <c r="F29" s="152"/>
      <c r="G29" s="152"/>
      <c r="H29" s="152"/>
      <c r="I29" s="152"/>
      <c r="J29" s="152"/>
      <c r="K29" s="152"/>
      <c r="L29" s="152"/>
      <c r="M29" s="152"/>
      <c r="N29" s="152"/>
      <c r="O29" s="152"/>
      <c r="P29" s="174"/>
    </row>
    <row r="30" spans="2:16" x14ac:dyDescent="0.25">
      <c r="B30" s="169"/>
      <c r="C30" s="152"/>
      <c r="D30" s="152"/>
      <c r="E30" s="152"/>
      <c r="F30" s="152"/>
      <c r="G30" s="152"/>
      <c r="H30" s="152"/>
      <c r="I30" s="152"/>
      <c r="J30" s="152"/>
      <c r="K30" s="152"/>
      <c r="L30" s="152"/>
      <c r="M30" s="152"/>
      <c r="N30" s="152"/>
      <c r="O30" s="152"/>
      <c r="P30" s="174"/>
    </row>
    <row r="31" spans="2:16" x14ac:dyDescent="0.25">
      <c r="B31" s="169"/>
      <c r="C31" s="152"/>
      <c r="D31" s="152"/>
      <c r="E31" s="152"/>
      <c r="F31" s="152"/>
      <c r="G31" s="152"/>
      <c r="H31" s="152"/>
      <c r="I31" s="152"/>
      <c r="J31" s="152"/>
      <c r="K31" s="152"/>
      <c r="L31" s="152"/>
      <c r="M31" s="152"/>
      <c r="N31" s="152"/>
      <c r="O31" s="152"/>
      <c r="P31" s="174"/>
    </row>
    <row r="32" spans="2:16" x14ac:dyDescent="0.25">
      <c r="B32" s="169"/>
      <c r="C32" s="152"/>
      <c r="D32" s="152"/>
      <c r="E32" s="152"/>
      <c r="F32" s="152"/>
      <c r="G32" s="152"/>
      <c r="H32" s="152"/>
      <c r="I32" s="152"/>
      <c r="J32" s="152"/>
      <c r="K32" s="152"/>
      <c r="L32" s="152"/>
      <c r="M32" s="152"/>
      <c r="N32" s="152"/>
      <c r="O32" s="152"/>
      <c r="P32" s="174"/>
    </row>
    <row r="33" spans="2:16" x14ac:dyDescent="0.25">
      <c r="B33" s="169"/>
      <c r="C33" s="152"/>
      <c r="D33" s="152"/>
      <c r="E33" s="152"/>
      <c r="F33" s="152"/>
      <c r="G33" s="152"/>
      <c r="H33" s="152"/>
      <c r="I33" s="152"/>
      <c r="J33" s="152"/>
      <c r="K33" s="152"/>
      <c r="L33" s="152"/>
      <c r="M33" s="152"/>
      <c r="N33" s="152"/>
      <c r="O33" s="152"/>
      <c r="P33" s="174"/>
    </row>
    <row r="34" spans="2:16" x14ac:dyDescent="0.25">
      <c r="B34" s="169"/>
      <c r="C34" s="152"/>
      <c r="D34" s="152"/>
      <c r="E34" s="152"/>
      <c r="F34" s="152"/>
      <c r="G34" s="152"/>
      <c r="H34" s="152"/>
      <c r="I34" s="152"/>
      <c r="J34" s="152"/>
      <c r="K34" s="152"/>
      <c r="L34" s="152"/>
      <c r="M34" s="152"/>
      <c r="N34" s="152"/>
      <c r="O34" s="152"/>
      <c r="P34" s="174"/>
    </row>
    <row r="35" spans="2:16" x14ac:dyDescent="0.25">
      <c r="B35" s="169"/>
      <c r="C35" s="152"/>
      <c r="D35" s="152"/>
      <c r="E35" s="152"/>
      <c r="F35" s="152"/>
      <c r="G35" s="152"/>
      <c r="H35" s="152"/>
      <c r="I35" s="152"/>
      <c r="J35" s="152"/>
      <c r="K35" s="152"/>
      <c r="L35" s="152"/>
      <c r="M35" s="152"/>
      <c r="N35" s="152"/>
      <c r="O35" s="152"/>
      <c r="P35" s="174"/>
    </row>
    <row r="36" spans="2:16" x14ac:dyDescent="0.25">
      <c r="B36" s="169"/>
      <c r="C36" s="152"/>
      <c r="D36" s="152"/>
      <c r="E36" s="152"/>
      <c r="F36" s="152"/>
      <c r="G36" s="152"/>
      <c r="H36" s="152"/>
      <c r="I36" s="152"/>
      <c r="J36" s="152"/>
      <c r="K36" s="152"/>
      <c r="L36" s="152"/>
      <c r="M36" s="152"/>
      <c r="N36" s="152"/>
      <c r="O36" s="152"/>
      <c r="P36" s="174"/>
    </row>
    <row r="37" spans="2:16" x14ac:dyDescent="0.25">
      <c r="B37" s="169"/>
      <c r="C37" s="152"/>
      <c r="D37" s="152"/>
      <c r="E37" s="152"/>
      <c r="F37" s="152"/>
      <c r="G37" s="152"/>
      <c r="H37" s="152"/>
      <c r="I37" s="152"/>
      <c r="J37" s="152"/>
      <c r="K37" s="152"/>
      <c r="L37" s="152"/>
      <c r="M37" s="152"/>
      <c r="N37" s="152"/>
      <c r="O37" s="152"/>
      <c r="P37" s="174"/>
    </row>
    <row r="38" spans="2:16" x14ac:dyDescent="0.25">
      <c r="B38" s="169"/>
      <c r="C38" s="152"/>
      <c r="D38" s="152"/>
      <c r="E38" s="152"/>
      <c r="F38" s="152"/>
      <c r="G38" s="152"/>
      <c r="H38" s="152"/>
      <c r="I38" s="152"/>
      <c r="J38" s="152"/>
      <c r="K38" s="152"/>
      <c r="L38" s="152"/>
      <c r="M38" s="152"/>
      <c r="N38" s="152"/>
      <c r="O38" s="152"/>
      <c r="P38" s="174"/>
    </row>
    <row r="39" spans="2:16" x14ac:dyDescent="0.25">
      <c r="B39" s="169"/>
      <c r="C39" s="152"/>
      <c r="D39" s="152"/>
      <c r="E39" s="152"/>
      <c r="F39" s="152"/>
      <c r="G39" s="152"/>
      <c r="H39" s="152"/>
      <c r="I39" s="152"/>
      <c r="J39" s="152"/>
      <c r="K39" s="152"/>
      <c r="L39" s="152"/>
      <c r="M39" s="152"/>
      <c r="N39" s="152"/>
      <c r="O39" s="152"/>
      <c r="P39" s="174"/>
    </row>
    <row r="40" spans="2:16" x14ac:dyDescent="0.25">
      <c r="B40" s="169"/>
      <c r="C40" s="152"/>
      <c r="D40" s="152"/>
      <c r="E40" s="152"/>
      <c r="F40" s="152"/>
      <c r="G40" s="152"/>
      <c r="H40" s="152"/>
      <c r="I40" s="152"/>
      <c r="J40" s="152"/>
      <c r="K40" s="152"/>
      <c r="L40" s="152"/>
      <c r="M40" s="152"/>
      <c r="N40" s="152"/>
      <c r="O40" s="152"/>
      <c r="P40" s="174"/>
    </row>
    <row r="41" spans="2:16" x14ac:dyDescent="0.25">
      <c r="B41" s="169"/>
      <c r="C41" s="152"/>
      <c r="D41" s="152"/>
      <c r="E41" s="152"/>
      <c r="F41" s="152"/>
      <c r="G41" s="152"/>
      <c r="H41" s="152"/>
      <c r="I41" s="152"/>
      <c r="J41" s="152"/>
      <c r="K41" s="152"/>
      <c r="L41" s="152"/>
      <c r="M41" s="152"/>
      <c r="N41" s="152"/>
      <c r="O41" s="152"/>
      <c r="P41" s="174"/>
    </row>
    <row r="42" spans="2:16" x14ac:dyDescent="0.25">
      <c r="B42" s="169"/>
      <c r="C42" s="152"/>
      <c r="D42" s="152"/>
      <c r="E42" s="152"/>
      <c r="F42" s="152"/>
      <c r="G42" s="152"/>
      <c r="H42" s="152"/>
      <c r="I42" s="152"/>
      <c r="J42" s="152"/>
      <c r="K42" s="152"/>
      <c r="L42" s="152"/>
      <c r="M42" s="152"/>
      <c r="N42" s="152"/>
      <c r="O42" s="152"/>
      <c r="P42" s="174"/>
    </row>
    <row r="43" spans="2:16" x14ac:dyDescent="0.25">
      <c r="B43" s="169"/>
      <c r="C43" s="152"/>
      <c r="D43" s="152"/>
      <c r="E43" s="152"/>
      <c r="F43" s="152"/>
      <c r="G43" s="152"/>
      <c r="H43" s="152"/>
      <c r="I43" s="152"/>
      <c r="J43" s="152"/>
      <c r="K43" s="152"/>
      <c r="L43" s="152"/>
      <c r="M43" s="152"/>
      <c r="N43" s="152"/>
      <c r="O43" s="152"/>
      <c r="P43" s="174"/>
    </row>
    <row r="44" spans="2:16" x14ac:dyDescent="0.25">
      <c r="B44" s="169"/>
      <c r="C44" s="152"/>
      <c r="D44" s="152"/>
      <c r="E44" s="152"/>
      <c r="F44" s="152"/>
      <c r="G44" s="152"/>
      <c r="H44" s="152"/>
      <c r="I44" s="152"/>
      <c r="J44" s="152"/>
      <c r="K44" s="152"/>
      <c r="L44" s="152"/>
      <c r="M44" s="152"/>
      <c r="N44" s="152"/>
      <c r="O44" s="152"/>
      <c r="P44" s="174"/>
    </row>
    <row r="45" spans="2:16" x14ac:dyDescent="0.25">
      <c r="B45" s="169"/>
      <c r="C45" s="152"/>
      <c r="D45" s="152"/>
      <c r="E45" s="152"/>
      <c r="F45" s="152"/>
      <c r="G45" s="152"/>
      <c r="H45" s="152"/>
      <c r="I45" s="152"/>
      <c r="J45" s="152"/>
      <c r="K45" s="152"/>
      <c r="L45" s="152"/>
      <c r="M45" s="152"/>
      <c r="N45" s="152"/>
      <c r="O45" s="152"/>
      <c r="P45" s="174"/>
    </row>
    <row r="46" spans="2:16" x14ac:dyDescent="0.25">
      <c r="B46" s="169"/>
      <c r="C46" s="152"/>
      <c r="D46" s="152"/>
      <c r="E46" s="152"/>
      <c r="F46" s="152"/>
      <c r="G46" s="152"/>
      <c r="H46" s="152"/>
      <c r="I46" s="152"/>
      <c r="J46" s="152"/>
      <c r="K46" s="152"/>
      <c r="L46" s="152"/>
      <c r="M46" s="152"/>
      <c r="N46" s="152"/>
      <c r="O46" s="152"/>
      <c r="P46" s="174"/>
    </row>
    <row r="47" spans="2:16" x14ac:dyDescent="0.25">
      <c r="B47" s="169"/>
      <c r="C47" s="152"/>
      <c r="D47" s="152"/>
      <c r="E47" s="152"/>
      <c r="F47" s="152"/>
      <c r="G47" s="152"/>
      <c r="H47" s="152"/>
      <c r="I47" s="152"/>
      <c r="J47" s="152"/>
      <c r="K47" s="152"/>
      <c r="L47" s="152"/>
      <c r="M47" s="152"/>
      <c r="N47" s="152"/>
      <c r="O47" s="152"/>
      <c r="P47" s="174"/>
    </row>
    <row r="48" spans="2:16" x14ac:dyDescent="0.25">
      <c r="B48" s="169"/>
      <c r="C48" s="152"/>
      <c r="D48" s="152"/>
      <c r="E48" s="152"/>
      <c r="F48" s="152"/>
      <c r="G48" s="152"/>
      <c r="H48" s="152"/>
      <c r="I48" s="152"/>
      <c r="J48" s="152"/>
      <c r="K48" s="152"/>
      <c r="L48" s="152"/>
      <c r="M48" s="152"/>
      <c r="N48" s="152"/>
      <c r="O48" s="152"/>
      <c r="P48" s="174"/>
    </row>
    <row r="49" spans="2:16" x14ac:dyDescent="0.25">
      <c r="B49" s="169"/>
      <c r="C49" s="152"/>
      <c r="D49" s="152"/>
      <c r="E49" s="152"/>
      <c r="F49" s="152"/>
      <c r="G49" s="152"/>
      <c r="H49" s="152"/>
      <c r="I49" s="152"/>
      <c r="J49" s="152"/>
      <c r="K49" s="152"/>
      <c r="L49" s="152"/>
      <c r="M49" s="152"/>
      <c r="N49" s="152"/>
      <c r="O49" s="152"/>
      <c r="P49" s="174"/>
    </row>
    <row r="50" spans="2:16" x14ac:dyDescent="0.25">
      <c r="B50" s="169"/>
      <c r="C50" s="152"/>
      <c r="D50" s="152"/>
      <c r="E50" s="152"/>
      <c r="F50" s="152"/>
      <c r="G50" s="152"/>
      <c r="H50" s="152"/>
      <c r="I50" s="152"/>
      <c r="J50" s="152"/>
      <c r="K50" s="152"/>
      <c r="L50" s="152"/>
      <c r="M50" s="152"/>
      <c r="N50" s="152"/>
      <c r="O50" s="152"/>
      <c r="P50" s="174"/>
    </row>
    <row r="51" spans="2:16" x14ac:dyDescent="0.25">
      <c r="B51" s="169"/>
      <c r="C51" s="152"/>
      <c r="D51" s="152"/>
      <c r="E51" s="152"/>
      <c r="F51" s="152"/>
      <c r="G51" s="152"/>
      <c r="H51" s="152"/>
      <c r="I51" s="152"/>
      <c r="J51" s="152"/>
      <c r="K51" s="152"/>
      <c r="L51" s="152"/>
      <c r="M51" s="152"/>
      <c r="N51" s="152"/>
      <c r="O51" s="152"/>
      <c r="P51" s="174"/>
    </row>
    <row r="52" spans="2:16" x14ac:dyDescent="0.25">
      <c r="B52" s="169"/>
      <c r="C52" s="152"/>
      <c r="D52" s="152"/>
      <c r="E52" s="152"/>
      <c r="F52" s="152"/>
      <c r="G52" s="152"/>
      <c r="H52" s="152"/>
      <c r="I52" s="152"/>
      <c r="J52" s="152"/>
      <c r="K52" s="152"/>
      <c r="L52" s="152"/>
      <c r="M52" s="152"/>
      <c r="N52" s="152"/>
      <c r="O52" s="152"/>
      <c r="P52" s="174"/>
    </row>
    <row r="53" spans="2:16" x14ac:dyDescent="0.25">
      <c r="B53" s="169"/>
      <c r="C53" s="152"/>
      <c r="D53" s="152"/>
      <c r="E53" s="152"/>
      <c r="F53" s="152"/>
      <c r="G53" s="152"/>
      <c r="H53" s="152"/>
      <c r="I53" s="152"/>
      <c r="J53" s="152"/>
      <c r="K53" s="152"/>
      <c r="L53" s="152"/>
      <c r="M53" s="152"/>
      <c r="N53" s="152"/>
      <c r="O53" s="152"/>
      <c r="P53" s="174"/>
    </row>
    <row r="54" spans="2:16" x14ac:dyDescent="0.25">
      <c r="B54" s="169"/>
      <c r="C54" s="152"/>
      <c r="D54" s="152"/>
      <c r="E54" s="152"/>
      <c r="F54" s="152"/>
      <c r="G54" s="152"/>
      <c r="H54" s="152"/>
      <c r="I54" s="152"/>
      <c r="J54" s="152"/>
      <c r="K54" s="152"/>
      <c r="L54" s="152"/>
      <c r="M54" s="152"/>
      <c r="N54" s="152"/>
      <c r="O54" s="152"/>
      <c r="P54" s="174"/>
    </row>
    <row r="55" spans="2:16" x14ac:dyDescent="0.25">
      <c r="B55" s="169"/>
      <c r="C55" s="152"/>
      <c r="D55" s="152"/>
      <c r="E55" s="152"/>
      <c r="F55" s="152"/>
      <c r="G55" s="152"/>
      <c r="H55" s="152"/>
      <c r="I55" s="152"/>
      <c r="J55" s="152"/>
      <c r="K55" s="152"/>
      <c r="L55" s="152"/>
      <c r="M55" s="152"/>
      <c r="N55" s="152"/>
      <c r="O55" s="152"/>
      <c r="P55" s="174"/>
    </row>
    <row r="56" spans="2:16" x14ac:dyDescent="0.25">
      <c r="B56" s="169"/>
      <c r="C56" s="152"/>
      <c r="D56" s="152"/>
      <c r="E56" s="152"/>
      <c r="F56" s="152"/>
      <c r="G56" s="152"/>
      <c r="H56" s="152"/>
      <c r="I56" s="152"/>
      <c r="J56" s="152"/>
      <c r="K56" s="152"/>
      <c r="L56" s="152"/>
      <c r="M56" s="152"/>
      <c r="N56" s="152"/>
      <c r="O56" s="152"/>
      <c r="P56" s="174"/>
    </row>
    <row r="57" spans="2:16" x14ac:dyDescent="0.25">
      <c r="B57" s="169"/>
      <c r="C57" s="152"/>
      <c r="D57" s="152"/>
      <c r="E57" s="152"/>
      <c r="F57" s="152"/>
      <c r="G57" s="152"/>
      <c r="H57" s="152"/>
      <c r="I57" s="152"/>
      <c r="J57" s="152"/>
      <c r="K57" s="152"/>
      <c r="L57" s="152"/>
      <c r="M57" s="152"/>
      <c r="N57" s="152"/>
      <c r="O57" s="152"/>
      <c r="P57" s="174"/>
    </row>
    <row r="58" spans="2:16" x14ac:dyDescent="0.25">
      <c r="B58" s="169"/>
      <c r="C58" s="152"/>
      <c r="D58" s="152"/>
      <c r="E58" s="152"/>
      <c r="F58" s="152"/>
      <c r="G58" s="152"/>
      <c r="H58" s="152"/>
      <c r="I58" s="152"/>
      <c r="J58" s="152"/>
      <c r="K58" s="152"/>
      <c r="L58" s="152"/>
      <c r="M58" s="152"/>
      <c r="N58" s="152"/>
      <c r="O58" s="152"/>
      <c r="P58" s="174"/>
    </row>
    <row r="59" spans="2:16" x14ac:dyDescent="0.25">
      <c r="B59" s="169"/>
      <c r="C59" s="152"/>
      <c r="D59" s="152"/>
      <c r="E59" s="152"/>
      <c r="F59" s="152"/>
      <c r="G59" s="152"/>
      <c r="H59" s="152"/>
      <c r="I59" s="152"/>
      <c r="J59" s="152"/>
      <c r="K59" s="152"/>
      <c r="L59" s="152"/>
      <c r="M59" s="152"/>
      <c r="N59" s="152"/>
      <c r="O59" s="152"/>
      <c r="P59" s="174"/>
    </row>
    <row r="60" spans="2:16" x14ac:dyDescent="0.25">
      <c r="B60" s="169"/>
      <c r="C60" s="152"/>
      <c r="D60" s="152"/>
      <c r="E60" s="152"/>
      <c r="F60" s="152"/>
      <c r="G60" s="152"/>
      <c r="H60" s="152"/>
      <c r="I60" s="152"/>
      <c r="J60" s="152"/>
      <c r="K60" s="152"/>
      <c r="L60" s="152"/>
      <c r="M60" s="152"/>
      <c r="N60" s="152"/>
      <c r="O60" s="152"/>
      <c r="P60" s="174"/>
    </row>
    <row r="61" spans="2:16" x14ac:dyDescent="0.25">
      <c r="B61" s="169"/>
      <c r="C61" s="152"/>
      <c r="D61" s="152"/>
      <c r="E61" s="152"/>
      <c r="F61" s="152"/>
      <c r="G61" s="152"/>
      <c r="H61" s="152"/>
      <c r="I61" s="152"/>
      <c r="J61" s="152"/>
      <c r="K61" s="152"/>
      <c r="L61" s="152"/>
      <c r="M61" s="152"/>
      <c r="N61" s="152"/>
      <c r="O61" s="152"/>
      <c r="P61" s="174"/>
    </row>
    <row r="62" spans="2:16" x14ac:dyDescent="0.25">
      <c r="B62" s="169"/>
      <c r="C62" s="152"/>
      <c r="D62" s="152"/>
      <c r="E62" s="152"/>
      <c r="F62" s="152"/>
      <c r="G62" s="152"/>
      <c r="H62" s="152"/>
      <c r="I62" s="152"/>
      <c r="J62" s="152"/>
      <c r="K62" s="152"/>
      <c r="L62" s="152"/>
      <c r="M62" s="152"/>
      <c r="N62" s="152"/>
      <c r="O62" s="152"/>
      <c r="P62" s="174"/>
    </row>
    <row r="63" spans="2:16" x14ac:dyDescent="0.25">
      <c r="B63" s="169"/>
      <c r="C63" s="152"/>
      <c r="D63" s="152"/>
      <c r="E63" s="152"/>
      <c r="F63" s="152"/>
      <c r="G63" s="152"/>
      <c r="H63" s="152"/>
      <c r="I63" s="152"/>
      <c r="J63" s="152"/>
      <c r="K63" s="152"/>
      <c r="L63" s="152"/>
      <c r="M63" s="152"/>
      <c r="N63" s="152"/>
      <c r="O63" s="152"/>
      <c r="P63" s="174"/>
    </row>
    <row r="64" spans="2:16" x14ac:dyDescent="0.25">
      <c r="B64" s="169"/>
      <c r="C64" s="152"/>
      <c r="D64" s="152"/>
      <c r="E64" s="152"/>
      <c r="F64" s="152"/>
      <c r="G64" s="152"/>
      <c r="H64" s="152"/>
      <c r="I64" s="152"/>
      <c r="J64" s="152"/>
      <c r="K64" s="152"/>
      <c r="L64" s="152"/>
      <c r="M64" s="152"/>
      <c r="N64" s="152"/>
      <c r="O64" s="152"/>
      <c r="P64" s="174"/>
    </row>
    <row r="65" spans="2:16" x14ac:dyDescent="0.25">
      <c r="B65" s="169"/>
      <c r="C65" s="152"/>
      <c r="D65" s="152"/>
      <c r="E65" s="152"/>
      <c r="F65" s="152"/>
      <c r="G65" s="152"/>
      <c r="H65" s="152"/>
      <c r="I65" s="152"/>
      <c r="J65" s="152"/>
      <c r="K65" s="152"/>
      <c r="L65" s="152"/>
      <c r="M65" s="152"/>
      <c r="N65" s="152"/>
      <c r="O65" s="152"/>
      <c r="P65" s="174"/>
    </row>
    <row r="66" spans="2:16" x14ac:dyDescent="0.25">
      <c r="B66" s="169"/>
      <c r="C66" s="152"/>
      <c r="D66" s="152"/>
      <c r="E66" s="152"/>
      <c r="F66" s="152"/>
      <c r="G66" s="152"/>
      <c r="H66" s="152"/>
      <c r="I66" s="152"/>
      <c r="J66" s="152"/>
      <c r="K66" s="152"/>
      <c r="L66" s="152"/>
      <c r="M66" s="152"/>
      <c r="N66" s="152"/>
      <c r="O66" s="152"/>
      <c r="P66" s="174"/>
    </row>
    <row r="67" spans="2:16" x14ac:dyDescent="0.25">
      <c r="B67" s="169"/>
      <c r="C67" s="152"/>
      <c r="D67" s="152"/>
      <c r="E67" s="152"/>
      <c r="F67" s="152"/>
      <c r="G67" s="152"/>
      <c r="H67" s="152"/>
      <c r="I67" s="152"/>
      <c r="J67" s="152"/>
      <c r="K67" s="152"/>
      <c r="L67" s="152"/>
      <c r="M67" s="152"/>
      <c r="N67" s="152"/>
      <c r="O67" s="152"/>
      <c r="P67" s="174"/>
    </row>
    <row r="68" spans="2:16" x14ac:dyDescent="0.25">
      <c r="B68" s="169"/>
      <c r="C68" s="152"/>
      <c r="D68" s="152"/>
      <c r="E68" s="152"/>
      <c r="F68" s="152"/>
      <c r="G68" s="152"/>
      <c r="H68" s="152"/>
      <c r="I68" s="152"/>
      <c r="J68" s="152"/>
      <c r="K68" s="152"/>
      <c r="L68" s="152"/>
      <c r="M68" s="152"/>
      <c r="N68" s="152"/>
      <c r="O68" s="152"/>
      <c r="P68" s="174"/>
    </row>
    <row r="69" spans="2:16" x14ac:dyDescent="0.25">
      <c r="B69" s="169"/>
      <c r="C69" s="152"/>
      <c r="D69" s="152"/>
      <c r="E69" s="152"/>
      <c r="F69" s="152"/>
      <c r="G69" s="152"/>
      <c r="H69" s="152"/>
      <c r="I69" s="152"/>
      <c r="J69" s="152"/>
      <c r="K69" s="152"/>
      <c r="L69" s="152"/>
      <c r="M69" s="152"/>
      <c r="N69" s="152"/>
      <c r="O69" s="152"/>
      <c r="P69" s="174"/>
    </row>
    <row r="70" spans="2:16" x14ac:dyDescent="0.25">
      <c r="B70" s="169"/>
      <c r="C70" s="152"/>
      <c r="D70" s="152"/>
      <c r="E70" s="152"/>
      <c r="F70" s="152"/>
      <c r="G70" s="152"/>
      <c r="H70" s="152"/>
      <c r="I70" s="152"/>
      <c r="J70" s="152"/>
      <c r="K70" s="152"/>
      <c r="L70" s="152"/>
      <c r="M70" s="152"/>
      <c r="N70" s="152"/>
      <c r="O70" s="152"/>
      <c r="P70" s="174"/>
    </row>
    <row r="71" spans="2:16" x14ac:dyDescent="0.25">
      <c r="B71" s="169"/>
      <c r="C71" s="152"/>
      <c r="D71" s="152"/>
      <c r="E71" s="152"/>
      <c r="F71" s="152"/>
      <c r="G71" s="152"/>
      <c r="H71" s="152"/>
      <c r="I71" s="152"/>
      <c r="J71" s="152"/>
      <c r="K71" s="152"/>
      <c r="L71" s="152"/>
      <c r="M71" s="152"/>
      <c r="N71" s="152"/>
      <c r="O71" s="152"/>
      <c r="P71" s="174"/>
    </row>
    <row r="72" spans="2:16" x14ac:dyDescent="0.25">
      <c r="B72" s="169"/>
      <c r="C72" s="152"/>
      <c r="D72" s="152"/>
      <c r="E72" s="152"/>
      <c r="F72" s="152"/>
      <c r="G72" s="152"/>
      <c r="H72" s="152"/>
      <c r="I72" s="152"/>
      <c r="J72" s="152"/>
      <c r="K72" s="152"/>
      <c r="L72" s="152"/>
      <c r="M72" s="152"/>
      <c r="N72" s="152"/>
      <c r="O72" s="152"/>
      <c r="P72" s="174"/>
    </row>
    <row r="73" spans="2:16" x14ac:dyDescent="0.25">
      <c r="B73" s="169"/>
      <c r="C73" s="152"/>
      <c r="D73" s="152"/>
      <c r="E73" s="152"/>
      <c r="F73" s="152"/>
      <c r="G73" s="152"/>
      <c r="H73" s="152"/>
      <c r="I73" s="152"/>
      <c r="J73" s="152"/>
      <c r="K73" s="152"/>
      <c r="L73" s="152"/>
      <c r="M73" s="152"/>
      <c r="N73" s="152"/>
      <c r="O73" s="152"/>
      <c r="P73" s="174"/>
    </row>
    <row r="74" spans="2:16" x14ac:dyDescent="0.25">
      <c r="B74" s="169"/>
      <c r="C74" s="152"/>
      <c r="D74" s="152"/>
      <c r="E74" s="152"/>
      <c r="F74" s="152"/>
      <c r="G74" s="152"/>
      <c r="H74" s="152"/>
      <c r="I74" s="152"/>
      <c r="J74" s="152"/>
      <c r="K74" s="152"/>
      <c r="L74" s="152"/>
      <c r="M74" s="152"/>
      <c r="N74" s="152"/>
      <c r="O74" s="152"/>
      <c r="P74" s="174"/>
    </row>
    <row r="75" spans="2:16" x14ac:dyDescent="0.25">
      <c r="B75" s="169"/>
      <c r="C75" s="152"/>
      <c r="D75" s="152"/>
      <c r="E75" s="152"/>
      <c r="F75" s="152"/>
      <c r="G75" s="152"/>
      <c r="H75" s="152"/>
      <c r="I75" s="152"/>
      <c r="J75" s="152"/>
      <c r="K75" s="152"/>
      <c r="L75" s="152"/>
      <c r="M75" s="152"/>
      <c r="N75" s="152"/>
      <c r="O75" s="152"/>
      <c r="P75" s="174"/>
    </row>
    <row r="76" spans="2:16" x14ac:dyDescent="0.25">
      <c r="B76" s="169"/>
      <c r="C76" s="152"/>
      <c r="D76" s="152"/>
      <c r="E76" s="152"/>
      <c r="F76" s="152"/>
      <c r="G76" s="152"/>
      <c r="H76" s="152"/>
      <c r="I76" s="152"/>
      <c r="J76" s="152"/>
      <c r="K76" s="152"/>
      <c r="L76" s="152"/>
      <c r="M76" s="152"/>
      <c r="N76" s="152"/>
      <c r="O76" s="152"/>
      <c r="P76" s="174"/>
    </row>
    <row r="77" spans="2:16" x14ac:dyDescent="0.25">
      <c r="B77" s="169"/>
      <c r="C77" s="152"/>
      <c r="D77" s="152"/>
      <c r="E77" s="152"/>
      <c r="F77" s="152"/>
      <c r="G77" s="152"/>
      <c r="H77" s="152"/>
      <c r="I77" s="152"/>
      <c r="J77" s="152"/>
      <c r="K77" s="152"/>
      <c r="L77" s="152"/>
      <c r="M77" s="152"/>
      <c r="N77" s="152"/>
      <c r="O77" s="152"/>
      <c r="P77" s="174"/>
    </row>
    <row r="78" spans="2:16" x14ac:dyDescent="0.25">
      <c r="B78" s="169"/>
      <c r="C78" s="152"/>
      <c r="D78" s="152"/>
      <c r="E78" s="152"/>
      <c r="F78" s="152"/>
      <c r="G78" s="152"/>
      <c r="H78" s="152"/>
      <c r="I78" s="152"/>
      <c r="J78" s="152"/>
      <c r="K78" s="152"/>
      <c r="L78" s="152"/>
      <c r="M78" s="152"/>
      <c r="N78" s="152"/>
      <c r="O78" s="152"/>
      <c r="P78" s="174"/>
    </row>
    <row r="79" spans="2:16" x14ac:dyDescent="0.25">
      <c r="B79" s="169"/>
      <c r="C79" s="152"/>
      <c r="D79" s="152"/>
      <c r="E79" s="152"/>
      <c r="F79" s="152"/>
      <c r="G79" s="152"/>
      <c r="H79" s="152"/>
      <c r="I79" s="152"/>
      <c r="J79" s="152"/>
      <c r="K79" s="152"/>
      <c r="L79" s="152"/>
      <c r="M79" s="152"/>
      <c r="N79" s="152"/>
      <c r="O79" s="152"/>
      <c r="P79" s="174"/>
    </row>
    <row r="80" spans="2:16" x14ac:dyDescent="0.25">
      <c r="B80" s="169"/>
      <c r="C80" s="152"/>
      <c r="D80" s="152"/>
      <c r="E80" s="152"/>
      <c r="F80" s="152"/>
      <c r="G80" s="152"/>
      <c r="H80" s="152"/>
      <c r="I80" s="152"/>
      <c r="J80" s="152"/>
      <c r="K80" s="152"/>
      <c r="L80" s="152"/>
      <c r="M80" s="152"/>
      <c r="N80" s="152"/>
      <c r="O80" s="152"/>
      <c r="P80" s="174"/>
    </row>
    <row r="81" spans="2:16" x14ac:dyDescent="0.25">
      <c r="B81" s="169"/>
      <c r="C81" s="152"/>
      <c r="D81" s="152"/>
      <c r="E81" s="152"/>
      <c r="F81" s="152"/>
      <c r="G81" s="152"/>
      <c r="H81" s="152"/>
      <c r="I81" s="152"/>
      <c r="J81" s="152"/>
      <c r="K81" s="152"/>
      <c r="L81" s="152"/>
      <c r="M81" s="152"/>
      <c r="N81" s="152"/>
      <c r="O81" s="152"/>
      <c r="P81" s="174"/>
    </row>
    <row r="82" spans="2:16" x14ac:dyDescent="0.25">
      <c r="B82" s="169"/>
      <c r="C82" s="152"/>
      <c r="D82" s="152"/>
      <c r="E82" s="152"/>
      <c r="F82" s="152"/>
      <c r="G82" s="152"/>
      <c r="H82" s="152"/>
      <c r="I82" s="152"/>
      <c r="J82" s="152"/>
      <c r="K82" s="152"/>
      <c r="L82" s="152"/>
      <c r="M82" s="152"/>
      <c r="N82" s="152"/>
      <c r="O82" s="152"/>
      <c r="P82" s="174"/>
    </row>
    <row r="83" spans="2:16" x14ac:dyDescent="0.25">
      <c r="B83" s="169"/>
      <c r="C83" s="152"/>
      <c r="D83" s="152"/>
      <c r="E83" s="152"/>
      <c r="F83" s="152"/>
      <c r="G83" s="152"/>
      <c r="H83" s="152"/>
      <c r="I83" s="152"/>
      <c r="J83" s="152"/>
      <c r="K83" s="152"/>
      <c r="L83" s="152"/>
      <c r="M83" s="152"/>
      <c r="N83" s="152"/>
      <c r="O83" s="152"/>
      <c r="P83" s="174"/>
    </row>
    <row r="84" spans="2:16" x14ac:dyDescent="0.25">
      <c r="B84" s="169"/>
      <c r="C84" s="152"/>
      <c r="D84" s="152"/>
      <c r="E84" s="152"/>
      <c r="F84" s="152"/>
      <c r="G84" s="152"/>
      <c r="H84" s="152"/>
      <c r="I84" s="152"/>
      <c r="J84" s="152"/>
      <c r="K84" s="152"/>
      <c r="L84" s="152"/>
      <c r="M84" s="152"/>
      <c r="N84" s="152"/>
      <c r="O84" s="152"/>
      <c r="P84" s="174"/>
    </row>
    <row r="85" spans="2:16" x14ac:dyDescent="0.25">
      <c r="B85" s="169"/>
      <c r="C85" s="152"/>
      <c r="D85" s="152"/>
      <c r="E85" s="152"/>
      <c r="F85" s="152"/>
      <c r="G85" s="152"/>
      <c r="H85" s="152"/>
      <c r="I85" s="152"/>
      <c r="J85" s="152"/>
      <c r="K85" s="152"/>
      <c r="L85" s="152"/>
      <c r="M85" s="152"/>
      <c r="N85" s="152"/>
      <c r="O85" s="152"/>
      <c r="P85" s="174"/>
    </row>
    <row r="86" spans="2:16" x14ac:dyDescent="0.25">
      <c r="B86" s="169"/>
      <c r="C86" s="152"/>
      <c r="D86" s="152"/>
      <c r="E86" s="152"/>
      <c r="F86" s="152"/>
      <c r="G86" s="152"/>
      <c r="H86" s="152"/>
      <c r="I86" s="152"/>
      <c r="J86" s="152"/>
      <c r="K86" s="152"/>
      <c r="L86" s="152"/>
      <c r="M86" s="152"/>
      <c r="N86" s="152"/>
      <c r="O86" s="152"/>
      <c r="P86" s="174"/>
    </row>
    <row r="87" spans="2:16" x14ac:dyDescent="0.25">
      <c r="B87" s="169"/>
      <c r="C87" s="152"/>
      <c r="D87" s="152"/>
      <c r="E87" s="152"/>
      <c r="F87" s="152"/>
      <c r="G87" s="152"/>
      <c r="H87" s="152"/>
      <c r="I87" s="152"/>
      <c r="J87" s="152"/>
      <c r="K87" s="152"/>
      <c r="L87" s="152"/>
      <c r="M87" s="152"/>
      <c r="N87" s="152"/>
      <c r="O87" s="152"/>
      <c r="P87" s="174"/>
    </row>
    <row r="88" spans="2:16" x14ac:dyDescent="0.25">
      <c r="B88" s="169"/>
      <c r="C88" s="152"/>
      <c r="D88" s="152"/>
      <c r="E88" s="152"/>
      <c r="F88" s="152"/>
      <c r="G88" s="152"/>
      <c r="H88" s="152"/>
      <c r="I88" s="152"/>
      <c r="J88" s="152"/>
      <c r="K88" s="152"/>
      <c r="L88" s="152"/>
      <c r="M88" s="152"/>
      <c r="N88" s="152"/>
      <c r="O88" s="152"/>
      <c r="P88" s="174"/>
    </row>
    <row r="89" spans="2:16" ht="13" thickBot="1" x14ac:dyDescent="0.3">
      <c r="B89" s="169"/>
      <c r="C89" s="152"/>
      <c r="D89" s="152"/>
      <c r="E89" s="152"/>
      <c r="F89" s="152"/>
      <c r="G89" s="152"/>
      <c r="H89" s="152"/>
      <c r="I89" s="152"/>
      <c r="J89" s="152"/>
      <c r="K89" s="152"/>
      <c r="L89" s="152"/>
      <c r="M89" s="152"/>
      <c r="N89" s="152"/>
      <c r="O89" s="152"/>
      <c r="P89" s="174"/>
    </row>
    <row r="90" spans="2:16" x14ac:dyDescent="0.25">
      <c r="B90" s="413"/>
      <c r="C90" s="413"/>
      <c r="D90" s="413"/>
      <c r="E90" s="413"/>
      <c r="F90" s="413"/>
      <c r="G90" s="413"/>
      <c r="H90" s="413"/>
      <c r="I90" s="413"/>
      <c r="J90" s="413"/>
      <c r="K90" s="413"/>
      <c r="L90" s="413"/>
      <c r="M90" s="413"/>
      <c r="N90" s="413"/>
      <c r="O90" s="413"/>
      <c r="P90" s="413"/>
    </row>
    <row r="91" spans="2:16" x14ac:dyDescent="0.25">
      <c r="B91" s="412"/>
      <c r="C91" s="412"/>
      <c r="D91" s="412"/>
      <c r="E91" s="412"/>
      <c r="F91" s="412"/>
      <c r="G91" s="412"/>
      <c r="H91" s="412"/>
      <c r="I91" s="412"/>
      <c r="J91" s="412"/>
      <c r="K91" s="412"/>
      <c r="L91" s="412"/>
      <c r="M91" s="412"/>
      <c r="N91" s="412"/>
      <c r="O91" s="412"/>
      <c r="P91" s="412"/>
    </row>
    <row r="92" spans="2:16" x14ac:dyDescent="0.25">
      <c r="B92" s="412"/>
      <c r="C92" s="412"/>
      <c r="D92" s="412"/>
      <c r="E92" s="412"/>
      <c r="F92" s="412"/>
      <c r="G92" s="412"/>
      <c r="H92" s="412"/>
      <c r="I92" s="412"/>
      <c r="J92" s="412"/>
      <c r="K92" s="412"/>
      <c r="L92" s="412"/>
      <c r="M92" s="412"/>
      <c r="N92" s="412"/>
      <c r="O92" s="412"/>
      <c r="P92" s="412"/>
    </row>
    <row r="93" spans="2:16" x14ac:dyDescent="0.25">
      <c r="B93" s="412"/>
      <c r="C93" s="412"/>
      <c r="D93" s="412"/>
      <c r="E93" s="412"/>
      <c r="F93" s="412"/>
      <c r="G93" s="412"/>
      <c r="H93" s="412"/>
      <c r="I93" s="412"/>
      <c r="J93" s="412"/>
      <c r="K93" s="412"/>
      <c r="L93" s="412"/>
      <c r="M93" s="412"/>
      <c r="N93" s="412"/>
      <c r="O93" s="412"/>
      <c r="P93" s="412"/>
    </row>
    <row r="94" spans="2:16" x14ac:dyDescent="0.25">
      <c r="B94" s="412"/>
      <c r="C94" s="412"/>
      <c r="D94" s="412"/>
      <c r="E94" s="412"/>
      <c r="F94" s="412"/>
      <c r="G94" s="412"/>
      <c r="H94" s="412"/>
      <c r="I94" s="412"/>
      <c r="J94" s="412"/>
      <c r="K94" s="412"/>
      <c r="L94" s="412"/>
      <c r="M94" s="412"/>
      <c r="N94" s="412"/>
      <c r="O94" s="412"/>
      <c r="P94" s="412"/>
    </row>
    <row r="95" spans="2:16" x14ac:dyDescent="0.25">
      <c r="B95" s="412"/>
      <c r="C95" s="412"/>
      <c r="D95" s="412"/>
      <c r="E95" s="412"/>
      <c r="F95" s="412"/>
      <c r="G95" s="412"/>
      <c r="H95" s="412"/>
      <c r="I95" s="412"/>
      <c r="J95" s="412"/>
      <c r="K95" s="412"/>
      <c r="L95" s="412"/>
      <c r="M95" s="412"/>
      <c r="N95" s="412"/>
      <c r="O95" s="412"/>
      <c r="P95" s="412"/>
    </row>
    <row r="96" spans="2:16" x14ac:dyDescent="0.25">
      <c r="B96" s="412"/>
      <c r="C96" s="412"/>
      <c r="D96" s="412"/>
      <c r="E96" s="412"/>
      <c r="F96" s="412"/>
      <c r="G96" s="412"/>
      <c r="H96" s="412"/>
      <c r="I96" s="412"/>
      <c r="J96" s="412"/>
      <c r="K96" s="412"/>
      <c r="L96" s="412"/>
      <c r="M96" s="412"/>
      <c r="N96" s="412"/>
      <c r="O96" s="412"/>
      <c r="P96" s="412"/>
    </row>
    <row r="97" spans="2:16" x14ac:dyDescent="0.25">
      <c r="B97" s="164"/>
      <c r="C97" s="164"/>
      <c r="D97" s="164"/>
      <c r="E97" s="164"/>
      <c r="F97" s="164"/>
      <c r="G97" s="164"/>
      <c r="H97" s="164"/>
      <c r="I97" s="164"/>
      <c r="J97" s="164"/>
      <c r="K97" s="164"/>
      <c r="L97" s="164"/>
      <c r="M97" s="164"/>
      <c r="N97" s="164"/>
      <c r="O97" s="164"/>
      <c r="P97" s="164"/>
    </row>
    <row r="98" spans="2:16" x14ac:dyDescent="0.25">
      <c r="B98" s="164"/>
      <c r="C98" s="164"/>
      <c r="D98" s="164"/>
      <c r="E98" s="164"/>
      <c r="F98" s="164"/>
      <c r="G98" s="164"/>
      <c r="H98" s="164"/>
      <c r="I98" s="164"/>
      <c r="J98" s="164"/>
      <c r="K98" s="164"/>
      <c r="L98" s="164"/>
      <c r="M98" s="164"/>
      <c r="N98" s="164"/>
      <c r="O98" s="164"/>
      <c r="P98" s="164"/>
    </row>
    <row r="99" spans="2:16" x14ac:dyDescent="0.25">
      <c r="B99" s="164"/>
      <c r="C99" s="164"/>
      <c r="D99" s="164"/>
      <c r="E99" s="164"/>
      <c r="F99" s="164"/>
      <c r="G99" s="164"/>
      <c r="H99" s="164"/>
      <c r="I99" s="164"/>
      <c r="J99" s="164"/>
      <c r="K99" s="164"/>
      <c r="L99" s="164"/>
      <c r="M99" s="164"/>
      <c r="N99" s="164"/>
      <c r="O99" s="164"/>
      <c r="P99" s="164"/>
    </row>
    <row r="100" spans="2:16" x14ac:dyDescent="0.25">
      <c r="B100" s="164"/>
      <c r="C100" s="164"/>
      <c r="D100" s="164"/>
      <c r="E100" s="164"/>
      <c r="F100" s="164"/>
      <c r="G100" s="164"/>
      <c r="H100" s="164"/>
      <c r="I100" s="164"/>
      <c r="J100" s="164"/>
      <c r="K100" s="164"/>
      <c r="L100" s="164"/>
      <c r="M100" s="164"/>
      <c r="N100" s="164"/>
      <c r="O100" s="164"/>
      <c r="P100" s="164"/>
    </row>
    <row r="101" spans="2:16" x14ac:dyDescent="0.25">
      <c r="B101" s="164"/>
      <c r="C101" s="164"/>
      <c r="D101" s="164"/>
      <c r="E101" s="164"/>
      <c r="F101" s="164"/>
      <c r="G101" s="164"/>
      <c r="H101" s="164"/>
      <c r="I101" s="164"/>
      <c r="J101" s="164"/>
      <c r="K101" s="164"/>
      <c r="L101" s="164"/>
      <c r="M101" s="164"/>
      <c r="N101" s="164"/>
      <c r="O101" s="164"/>
      <c r="P101" s="164"/>
    </row>
  </sheetData>
  <sheetProtection password="CDE6" sheet="1"/>
  <phoneticPr fontId="14"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T245"/>
  <sheetViews>
    <sheetView showGridLines="0" showRowColHeaders="0" zoomScaleNormal="100" zoomScaleSheetLayoutView="75" workbookViewId="0">
      <selection activeCell="N18" sqref="N18"/>
    </sheetView>
  </sheetViews>
  <sheetFormatPr defaultRowHeight="12.5" x14ac:dyDescent="0.25"/>
  <cols>
    <col min="1" max="1" width="3.7265625" customWidth="1"/>
    <col min="2" max="2" width="3" hidden="1" customWidth="1"/>
    <col min="3" max="3" width="4.7265625" hidden="1" customWidth="1"/>
    <col min="4" max="4" width="7" hidden="1" customWidth="1"/>
    <col min="5" max="5" width="22.54296875" customWidth="1"/>
    <col min="6" max="6" width="13.1796875" customWidth="1"/>
    <col min="7" max="7" width="10" customWidth="1"/>
    <col min="8" max="8" width="10.26953125" customWidth="1"/>
    <col min="9" max="9" width="9.26953125" customWidth="1"/>
    <col min="10" max="10" width="10.453125" customWidth="1"/>
    <col min="11" max="11" width="14" customWidth="1"/>
    <col min="12" max="12" width="14.7265625" customWidth="1"/>
    <col min="13" max="13" width="9.81640625" customWidth="1"/>
    <col min="14" max="14" width="10.26953125" customWidth="1"/>
    <col min="15" max="15" width="10.81640625" customWidth="1"/>
    <col min="16" max="16" width="12.26953125" customWidth="1"/>
    <col min="17" max="17" width="12.81640625" customWidth="1"/>
    <col min="18" max="18" width="12.453125" customWidth="1"/>
    <col min="19" max="19" width="11.26953125" customWidth="1"/>
  </cols>
  <sheetData>
    <row r="1" spans="5:14" ht="18" x14ac:dyDescent="0.4">
      <c r="E1" s="105" t="s">
        <v>82</v>
      </c>
      <c r="F1" s="29"/>
      <c r="G1" s="29"/>
      <c r="H1" s="29"/>
      <c r="I1" s="29"/>
      <c r="J1" s="29"/>
      <c r="K1" s="29"/>
      <c r="L1" s="29"/>
      <c r="M1" s="29"/>
      <c r="N1" s="29"/>
    </row>
    <row r="2" spans="5:14" s="41" customFormat="1" ht="17.5" x14ac:dyDescent="0.35">
      <c r="E2" s="43"/>
      <c r="F2" s="43"/>
      <c r="G2" s="43"/>
      <c r="H2" s="43"/>
      <c r="I2" s="44"/>
      <c r="J2" s="43"/>
      <c r="K2" s="42"/>
      <c r="L2" s="42"/>
      <c r="M2" s="42"/>
      <c r="N2" s="42"/>
    </row>
    <row r="3" spans="5:14" ht="16.5" customHeight="1" x14ac:dyDescent="0.4">
      <c r="E3" s="29"/>
      <c r="F3" s="29"/>
      <c r="G3" s="29"/>
      <c r="H3" s="29"/>
      <c r="I3" s="29"/>
      <c r="J3" s="29"/>
      <c r="K3" s="29"/>
      <c r="L3" s="29"/>
      <c r="M3" s="29"/>
      <c r="N3" s="29"/>
    </row>
    <row r="4" spans="5:14" ht="13" x14ac:dyDescent="0.3">
      <c r="E4" s="50" t="s">
        <v>491</v>
      </c>
      <c r="F4" s="51"/>
      <c r="G4" s="51"/>
      <c r="H4" s="51"/>
      <c r="I4" s="51"/>
      <c r="J4" s="51"/>
      <c r="K4" s="52"/>
      <c r="L4" s="279">
        <f>+Q123</f>
        <v>25828.125670437501</v>
      </c>
    </row>
    <row r="5" spans="5:14" ht="13" x14ac:dyDescent="0.3">
      <c r="E5" s="53" t="s">
        <v>492</v>
      </c>
      <c r="F5" s="54"/>
      <c r="G5" s="54"/>
      <c r="H5" s="54"/>
      <c r="I5" s="54"/>
      <c r="J5" s="54"/>
      <c r="K5" s="55"/>
      <c r="L5" s="280">
        <f>+S181</f>
        <v>25828.125670437501</v>
      </c>
    </row>
    <row r="6" spans="5:14" ht="13" x14ac:dyDescent="0.3">
      <c r="E6" s="53" t="s">
        <v>493</v>
      </c>
      <c r="F6" s="54"/>
      <c r="G6" s="54"/>
      <c r="H6" s="54"/>
      <c r="I6" s="54"/>
      <c r="J6" s="54"/>
      <c r="K6" s="55"/>
      <c r="L6" s="280">
        <f>+R239</f>
        <v>0</v>
      </c>
    </row>
    <row r="7" spans="5:14" ht="13" x14ac:dyDescent="0.3">
      <c r="E7" s="56" t="s">
        <v>494</v>
      </c>
      <c r="F7" s="41"/>
      <c r="G7" s="41"/>
      <c r="H7" s="41"/>
      <c r="I7" s="41"/>
      <c r="J7" s="41"/>
      <c r="K7" s="41"/>
    </row>
    <row r="8" spans="5:14" x14ac:dyDescent="0.25">
      <c r="M8" s="47"/>
    </row>
    <row r="10" spans="5:14" ht="13.5" thickBot="1" x14ac:dyDescent="0.35">
      <c r="E10" s="57" t="s">
        <v>495</v>
      </c>
      <c r="F10" s="20"/>
      <c r="G10" s="20"/>
      <c r="H10" s="20"/>
      <c r="I10" s="20"/>
      <c r="J10" s="20"/>
      <c r="L10" s="654"/>
    </row>
    <row r="11" spans="5:14" ht="36" x14ac:dyDescent="0.25">
      <c r="E11" s="58" t="s">
        <v>496</v>
      </c>
      <c r="F11" s="59" t="s">
        <v>497</v>
      </c>
      <c r="G11" s="61" t="s">
        <v>498</v>
      </c>
      <c r="H11" s="61" t="s">
        <v>499</v>
      </c>
      <c r="I11" s="61" t="s">
        <v>500</v>
      </c>
      <c r="J11" s="755" t="s">
        <v>501</v>
      </c>
      <c r="K11" s="62" t="s">
        <v>774</v>
      </c>
    </row>
    <row r="12" spans="5:14" ht="12.75" customHeight="1" x14ac:dyDescent="0.25">
      <c r="E12" s="7" t="s">
        <v>515</v>
      </c>
      <c r="F12" s="18">
        <f>+VLOOKUP($E12,'Summary Data'!$A$2:$Q$55,2,FALSE)/(44/12)</f>
        <v>-3.0233271881615975</v>
      </c>
      <c r="G12" s="18">
        <f>+VLOOKUP($E12,'Summary Data'!$A$2:$Q$55,3,FALSE)/(44/12)</f>
        <v>-2.4839453393283</v>
      </c>
      <c r="H12" s="18">
        <f>+VLOOKUP($E12,'Summary Data'!$A$2:$Q$55,4,FALSE)/(44/12)</f>
        <v>5.5239597657807402E-3</v>
      </c>
      <c r="I12" s="18">
        <f>+VLOOKUP($E12,'Summary Data'!$A$2:$Q$55,9,FALSE)/(44/12)</f>
        <v>7.3809743288296521E-3</v>
      </c>
      <c r="J12" s="756" t="s">
        <v>503</v>
      </c>
      <c r="K12" s="24" t="s">
        <v>503</v>
      </c>
    </row>
    <row r="13" spans="5:14" ht="12.75" customHeight="1" x14ac:dyDescent="0.25">
      <c r="E13" s="7" t="s">
        <v>84</v>
      </c>
      <c r="F13" s="18">
        <f>+VLOOKUP($E13,'Summary Data'!$A$2:$Q$55,2,FALSE)/(44/12)</f>
        <v>-2.0384229331825523</v>
      </c>
      <c r="G13" s="18">
        <f>+VLOOKUP($E13,'Summary Data'!$A$2:$Q$55,3,FALSE)/(44/12)</f>
        <v>-1.9605061040663785</v>
      </c>
      <c r="H13" s="18">
        <f>+VLOOKUP($E13,'Summary Data'!$A$2:$Q$55,4,FALSE)/(44/12)</f>
        <v>5.5239597657807402E-3</v>
      </c>
      <c r="I13" s="18">
        <f>+VLOOKUP($E13,'Summary Data'!$A$2:$Q$55,9,FALSE)/(44/12)</f>
        <v>7.3809743288296521E-3</v>
      </c>
      <c r="J13" s="756" t="s">
        <v>503</v>
      </c>
      <c r="K13" s="24" t="s">
        <v>503</v>
      </c>
    </row>
    <row r="14" spans="5:14" ht="12.75" customHeight="1" x14ac:dyDescent="0.25">
      <c r="E14" s="7" t="s">
        <v>516</v>
      </c>
      <c r="F14" s="18">
        <f>+VLOOKUP($E14,'Summary Data'!$A$2:$Q$55,2,FALSE)/(44/12)</f>
        <v>-0.99997989337810356</v>
      </c>
      <c r="G14" s="19">
        <f>+VLOOKUP($E14,'Summary Data'!$A$2:$Q$55,3,FALSE)/(44/12)</f>
        <v>-0.49425559294828525</v>
      </c>
      <c r="H14" s="18">
        <f>+VLOOKUP($E14,'Summary Data'!$A$2:$Q$55,4,FALSE)/(44/12)</f>
        <v>5.5239597657807402E-3</v>
      </c>
      <c r="I14" s="18">
        <f>+VLOOKUP($E14,'Summary Data'!$A$2:$Q$55,9,FALSE)/(44/12)</f>
        <v>-0.43039073845382891</v>
      </c>
      <c r="J14" s="756" t="s">
        <v>503</v>
      </c>
      <c r="K14" s="24" t="s">
        <v>503</v>
      </c>
    </row>
    <row r="15" spans="5:14" ht="12.75" customHeight="1" x14ac:dyDescent="0.25">
      <c r="E15" s="7" t="s">
        <v>438</v>
      </c>
      <c r="F15" s="18">
        <f>+VLOOKUP($E15,'Summary Data'!$A$2:$Q$55,2,FALSE)/(44/12)</f>
        <v>-1.9298284694401986</v>
      </c>
      <c r="G15" s="19">
        <f>+VLOOKUP($E15,'Summary Data'!$A$2:$Q$55,3,FALSE)/(44/12)</f>
        <v>-1.283769456100192</v>
      </c>
      <c r="H15" s="18">
        <f>+VLOOKUP($E15,'Summary Data'!$A$2:$Q$55,4,FALSE)/(44/12)</f>
        <v>5.5239597657807402E-3</v>
      </c>
      <c r="I15" s="18">
        <f>+VLOOKUP($E15,'Summary Data'!$A$2:$Q$55,9,FALSE)/(44/12)</f>
        <v>6.4618344276941549E-3</v>
      </c>
      <c r="J15" s="756" t="s">
        <v>503</v>
      </c>
      <c r="K15" s="24" t="s">
        <v>503</v>
      </c>
    </row>
    <row r="16" spans="5:14" ht="12.75" customHeight="1" x14ac:dyDescent="0.25">
      <c r="E16" s="7" t="s">
        <v>517</v>
      </c>
      <c r="F16" s="18">
        <f>+VLOOKUP($E16,'Summary Data'!$A$2:$Q$55,2,FALSE)/(44/12)</f>
        <v>-0.16317805150363648</v>
      </c>
      <c r="G16" s="19">
        <f>+VLOOKUP($E16,'Summary Data'!$A$2:$Q$55,3,FALSE)/(44/12)</f>
        <v>-7.5415219955193527E-2</v>
      </c>
      <c r="H16" s="18">
        <f>+VLOOKUP($E16,'Summary Data'!$A$2:$Q$55,4,FALSE)/(44/12)</f>
        <v>5.5239597657807402E-3</v>
      </c>
      <c r="I16" s="18">
        <f>+VLOOKUP($E16,'Summary Data'!$A$2:$Q$55,9,FALSE)/(44/12)</f>
        <v>5.9103504870128562E-3</v>
      </c>
      <c r="J16" s="756" t="s">
        <v>503</v>
      </c>
      <c r="K16" s="24" t="s">
        <v>503</v>
      </c>
    </row>
    <row r="17" spans="5:11" ht="12.75" customHeight="1" x14ac:dyDescent="0.25">
      <c r="E17" s="7" t="s">
        <v>518</v>
      </c>
      <c r="F17" s="18">
        <f>+VLOOKUP($E17,'Summary Data'!$A$2:$Q$55,2,FALSE)/(44/12)</f>
        <v>-0.42839452600401745</v>
      </c>
      <c r="G17" s="19">
        <f>+VLOOKUP($E17,'Summary Data'!$A$2:$Q$55,3,FALSE)/(44/12)</f>
        <v>-0.23691465016411342</v>
      </c>
      <c r="H17" s="18">
        <f>+VLOOKUP($E17,'Summary Data'!$A$2:$Q$55,4,FALSE)/(44/12)</f>
        <v>5.5239597657807402E-3</v>
      </c>
      <c r="I17" s="18">
        <f>+VLOOKUP($E17,'Summary Data'!$A$2:$Q$55,9,FALSE)/(44/12)</f>
        <v>0.47059321066957044</v>
      </c>
      <c r="J17" s="756" t="s">
        <v>503</v>
      </c>
      <c r="K17" s="24" t="s">
        <v>503</v>
      </c>
    </row>
    <row r="18" spans="5:11" ht="12.75" customHeight="1" x14ac:dyDescent="0.25">
      <c r="E18" s="7" t="s">
        <v>519</v>
      </c>
      <c r="F18" s="18">
        <f>+VLOOKUP($E18,'Summary Data'!$A$2:$Q$55,2,FALSE)/(44/12)</f>
        <v>-0.49056930652610309</v>
      </c>
      <c r="G18" s="31" t="s">
        <v>503</v>
      </c>
      <c r="H18" s="18">
        <f>+VLOOKUP($E18,'Summary Data'!$A$2:$Q$55,4,FALSE)/(44/12)</f>
        <v>5.5239597657807402E-3</v>
      </c>
      <c r="I18" s="18">
        <f>+VLOOKUP($E18,'Summary Data'!$A$2:$Q$55,9,FALSE)/(44/12)</f>
        <v>0.47218148441873248</v>
      </c>
      <c r="J18" s="756" t="s">
        <v>503</v>
      </c>
      <c r="K18" s="24" t="s">
        <v>503</v>
      </c>
    </row>
    <row r="19" spans="5:11" ht="12.75" customHeight="1" x14ac:dyDescent="0.25">
      <c r="E19" s="7" t="s">
        <v>520</v>
      </c>
      <c r="F19" s="18">
        <f>+VLOOKUP($E19,'Summary Data'!$A$2:$Q$55,2,FALSE)/(44/12)</f>
        <v>-0.61053803713581101</v>
      </c>
      <c r="G19" s="19">
        <f>+VLOOKUP($E19,'Summary Data'!$A$2:$Q$55,3,FALSE)/(44/12)</f>
        <v>-0.30472237728966534</v>
      </c>
      <c r="H19" s="18">
        <f>+VLOOKUP($E19,'Summary Data'!$A$2:$Q$55,4,FALSE)/(44/12)</f>
        <v>5.5239597657807402E-3</v>
      </c>
      <c r="I19" s="18">
        <f>+VLOOKUP($E19,'Summary Data'!$A$2:$Q$55,9,FALSE)/(44/12)</f>
        <v>0.40222461212047506</v>
      </c>
      <c r="J19" s="756" t="s">
        <v>503</v>
      </c>
      <c r="K19" s="24" t="s">
        <v>503</v>
      </c>
    </row>
    <row r="20" spans="5:11" ht="12.75" customHeight="1" x14ac:dyDescent="0.25">
      <c r="E20" s="7" t="s">
        <v>86</v>
      </c>
      <c r="F20" s="18">
        <f>+VLOOKUP($E20,'Summary Data'!$A$2:$Q$55,2,FALSE)/(44/12)</f>
        <v>-0.43138307939578296</v>
      </c>
      <c r="G20" s="31" t="s">
        <v>503</v>
      </c>
      <c r="H20" s="18">
        <f>+VLOOKUP($E20,'Summary Data'!$A$2:$Q$55,4,FALSE)/(44/12)</f>
        <v>5.5239597657807402E-3</v>
      </c>
      <c r="I20" s="18">
        <f>+VLOOKUP($E20,'Summary Data'!$A$2:$Q$55,9,FALSE)/(44/12)</f>
        <v>0.47116675396787894</v>
      </c>
      <c r="J20" s="756" t="s">
        <v>503</v>
      </c>
      <c r="K20" s="24" t="s">
        <v>503</v>
      </c>
    </row>
    <row r="21" spans="5:11" ht="12.75" customHeight="1" x14ac:dyDescent="0.25">
      <c r="E21" s="7" t="s">
        <v>87</v>
      </c>
      <c r="F21" s="18">
        <f>+VLOOKUP($E21,'Summary Data'!$A$2:$Q$55,2,FALSE)/(44/12)</f>
        <v>-0.42262394689481997</v>
      </c>
      <c r="G21" s="31" t="s">
        <v>503</v>
      </c>
      <c r="H21" s="18">
        <f>+VLOOKUP($E21,'Summary Data'!$A$2:$Q$55,4,FALSE)/(44/12)</f>
        <v>5.5239597657807402E-3</v>
      </c>
      <c r="I21" s="18">
        <f>+VLOOKUP($E21,'Summary Data'!$A$2:$Q$55,9,FALSE)/(44/12)</f>
        <v>0.47113734149104258</v>
      </c>
      <c r="J21" s="756" t="s">
        <v>503</v>
      </c>
      <c r="K21" s="24" t="s">
        <v>503</v>
      </c>
    </row>
    <row r="22" spans="5:11" ht="12.75" customHeight="1" x14ac:dyDescent="0.25">
      <c r="E22" s="7" t="s">
        <v>88</v>
      </c>
      <c r="F22" s="18">
        <f>+VLOOKUP($E22,'Summary Data'!$A$2:$Q$55,2,FALSE)/(44/12)</f>
        <v>-0.68134284477697027</v>
      </c>
      <c r="G22" s="31" t="s">
        <v>503</v>
      </c>
      <c r="H22" s="18">
        <f>+VLOOKUP($E22,'Summary Data'!$A$2:$Q$55,4,FALSE)/(44/12)</f>
        <v>5.5239597657807402E-3</v>
      </c>
      <c r="I22" s="18">
        <f>+VLOOKUP($E22,'Summary Data'!$A$2:$Q$55,9,FALSE)/(44/12)</f>
        <v>0.55840378631408871</v>
      </c>
      <c r="J22" s="756" t="s">
        <v>503</v>
      </c>
      <c r="K22" s="24" t="s">
        <v>503</v>
      </c>
    </row>
    <row r="23" spans="5:11" ht="12.75" customHeight="1" x14ac:dyDescent="0.25">
      <c r="E23" s="7" t="s">
        <v>89</v>
      </c>
      <c r="F23" s="18">
        <f>+VLOOKUP($E23,'Summary Data'!$A$2:$Q$55,2,FALSE)/(44/12)</f>
        <v>-0.53151610992596532</v>
      </c>
      <c r="G23" s="31" t="s">
        <v>503</v>
      </c>
      <c r="H23" s="18">
        <f>+VLOOKUP($E23,'Summary Data'!$A$2:$Q$55,4,FALSE)/(44/12)</f>
        <v>5.5239597657807402E-3</v>
      </c>
      <c r="I23" s="18">
        <f>+VLOOKUP($E23,'Summary Data'!$A$2:$Q$55,9,FALSE)/(44/12)</f>
        <v>0.22829494380727852</v>
      </c>
      <c r="J23" s="756" t="s">
        <v>503</v>
      </c>
      <c r="K23" s="24" t="s">
        <v>503</v>
      </c>
    </row>
    <row r="24" spans="5:11" ht="12.75" customHeight="1" x14ac:dyDescent="0.25">
      <c r="E24" s="7" t="s">
        <v>85</v>
      </c>
      <c r="F24" s="18">
        <f>+VLOOKUP($E24,'Summary Data'!$A$2:$Q$55,2,FALSE)/(44/12)</f>
        <v>-0.56939954219135236</v>
      </c>
      <c r="G24" s="31" t="s">
        <v>503</v>
      </c>
      <c r="H24" s="18">
        <f>+VLOOKUP($E24,'Summary Data'!$A$2:$Q$55,4,FALSE)/(44/12)</f>
        <v>-0.44798593889421928</v>
      </c>
      <c r="I24" s="18">
        <f>+VLOOKUP($E24,'Summary Data'!$A$2:$Q$55,9,FALSE)/(44/12)</f>
        <v>-0.20706293126636049</v>
      </c>
      <c r="J24" s="756">
        <f>+VLOOKUP($E24,'Summary Data'!$A$2:$Q$55,10,FALSE)/(44/12)</f>
        <v>-4.056403756531541E-2</v>
      </c>
      <c r="K24" s="24" t="s">
        <v>503</v>
      </c>
    </row>
    <row r="25" spans="5:11" ht="12.75" customHeight="1" x14ac:dyDescent="0.25">
      <c r="E25" s="7" t="s">
        <v>59</v>
      </c>
      <c r="F25" s="18">
        <f>+VLOOKUP($E25,'Summary Data'!$A$2:$Q$55,2,FALSE)/(44/12)</f>
        <v>-2.2099456857497155</v>
      </c>
      <c r="G25" s="19">
        <f>+VLOOKUP($E25,'Summary Data'!$A$2:$Q$55,3,FALSE)/(44/12)</f>
        <v>-0.85109080475547461</v>
      </c>
      <c r="H25" s="18">
        <f>+VLOOKUP($E25,'Summary Data'!$A$2:$Q$55,4,FALSE)/(44/12)</f>
        <v>0.12133723137372178</v>
      </c>
      <c r="I25" s="18">
        <f>+VLOOKUP($E25,'Summary Data'!$A$2:$Q$55,9,FALSE)/(44/12)</f>
        <v>-9.1121652720413462E-2</v>
      </c>
      <c r="J25" s="756" t="s">
        <v>503</v>
      </c>
      <c r="K25" s="24" t="s">
        <v>503</v>
      </c>
    </row>
    <row r="26" spans="5:11" ht="12.75" customHeight="1" x14ac:dyDescent="0.25">
      <c r="E26" s="74" t="s">
        <v>290</v>
      </c>
      <c r="F26" s="18">
        <f>+VLOOKUP($E26,'Summary Data'!$A$2:$Q$55,2,FALSE)/(44/12)</f>
        <v>-2.4270870310506427</v>
      </c>
      <c r="G26" s="19">
        <f>+VLOOKUP($E26,'Summary Data'!$A$2:$Q$55,3,FALSE)/(44/12)</f>
        <v>-0.83727180264479817</v>
      </c>
      <c r="H26" s="18">
        <f>+VLOOKUP($E26,'Summary Data'!$A$2:$Q$55,4,FALSE)/(44/12)</f>
        <v>-0.11572015546611673</v>
      </c>
      <c r="I26" s="18">
        <f>+VLOOKUP($E26,'Summary Data'!$A$2:$Q$55,9,FALSE)/(44/12)</f>
        <v>-6.4871017143983675E-2</v>
      </c>
      <c r="J26" s="756" t="s">
        <v>503</v>
      </c>
      <c r="K26" s="24" t="s">
        <v>503</v>
      </c>
    </row>
    <row r="27" spans="5:11" ht="12.75" customHeight="1" x14ac:dyDescent="0.25">
      <c r="E27" s="4" t="s">
        <v>502</v>
      </c>
      <c r="F27" s="18">
        <f>+VLOOKUP($E27,'Summary Data'!$A$2:$Q$55,2,FALSE)/(44/12)</f>
        <v>-1.5923896953172738</v>
      </c>
      <c r="G27" s="19">
        <f>+VLOOKUP($E27,'Summary Data'!$A$2:$Q$55,3,FALSE)/(44/12)</f>
        <v>-0.74942700086844738</v>
      </c>
      <c r="H27" s="17">
        <f>+VLOOKUP($E27,'Summary Data'!$A$2:$Q$55,4,FALSE)/(44/12)</f>
        <v>-0.20512747473180273</v>
      </c>
      <c r="I27" s="17">
        <f>+VLOOKUP($E27,'Summary Data'!$A$2:$Q$55,9,FALSE)/(44/12)</f>
        <v>-0.10446021096569179</v>
      </c>
      <c r="J27" s="757" t="s">
        <v>503</v>
      </c>
      <c r="K27" s="24" t="s">
        <v>503</v>
      </c>
    </row>
    <row r="28" spans="5:11" ht="12.75" customHeight="1" x14ac:dyDescent="0.25">
      <c r="E28" s="4" t="s">
        <v>514</v>
      </c>
      <c r="F28" s="18">
        <f>+VLOOKUP($E28,'Summary Data'!$A$2:$Q$55,2,FALSE)/(44/12)</f>
        <v>-2.250987594963179</v>
      </c>
      <c r="G28" s="19">
        <f>+VLOOKUP($E28,'Summary Data'!$A$2:$Q$55,3,FALSE)/(44/12)</f>
        <v>-0.77977952085483038</v>
      </c>
      <c r="H28" s="17">
        <f>+VLOOKUP($E28,'Summary Data'!$A$2:$Q$55,4,FALSE)/(44/12)</f>
        <v>0.40886858824766914</v>
      </c>
      <c r="I28" s="17">
        <f>+VLOOKUP($E28,'Summary Data'!$A$2:$Q$55,9,FALSE)/(44/12)</f>
        <v>-8.7548036784798638E-2</v>
      </c>
      <c r="J28" s="757" t="s">
        <v>503</v>
      </c>
      <c r="K28" s="24" t="s">
        <v>503</v>
      </c>
    </row>
    <row r="29" spans="5:11" ht="12.75" customHeight="1" x14ac:dyDescent="0.25">
      <c r="E29" s="4" t="s">
        <v>383</v>
      </c>
      <c r="F29" s="18">
        <f>+VLOOKUP($E29,'Summary Data'!$A$2:$Q$55,2,FALSE)/(44/12)</f>
        <v>-1.6950361209147393</v>
      </c>
      <c r="G29" s="19">
        <f>+VLOOKUP($E29,'Summary Data'!$A$2:$Q$55,3,FALSE)/(44/12)</f>
        <v>-0.71877996391591958</v>
      </c>
      <c r="H29" s="17">
        <f>+VLOOKUP($E29,'Summary Data'!$A$2:$Q$55,4,FALSE)/(44/12)</f>
        <v>-0.20512747473180273</v>
      </c>
      <c r="I29" s="17">
        <f>+VLOOKUP($E29,'Summary Data'!$A$2:$Q$55,9,FALSE)/(44/12)</f>
        <v>-0.10446021096569179</v>
      </c>
      <c r="J29" s="757" t="s">
        <v>503</v>
      </c>
      <c r="K29" s="24" t="s">
        <v>503</v>
      </c>
    </row>
    <row r="30" spans="5:11" ht="12.75" customHeight="1" x14ac:dyDescent="0.25">
      <c r="E30" s="4" t="s">
        <v>384</v>
      </c>
      <c r="F30" s="18">
        <f>+VLOOKUP($E30,'Summary Data'!$A$2:$Q$55,2,FALSE)/(44/12)</f>
        <v>-2.5550654754162316</v>
      </c>
      <c r="G30" s="19">
        <f>+VLOOKUP($E30,'Summary Data'!$A$2:$Q$55,3,FALSE)/(44/12)</f>
        <v>-0.84709084184214667</v>
      </c>
      <c r="H30" s="17">
        <f>+VLOOKUP($E30,'Summary Data'!$A$2:$Q$55,4,FALSE)/(44/12)</f>
        <v>0.40886858824766914</v>
      </c>
      <c r="I30" s="17">
        <f>+VLOOKUP($E30,'Summary Data'!$A$2:$Q$55,9,FALSE)/(44/12)</f>
        <v>-8.7548036784798638E-2</v>
      </c>
      <c r="J30" s="757" t="s">
        <v>503</v>
      </c>
      <c r="K30" s="24" t="s">
        <v>503</v>
      </c>
    </row>
    <row r="31" spans="5:11" ht="12.75" customHeight="1" x14ac:dyDescent="0.25">
      <c r="E31" s="7" t="s">
        <v>4</v>
      </c>
      <c r="F31" s="18">
        <f>+VLOOKUP($E31,'Summary Data'!$A$2:$Q$55,2,FALSE)/(44/12)</f>
        <v>-0.55255257027370286</v>
      </c>
      <c r="G31" s="19">
        <f>+VLOOKUP($E31,'Summary Data'!$A$2:$Q$55,3,FALSE)/(44/12)</f>
        <v>-0.67134864320022425</v>
      </c>
      <c r="H31" s="18">
        <f>+VLOOKUP($E31,'Summary Data'!$A$2:$Q$55,4,FALSE)/(44/12)</f>
        <v>-0.27593863068043378</v>
      </c>
      <c r="I31" s="18">
        <f>+VLOOKUP($E31,'Summary Data'!$A$2:$Q$55,9,FALSE)/(44/12)</f>
        <v>-0.10960739441205057</v>
      </c>
      <c r="J31" s="756" t="s">
        <v>503</v>
      </c>
      <c r="K31" s="24" t="s">
        <v>503</v>
      </c>
    </row>
    <row r="32" spans="5:11" ht="12.75" customHeight="1" x14ac:dyDescent="0.25">
      <c r="E32" s="7" t="s">
        <v>558</v>
      </c>
      <c r="F32" s="18">
        <f>+VLOOKUP($E32,'Summary Data'!$A$2:$Q$55,2,FALSE)/(44/12)</f>
        <v>-0.60917589914711701</v>
      </c>
      <c r="G32" s="19">
        <f>+VLOOKUP($E32,'Summary Data'!$A$2:$Q$55,3,FALSE)/(44/12)</f>
        <v>-0.67380924624472305</v>
      </c>
      <c r="H32" s="18">
        <f>+VLOOKUP($E32,'Summary Data'!$A$2:$Q$55,4,FALSE)/(44/12)</f>
        <v>-0.24079690460274877</v>
      </c>
      <c r="I32" s="18">
        <f>+VLOOKUP($E32,'Summary Data'!$A$2:$Q$55,9,FALSE)/(44/12)</f>
        <v>-0.10960739441205057</v>
      </c>
      <c r="J32" s="756" t="s">
        <v>503</v>
      </c>
      <c r="K32" s="24" t="s">
        <v>503</v>
      </c>
    </row>
    <row r="33" spans="5:11" ht="12.75" customHeight="1" x14ac:dyDescent="0.25">
      <c r="E33" s="7" t="s">
        <v>646</v>
      </c>
      <c r="F33" s="18">
        <f>+VLOOKUP($E33,'Summary Data'!$A$2:$Q$55,2,FALSE)/(44/12)</f>
        <v>-0.20667357461477642</v>
      </c>
      <c r="G33" s="31" t="s">
        <v>503</v>
      </c>
      <c r="H33" s="18">
        <f>+VLOOKUP($E33,'Summary Data'!$A$2:$Q$55,4,FALSE)/(44/12)</f>
        <v>0.13127491418968965</v>
      </c>
      <c r="I33" s="18">
        <f>+VLOOKUP($E33,'Summary Data'!$A$2:$Q$55,9,FALSE)/(44/12)</f>
        <v>-2.2399400592314649E-2</v>
      </c>
      <c r="J33" s="756">
        <f>+VLOOKUP($E33,'Summary Data'!$A$2:$Q$55,10,FALSE)/(44/12)</f>
        <v>-4.800327807164452E-2</v>
      </c>
      <c r="K33" s="24">
        <f>(IF(AND('Analysis Inputs'!$N$146=1,'Analysis Inputs'!$N$156=1),VLOOKUP($E33,'Summary Data'!$A$1:$Q$55,11,FALSE), IF(AND('Analysis Inputs'!$N$146=1,'Analysis Inputs'!$N$156=2),VLOOKUP($E33,'Summary Data'!$A$1:$Q$55,12, FALSE), IF(AND('Analysis Inputs'!$N$146=2,'Analysis Inputs'!$N$156=1),VLOOKUP($E33,'Summary Data'!$A$1:$Q$55,13,FALSE), IF(AND('Analysis Inputs'!$N$146=2,'Analysis Inputs'!$N$156=2),VLOOKUP($E33,'Summary Data'!$A$1:$Q$55,14,FALSE), 0)))))/(44/12)</f>
        <v>-6.6856723796764762E-3</v>
      </c>
    </row>
    <row r="34" spans="5:11" ht="12.75" customHeight="1" x14ac:dyDescent="0.25">
      <c r="E34" s="7" t="s">
        <v>744</v>
      </c>
      <c r="F34" s="18">
        <f>+VLOOKUP($E34,'Summary Data'!$A$2:$Q$55,2,FALSE)/(44/12)</f>
        <v>-4.1176674106558631</v>
      </c>
      <c r="G34" s="31" t="s">
        <v>503</v>
      </c>
      <c r="H34" s="18">
        <f>+VLOOKUP($E34,'Summary Data'!$A$2:$Q$55,4,FALSE)/(44/12)</f>
        <v>0.13127491418968965</v>
      </c>
      <c r="I34" s="18">
        <f>+VLOOKUP($E34,'Summary Data'!$A$2:$Q$55,9,FALSE)/(44/12)</f>
        <v>-2.2399400592314649E-2</v>
      </c>
      <c r="J34" s="756">
        <f>+VLOOKUP($E34,'Summary Data'!$A$2:$Q$55,10,FALSE)/(44/12)</f>
        <v>-4.800327807164452E-2</v>
      </c>
      <c r="K34" s="24">
        <f>(IF(AND('Analysis Inputs'!$N$146=1,'Analysis Inputs'!$N$156=1),VLOOKUP($E34,'Summary Data'!$A$1:$Q$55,11,FALSE), IF(AND('Analysis Inputs'!$N$146=1,'Analysis Inputs'!$N$156=2),VLOOKUP($E34,'Summary Data'!$A$1:$Q$55,12, FALSE), IF(AND('Analysis Inputs'!$N$146=2,'Analysis Inputs'!$N$156=1),VLOOKUP($E34,'Summary Data'!$A$1:$Q$55,13,FALSE), IF(AND('Analysis Inputs'!$N$146=2,'Analysis Inputs'!$N$156=2),VLOOKUP($E34,'Summary Data'!$A$1:$Q$55,14,FALSE), 0)))))/(44/12)</f>
        <v>-6.6856723796764762E-3</v>
      </c>
    </row>
    <row r="35" spans="5:11" ht="12.75" customHeight="1" x14ac:dyDescent="0.25">
      <c r="E35" s="7" t="s">
        <v>741</v>
      </c>
      <c r="F35" s="18">
        <f>+VLOOKUP($E35,'Summary Data'!$A$2:$Q$55,2,FALSE)/(44/12)</f>
        <v>-8.1960086263934233</v>
      </c>
      <c r="G35" s="31" t="s">
        <v>503</v>
      </c>
      <c r="H35" s="18">
        <f>+VLOOKUP($E35,'Summary Data'!$A$2:$Q$55,4,FALSE)/(44/12)</f>
        <v>0.13127491418968965</v>
      </c>
      <c r="I35" s="18">
        <f>+VLOOKUP($E35,'Summary Data'!$A$2:$Q$55,9,FALSE)/(44/12)</f>
        <v>-2.2399400592314649E-2</v>
      </c>
      <c r="J35" s="756">
        <f>+VLOOKUP($E35,'Summary Data'!$A$2:$Q$55,10,FALSE)/(44/12)</f>
        <v>-4.800327807164452E-2</v>
      </c>
      <c r="K35" s="24">
        <f>(IF(AND('Analysis Inputs'!$N$146=1,'Analysis Inputs'!$N$156=1),VLOOKUP($E35,'Summary Data'!$A$1:$Q$55,11,FALSE), IF(AND('Analysis Inputs'!$N$146=1,'Analysis Inputs'!$N$156=2),VLOOKUP($E35,'Summary Data'!$A$1:$Q$55,12, FALSE), IF(AND('Analysis Inputs'!$N$146=2,'Analysis Inputs'!$N$156=1),VLOOKUP($E35,'Summary Data'!$A$1:$Q$55,13,FALSE), IF(AND('Analysis Inputs'!$N$146=2,'Analysis Inputs'!$N$156=2),VLOOKUP($E35,'Summary Data'!$A$1:$Q$55,14,FALSE), 0)))))/(44/12)</f>
        <v>-6.6856723796764762E-3</v>
      </c>
    </row>
    <row r="36" spans="5:11" ht="12.75" customHeight="1" x14ac:dyDescent="0.25">
      <c r="E36" s="7" t="s">
        <v>742</v>
      </c>
      <c r="F36" s="18">
        <f>+VLOOKUP($E36,'Summary Data'!$A$2:$Q$55,2,FALSE)/(44/12)</f>
        <v>-0.67446770242216103</v>
      </c>
      <c r="G36" s="31" t="s">
        <v>503</v>
      </c>
      <c r="H36" s="18">
        <f>+VLOOKUP($E36,'Summary Data'!$A$2:$Q$55,4,FALSE)/(44/12)</f>
        <v>0.13127491418968965</v>
      </c>
      <c r="I36" s="18">
        <f>+VLOOKUP($E36,'Summary Data'!$A$2:$Q$55,9,FALSE)/(44/12)</f>
        <v>-2.2399400592314649E-2</v>
      </c>
      <c r="J36" s="756">
        <f>+VLOOKUP($E36,'Summary Data'!$A$2:$Q$55,10,FALSE)/(44/12)</f>
        <v>-4.800327807164452E-2</v>
      </c>
      <c r="K36" s="24">
        <f>(IF(AND('Analysis Inputs'!$N$146=1,'Analysis Inputs'!$N$156=1),VLOOKUP($E36,'Summary Data'!$A$1:$Q$55,11,FALSE), IF(AND('Analysis Inputs'!$N$146=1,'Analysis Inputs'!$N$156=2),VLOOKUP($E36,'Summary Data'!$A$1:$Q$55,12, FALSE), IF(AND('Analysis Inputs'!$N$146=2,'Analysis Inputs'!$N$156=1),VLOOKUP($E36,'Summary Data'!$A$1:$Q$55,13,FALSE), IF(AND('Analysis Inputs'!$N$146=2,'Analysis Inputs'!$N$156=2),VLOOKUP($E36,'Summary Data'!$A$1:$Q$55,14,FALSE), 0)))))/(44/12)</f>
        <v>-6.6856723796764762E-3</v>
      </c>
    </row>
    <row r="37" spans="5:11" ht="12.75" customHeight="1" x14ac:dyDescent="0.25">
      <c r="E37" s="7" t="s">
        <v>649</v>
      </c>
      <c r="F37" s="18">
        <f>+VLOOKUP($E37,'Summary Data'!$A$2:$Q$55,2,FALSE)/(44/12)</f>
        <v>-0.16861448048368635</v>
      </c>
      <c r="G37" s="31" t="s">
        <v>503</v>
      </c>
      <c r="H37" s="18">
        <f>+VLOOKUP($E37,'Summary Data'!$A$2:$Q$55,4,FALSE)/(44/12)</f>
        <v>0.13127491418968965</v>
      </c>
      <c r="I37" s="18">
        <f>+VLOOKUP($E37,'Summary Data'!$A$2:$Q$55,9,FALSE)/(44/12)</f>
        <v>-2.2399400592314649E-2</v>
      </c>
      <c r="J37" s="756">
        <f>+VLOOKUP($E37,'Summary Data'!$A$2:$Q$55,10,FALSE)/(44/12)</f>
        <v>-4.800327807164452E-2</v>
      </c>
      <c r="K37" s="24">
        <f>(IF(AND('Analysis Inputs'!$N$146=1,'Analysis Inputs'!$N$156=1),VLOOKUP($E37,'Summary Data'!$A$1:$Q$55,11,FALSE), IF(AND('Analysis Inputs'!$N$146=1,'Analysis Inputs'!$N$156=2),VLOOKUP($E37,'Summary Data'!$A$1:$Q$55,12, FALSE), IF(AND('Analysis Inputs'!$N$146=2,'Analysis Inputs'!$N$156=1),VLOOKUP($E37,'Summary Data'!$A$1:$Q$55,13,FALSE), IF(AND('Analysis Inputs'!$N$146=2,'Analysis Inputs'!$N$156=2),VLOOKUP($E37,'Summary Data'!$A$1:$Q$55,14,FALSE), 0)))))/(44/12)</f>
        <v>-6.6856723796764762E-3</v>
      </c>
    </row>
    <row r="38" spans="5:11" ht="12.75" customHeight="1" x14ac:dyDescent="0.25">
      <c r="E38" s="7" t="s">
        <v>645</v>
      </c>
      <c r="F38" s="18">
        <f>+VLOOKUP($E38,'Summary Data'!$A$2:$Q$55,2,FALSE)/(44/12)</f>
        <v>-0.18241565926548045</v>
      </c>
      <c r="G38" s="31" t="s">
        <v>503</v>
      </c>
      <c r="H38" s="18">
        <f>+VLOOKUP($E38,'Summary Data'!$A$2:$Q$55,4,FALSE)/(44/12)</f>
        <v>0.13127491418968965</v>
      </c>
      <c r="I38" s="18">
        <f>+VLOOKUP($E38,'Summary Data'!$A$2:$Q$55,9,FALSE)/(44/12)</f>
        <v>-2.2399400592314649E-2</v>
      </c>
      <c r="J38" s="756">
        <f>+VLOOKUP($E38,'Summary Data'!$A$2:$Q$55,10,FALSE)/(44/12)</f>
        <v>-4.800327807164452E-2</v>
      </c>
      <c r="K38" s="24">
        <f>(IF(AND('Analysis Inputs'!$N$146=1,'Analysis Inputs'!$N$156=1),VLOOKUP($E38,'Summary Data'!$A$1:$Q$55,11,FALSE), IF(AND('Analysis Inputs'!$N$146=1,'Analysis Inputs'!$N$156=2),VLOOKUP($E38,'Summary Data'!$A$1:$Q$55,12, FALSE), IF(AND('Analysis Inputs'!$N$146=2,'Analysis Inputs'!$N$156=1),VLOOKUP($E38,'Summary Data'!$A$1:$Q$55,13,FALSE), IF(AND('Analysis Inputs'!$N$146=2,'Analysis Inputs'!$N$156=2),VLOOKUP($E38,'Summary Data'!$A$1:$Q$55,14,FALSE), 0)))))/(44/12)</f>
        <v>-6.6856723796764762E-3</v>
      </c>
    </row>
    <row r="39" spans="5:11" ht="12.75" customHeight="1" x14ac:dyDescent="0.25">
      <c r="E39" s="7" t="s">
        <v>647</v>
      </c>
      <c r="F39" s="18">
        <f>+VLOOKUP($E39,'Summary Data'!$A$2:$Q$55,2,FALSE)/(44/12)</f>
        <v>-0.11993379015471285</v>
      </c>
      <c r="G39" s="31" t="s">
        <v>503</v>
      </c>
      <c r="H39" s="18">
        <f>+VLOOKUP($E39,'Summary Data'!$A$2:$Q$55,4,FALSE)/(44/12)</f>
        <v>0.13127491418968965</v>
      </c>
      <c r="I39" s="18">
        <f>+VLOOKUP($E39,'Summary Data'!$A$2:$Q$55,9,FALSE)/(44/12)</f>
        <v>-2.2399400592314649E-2</v>
      </c>
      <c r="J39" s="756">
        <f>+VLOOKUP($E39,'Summary Data'!$A$2:$Q$55,10,FALSE)/(44/12)</f>
        <v>-4.800327807164452E-2</v>
      </c>
      <c r="K39" s="24">
        <f>(IF(AND('Analysis Inputs'!$N$146=1,'Analysis Inputs'!$N$156=1),VLOOKUP($E39,'Summary Data'!$A$1:$Q$55,11,FALSE), IF(AND('Analysis Inputs'!$N$146=1,'Analysis Inputs'!$N$156=2),VLOOKUP($E39,'Summary Data'!$A$1:$Q$55,12, FALSE), IF(AND('Analysis Inputs'!$N$146=2,'Analysis Inputs'!$N$156=1),VLOOKUP($E39,'Summary Data'!$A$1:$Q$55,13,FALSE), IF(AND('Analysis Inputs'!$N$146=2,'Analysis Inputs'!$N$156=2),VLOOKUP($E39,'Summary Data'!$A$1:$Q$55,14,FALSE), 0)))))/(44/12)</f>
        <v>-6.6856723796764762E-3</v>
      </c>
    </row>
    <row r="40" spans="5:11" ht="12.75" customHeight="1" x14ac:dyDescent="0.25">
      <c r="E40" s="7" t="s">
        <v>648</v>
      </c>
      <c r="F40" s="18">
        <f>+VLOOKUP($E40,'Summary Data'!$A$2:$Q$55,2,FALSE)/(44/12)</f>
        <v>-0.47536832413382918</v>
      </c>
      <c r="G40" s="31" t="s">
        <v>503</v>
      </c>
      <c r="H40" s="18">
        <f>+VLOOKUP($E40,'Summary Data'!$A$2:$Q$55,4,FALSE)/(44/12)</f>
        <v>0.13127491418968965</v>
      </c>
      <c r="I40" s="18">
        <f>+VLOOKUP($E40,'Summary Data'!$A$2:$Q$55,9,FALSE)/(44/12)</f>
        <v>-2.2399400592314649E-2</v>
      </c>
      <c r="J40" s="756">
        <f>+VLOOKUP($E40,'Summary Data'!$A$2:$Q$55,10,FALSE)/(44/12)</f>
        <v>-4.800327807164452E-2</v>
      </c>
      <c r="K40" s="24">
        <f>(IF(AND('Analysis Inputs'!$N$146=1,'Analysis Inputs'!$N$156=1),VLOOKUP($E40,'Summary Data'!$A$1:$Q$55,11,FALSE), IF(AND('Analysis Inputs'!$N$146=1,'Analysis Inputs'!$N$156=2),VLOOKUP($E40,'Summary Data'!$A$1:$Q$55,12, FALSE), IF(AND('Analysis Inputs'!$N$146=2,'Analysis Inputs'!$N$156=1),VLOOKUP($E40,'Summary Data'!$A$1:$Q$55,13,FALSE), IF(AND('Analysis Inputs'!$N$146=2,'Analysis Inputs'!$N$156=2),VLOOKUP($E40,'Summary Data'!$A$1:$Q$55,14,FALSE), 0)))))/(44/12)</f>
        <v>-6.6856723796764762E-3</v>
      </c>
    </row>
    <row r="41" spans="5:11" ht="12.75" customHeight="1" x14ac:dyDescent="0.25">
      <c r="E41" s="7" t="s">
        <v>580</v>
      </c>
      <c r="F41" s="31" t="s">
        <v>503</v>
      </c>
      <c r="G41" s="31" t="s">
        <v>503</v>
      </c>
      <c r="H41" s="18">
        <f>+VLOOKUP($E41,'Summary Data'!$A$2:$Q$55,4,FALSE)/(44/12)</f>
        <v>-5.6101366011262616E-2</v>
      </c>
      <c r="I41" s="18">
        <f>+VLOOKUP($E41,'Summary Data'!$A$2:$Q$55,9,FALSE)/(44/12)</f>
        <v>-2.8723083112126853E-2</v>
      </c>
      <c r="J41" s="756">
        <f>+VLOOKUP($E41,'Summary Data'!$A$2:$Q$55,10,FALSE)/(44/12)</f>
        <v>-3.9903278071644524E-2</v>
      </c>
      <c r="K41" s="24" t="str">
        <f>(IF(AND('Analysis Inputs'!$N$146=2,'Analysis Inputs'!$N$156=1),VLOOKUP($E41,'Summary Data'!$A$1:$Q$55,13,FALSE)*(44/12), IF(AND('Analysis Inputs'!$N$146=2,'Analysis Inputs'!$N$156=2),VLOOKUP($E41,'Summary Data'!$A$1:$Q$55,14, FALSE)*(44/12), "NA")))</f>
        <v>NA</v>
      </c>
    </row>
    <row r="42" spans="5:11" ht="12.75" customHeight="1" x14ac:dyDescent="0.25">
      <c r="E42" s="7" t="s">
        <v>521</v>
      </c>
      <c r="F42" s="31" t="s">
        <v>503</v>
      </c>
      <c r="G42" s="31" t="s">
        <v>503</v>
      </c>
      <c r="H42" s="18">
        <f>+VLOOKUP($E42,'Summary Data'!$A$2:$Q$55,4,FALSE)/(44/12)</f>
        <v>2.3443349500700657E-2</v>
      </c>
      <c r="I42" s="18">
        <f>+VLOOKUP($E42,'Summary Data'!$A$2:$Q$55,9,FALSE)/(44/12)</f>
        <v>-2.8723083112126853E-2</v>
      </c>
      <c r="J42" s="756">
        <f>+VLOOKUP($E42,'Summary Data'!$A$2:$Q$55,10,FALSE)/(44/12)</f>
        <v>-3.9903278071644524E-2</v>
      </c>
      <c r="K42" s="24" t="str">
        <f>(IF(AND('Analysis Inputs'!$N$146=2,'Analysis Inputs'!$N$156=1),VLOOKUP($E42,'Summary Data'!$A$1:$Q$55,13,FALSE)*(44/12), IF(AND('Analysis Inputs'!$N$146=2,'Analysis Inputs'!$N$156=2),VLOOKUP($E42,'Summary Data'!$A$1:$Q$55,14, FALSE)*(44/12), "NA")))</f>
        <v>NA</v>
      </c>
    </row>
    <row r="43" spans="5:11" ht="12.75" customHeight="1" x14ac:dyDescent="0.25">
      <c r="E43" s="7" t="s">
        <v>522</v>
      </c>
      <c r="F43" s="31" t="s">
        <v>503</v>
      </c>
      <c r="G43" s="31" t="s">
        <v>503</v>
      </c>
      <c r="H43" s="18">
        <f>+VLOOKUP($E43,'Summary Data'!$A$2:$Q$55,4,FALSE)/(44/12)</f>
        <v>-0.14947921100580111</v>
      </c>
      <c r="I43" s="18">
        <f>+VLOOKUP($E43,'Summary Data'!$A$2:$Q$55,9,FALSE)/(44/12)</f>
        <v>-2.8723083112126853E-2</v>
      </c>
      <c r="J43" s="756">
        <f>+VLOOKUP($E43,'Summary Data'!$A$2:$Q$55,10,FALSE)/(44/12)</f>
        <v>-3.9903278071644524E-2</v>
      </c>
      <c r="K43" s="24" t="str">
        <f>(IF(AND('Analysis Inputs'!$N$146=2,'Analysis Inputs'!$N$156=1),VLOOKUP($E43,'Summary Data'!$A$1:$Q$55,13,FALSE)*(44/12), IF(AND('Analysis Inputs'!$N$146=2,'Analysis Inputs'!$N$156=2),VLOOKUP($E43,'Summary Data'!$A$1:$Q$55,14, FALSE)*(44/12), "NA")))</f>
        <v>NA</v>
      </c>
    </row>
    <row r="44" spans="5:11" ht="12.75" customHeight="1" x14ac:dyDescent="0.25">
      <c r="E44" s="7" t="s">
        <v>523</v>
      </c>
      <c r="F44" s="31" t="s">
        <v>503</v>
      </c>
      <c r="G44" s="31" t="s">
        <v>503</v>
      </c>
      <c r="H44" s="18">
        <f>+VLOOKUP($E44,'Summary Data'!$A$2:$Q$55,4,FALSE)/(44/12)</f>
        <v>-0.10630839311215541</v>
      </c>
      <c r="I44" s="18">
        <f>+VLOOKUP($E44,'Summary Data'!$A$2:$Q$55,9,FALSE)/(44/12)</f>
        <v>-2.8723083112126853E-2</v>
      </c>
      <c r="J44" s="756">
        <f>+VLOOKUP($E44,'Summary Data'!$A$2:$Q$55,10,FALSE)/(44/12)</f>
        <v>-3.9903278071644524E-2</v>
      </c>
      <c r="K44" s="24" t="str">
        <f>(IF(AND('Analysis Inputs'!$N$146=2,'Analysis Inputs'!$N$156=1),VLOOKUP($E44,'Summary Data'!$A$1:$Q$55,13,FALSE)*(44/12), IF(AND('Analysis Inputs'!$N$146=2,'Analysis Inputs'!$N$156=2),VLOOKUP($E44,'Summary Data'!$A$1:$Q$55,14, FALSE)*(44/12), "NA")))</f>
        <v>NA</v>
      </c>
    </row>
    <row r="45" spans="5:11" ht="12.75" customHeight="1" x14ac:dyDescent="0.25">
      <c r="E45" s="7" t="s">
        <v>583</v>
      </c>
      <c r="F45" s="18">
        <f>+VLOOKUP($E45,'Summary Data'!$A$2:$Q$55,2,FALSE)/(44/12)</f>
        <v>-2.3116860179244085</v>
      </c>
      <c r="G45" s="19">
        <f>+VLOOKUP($E45,'Summary Data'!$A$2:$Q$55,3,FALSE)/(44/12)</f>
        <v>-0.96294483411128151</v>
      </c>
      <c r="H45" s="18">
        <f>+VLOOKUP($E45,'Summary Data'!$A$2:$Q$55,4,FALSE)/(44/12)</f>
        <v>7.8019688702163817E-2</v>
      </c>
      <c r="I45" s="18">
        <f>+VLOOKUP($E45,'Summary Data'!$A$2:$Q$55,9,FALSE)/(44/12)</f>
        <v>-9.1508132666042921E-2</v>
      </c>
      <c r="J45" s="756" t="s">
        <v>503</v>
      </c>
      <c r="K45" s="24" t="s">
        <v>503</v>
      </c>
    </row>
    <row r="46" spans="5:11" ht="12.75" customHeight="1" x14ac:dyDescent="0.25">
      <c r="E46" s="7" t="s">
        <v>584</v>
      </c>
      <c r="F46" s="18">
        <f>+VLOOKUP($E46,'Summary Data'!$A$2:$Q$55,2,FALSE)/(44/12)</f>
        <v>-2.3103929701647892</v>
      </c>
      <c r="G46" s="19">
        <f>+VLOOKUP($E46,'Summary Data'!$A$2:$Q$55,3,FALSE)/(44/12)</f>
        <v>-0.96294483411128151</v>
      </c>
      <c r="H46" s="18">
        <f>+VLOOKUP($E46,'Summary Data'!$A$2:$Q$55,4,FALSE)/(44/12)</f>
        <v>5.8686707648285645E-2</v>
      </c>
      <c r="I46" s="18">
        <f>+VLOOKUP($E46,'Summary Data'!$A$2:$Q$55,9,FALSE)/(44/12)</f>
        <v>-9.106415132819845E-2</v>
      </c>
      <c r="J46" s="756" t="s">
        <v>503</v>
      </c>
      <c r="K46" s="24" t="s">
        <v>503</v>
      </c>
    </row>
    <row r="47" spans="5:11" ht="12.75" customHeight="1" x14ac:dyDescent="0.25">
      <c r="E47" s="7" t="s">
        <v>585</v>
      </c>
      <c r="F47" s="18">
        <f>+VLOOKUP($E47,'Summary Data'!$A$2:$Q$55,2,FALSE)/(44/12)</f>
        <v>-2.3703530579286007</v>
      </c>
      <c r="G47" s="19">
        <f>+VLOOKUP($E47,'Summary Data'!$A$2:$Q$55,3,FALSE)/(44/12)</f>
        <v>-0.97801477268467885</v>
      </c>
      <c r="H47" s="18">
        <f>+VLOOKUP($E47,'Summary Data'!$A$2:$Q$55,4,FALSE)/(44/12)</f>
        <v>6.8144099399012045E-2</v>
      </c>
      <c r="I47" s="18">
        <f>+VLOOKUP($E47,'Summary Data'!$A$2:$Q$55,9,FALSE)/(44/12)</f>
        <v>-8.3114547088873558E-2</v>
      </c>
      <c r="J47" s="756" t="s">
        <v>503</v>
      </c>
      <c r="K47" s="24" t="s">
        <v>503</v>
      </c>
    </row>
    <row r="48" spans="5:11" ht="12.75" customHeight="1" x14ac:dyDescent="0.25">
      <c r="E48" s="117" t="s">
        <v>633</v>
      </c>
      <c r="F48" s="18">
        <f>+VLOOKUP($E48,'Summary Data'!$A$2:$Q$55,2,FALSE)/(44/12)</f>
        <v>-1.701139847015948</v>
      </c>
      <c r="G48" s="19">
        <f>+VLOOKUP($E48,'Summary Data'!$A$2:$Q$55,3,FALSE)/(44/12)</f>
        <v>-1.1837520397136367</v>
      </c>
      <c r="H48" s="18">
        <f>+VLOOKUP($E48,'Summary Data'!$A$2:$Q$55,4,FALSE)/(44/12)</f>
        <v>5.5239597657807402E-3</v>
      </c>
      <c r="I48" s="18">
        <f>+VLOOKUP($E48,'Summary Data'!$A$2:$Q$55,9,FALSE)/(44/12)</f>
        <v>-0.27868766966775915</v>
      </c>
      <c r="J48" s="756" t="s">
        <v>503</v>
      </c>
      <c r="K48" s="24" t="s">
        <v>503</v>
      </c>
    </row>
    <row r="49" spans="5:17" ht="12.75" customHeight="1" x14ac:dyDescent="0.25">
      <c r="E49" s="7" t="s">
        <v>386</v>
      </c>
      <c r="F49" s="18">
        <f>+VLOOKUP($E49,'Summary Data'!$A$2:$Q$55,2,FALSE)/(44/12)</f>
        <v>-0.54132350290572939</v>
      </c>
      <c r="G49" s="19">
        <f>+VLOOKUP($E49,'Summary Data'!$A$2:$Q$55,3,FALSE)/(44/12)</f>
        <v>-0.27895544098195563</v>
      </c>
      <c r="H49" s="18">
        <f>+VLOOKUP($E49,'Summary Data'!$A$2:$Q$55,4,FALSE)/(44/12)</f>
        <v>5.5239597657807402E-3</v>
      </c>
      <c r="I49" s="18">
        <f>+VLOOKUP($E49,'Summary Data'!$A$2:$Q$55,9,FALSE)/(44/12)</f>
        <v>0.42820467956913122</v>
      </c>
      <c r="J49" s="756" t="s">
        <v>503</v>
      </c>
      <c r="K49" s="24" t="s">
        <v>503</v>
      </c>
    </row>
    <row r="50" spans="5:17" ht="12.75" customHeight="1" x14ac:dyDescent="0.25">
      <c r="E50" s="7" t="s">
        <v>272</v>
      </c>
      <c r="F50" s="26" t="s">
        <v>503</v>
      </c>
      <c r="G50" s="19">
        <f>+VLOOKUP($E50,'Summary Data'!$A$2:$Q$55,3,FALSE)/(44/12)</f>
        <v>-0.77044611494288284</v>
      </c>
      <c r="H50" s="18">
        <f>+VLOOKUP($E50,'Summary Data'!$A$2:$Q$55,4,FALSE)/(44/12)</f>
        <v>9.4646971038853611E-2</v>
      </c>
      <c r="I50" s="18">
        <f>+VLOOKUP($E50,'Summary Data'!$A$2:$Q$55,9,FALSE)/(44/12)</f>
        <v>-7.6851524592539994E-2</v>
      </c>
      <c r="J50" s="756" t="s">
        <v>503</v>
      </c>
      <c r="K50" s="24" t="s">
        <v>503</v>
      </c>
    </row>
    <row r="51" spans="5:17" ht="12.75" customHeight="1" x14ac:dyDescent="0.25">
      <c r="E51" s="7" t="s">
        <v>740</v>
      </c>
      <c r="F51" s="18">
        <f>+VLOOKUP($E51,'Summary Data'!$A$2:$Q$55,2,FALSE)/(44/12)</f>
        <v>-0.99717590386453125</v>
      </c>
      <c r="G51" s="31" t="s">
        <v>503</v>
      </c>
      <c r="H51" s="18">
        <f>+VLOOKUP($E51,'Summary Data'!$A$2:$Q$55,4,FALSE)/(44/12)</f>
        <v>0.13127491418968965</v>
      </c>
      <c r="I51" s="18">
        <f>+VLOOKUP($E51,'Summary Data'!$A$2:$Q$55,9,FALSE)/(44/12)</f>
        <v>-2.2399400592314649E-2</v>
      </c>
      <c r="J51" s="756">
        <f>+VLOOKUP($E51,'Summary Data'!$A$2:$Q$55,10,FALSE)/(44/12)</f>
        <v>-4.800327807164452E-2</v>
      </c>
      <c r="K51" s="24">
        <f>(IF(AND('Analysis Inputs'!$N$146=1,'Analysis Inputs'!$N$156=1),VLOOKUP($E51,'Summary Data'!$A$1:$Q$55,11,FALSE), IF(AND('Analysis Inputs'!$N$146=1,'Analysis Inputs'!$N$156=2),VLOOKUP($E51,'Summary Data'!$A$1:$Q$55,12, FALSE), IF(AND('Analysis Inputs'!$N$146=2,'Analysis Inputs'!$N$156=1),VLOOKUP($E51,'Summary Data'!$A$1:$Q$55,13,FALSE), IF(AND('Analysis Inputs'!$N$146=2,'Analysis Inputs'!$N$156=2),VLOOKUP($E51,'Summary Data'!$A$1:$Q$55,14,FALSE), 0)))))/(44/12)</f>
        <v>-6.6856723796764762E-3</v>
      </c>
    </row>
    <row r="52" spans="5:17" ht="12.75" customHeight="1" x14ac:dyDescent="0.25">
      <c r="E52" s="7" t="s">
        <v>385</v>
      </c>
      <c r="F52" s="26" t="s">
        <v>503</v>
      </c>
      <c r="G52" s="31" t="s">
        <v>503</v>
      </c>
      <c r="H52" s="18">
        <f>+VLOOKUP($E52,'Summary Data'!$A$2:$Q$55,4,FALSE)/(44/12)</f>
        <v>4.379615689052082E-2</v>
      </c>
      <c r="I52" s="18">
        <f>+VLOOKUP($E52,'Summary Data'!$A$2:$Q$55,9,FALSE)/(44/12)</f>
        <v>-2.5434342245101313E-2</v>
      </c>
      <c r="J52" s="756">
        <f>+VLOOKUP($E52,'Summary Data'!$A$2:$Q$55,10,FALSE)/(44/12)</f>
        <v>-4.4115823679278535E-2</v>
      </c>
      <c r="K52" s="24" t="str">
        <f>(IF(AND('Analysis Inputs'!$N$146=2,'Analysis Inputs'!$N$156=1),VLOOKUP($E52,'Summary Data'!$A$1:$Q$55,13,FALSE)*(44/12), IF(AND('Analysis Inputs'!$N$146=2,'Analysis Inputs'!$N$156=2),VLOOKUP($E52,'Summary Data'!$A$1:$Q$55,14, FALSE)*(44/12), "NA")))</f>
        <v>NA</v>
      </c>
    </row>
    <row r="53" spans="5:17" ht="12.75" customHeight="1" x14ac:dyDescent="0.25">
      <c r="E53" s="7" t="s">
        <v>574</v>
      </c>
      <c r="F53" s="26" t="s">
        <v>503</v>
      </c>
      <c r="G53" s="31" t="s">
        <v>503</v>
      </c>
      <c r="H53" s="18">
        <f>+VLOOKUP($E53,'Summary Data'!$A$2:$Q$55,4,FALSE)/(44/12)</f>
        <v>0.12025734428435646</v>
      </c>
      <c r="I53" s="18">
        <f>+VLOOKUP($E53,'Summary Data'!$A$2:$Q$55,9,FALSE)/(44/12)</f>
        <v>1.6073199907943935E-2</v>
      </c>
      <c r="J53" s="758" t="s">
        <v>503</v>
      </c>
      <c r="K53" s="24" t="s">
        <v>503</v>
      </c>
    </row>
    <row r="54" spans="5:17" ht="12.75" customHeight="1" x14ac:dyDescent="0.25">
      <c r="E54" s="7" t="s">
        <v>573</v>
      </c>
      <c r="F54" s="18">
        <f>+VLOOKUP($E54,'Summary Data'!$A$2:$Q$55,2,FALSE)/(44/12)</f>
        <v>-1.0414361722185721</v>
      </c>
      <c r="G54" s="19">
        <f>+VLOOKUP($E54,'Summary Data'!$A$2:$Q$55,3,FALSE)/(44/12)</f>
        <v>-0.6430995583726925</v>
      </c>
      <c r="H54" s="18">
        <f>+VLOOKUP($E54,'Summary Data'!$A$2:$Q$55,4,FALSE)/(44/12)</f>
        <v>5.5239597657807402E-3</v>
      </c>
      <c r="I54" s="18">
        <f>+VLOOKUP($E54,'Summary Data'!$A$2:$Q$55,9,FALSE)/(44/12)</f>
        <v>0.34506451035601843</v>
      </c>
      <c r="J54" s="756" t="s">
        <v>503</v>
      </c>
      <c r="K54" s="24" t="s">
        <v>503</v>
      </c>
    </row>
    <row r="55" spans="5:17" ht="12.75" customHeight="1" x14ac:dyDescent="0.25">
      <c r="E55" s="117" t="s">
        <v>423</v>
      </c>
      <c r="F55" s="18">
        <f>+VLOOKUP($E55,'Summary Data'!$A$2:$Q$55,2,FALSE)/(44/12)</f>
        <v>-13.76917190581864</v>
      </c>
      <c r="G55" s="19">
        <f>+VLOOKUP($E55,'Summary Data'!$A$2:$Q$55,3,FALSE)/(44/12)</f>
        <v>-0.68293638444202343</v>
      </c>
      <c r="H55" s="18">
        <f>+VLOOKUP($E55,'Summary Data'!$A$2:$Q$55,4,FALSE)/(44/12)</f>
        <v>5.5239597657807402E-3</v>
      </c>
      <c r="I55" s="18">
        <f>+VLOOKUP($E55,'Summary Data'!$A$2:$Q$55,9,FALSE)/(44/12)</f>
        <v>-4.0807365287846328E-2</v>
      </c>
      <c r="J55" s="756" t="s">
        <v>503</v>
      </c>
      <c r="K55" s="24" t="s">
        <v>503</v>
      </c>
    </row>
    <row r="56" spans="5:17" ht="12.75" customHeight="1" x14ac:dyDescent="0.25">
      <c r="E56" s="117" t="s">
        <v>455</v>
      </c>
      <c r="F56" s="18">
        <f>+VLOOKUP($E56,'Summary Data'!$A$2:$Q$55,2,FALSE)/(44/12)</f>
        <v>-7.4539027255208584E-2</v>
      </c>
      <c r="G56" s="31" t="s">
        <v>503</v>
      </c>
      <c r="H56" s="26">
        <f>+VLOOKUP($E56,'Summary Data'!$A$2:$Q$55,4,FALSE)/(44/12)</f>
        <v>5.5239597657807402E-3</v>
      </c>
      <c r="I56" s="26" t="s">
        <v>503</v>
      </c>
      <c r="J56" s="758" t="s">
        <v>503</v>
      </c>
      <c r="K56" s="24" t="s">
        <v>503</v>
      </c>
    </row>
    <row r="57" spans="5:17" ht="12.75" customHeight="1" x14ac:dyDescent="0.25">
      <c r="E57" s="117" t="s">
        <v>476</v>
      </c>
      <c r="F57" s="26" t="s">
        <v>503</v>
      </c>
      <c r="G57" s="19">
        <f>+VLOOKUP($E57,'Summary Data'!$A$2:$Q$55,3,FALSE)/(44/12)</f>
        <v>-2.169958870754276E-3</v>
      </c>
      <c r="H57" s="26">
        <f>+VLOOKUP($E57,'Summary Data'!$A$2:$Q$55,4,FALSE)/(44/12)</f>
        <v>5.5239597657807402E-3</v>
      </c>
      <c r="I57" s="26" t="s">
        <v>503</v>
      </c>
      <c r="J57" s="758" t="s">
        <v>503</v>
      </c>
      <c r="K57" s="24" t="s">
        <v>503</v>
      </c>
    </row>
    <row r="58" spans="5:17" ht="12.75" customHeight="1" x14ac:dyDescent="0.25">
      <c r="E58" s="117" t="s">
        <v>131</v>
      </c>
      <c r="F58" s="98" t="s">
        <v>503</v>
      </c>
      <c r="G58" s="19">
        <f>+VLOOKUP($E58,'Summary Data'!$A$2:$Q$55,3,FALSE)/(44/12)</f>
        <v>-0.23661113835950459</v>
      </c>
      <c r="H58" s="98">
        <f>+VLOOKUP($E58,'Summary Data'!$A$2:$Q$55,4,FALSE)/(44/12)</f>
        <v>5.5239597657807402E-3</v>
      </c>
      <c r="I58" s="26" t="s">
        <v>503</v>
      </c>
      <c r="J58" s="98" t="s">
        <v>503</v>
      </c>
      <c r="K58" s="24" t="s">
        <v>503</v>
      </c>
    </row>
    <row r="59" spans="5:17" ht="12.75" customHeight="1" x14ac:dyDescent="0.25">
      <c r="E59" s="117" t="s">
        <v>444</v>
      </c>
      <c r="F59" s="18">
        <f>+VLOOKUP($E59,'Summary Data'!$A$2:$Q$55,2,FALSE)/(44/12)</f>
        <v>-1.210320525417826</v>
      </c>
      <c r="G59" s="19">
        <f>+VLOOKUP($E59,'Summary Data'!$A$2:$Q$55,3,FALSE)/(44/12)</f>
        <v>-0.10258922364199848</v>
      </c>
      <c r="H59" s="98">
        <f>+VLOOKUP($E59,'Summary Data'!$A$2:$Q$55,4,FALSE)/(44/12)</f>
        <v>5.5239597657807402E-3</v>
      </c>
      <c r="I59" s="18">
        <f>+VLOOKUP($E59,'Summary Data'!$A$2:$Q$55,9,FALSE)/(44/12)</f>
        <v>0.13795219722062724</v>
      </c>
      <c r="J59" s="98" t="s">
        <v>503</v>
      </c>
      <c r="K59" s="24" t="s">
        <v>503</v>
      </c>
      <c r="O59" s="16"/>
      <c r="P59" s="16"/>
      <c r="Q59" s="16"/>
    </row>
    <row r="60" spans="5:17" ht="12.75" customHeight="1" x14ac:dyDescent="0.25">
      <c r="E60" s="117" t="s">
        <v>53</v>
      </c>
      <c r="F60" s="98">
        <f>+VLOOKUP($E60,'Summary Data'!$A$2:$Q$55,2,FALSE)/(44/12)</f>
        <v>-3.0331185919142949E-2</v>
      </c>
      <c r="G60" s="19">
        <f>+VLOOKUP($E60,'Summary Data'!$A$2:$Q$55,3,FALSE)/(44/12)</f>
        <v>-2.217626213203255E-2</v>
      </c>
      <c r="H60" s="98">
        <f>+VLOOKUP($E60,'Summary Data'!$A$2:$Q$55,4,FALSE)/(44/12)</f>
        <v>5.5239597657807402E-3</v>
      </c>
      <c r="I60" s="26" t="s">
        <v>503</v>
      </c>
      <c r="J60" s="98" t="s">
        <v>503</v>
      </c>
      <c r="K60" s="24" t="s">
        <v>503</v>
      </c>
      <c r="O60" s="16"/>
      <c r="P60" s="16"/>
      <c r="Q60" s="16"/>
    </row>
    <row r="61" spans="5:17" ht="12.75" customHeight="1" x14ac:dyDescent="0.25">
      <c r="E61" s="117" t="s">
        <v>54</v>
      </c>
      <c r="F61" s="98">
        <f>+VLOOKUP($E61,'Summary Data'!$A$2:$Q$55,2,FALSE)/(44/12)</f>
        <v>-5.2804399610034886E-2</v>
      </c>
      <c r="G61" s="19">
        <f>+VLOOKUP($E61,'Summary Data'!$A$2:$Q$55,3,FALSE)/(44/12)</f>
        <v>-2.472561543334011E-2</v>
      </c>
      <c r="H61" s="98">
        <f>+VLOOKUP($E61,'Summary Data'!$A$2:$Q$55,4,FALSE)/(44/12)</f>
        <v>5.5239597657807402E-3</v>
      </c>
      <c r="I61" s="18">
        <f>+VLOOKUP($E61,'Summary Data'!$A$2:$Q$55,9,FALSE)/(44/12)</f>
        <v>-9.6713615541256556E-2</v>
      </c>
      <c r="J61" s="98" t="s">
        <v>503</v>
      </c>
      <c r="K61" s="24" t="s">
        <v>503</v>
      </c>
      <c r="O61" s="16"/>
      <c r="P61" s="16"/>
      <c r="Q61" s="16"/>
    </row>
    <row r="62" spans="5:17" ht="12.75" customHeight="1" x14ac:dyDescent="0.25">
      <c r="E62" s="117" t="s">
        <v>55</v>
      </c>
      <c r="F62" s="98">
        <f>+VLOOKUP($E62,'Summary Data'!$A$2:$Q$55,2,FALSE)/(44/12)</f>
        <v>-5.81584500128643E-2</v>
      </c>
      <c r="G62" s="19">
        <f>+VLOOKUP($E62,'Summary Data'!$A$2:$Q$55,3,FALSE)/(44/12)</f>
        <v>7.7045973837574569E-3</v>
      </c>
      <c r="H62" s="98">
        <f>+VLOOKUP($E62,'Summary Data'!$A$2:$Q$55,4,FALSE)/(44/12)</f>
        <v>-1.6647635279819262E-2</v>
      </c>
      <c r="I62" s="26" t="s">
        <v>503</v>
      </c>
      <c r="J62" s="98" t="s">
        <v>503</v>
      </c>
      <c r="K62" s="24" t="s">
        <v>503</v>
      </c>
      <c r="O62" s="16"/>
      <c r="P62" s="16"/>
      <c r="Q62" s="16"/>
    </row>
    <row r="63" spans="5:17" ht="12.75" customHeight="1" x14ac:dyDescent="0.25">
      <c r="E63" s="117" t="s">
        <v>56</v>
      </c>
      <c r="F63" s="98">
        <f>+VLOOKUP($E63,'Summary Data'!$A$2:$Q$55,2,FALSE)/(44/12)</f>
        <v>-0.13285753860120914</v>
      </c>
      <c r="G63" s="144" t="s">
        <v>503</v>
      </c>
      <c r="H63" s="98">
        <f>+VLOOKUP($E63,'Summary Data'!$A$2:$Q$55,4,FALSE)/(44/12)</f>
        <v>5.5239597657807402E-3</v>
      </c>
      <c r="I63" s="26" t="s">
        <v>503</v>
      </c>
      <c r="J63" s="98" t="s">
        <v>503</v>
      </c>
      <c r="K63" s="24" t="s">
        <v>503</v>
      </c>
      <c r="O63" s="16"/>
      <c r="P63" s="16"/>
      <c r="Q63" s="16"/>
    </row>
    <row r="64" spans="5:17" ht="12.75" customHeight="1" x14ac:dyDescent="0.25">
      <c r="E64" s="117" t="s">
        <v>57</v>
      </c>
      <c r="F64" s="98">
        <f>+VLOOKUP($E64,'Summary Data'!$A$2:$Q$55,2,FALSE)/(44/12)</f>
        <v>-0.16580758515371916</v>
      </c>
      <c r="G64" s="144" t="s">
        <v>503</v>
      </c>
      <c r="H64" s="98">
        <f>+VLOOKUP($E64,'Summary Data'!$A$2:$Q$55,4,FALSE)/(44/12)</f>
        <v>5.5239597657807402E-3</v>
      </c>
      <c r="I64" s="18">
        <f>+VLOOKUP($E64,'Summary Data'!$A$2:$Q$55,9,FALSE)/(44/12)</f>
        <v>-3.6751716302151974E-2</v>
      </c>
      <c r="J64" s="98" t="s">
        <v>503</v>
      </c>
      <c r="K64" s="24" t="s">
        <v>503</v>
      </c>
      <c r="O64" s="16"/>
      <c r="P64" s="16"/>
      <c r="Q64" s="16"/>
    </row>
    <row r="65" spans="2:20" ht="12.75" customHeight="1" thickBot="1" x14ac:dyDescent="0.3">
      <c r="E65" s="70" t="s">
        <v>58</v>
      </c>
      <c r="F65" s="99">
        <f>+VLOOKUP($E65,'Summary Data'!$A$2:$Q$55,2,FALSE)/(44/12)</f>
        <v>-1.1042892590357583</v>
      </c>
      <c r="G65" s="138" t="s">
        <v>503</v>
      </c>
      <c r="H65" s="99">
        <f>+VLOOKUP($E65,'Summary Data'!$A$2:$Q$55,4,FALSE)/(44/12)</f>
        <v>-0.23434393262421918</v>
      </c>
      <c r="I65" s="99">
        <f>+VLOOKUP($E65,'Summary Data'!$A$2:$Q$55,9,FALSE)/(44/12)</f>
        <v>-0.13687975243011702</v>
      </c>
      <c r="J65" s="99" t="s">
        <v>503</v>
      </c>
      <c r="K65" s="749" t="s">
        <v>503</v>
      </c>
      <c r="O65" s="16"/>
      <c r="P65" s="16"/>
      <c r="Q65" s="16"/>
    </row>
    <row r="66" spans="2:20" x14ac:dyDescent="0.25">
      <c r="E66" s="15"/>
      <c r="F66" s="16"/>
      <c r="G66" s="16"/>
      <c r="H66" s="16"/>
      <c r="I66" s="16"/>
      <c r="J66" s="16"/>
      <c r="K66" s="16"/>
      <c r="L66" s="16"/>
      <c r="M66" s="16"/>
      <c r="N66" s="16"/>
      <c r="O66" s="2"/>
      <c r="P66" s="1"/>
      <c r="Q66" s="2"/>
      <c r="R66" s="2"/>
      <c r="S66" s="2"/>
    </row>
    <row r="67" spans="2:20" ht="13.5" thickBot="1" x14ac:dyDescent="0.35">
      <c r="E67" s="741" t="s">
        <v>524</v>
      </c>
      <c r="F67" s="2"/>
      <c r="G67" s="2"/>
      <c r="H67" s="2"/>
      <c r="I67" s="2"/>
      <c r="J67" s="2"/>
      <c r="K67" s="2"/>
      <c r="L67" s="2"/>
      <c r="M67" s="2"/>
      <c r="N67" s="2"/>
      <c r="O67" s="665"/>
      <c r="P67" s="1"/>
      <c r="Q67" s="2"/>
      <c r="R67" s="2"/>
      <c r="S67" s="2"/>
    </row>
    <row r="68" spans="2:20" ht="22" x14ac:dyDescent="0.25">
      <c r="B68" t="s">
        <v>11</v>
      </c>
      <c r="C68" t="s">
        <v>12</v>
      </c>
      <c r="D68" t="s">
        <v>13</v>
      </c>
      <c r="E68" s="58" t="s">
        <v>496</v>
      </c>
      <c r="F68" s="59" t="s">
        <v>525</v>
      </c>
      <c r="G68" s="60" t="s">
        <v>851</v>
      </c>
      <c r="H68" s="61" t="s">
        <v>805</v>
      </c>
      <c r="I68" s="61" t="s">
        <v>847</v>
      </c>
      <c r="J68" s="61" t="s">
        <v>806</v>
      </c>
      <c r="K68" s="61" t="s">
        <v>848</v>
      </c>
      <c r="L68" s="61" t="s">
        <v>807</v>
      </c>
      <c r="M68" s="60" t="s">
        <v>849</v>
      </c>
      <c r="N68" s="61" t="s">
        <v>802</v>
      </c>
      <c r="O68" s="60" t="s">
        <v>850</v>
      </c>
      <c r="P68" s="750" t="s">
        <v>803</v>
      </c>
      <c r="Q68" s="62" t="s">
        <v>804</v>
      </c>
    </row>
    <row r="69" spans="2:20" ht="12.75" customHeight="1" x14ac:dyDescent="0.25">
      <c r="B69" s="47">
        <f>IF(SUM(G69,I69,K69,M69,O69)=0,0,1)</f>
        <v>1</v>
      </c>
      <c r="C69" s="47">
        <f>B69</f>
        <v>1</v>
      </c>
      <c r="D69">
        <f>C69*B69</f>
        <v>1</v>
      </c>
      <c r="E69" s="7" t="s">
        <v>515</v>
      </c>
      <c r="F69" s="200">
        <f>VLOOKUP($E69,'Analysis Inputs'!$D$14:$M$67,10,FALSE)</f>
        <v>2581.9310711278504</v>
      </c>
      <c r="G69" s="203">
        <f>VLOOKUP($E69,'Analysis Inputs'!$D$14:$M$67,4,FALSE)</f>
        <v>0</v>
      </c>
      <c r="H69" s="201">
        <f t="shared" ref="H69:H74" si="0">+G69*G12</f>
        <v>0</v>
      </c>
      <c r="I69" s="200">
        <f>VLOOKUP($E69,'Analysis Inputs'!$D$14:$M$67,5,FALSE)</f>
        <v>2581.9310711278504</v>
      </c>
      <c r="J69" s="200">
        <f t="shared" ref="J69:J100" si="1">+I69*H12</f>
        <v>14.262483354929415</v>
      </c>
      <c r="K69" s="202">
        <f>VLOOKUP($E69,'Analysis Inputs'!$D$14:$M$67,6,FALSE)</f>
        <v>0</v>
      </c>
      <c r="L69" s="200">
        <f t="shared" ref="L69:L112" si="2">+K69*I12</f>
        <v>0</v>
      </c>
      <c r="M69" s="202" t="str">
        <f>VLOOKUP($E69,'Analysis Inputs'!$D$14:$M$67,7,FALSE)</f>
        <v>NA</v>
      </c>
      <c r="N69" s="202" t="s">
        <v>503</v>
      </c>
      <c r="O69" s="699" t="str">
        <f>VLOOKUP($E69,'Analysis Inputs'!$D$14:$U$67,8,FALSE)</f>
        <v>NA</v>
      </c>
      <c r="P69" s="702" t="s">
        <v>503</v>
      </c>
      <c r="Q69" s="405">
        <f t="shared" ref="Q69:Q122" si="3">IF(P69="INPUT ERROR","INPUT ERROR",SUM(H69,J69,L69,N69,P69))</f>
        <v>14.262483354929415</v>
      </c>
      <c r="S69" s="47"/>
      <c r="T69" s="32"/>
    </row>
    <row r="70" spans="2:20" ht="12.75" customHeight="1" x14ac:dyDescent="0.25">
      <c r="B70" s="47">
        <f t="shared" ref="B70:B122" si="4">IF(SUM(G70,I70,K70,M70,O70)=0,0,1)</f>
        <v>1</v>
      </c>
      <c r="C70" s="47">
        <f>B70+C69</f>
        <v>2</v>
      </c>
      <c r="D70">
        <f>C70*B70</f>
        <v>2</v>
      </c>
      <c r="E70" s="7" t="s">
        <v>84</v>
      </c>
      <c r="F70" s="200">
        <f>VLOOKUP($E70,'Analysis Inputs'!$D$14:$M$67,10,FALSE)</f>
        <v>1647.4287121844873</v>
      </c>
      <c r="G70" s="203">
        <f>VLOOKUP($E70,'Analysis Inputs'!$D$14:$M$67,4,FALSE)</f>
        <v>0</v>
      </c>
      <c r="H70" s="201">
        <f t="shared" si="0"/>
        <v>0</v>
      </c>
      <c r="I70" s="200">
        <f>VLOOKUP($E70,'Analysis Inputs'!$D$14:$M$67,5,FALSE)</f>
        <v>1647.4287121844873</v>
      </c>
      <c r="J70" s="200">
        <f t="shared" si="1"/>
        <v>9.1003299230990873</v>
      </c>
      <c r="K70" s="202">
        <f>VLOOKUP($E70,'Analysis Inputs'!$D$14:$M$67,6,FALSE)</f>
        <v>0</v>
      </c>
      <c r="L70" s="200">
        <f t="shared" si="2"/>
        <v>0</v>
      </c>
      <c r="M70" s="202" t="str">
        <f>VLOOKUP($E70,'Analysis Inputs'!$D$14:$M$67,7,FALSE)</f>
        <v>NA</v>
      </c>
      <c r="N70" s="202" t="s">
        <v>503</v>
      </c>
      <c r="O70" s="700" t="str">
        <f>VLOOKUP($E70,'Analysis Inputs'!$D$14:$U$67,8,FALSE)</f>
        <v>NA</v>
      </c>
      <c r="P70" s="703" t="s">
        <v>503</v>
      </c>
      <c r="Q70" s="405">
        <f t="shared" si="3"/>
        <v>9.1003299230990873</v>
      </c>
      <c r="S70" s="47"/>
      <c r="T70" s="32"/>
    </row>
    <row r="71" spans="2:20" ht="12.75" customHeight="1" x14ac:dyDescent="0.25">
      <c r="B71" s="47">
        <f t="shared" si="4"/>
        <v>1</v>
      </c>
      <c r="C71" s="47">
        <f t="shared" ref="C71:C89" si="5">B71+C70</f>
        <v>3</v>
      </c>
      <c r="D71">
        <f t="shared" ref="D71:D89" si="6">C71*B71</f>
        <v>3</v>
      </c>
      <c r="E71" s="7" t="s">
        <v>516</v>
      </c>
      <c r="F71" s="200">
        <f>VLOOKUP($E71,'Analysis Inputs'!$D$14:$M$67,10,FALSE)</f>
        <v>4001.7125772610179</v>
      </c>
      <c r="G71" s="203">
        <f>VLOOKUP($E71,'Analysis Inputs'!$D$14:$M$67,4,FALSE)</f>
        <v>0</v>
      </c>
      <c r="H71" s="201">
        <f t="shared" si="0"/>
        <v>0</v>
      </c>
      <c r="I71" s="200">
        <f>VLOOKUP($E71,'Analysis Inputs'!$D$14:$M$67,5,FALSE)</f>
        <v>4001.7125772610179</v>
      </c>
      <c r="J71" s="200">
        <f t="shared" si="1"/>
        <v>22.105299271008615</v>
      </c>
      <c r="K71" s="202">
        <f>VLOOKUP($E71,'Analysis Inputs'!$D$14:$M$67,6,FALSE)</f>
        <v>0</v>
      </c>
      <c r="L71" s="200">
        <f t="shared" si="2"/>
        <v>0</v>
      </c>
      <c r="M71" s="202" t="str">
        <f>VLOOKUP($E71,'Analysis Inputs'!$D$14:$M$67,7,FALSE)</f>
        <v>NA</v>
      </c>
      <c r="N71" s="202" t="s">
        <v>503</v>
      </c>
      <c r="O71" s="700" t="str">
        <f>VLOOKUP($E71,'Analysis Inputs'!$D$14:$U$67,8,FALSE)</f>
        <v>NA</v>
      </c>
      <c r="P71" s="703" t="s">
        <v>503</v>
      </c>
      <c r="Q71" s="405">
        <f t="shared" si="3"/>
        <v>22.105299271008615</v>
      </c>
      <c r="S71" s="47"/>
      <c r="T71" s="32"/>
    </row>
    <row r="72" spans="2:20" ht="12.75" customHeight="1" x14ac:dyDescent="0.25">
      <c r="B72" s="47">
        <f t="shared" si="4"/>
        <v>0</v>
      </c>
      <c r="C72" s="47">
        <f t="shared" si="5"/>
        <v>3</v>
      </c>
      <c r="D72">
        <f t="shared" si="6"/>
        <v>0</v>
      </c>
      <c r="E72" s="7" t="s">
        <v>438</v>
      </c>
      <c r="F72" s="200">
        <f>VLOOKUP($E72,'Analysis Inputs'!$D$14:$M$67,10,FALSE)</f>
        <v>0</v>
      </c>
      <c r="G72" s="203">
        <f>VLOOKUP($E72,'Analysis Inputs'!$D$14:$M$67,4,FALSE)</f>
        <v>0</v>
      </c>
      <c r="H72" s="201">
        <f t="shared" si="0"/>
        <v>0</v>
      </c>
      <c r="I72" s="200">
        <f>VLOOKUP($E72,'Analysis Inputs'!$D$14:$M$67,5,FALSE)</f>
        <v>0</v>
      </c>
      <c r="J72" s="200">
        <f t="shared" si="1"/>
        <v>0</v>
      </c>
      <c r="K72" s="202">
        <f>VLOOKUP($E72,'Analysis Inputs'!$D$14:$M$67,6,FALSE)</f>
        <v>0</v>
      </c>
      <c r="L72" s="200">
        <f t="shared" si="2"/>
        <v>0</v>
      </c>
      <c r="M72" s="202" t="str">
        <f>VLOOKUP($E72,'Analysis Inputs'!$D$14:$M$67,7,FALSE)</f>
        <v>NA</v>
      </c>
      <c r="N72" s="202" t="s">
        <v>503</v>
      </c>
      <c r="O72" s="700" t="str">
        <f>VLOOKUP($E72,'Analysis Inputs'!$D$14:$U$67,8,FALSE)</f>
        <v>NA</v>
      </c>
      <c r="P72" s="703" t="s">
        <v>503</v>
      </c>
      <c r="Q72" s="405">
        <f t="shared" si="3"/>
        <v>0</v>
      </c>
      <c r="S72" s="47"/>
      <c r="T72" s="32"/>
    </row>
    <row r="73" spans="2:20" ht="12.75" customHeight="1" x14ac:dyDescent="0.25">
      <c r="B73" s="47">
        <f t="shared" si="4"/>
        <v>1</v>
      </c>
      <c r="C73" s="47">
        <f t="shared" si="5"/>
        <v>4</v>
      </c>
      <c r="D73">
        <f t="shared" si="6"/>
        <v>4</v>
      </c>
      <c r="E73" s="7" t="s">
        <v>517</v>
      </c>
      <c r="F73" s="200">
        <f>VLOOKUP($E73,'Analysis Inputs'!$D$14:$M$67,10,FALSE)</f>
        <v>22379.467981121063</v>
      </c>
      <c r="G73" s="203">
        <f>VLOOKUP($E73,'Analysis Inputs'!$D$14:$M$67,4,FALSE)</f>
        <v>0</v>
      </c>
      <c r="H73" s="201">
        <f t="shared" si="0"/>
        <v>0</v>
      </c>
      <c r="I73" s="200">
        <f>VLOOKUP($E73,'Analysis Inputs'!$D$14:$M$67,5,FALSE)</f>
        <v>22379.467981121063</v>
      </c>
      <c r="J73" s="200">
        <f t="shared" si="1"/>
        <v>123.62328070729107</v>
      </c>
      <c r="K73" s="202">
        <f>VLOOKUP($E73,'Analysis Inputs'!$D$14:$M$67,6,FALSE)</f>
        <v>0</v>
      </c>
      <c r="L73" s="200">
        <f t="shared" si="2"/>
        <v>0</v>
      </c>
      <c r="M73" s="202" t="str">
        <f>VLOOKUP($E73,'Analysis Inputs'!$D$14:$M$67,7,FALSE)</f>
        <v>NA</v>
      </c>
      <c r="N73" s="202" t="s">
        <v>503</v>
      </c>
      <c r="O73" s="700" t="str">
        <f>VLOOKUP($E73,'Analysis Inputs'!$D$14:$U$67,8,FALSE)</f>
        <v>NA</v>
      </c>
      <c r="P73" s="703" t="s">
        <v>503</v>
      </c>
      <c r="Q73" s="405">
        <f t="shared" si="3"/>
        <v>123.62328070729107</v>
      </c>
      <c r="S73" s="47"/>
      <c r="T73" s="32"/>
    </row>
    <row r="74" spans="2:20" ht="12.75" customHeight="1" x14ac:dyDescent="0.25">
      <c r="B74" s="47">
        <f t="shared" si="4"/>
        <v>1</v>
      </c>
      <c r="C74" s="47">
        <f t="shared" si="5"/>
        <v>5</v>
      </c>
      <c r="D74">
        <f t="shared" si="6"/>
        <v>5</v>
      </c>
      <c r="E74" s="7" t="s">
        <v>518</v>
      </c>
      <c r="F74" s="200">
        <f>VLOOKUP($E74,'Analysis Inputs'!$D$14:$M$67,10,FALSE)</f>
        <v>4378.1563584420928</v>
      </c>
      <c r="G74" s="203">
        <f>VLOOKUP($E74,'Analysis Inputs'!$D$14:$M$67,4,FALSE)</f>
        <v>0</v>
      </c>
      <c r="H74" s="201">
        <f t="shared" si="0"/>
        <v>0</v>
      </c>
      <c r="I74" s="200">
        <f>VLOOKUP($E74,'Analysis Inputs'!$D$14:$M$67,5,FALSE)</f>
        <v>4378.1563584420928</v>
      </c>
      <c r="J74" s="200">
        <f t="shared" si="1"/>
        <v>24.184759572331242</v>
      </c>
      <c r="K74" s="202">
        <f>VLOOKUP($E74,'Analysis Inputs'!$D$14:$M$67,6,FALSE)</f>
        <v>0</v>
      </c>
      <c r="L74" s="200">
        <f t="shared" si="2"/>
        <v>0</v>
      </c>
      <c r="M74" s="202" t="str">
        <f>VLOOKUP($E74,'Analysis Inputs'!$D$14:$M$67,7,FALSE)</f>
        <v>NA</v>
      </c>
      <c r="N74" s="202" t="s">
        <v>503</v>
      </c>
      <c r="O74" s="700" t="str">
        <f>VLOOKUP($E74,'Analysis Inputs'!$D$14:$U$67,8,FALSE)</f>
        <v>NA</v>
      </c>
      <c r="P74" s="703" t="s">
        <v>503</v>
      </c>
      <c r="Q74" s="405">
        <f t="shared" si="3"/>
        <v>24.184759572331242</v>
      </c>
      <c r="S74" s="47"/>
      <c r="T74" s="32"/>
    </row>
    <row r="75" spans="2:20" ht="12.75" customHeight="1" x14ac:dyDescent="0.25">
      <c r="B75" s="47">
        <f t="shared" si="4"/>
        <v>1</v>
      </c>
      <c r="C75" s="47">
        <f t="shared" si="5"/>
        <v>6</v>
      </c>
      <c r="D75">
        <f t="shared" si="6"/>
        <v>6</v>
      </c>
      <c r="E75" s="7" t="s">
        <v>519</v>
      </c>
      <c r="F75" s="200">
        <f>VLOOKUP($E75,'Analysis Inputs'!$D$14:$M$67,10,FALSE)</f>
        <v>4168.741080644736</v>
      </c>
      <c r="G75" s="203" t="str">
        <f>VLOOKUP($E75,'Analysis Inputs'!$D$14:$M$67,4,FALSE)</f>
        <v>NA</v>
      </c>
      <c r="H75" s="203" t="s">
        <v>503</v>
      </c>
      <c r="I75" s="200">
        <f>VLOOKUP($E75,'Analysis Inputs'!$D$14:$M$67,5,FALSE)</f>
        <v>4168.741080644736</v>
      </c>
      <c r="J75" s="200">
        <f t="shared" si="1"/>
        <v>23.027958003438847</v>
      </c>
      <c r="K75" s="202">
        <f>VLOOKUP($E75,'Analysis Inputs'!$D$14:$M$67,6,FALSE)</f>
        <v>0</v>
      </c>
      <c r="L75" s="200">
        <f t="shared" si="2"/>
        <v>0</v>
      </c>
      <c r="M75" s="202" t="str">
        <f>VLOOKUP($E75,'Analysis Inputs'!$D$14:$M$67,7,FALSE)</f>
        <v>NA</v>
      </c>
      <c r="N75" s="202" t="s">
        <v>503</v>
      </c>
      <c r="O75" s="700" t="str">
        <f>VLOOKUP($E75,'Analysis Inputs'!$D$14:$U$67,8,FALSE)</f>
        <v>NA</v>
      </c>
      <c r="P75" s="703" t="s">
        <v>503</v>
      </c>
      <c r="Q75" s="405">
        <f t="shared" si="3"/>
        <v>23.027958003438847</v>
      </c>
      <c r="S75" s="47"/>
      <c r="T75" s="32"/>
    </row>
    <row r="76" spans="2:20" ht="12.75" customHeight="1" x14ac:dyDescent="0.25">
      <c r="B76" s="47">
        <f t="shared" si="4"/>
        <v>1</v>
      </c>
      <c r="C76" s="47">
        <f t="shared" si="5"/>
        <v>7</v>
      </c>
      <c r="D76">
        <f t="shared" si="6"/>
        <v>7</v>
      </c>
      <c r="E76" s="7" t="s">
        <v>520</v>
      </c>
      <c r="F76" s="200">
        <f>VLOOKUP($E76,'Analysis Inputs'!$D$14:$M$67,10,FALSE)</f>
        <v>7088.1162615431676</v>
      </c>
      <c r="G76" s="203">
        <f>VLOOKUP($E76,'Analysis Inputs'!$D$14:$M$67,4,FALSE)</f>
        <v>0</v>
      </c>
      <c r="H76" s="201">
        <f>+G76*G19</f>
        <v>0</v>
      </c>
      <c r="I76" s="200">
        <f>VLOOKUP($E76,'Analysis Inputs'!$D$14:$M$67,5,FALSE)</f>
        <v>7088.1162615431676</v>
      </c>
      <c r="J76" s="200">
        <f t="shared" si="1"/>
        <v>39.154469043940651</v>
      </c>
      <c r="K76" s="202">
        <f>VLOOKUP($E76,'Analysis Inputs'!$D$14:$M$67,6,FALSE)</f>
        <v>0</v>
      </c>
      <c r="L76" s="200">
        <f t="shared" si="2"/>
        <v>0</v>
      </c>
      <c r="M76" s="202" t="str">
        <f>VLOOKUP($E76,'Analysis Inputs'!$D$14:$M$67,7,FALSE)</f>
        <v>NA</v>
      </c>
      <c r="N76" s="202" t="s">
        <v>503</v>
      </c>
      <c r="O76" s="700" t="str">
        <f>VLOOKUP($E76,'Analysis Inputs'!$D$14:$U$67,8,FALSE)</f>
        <v>NA</v>
      </c>
      <c r="P76" s="703" t="s">
        <v>503</v>
      </c>
      <c r="Q76" s="405">
        <f t="shared" si="3"/>
        <v>39.154469043940651</v>
      </c>
      <c r="S76" s="47"/>
      <c r="T76" s="32"/>
    </row>
    <row r="77" spans="2:20" ht="12.75" customHeight="1" x14ac:dyDescent="0.25">
      <c r="B77" s="47">
        <f t="shared" si="4"/>
        <v>1</v>
      </c>
      <c r="C77" s="47">
        <f t="shared" si="5"/>
        <v>8</v>
      </c>
      <c r="D77">
        <f t="shared" si="6"/>
        <v>8</v>
      </c>
      <c r="E77" s="7" t="s">
        <v>86</v>
      </c>
      <c r="F77" s="200">
        <f>VLOOKUP($E77,'Analysis Inputs'!$D$14:$M$67,10,FALSE)</f>
        <v>12601.65494719689</v>
      </c>
      <c r="G77" s="203" t="str">
        <f>VLOOKUP($E77,'Analysis Inputs'!$D$14:$M$67,4,FALSE)</f>
        <v>NA</v>
      </c>
      <c r="H77" s="203" t="s">
        <v>503</v>
      </c>
      <c r="I77" s="200">
        <f>VLOOKUP($E77,'Analysis Inputs'!$D$14:$M$67,5,FALSE)</f>
        <v>12601.65494719689</v>
      </c>
      <c r="J77" s="200">
        <f t="shared" si="1"/>
        <v>69.61103491056744</v>
      </c>
      <c r="K77" s="202">
        <f>VLOOKUP($E77,'Analysis Inputs'!$D$14:$M$67,6,FALSE)</f>
        <v>0</v>
      </c>
      <c r="L77" s="200">
        <f t="shared" si="2"/>
        <v>0</v>
      </c>
      <c r="M77" s="202" t="str">
        <f>VLOOKUP($E77,'Analysis Inputs'!$D$14:$M$67,7,FALSE)</f>
        <v>NA</v>
      </c>
      <c r="N77" s="202" t="s">
        <v>503</v>
      </c>
      <c r="O77" s="700" t="str">
        <f>VLOOKUP($E77,'Analysis Inputs'!$D$14:$U$67,8,FALSE)</f>
        <v>NA</v>
      </c>
      <c r="P77" s="703" t="s">
        <v>503</v>
      </c>
      <c r="Q77" s="405">
        <f t="shared" si="3"/>
        <v>69.61103491056744</v>
      </c>
      <c r="S77" s="47"/>
      <c r="T77" s="32"/>
    </row>
    <row r="78" spans="2:20" ht="12.75" customHeight="1" x14ac:dyDescent="0.25">
      <c r="B78" s="47">
        <f t="shared" si="4"/>
        <v>0</v>
      </c>
      <c r="C78" s="47">
        <f t="shared" si="5"/>
        <v>8</v>
      </c>
      <c r="D78">
        <f t="shared" si="6"/>
        <v>0</v>
      </c>
      <c r="E78" s="7" t="s">
        <v>87</v>
      </c>
      <c r="F78" s="200">
        <f>VLOOKUP($E78,'Analysis Inputs'!$D$14:$M$67,10,FALSE)</f>
        <v>0</v>
      </c>
      <c r="G78" s="203" t="str">
        <f>VLOOKUP($E78,'Analysis Inputs'!$D$14:$M$67,4,FALSE)</f>
        <v>NA</v>
      </c>
      <c r="H78" s="203" t="s">
        <v>503</v>
      </c>
      <c r="I78" s="200">
        <f>VLOOKUP($E78,'Analysis Inputs'!$D$14:$M$67,5,FALSE)</f>
        <v>0</v>
      </c>
      <c r="J78" s="200">
        <f t="shared" si="1"/>
        <v>0</v>
      </c>
      <c r="K78" s="202">
        <f>VLOOKUP($E78,'Analysis Inputs'!$D$14:$M$67,6,FALSE)</f>
        <v>0</v>
      </c>
      <c r="L78" s="200">
        <f t="shared" si="2"/>
        <v>0</v>
      </c>
      <c r="M78" s="202" t="str">
        <f>VLOOKUP($E78,'Analysis Inputs'!$D$14:$M$67,7,FALSE)</f>
        <v>NA</v>
      </c>
      <c r="N78" s="202" t="s">
        <v>503</v>
      </c>
      <c r="O78" s="700" t="str">
        <f>VLOOKUP($E78,'Analysis Inputs'!$D$14:$U$67,8,FALSE)</f>
        <v>NA</v>
      </c>
      <c r="P78" s="703" t="s">
        <v>503</v>
      </c>
      <c r="Q78" s="405">
        <f t="shared" si="3"/>
        <v>0</v>
      </c>
      <c r="S78" s="47"/>
      <c r="T78" s="32"/>
    </row>
    <row r="79" spans="2:20" ht="12.75" customHeight="1" x14ac:dyDescent="0.25">
      <c r="B79" s="47">
        <f t="shared" si="4"/>
        <v>1</v>
      </c>
      <c r="C79" s="47">
        <f t="shared" si="5"/>
        <v>9</v>
      </c>
      <c r="D79">
        <f t="shared" si="6"/>
        <v>9</v>
      </c>
      <c r="E79" s="7" t="s">
        <v>88</v>
      </c>
      <c r="F79" s="200">
        <f>VLOOKUP($E79,'Analysis Inputs'!$D$14:$M$67,10,FALSE)</f>
        <v>5327.0221948308408</v>
      </c>
      <c r="G79" s="203" t="str">
        <f>VLOOKUP($E79,'Analysis Inputs'!$D$14:$M$67,4,FALSE)</f>
        <v>NA</v>
      </c>
      <c r="H79" s="203" t="s">
        <v>503</v>
      </c>
      <c r="I79" s="200">
        <f>VLOOKUP($E79,'Analysis Inputs'!$D$14:$M$67,5,FALSE)</f>
        <v>5327.0221948308408</v>
      </c>
      <c r="J79" s="200">
        <f t="shared" si="1"/>
        <v>29.426256275666574</v>
      </c>
      <c r="K79" s="202">
        <f>VLOOKUP($E79,'Analysis Inputs'!$D$14:$M$67,6,FALSE)</f>
        <v>0</v>
      </c>
      <c r="L79" s="200">
        <f t="shared" si="2"/>
        <v>0</v>
      </c>
      <c r="M79" s="202" t="str">
        <f>VLOOKUP($E79,'Analysis Inputs'!$D$14:$M$67,7,FALSE)</f>
        <v>NA</v>
      </c>
      <c r="N79" s="202" t="s">
        <v>503</v>
      </c>
      <c r="O79" s="700" t="str">
        <f>VLOOKUP($E79,'Analysis Inputs'!$D$14:$U$67,8,FALSE)</f>
        <v>NA</v>
      </c>
      <c r="P79" s="703" t="s">
        <v>503</v>
      </c>
      <c r="Q79" s="405">
        <f t="shared" si="3"/>
        <v>29.426256275666574</v>
      </c>
      <c r="S79" s="47"/>
      <c r="T79" s="32"/>
    </row>
    <row r="80" spans="2:20" ht="12.75" customHeight="1" x14ac:dyDescent="0.25">
      <c r="B80" s="47">
        <f t="shared" si="4"/>
        <v>0</v>
      </c>
      <c r="C80" s="47">
        <f t="shared" si="5"/>
        <v>9</v>
      </c>
      <c r="D80">
        <f t="shared" si="6"/>
        <v>0</v>
      </c>
      <c r="E80" s="7" t="s">
        <v>89</v>
      </c>
      <c r="F80" s="200">
        <f>VLOOKUP($E80,'Analysis Inputs'!$D$14:$M$67,10,FALSE)</f>
        <v>0</v>
      </c>
      <c r="G80" s="203" t="str">
        <f>VLOOKUP($E80,'Analysis Inputs'!$D$14:$M$67,4,FALSE)</f>
        <v>NA</v>
      </c>
      <c r="H80" s="203" t="s">
        <v>503</v>
      </c>
      <c r="I80" s="200">
        <f>VLOOKUP($E80,'Analysis Inputs'!$D$14:$M$67,5,FALSE)</f>
        <v>0</v>
      </c>
      <c r="J80" s="200">
        <f t="shared" si="1"/>
        <v>0</v>
      </c>
      <c r="K80" s="202">
        <f>VLOOKUP($E80,'Analysis Inputs'!$D$14:$M$67,6,FALSE)</f>
        <v>0</v>
      </c>
      <c r="L80" s="200">
        <f t="shared" si="2"/>
        <v>0</v>
      </c>
      <c r="M80" s="202" t="str">
        <f>VLOOKUP($E80,'Analysis Inputs'!$D$14:$M$67,7,FALSE)</f>
        <v>NA</v>
      </c>
      <c r="N80" s="202" t="s">
        <v>503</v>
      </c>
      <c r="O80" s="700" t="str">
        <f>VLOOKUP($E80,'Analysis Inputs'!$D$14:$U$67,8,FALSE)</f>
        <v>NA</v>
      </c>
      <c r="P80" s="703" t="s">
        <v>503</v>
      </c>
      <c r="Q80" s="405">
        <f t="shared" si="3"/>
        <v>0</v>
      </c>
      <c r="S80" s="47"/>
      <c r="T80" s="32"/>
    </row>
    <row r="81" spans="2:20" ht="12.75" customHeight="1" x14ac:dyDescent="0.25">
      <c r="B81" s="47">
        <f t="shared" si="4"/>
        <v>0</v>
      </c>
      <c r="C81" s="47">
        <f t="shared" si="5"/>
        <v>9</v>
      </c>
      <c r="D81">
        <f t="shared" si="6"/>
        <v>0</v>
      </c>
      <c r="E81" s="7" t="s">
        <v>85</v>
      </c>
      <c r="F81" s="200">
        <f>VLOOKUP($E81,'Analysis Inputs'!$D$14:$M$67,10,FALSE)</f>
        <v>0</v>
      </c>
      <c r="G81" s="203" t="str">
        <f>VLOOKUP($E81,'Analysis Inputs'!$D$14:$M$67,4,FALSE)</f>
        <v>NA</v>
      </c>
      <c r="H81" s="203" t="s">
        <v>503</v>
      </c>
      <c r="I81" s="200">
        <f>VLOOKUP($E81,'Analysis Inputs'!$D$14:$M$67,5,FALSE)</f>
        <v>0</v>
      </c>
      <c r="J81" s="200">
        <f t="shared" si="1"/>
        <v>0</v>
      </c>
      <c r="K81" s="202">
        <f>VLOOKUP($E81,'Analysis Inputs'!$D$14:$M$67,6,FALSE)</f>
        <v>0</v>
      </c>
      <c r="L81" s="200">
        <f t="shared" si="2"/>
        <v>0</v>
      </c>
      <c r="M81" s="202">
        <f>VLOOKUP($E81,'Analysis Inputs'!$D$14:$M$67,7,FALSE)</f>
        <v>0</v>
      </c>
      <c r="N81" s="200">
        <f>+M81*J24</f>
        <v>0</v>
      </c>
      <c r="O81" s="700" t="str">
        <f>VLOOKUP($E81,'Analysis Inputs'!$D$14:$U$67,8,FALSE)</f>
        <v>NA</v>
      </c>
      <c r="P81" s="703" t="s">
        <v>503</v>
      </c>
      <c r="Q81" s="405">
        <f t="shared" si="3"/>
        <v>0</v>
      </c>
      <c r="S81" s="47"/>
      <c r="T81" s="32"/>
    </row>
    <row r="82" spans="2:20" ht="12.75" customHeight="1" x14ac:dyDescent="0.25">
      <c r="B82" s="47">
        <f t="shared" si="4"/>
        <v>1</v>
      </c>
      <c r="C82" s="47">
        <f t="shared" si="5"/>
        <v>10</v>
      </c>
      <c r="D82">
        <f t="shared" si="6"/>
        <v>10</v>
      </c>
      <c r="E82" s="7" t="s">
        <v>59</v>
      </c>
      <c r="F82" s="200">
        <f>VLOOKUP($E82,'Analysis Inputs'!$D$14:$M$67,10,FALSE)</f>
        <v>27908.476920644473</v>
      </c>
      <c r="G82" s="203">
        <f>VLOOKUP($E82,'Analysis Inputs'!$D$14:$M$67,4,FALSE)</f>
        <v>0</v>
      </c>
      <c r="H82" s="201">
        <f t="shared" ref="H82:H89" si="7">+G82*G25</f>
        <v>0</v>
      </c>
      <c r="I82" s="200">
        <f>VLOOKUP($E82,'Analysis Inputs'!$D$14:$M$67,5,FALSE)</f>
        <v>27908.476920644473</v>
      </c>
      <c r="J82" s="200">
        <f t="shared" si="1"/>
        <v>3386.3373214084127</v>
      </c>
      <c r="K82" s="202">
        <f>VLOOKUP($E82,'Analysis Inputs'!$D$14:$M$67,6,FALSE)</f>
        <v>0</v>
      </c>
      <c r="L82" s="200">
        <f t="shared" si="2"/>
        <v>0</v>
      </c>
      <c r="M82" s="202" t="str">
        <f>VLOOKUP($E82,'Analysis Inputs'!$D$14:$M$67,7,FALSE)</f>
        <v>NA</v>
      </c>
      <c r="N82" s="202" t="s">
        <v>503</v>
      </c>
      <c r="O82" s="700" t="str">
        <f>VLOOKUP($E82,'Analysis Inputs'!$D$14:$U$67,8,FALSE)</f>
        <v>NA</v>
      </c>
      <c r="P82" s="703" t="s">
        <v>503</v>
      </c>
      <c r="Q82" s="405">
        <f t="shared" si="3"/>
        <v>3386.3373214084127</v>
      </c>
      <c r="S82" s="47"/>
      <c r="T82" s="32"/>
    </row>
    <row r="83" spans="2:20" ht="12.75" customHeight="1" x14ac:dyDescent="0.25">
      <c r="B83" s="47">
        <f t="shared" si="4"/>
        <v>0</v>
      </c>
      <c r="C83" s="47">
        <f t="shared" si="5"/>
        <v>10</v>
      </c>
      <c r="D83">
        <f t="shared" si="6"/>
        <v>0</v>
      </c>
      <c r="E83" s="74" t="s">
        <v>290</v>
      </c>
      <c r="F83" s="200">
        <f>VLOOKUP($E83,'Analysis Inputs'!$D$14:$M$67,10,FALSE)</f>
        <v>0</v>
      </c>
      <c r="G83" s="203">
        <f>VLOOKUP($E83,'Analysis Inputs'!$D$14:$M$67,4,FALSE)</f>
        <v>0</v>
      </c>
      <c r="H83" s="201">
        <f t="shared" si="7"/>
        <v>0</v>
      </c>
      <c r="I83" s="200">
        <f>VLOOKUP($E83,'Analysis Inputs'!$D$14:$M$67,5,FALSE)</f>
        <v>0</v>
      </c>
      <c r="J83" s="200">
        <f t="shared" si="1"/>
        <v>0</v>
      </c>
      <c r="K83" s="202">
        <f>VLOOKUP($E83,'Analysis Inputs'!$D$14:$M$67,6,FALSE)</f>
        <v>0</v>
      </c>
      <c r="L83" s="200">
        <f t="shared" si="2"/>
        <v>0</v>
      </c>
      <c r="M83" s="202" t="str">
        <f>VLOOKUP($E83,'Analysis Inputs'!$D$14:$M$67,7,FALSE)</f>
        <v>NA</v>
      </c>
      <c r="N83" s="202" t="s">
        <v>503</v>
      </c>
      <c r="O83" s="700" t="str">
        <f>VLOOKUP($E83,'Analysis Inputs'!$D$14:$U$67,8,FALSE)</f>
        <v>NA</v>
      </c>
      <c r="P83" s="703" t="s">
        <v>503</v>
      </c>
      <c r="Q83" s="405">
        <f t="shared" si="3"/>
        <v>0</v>
      </c>
      <c r="S83" s="47"/>
      <c r="T83" s="32"/>
    </row>
    <row r="84" spans="2:20" ht="12.75" customHeight="1" x14ac:dyDescent="0.25">
      <c r="B84" s="47">
        <f t="shared" si="4"/>
        <v>1</v>
      </c>
      <c r="C84" s="47">
        <f t="shared" si="5"/>
        <v>11</v>
      </c>
      <c r="D84">
        <f t="shared" si="6"/>
        <v>11</v>
      </c>
      <c r="E84" s="4" t="s">
        <v>502</v>
      </c>
      <c r="F84" s="200">
        <f>VLOOKUP($E84,'Analysis Inputs'!$D$14:$M$67,10,FALSE)</f>
        <v>12962.300300440122</v>
      </c>
      <c r="G84" s="203">
        <f>VLOOKUP($E84,'Analysis Inputs'!$D$14:$M$67,4,FALSE)</f>
        <v>0</v>
      </c>
      <c r="H84" s="201">
        <f t="shared" si="7"/>
        <v>0</v>
      </c>
      <c r="I84" s="200">
        <f>VLOOKUP($E84,'Analysis Inputs'!$D$14:$M$67,5,FALSE)</f>
        <v>12962.300300440122</v>
      </c>
      <c r="J84" s="200">
        <f t="shared" si="1"/>
        <v>-2658.9239273445701</v>
      </c>
      <c r="K84" s="202">
        <f>VLOOKUP($E84,'Analysis Inputs'!$D$14:$M$67,6,FALSE)</f>
        <v>0</v>
      </c>
      <c r="L84" s="200">
        <f t="shared" si="2"/>
        <v>0</v>
      </c>
      <c r="M84" s="202" t="str">
        <f>VLOOKUP($E84,'Analysis Inputs'!$D$14:$M$67,7,FALSE)</f>
        <v>NA</v>
      </c>
      <c r="N84" s="202" t="s">
        <v>503</v>
      </c>
      <c r="O84" s="700" t="str">
        <f>VLOOKUP($E84,'Analysis Inputs'!$D$14:$U$67,8,FALSE)</f>
        <v>NA</v>
      </c>
      <c r="P84" s="703" t="s">
        <v>503</v>
      </c>
      <c r="Q84" s="405">
        <f t="shared" si="3"/>
        <v>-2658.9239273445701</v>
      </c>
      <c r="S84" s="47"/>
      <c r="T84" s="32"/>
    </row>
    <row r="85" spans="2:20" ht="12.75" customHeight="1" x14ac:dyDescent="0.25">
      <c r="B85" s="47">
        <f t="shared" si="4"/>
        <v>1</v>
      </c>
      <c r="C85" s="47">
        <f t="shared" si="5"/>
        <v>12</v>
      </c>
      <c r="D85">
        <f t="shared" si="6"/>
        <v>12</v>
      </c>
      <c r="E85" s="4" t="s">
        <v>514</v>
      </c>
      <c r="F85" s="200">
        <f>VLOOKUP($E85,'Analysis Inputs'!$D$14:$M$67,10,FALSE)</f>
        <v>6726.271332146167</v>
      </c>
      <c r="G85" s="203">
        <f>VLOOKUP($E85,'Analysis Inputs'!$D$14:$M$67,4,FALSE)</f>
        <v>0</v>
      </c>
      <c r="H85" s="201">
        <f t="shared" si="7"/>
        <v>0</v>
      </c>
      <c r="I85" s="200">
        <f>VLOOKUP($E85,'Analysis Inputs'!$D$14:$M$67,5,FALSE)</f>
        <v>6726.271332146167</v>
      </c>
      <c r="J85" s="200">
        <f t="shared" si="1"/>
        <v>2750.1610637453723</v>
      </c>
      <c r="K85" s="202">
        <f>VLOOKUP($E85,'Analysis Inputs'!$D$14:$M$67,6,FALSE)</f>
        <v>0</v>
      </c>
      <c r="L85" s="200">
        <f t="shared" si="2"/>
        <v>0</v>
      </c>
      <c r="M85" s="202" t="str">
        <f>VLOOKUP($E85,'Analysis Inputs'!$D$14:$M$67,7,FALSE)</f>
        <v>NA</v>
      </c>
      <c r="N85" s="202" t="s">
        <v>503</v>
      </c>
      <c r="O85" s="700" t="str">
        <f>VLOOKUP($E85,'Analysis Inputs'!$D$14:$U$67,8,FALSE)</f>
        <v>NA</v>
      </c>
      <c r="P85" s="703" t="s">
        <v>503</v>
      </c>
      <c r="Q85" s="405">
        <f t="shared" si="3"/>
        <v>2750.1610637453723</v>
      </c>
      <c r="S85" s="47"/>
      <c r="T85" s="32"/>
    </row>
    <row r="86" spans="2:20" ht="12.75" customHeight="1" x14ac:dyDescent="0.25">
      <c r="B86" s="47">
        <f t="shared" si="4"/>
        <v>0</v>
      </c>
      <c r="C86" s="47">
        <f t="shared" si="5"/>
        <v>12</v>
      </c>
      <c r="D86">
        <f t="shared" si="6"/>
        <v>0</v>
      </c>
      <c r="E86" s="7" t="s">
        <v>383</v>
      </c>
      <c r="F86" s="200">
        <f>VLOOKUP($E86,'Analysis Inputs'!$D$14:$M$67,10,FALSE)</f>
        <v>0</v>
      </c>
      <c r="G86" s="203">
        <f>VLOOKUP($E86,'Analysis Inputs'!$D$14:$M$67,4,FALSE)</f>
        <v>0</v>
      </c>
      <c r="H86" s="201">
        <f t="shared" si="7"/>
        <v>0</v>
      </c>
      <c r="I86" s="200">
        <f>VLOOKUP($E86,'Analysis Inputs'!$D$14:$M$67,5,FALSE)</f>
        <v>0</v>
      </c>
      <c r="J86" s="200">
        <f t="shared" si="1"/>
        <v>0</v>
      </c>
      <c r="K86" s="202">
        <f>VLOOKUP($E86,'Analysis Inputs'!$D$14:$M$67,6,FALSE)</f>
        <v>0</v>
      </c>
      <c r="L86" s="200">
        <f t="shared" si="2"/>
        <v>0</v>
      </c>
      <c r="M86" s="202" t="str">
        <f>VLOOKUP($E86,'Analysis Inputs'!$D$14:$M$67,7,FALSE)</f>
        <v>NA</v>
      </c>
      <c r="N86" s="202" t="s">
        <v>503</v>
      </c>
      <c r="O86" s="700" t="str">
        <f>VLOOKUP($E86,'Analysis Inputs'!$D$14:$U$67,8,FALSE)</f>
        <v>NA</v>
      </c>
      <c r="P86" s="703" t="s">
        <v>503</v>
      </c>
      <c r="Q86" s="405">
        <f t="shared" si="3"/>
        <v>0</v>
      </c>
      <c r="S86" s="47"/>
      <c r="T86" s="32"/>
    </row>
    <row r="87" spans="2:20" ht="12.75" customHeight="1" x14ac:dyDescent="0.25">
      <c r="B87" s="47">
        <f t="shared" si="4"/>
        <v>0</v>
      </c>
      <c r="C87" s="47">
        <f t="shared" si="5"/>
        <v>12</v>
      </c>
      <c r="D87">
        <f t="shared" si="6"/>
        <v>0</v>
      </c>
      <c r="E87" s="7" t="s">
        <v>384</v>
      </c>
      <c r="F87" s="200">
        <f>VLOOKUP($E87,'Analysis Inputs'!$D$14:$M$67,10,FALSE)</f>
        <v>0</v>
      </c>
      <c r="G87" s="203">
        <f>VLOOKUP($E87,'Analysis Inputs'!$D$14:$M$67,4,FALSE)</f>
        <v>0</v>
      </c>
      <c r="H87" s="201">
        <f t="shared" si="7"/>
        <v>0</v>
      </c>
      <c r="I87" s="200">
        <f>VLOOKUP($E87,'Analysis Inputs'!$D$14:$M$67,5,FALSE)</f>
        <v>0</v>
      </c>
      <c r="J87" s="200">
        <f t="shared" si="1"/>
        <v>0</v>
      </c>
      <c r="K87" s="202">
        <f>VLOOKUP($E87,'Analysis Inputs'!$D$14:$M$67,6,FALSE)</f>
        <v>0</v>
      </c>
      <c r="L87" s="200">
        <f t="shared" si="2"/>
        <v>0</v>
      </c>
      <c r="M87" s="202" t="str">
        <f>VLOOKUP($E87,'Analysis Inputs'!$D$14:$M$67,7,FALSE)</f>
        <v>NA</v>
      </c>
      <c r="N87" s="202" t="s">
        <v>503</v>
      </c>
      <c r="O87" s="700" t="str">
        <f>VLOOKUP($E87,'Analysis Inputs'!$D$14:$U$67,8,FALSE)</f>
        <v>NA</v>
      </c>
      <c r="P87" s="703" t="s">
        <v>503</v>
      </c>
      <c r="Q87" s="405">
        <f t="shared" si="3"/>
        <v>0</v>
      </c>
      <c r="S87" s="47"/>
      <c r="T87" s="32"/>
    </row>
    <row r="88" spans="2:20" ht="12.75" customHeight="1" x14ac:dyDescent="0.25">
      <c r="B88" s="47">
        <f t="shared" si="4"/>
        <v>1</v>
      </c>
      <c r="C88" s="47">
        <f t="shared" si="5"/>
        <v>13</v>
      </c>
      <c r="D88">
        <f t="shared" si="6"/>
        <v>13</v>
      </c>
      <c r="E88" s="7" t="s">
        <v>4</v>
      </c>
      <c r="F88" s="200">
        <f>VLOOKUP($E88,'Analysis Inputs'!$D$14:$M$67,10,FALSE)</f>
        <v>103846.1137708187</v>
      </c>
      <c r="G88" s="203">
        <f>VLOOKUP($E88,'Analysis Inputs'!$D$14:$M$67,4,FALSE)</f>
        <v>0</v>
      </c>
      <c r="H88" s="201">
        <f t="shared" si="7"/>
        <v>0</v>
      </c>
      <c r="I88" s="200">
        <f>VLOOKUP($E88,'Analysis Inputs'!$D$14:$M$67,5,FALSE)</f>
        <v>103846.1137708187</v>
      </c>
      <c r="J88" s="200">
        <f t="shared" si="1"/>
        <v>-28655.154435404249</v>
      </c>
      <c r="K88" s="202">
        <f>VLOOKUP($E88,'Analysis Inputs'!$D$14:$M$67,6,FALSE)</f>
        <v>0</v>
      </c>
      <c r="L88" s="200">
        <f t="shared" si="2"/>
        <v>0</v>
      </c>
      <c r="M88" s="202" t="str">
        <f>VLOOKUP($E88,'Analysis Inputs'!$D$14:$M$67,7,FALSE)</f>
        <v>NA</v>
      </c>
      <c r="N88" s="202" t="s">
        <v>503</v>
      </c>
      <c r="O88" s="700" t="str">
        <f>VLOOKUP($E88,'Analysis Inputs'!$D$14:$U$67,8,FALSE)</f>
        <v>NA</v>
      </c>
      <c r="P88" s="703" t="s">
        <v>503</v>
      </c>
      <c r="Q88" s="405">
        <f t="shared" si="3"/>
        <v>-28655.154435404249</v>
      </c>
      <c r="S88" s="47"/>
      <c r="T88" s="32"/>
    </row>
    <row r="89" spans="2:20" ht="12.75" customHeight="1" x14ac:dyDescent="0.25">
      <c r="B89" s="47">
        <f t="shared" si="4"/>
        <v>0</v>
      </c>
      <c r="C89" s="47">
        <f t="shared" si="5"/>
        <v>13</v>
      </c>
      <c r="D89">
        <f t="shared" si="6"/>
        <v>0</v>
      </c>
      <c r="E89" s="7" t="s">
        <v>558</v>
      </c>
      <c r="F89" s="200">
        <f>VLOOKUP($E89,'Analysis Inputs'!$D$14:$M$67,10,FALSE)</f>
        <v>0</v>
      </c>
      <c r="G89" s="203">
        <f>VLOOKUP($E89,'Analysis Inputs'!$D$14:$M$67,4,FALSE)</f>
        <v>0</v>
      </c>
      <c r="H89" s="201">
        <f t="shared" si="7"/>
        <v>0</v>
      </c>
      <c r="I89" s="200">
        <f>VLOOKUP($E89,'Analysis Inputs'!$D$14:$M$67,5,FALSE)</f>
        <v>0</v>
      </c>
      <c r="J89" s="200">
        <f t="shared" si="1"/>
        <v>0</v>
      </c>
      <c r="K89" s="202">
        <f>VLOOKUP($E89,'Analysis Inputs'!$D$14:$M$67,6,FALSE)</f>
        <v>0</v>
      </c>
      <c r="L89" s="200">
        <f t="shared" si="2"/>
        <v>0</v>
      </c>
      <c r="M89" s="202" t="str">
        <f>VLOOKUP($E89,'Analysis Inputs'!$D$14:$M$67,7,FALSE)</f>
        <v>NA</v>
      </c>
      <c r="N89" s="202" t="s">
        <v>503</v>
      </c>
      <c r="O89" s="700" t="str">
        <f>VLOOKUP($E89,'Analysis Inputs'!$D$14:$U$67,8,FALSE)</f>
        <v>NA</v>
      </c>
      <c r="P89" s="703" t="s">
        <v>503</v>
      </c>
      <c r="Q89" s="405">
        <f t="shared" si="3"/>
        <v>0</v>
      </c>
      <c r="S89" s="47"/>
      <c r="T89" s="32"/>
    </row>
    <row r="90" spans="2:20" ht="12.75" customHeight="1" x14ac:dyDescent="0.25">
      <c r="B90" s="47">
        <f t="shared" si="4"/>
        <v>1</v>
      </c>
      <c r="C90" s="47">
        <f t="shared" ref="C90:C122" si="8">B90+C89</f>
        <v>14</v>
      </c>
      <c r="D90">
        <f t="shared" ref="D90:D122" si="9">C90*B90</f>
        <v>14</v>
      </c>
      <c r="E90" s="7" t="s">
        <v>646</v>
      </c>
      <c r="F90" s="200">
        <f>VLOOKUP($E90,'Analysis Inputs'!$D$14:$M$67,10,FALSE)</f>
        <v>107960.23499957993</v>
      </c>
      <c r="G90" s="203" t="str">
        <f>VLOOKUP($E90,'Analysis Inputs'!$D$14:$M$67,4,FALSE)</f>
        <v>NA</v>
      </c>
      <c r="H90" s="203" t="s">
        <v>503</v>
      </c>
      <c r="I90" s="200">
        <f>VLOOKUP($E90,'Analysis Inputs'!$D$14:$M$67,5,FALSE)</f>
        <v>107960.23499957993</v>
      </c>
      <c r="J90" s="200">
        <f t="shared" si="1"/>
        <v>14172.470585468584</v>
      </c>
      <c r="K90" s="202">
        <f>VLOOKUP($E90,'Analysis Inputs'!$D$14:$M$67,6,FALSE)</f>
        <v>0</v>
      </c>
      <c r="L90" s="200">
        <f t="shared" si="2"/>
        <v>0</v>
      </c>
      <c r="M90" s="202">
        <f>VLOOKUP($E90,'Analysis Inputs'!$D$14:$M$67,7,FALSE)</f>
        <v>0</v>
      </c>
      <c r="N90" s="200">
        <f t="shared" ref="N90:N101" si="10">+M90*J33</f>
        <v>0</v>
      </c>
      <c r="O90" s="700">
        <f>VLOOKUP($E90,'Analysis Inputs'!$D$14:$U$67,8,FALSE)</f>
        <v>0</v>
      </c>
      <c r="P90" s="477">
        <f>IF(AND(K33="NA",O90&lt;&gt;0),"INPUT ERROR",IF(AND(K33="NA",O90=0),"NA",+O90*K33))</f>
        <v>0</v>
      </c>
      <c r="Q90" s="405">
        <f t="shared" si="3"/>
        <v>14172.470585468584</v>
      </c>
      <c r="S90" s="47"/>
      <c r="T90" s="32"/>
    </row>
    <row r="91" spans="2:20" ht="12.75" customHeight="1" x14ac:dyDescent="0.25">
      <c r="B91" s="47">
        <f t="shared" si="4"/>
        <v>1</v>
      </c>
      <c r="C91" s="47">
        <f t="shared" si="8"/>
        <v>15</v>
      </c>
      <c r="D91">
        <f t="shared" si="9"/>
        <v>15</v>
      </c>
      <c r="E91" s="7" t="s">
        <v>744</v>
      </c>
      <c r="F91" s="200">
        <f>VLOOKUP($E91,'Analysis Inputs'!$D$14:$M$67,10,FALSE)</f>
        <v>65275.449706659572</v>
      </c>
      <c r="G91" s="203" t="str">
        <f>VLOOKUP($E91,'Analysis Inputs'!$D$14:$M$67,4,FALSE)</f>
        <v>NA</v>
      </c>
      <c r="H91" s="203" t="s">
        <v>503</v>
      </c>
      <c r="I91" s="200">
        <f>VLOOKUP($E91,'Analysis Inputs'!$D$14:$M$67,5,FALSE)</f>
        <v>65275.449706659572</v>
      </c>
      <c r="J91" s="200">
        <f t="shared" si="1"/>
        <v>8569.0290589351371</v>
      </c>
      <c r="K91" s="202">
        <f>VLOOKUP($E91,'Analysis Inputs'!$D$14:$M$67,6,FALSE)</f>
        <v>0</v>
      </c>
      <c r="L91" s="200">
        <f t="shared" si="2"/>
        <v>0</v>
      </c>
      <c r="M91" s="202">
        <f>VLOOKUP($E91,'Analysis Inputs'!$D$14:$M$67,7,FALSE)</f>
        <v>0</v>
      </c>
      <c r="N91" s="200">
        <f t="shared" si="10"/>
        <v>0</v>
      </c>
      <c r="O91" s="700">
        <f>VLOOKUP($E91,'Analysis Inputs'!$D$14:$U$67,8,FALSE)</f>
        <v>0</v>
      </c>
      <c r="P91" s="477">
        <f t="shared" ref="P91:P109" si="11">IF(AND(K34="NA",O91&lt;&gt;0),"INPUT ERROR",IF(AND(K34="NA",O91=0),"NA",+O91*K34))</f>
        <v>0</v>
      </c>
      <c r="Q91" s="405">
        <f t="shared" si="3"/>
        <v>8569.0290589351371</v>
      </c>
      <c r="R91" s="8"/>
      <c r="S91" s="47"/>
      <c r="T91" s="32"/>
    </row>
    <row r="92" spans="2:20" ht="12.75" customHeight="1" x14ac:dyDescent="0.25">
      <c r="B92" s="47">
        <f t="shared" si="4"/>
        <v>0</v>
      </c>
      <c r="C92" s="47">
        <f t="shared" si="8"/>
        <v>15</v>
      </c>
      <c r="D92">
        <f t="shared" si="9"/>
        <v>0</v>
      </c>
      <c r="E92" s="7" t="s">
        <v>741</v>
      </c>
      <c r="F92" s="200">
        <f>VLOOKUP($E92,'Analysis Inputs'!$D$14:$M$67,10,FALSE)</f>
        <v>0</v>
      </c>
      <c r="G92" s="203" t="str">
        <f>VLOOKUP($E92,'Analysis Inputs'!$D$14:$M$67,4,FALSE)</f>
        <v>NA</v>
      </c>
      <c r="H92" s="203" t="s">
        <v>503</v>
      </c>
      <c r="I92" s="200">
        <f>VLOOKUP($E92,'Analysis Inputs'!$D$14:$M$67,5,FALSE)</f>
        <v>0</v>
      </c>
      <c r="J92" s="200">
        <f t="shared" si="1"/>
        <v>0</v>
      </c>
      <c r="K92" s="202">
        <f>VLOOKUP($E92,'Analysis Inputs'!$D$14:$M$67,6,FALSE)</f>
        <v>0</v>
      </c>
      <c r="L92" s="200">
        <f t="shared" si="2"/>
        <v>0</v>
      </c>
      <c r="M92" s="202">
        <f>VLOOKUP($E92,'Analysis Inputs'!$D$14:$M$67,7,FALSE)</f>
        <v>0</v>
      </c>
      <c r="N92" s="200">
        <f t="shared" si="10"/>
        <v>0</v>
      </c>
      <c r="O92" s="700">
        <f>VLOOKUP($E92,'Analysis Inputs'!$D$14:$U$67,8,FALSE)</f>
        <v>0</v>
      </c>
      <c r="P92" s="477">
        <f t="shared" si="11"/>
        <v>0</v>
      </c>
      <c r="Q92" s="405">
        <f t="shared" si="3"/>
        <v>0</v>
      </c>
      <c r="R92" s="8"/>
      <c r="S92" s="47"/>
      <c r="T92" s="32"/>
    </row>
    <row r="93" spans="2:20" ht="12.75" customHeight="1" x14ac:dyDescent="0.25">
      <c r="B93" s="47">
        <f t="shared" si="4"/>
        <v>0</v>
      </c>
      <c r="C93" s="47">
        <f t="shared" si="8"/>
        <v>15</v>
      </c>
      <c r="D93">
        <f t="shared" si="9"/>
        <v>0</v>
      </c>
      <c r="E93" s="7" t="s">
        <v>742</v>
      </c>
      <c r="F93" s="200">
        <f>VLOOKUP($E93,'Analysis Inputs'!$D$14:$M$67,10,FALSE)</f>
        <v>0</v>
      </c>
      <c r="G93" s="203" t="str">
        <f>VLOOKUP($E93,'Analysis Inputs'!$D$14:$M$67,4,FALSE)</f>
        <v>NA</v>
      </c>
      <c r="H93" s="203" t="s">
        <v>503</v>
      </c>
      <c r="I93" s="200">
        <f>VLOOKUP($E93,'Analysis Inputs'!$D$14:$M$67,5,FALSE)</f>
        <v>0</v>
      </c>
      <c r="J93" s="200">
        <f t="shared" si="1"/>
        <v>0</v>
      </c>
      <c r="K93" s="202">
        <f>VLOOKUP($E93,'Analysis Inputs'!$D$14:$M$67,6,FALSE)</f>
        <v>0</v>
      </c>
      <c r="L93" s="200">
        <f t="shared" si="2"/>
        <v>0</v>
      </c>
      <c r="M93" s="202">
        <f>VLOOKUP($E93,'Analysis Inputs'!$D$14:$M$67,7,FALSE)</f>
        <v>0</v>
      </c>
      <c r="N93" s="200">
        <f t="shared" si="10"/>
        <v>0</v>
      </c>
      <c r="O93" s="700">
        <f>VLOOKUP($E93,'Analysis Inputs'!$D$14:$U$67,8,FALSE)</f>
        <v>0</v>
      </c>
      <c r="P93" s="477">
        <f t="shared" si="11"/>
        <v>0</v>
      </c>
      <c r="Q93" s="405">
        <f>IF(P93="INPUT ERROR","INPUT ERROR",SUM(H93,J93,L93,N93,P93))</f>
        <v>0</v>
      </c>
      <c r="R93" s="8"/>
      <c r="S93" s="47"/>
      <c r="T93" s="32"/>
    </row>
    <row r="94" spans="2:20" ht="12.75" customHeight="1" x14ac:dyDescent="0.25">
      <c r="B94" s="47">
        <f t="shared" si="4"/>
        <v>0</v>
      </c>
      <c r="C94" s="47">
        <f t="shared" si="8"/>
        <v>15</v>
      </c>
      <c r="D94">
        <f t="shared" si="9"/>
        <v>0</v>
      </c>
      <c r="E94" s="7" t="s">
        <v>649</v>
      </c>
      <c r="F94" s="200">
        <f>VLOOKUP($E94,'Analysis Inputs'!$D$14:$M$67,10,FALSE)</f>
        <v>0</v>
      </c>
      <c r="G94" s="203" t="str">
        <f>VLOOKUP($E94,'Analysis Inputs'!$D$14:$M$67,4,FALSE)</f>
        <v>NA</v>
      </c>
      <c r="H94" s="203" t="s">
        <v>503</v>
      </c>
      <c r="I94" s="200">
        <f>VLOOKUP($E94,'Analysis Inputs'!$D$14:$M$67,5,FALSE)</f>
        <v>0</v>
      </c>
      <c r="J94" s="200">
        <f t="shared" si="1"/>
        <v>0</v>
      </c>
      <c r="K94" s="202">
        <f>VLOOKUP($E94,'Analysis Inputs'!$D$14:$M$67,6,FALSE)</f>
        <v>0</v>
      </c>
      <c r="L94" s="200">
        <f t="shared" si="2"/>
        <v>0</v>
      </c>
      <c r="M94" s="202">
        <f>VLOOKUP($E94,'Analysis Inputs'!$D$14:$M$67,7,FALSE)</f>
        <v>0</v>
      </c>
      <c r="N94" s="200">
        <f t="shared" si="10"/>
        <v>0</v>
      </c>
      <c r="O94" s="700">
        <f>VLOOKUP($E94,'Analysis Inputs'!$D$14:$U$67,8,FALSE)</f>
        <v>0</v>
      </c>
      <c r="P94" s="477">
        <f t="shared" si="11"/>
        <v>0</v>
      </c>
      <c r="Q94" s="405">
        <f t="shared" si="3"/>
        <v>0</v>
      </c>
      <c r="R94" s="8"/>
      <c r="S94" s="47"/>
      <c r="T94" s="32"/>
    </row>
    <row r="95" spans="2:20" ht="12.75" customHeight="1" x14ac:dyDescent="0.25">
      <c r="B95" s="47">
        <f t="shared" si="4"/>
        <v>0</v>
      </c>
      <c r="C95" s="47">
        <f t="shared" si="8"/>
        <v>15</v>
      </c>
      <c r="D95">
        <f t="shared" si="9"/>
        <v>0</v>
      </c>
      <c r="E95" s="7" t="s">
        <v>645</v>
      </c>
      <c r="F95" s="200">
        <f>VLOOKUP($E95,'Analysis Inputs'!$D$14:$M$67,10,FALSE)</f>
        <v>0</v>
      </c>
      <c r="G95" s="203" t="str">
        <f>VLOOKUP($E95,'Analysis Inputs'!$D$14:$M$67,4,FALSE)</f>
        <v>NA</v>
      </c>
      <c r="H95" s="203" t="s">
        <v>503</v>
      </c>
      <c r="I95" s="200">
        <f>VLOOKUP($E95,'Analysis Inputs'!$D$14:$M$67,5,FALSE)</f>
        <v>0</v>
      </c>
      <c r="J95" s="200">
        <f t="shared" si="1"/>
        <v>0</v>
      </c>
      <c r="K95" s="202">
        <f>VLOOKUP($E95,'Analysis Inputs'!$D$14:$M$67,6,FALSE)</f>
        <v>0</v>
      </c>
      <c r="L95" s="200">
        <f t="shared" si="2"/>
        <v>0</v>
      </c>
      <c r="M95" s="202">
        <f>VLOOKUP($E95,'Analysis Inputs'!$D$14:$M$67,7,FALSE)</f>
        <v>0</v>
      </c>
      <c r="N95" s="200">
        <f t="shared" si="10"/>
        <v>0</v>
      </c>
      <c r="O95" s="700">
        <f>VLOOKUP($E95,'Analysis Inputs'!$D$14:$U$67,8,FALSE)</f>
        <v>0</v>
      </c>
      <c r="P95" s="477">
        <f t="shared" si="11"/>
        <v>0</v>
      </c>
      <c r="Q95" s="405">
        <f t="shared" si="3"/>
        <v>0</v>
      </c>
      <c r="R95" s="8"/>
      <c r="S95" s="47"/>
      <c r="T95" s="32"/>
    </row>
    <row r="96" spans="2:20" ht="12.75" customHeight="1" x14ac:dyDescent="0.25">
      <c r="B96" s="47">
        <f t="shared" si="4"/>
        <v>0</v>
      </c>
      <c r="C96" s="47">
        <f t="shared" si="8"/>
        <v>15</v>
      </c>
      <c r="D96">
        <f t="shared" si="9"/>
        <v>0</v>
      </c>
      <c r="E96" s="7" t="s">
        <v>647</v>
      </c>
      <c r="F96" s="200">
        <f>VLOOKUP($E96,'Analysis Inputs'!$D$14:$M$67,10,FALSE)</f>
        <v>0</v>
      </c>
      <c r="G96" s="203" t="str">
        <f>VLOOKUP($E96,'Analysis Inputs'!$D$14:$M$67,4,FALSE)</f>
        <v>NA</v>
      </c>
      <c r="H96" s="203" t="s">
        <v>503</v>
      </c>
      <c r="I96" s="200">
        <f>VLOOKUP($E96,'Analysis Inputs'!$D$14:$M$67,5,FALSE)</f>
        <v>0</v>
      </c>
      <c r="J96" s="200">
        <f t="shared" si="1"/>
        <v>0</v>
      </c>
      <c r="K96" s="202">
        <f>VLOOKUP($E96,'Analysis Inputs'!$D$14:$M$67,6,FALSE)</f>
        <v>0</v>
      </c>
      <c r="L96" s="200">
        <f t="shared" si="2"/>
        <v>0</v>
      </c>
      <c r="M96" s="202">
        <f>VLOOKUP($E96,'Analysis Inputs'!$D$14:$M$67,7,FALSE)</f>
        <v>0</v>
      </c>
      <c r="N96" s="200">
        <f t="shared" si="10"/>
        <v>0</v>
      </c>
      <c r="O96" s="700">
        <f>VLOOKUP($E96,'Analysis Inputs'!$D$14:$U$67,8,FALSE)</f>
        <v>0</v>
      </c>
      <c r="P96" s="477">
        <f t="shared" si="11"/>
        <v>0</v>
      </c>
      <c r="Q96" s="405">
        <f t="shared" si="3"/>
        <v>0</v>
      </c>
      <c r="R96" s="8"/>
      <c r="S96" s="47"/>
      <c r="T96" s="32"/>
    </row>
    <row r="97" spans="2:20" ht="12.75" customHeight="1" x14ac:dyDescent="0.25">
      <c r="B97" s="47">
        <f t="shared" si="4"/>
        <v>0</v>
      </c>
      <c r="C97" s="47">
        <f t="shared" si="8"/>
        <v>15</v>
      </c>
      <c r="D97">
        <f t="shared" si="9"/>
        <v>0</v>
      </c>
      <c r="E97" s="7" t="s">
        <v>648</v>
      </c>
      <c r="F97" s="200">
        <f>VLOOKUP($E97,'Analysis Inputs'!$D$14:$M$67,10,FALSE)</f>
        <v>0</v>
      </c>
      <c r="G97" s="203" t="str">
        <f>VLOOKUP($E97,'Analysis Inputs'!$D$14:$M$67,4,FALSE)</f>
        <v>NA</v>
      </c>
      <c r="H97" s="203" t="s">
        <v>503</v>
      </c>
      <c r="I97" s="200">
        <f>VLOOKUP($E97,'Analysis Inputs'!$D$14:$M$67,5,FALSE)</f>
        <v>0</v>
      </c>
      <c r="J97" s="200">
        <f t="shared" si="1"/>
        <v>0</v>
      </c>
      <c r="K97" s="202">
        <f>VLOOKUP($E97,'Analysis Inputs'!$D$14:$M$67,6,FALSE)</f>
        <v>0</v>
      </c>
      <c r="L97" s="200">
        <f t="shared" si="2"/>
        <v>0</v>
      </c>
      <c r="M97" s="202">
        <f>VLOOKUP($E97,'Analysis Inputs'!$D$14:$M$67,7,FALSE)</f>
        <v>0</v>
      </c>
      <c r="N97" s="200">
        <f t="shared" si="10"/>
        <v>0</v>
      </c>
      <c r="O97" s="700">
        <f>VLOOKUP($E97,'Analysis Inputs'!$D$14:$U$67,8,FALSE)</f>
        <v>0</v>
      </c>
      <c r="P97" s="477">
        <f t="shared" si="11"/>
        <v>0</v>
      </c>
      <c r="Q97" s="405">
        <f t="shared" si="3"/>
        <v>0</v>
      </c>
      <c r="R97" s="8"/>
      <c r="S97" s="47"/>
      <c r="T97" s="32"/>
    </row>
    <row r="98" spans="2:20" ht="12.75" customHeight="1" x14ac:dyDescent="0.25">
      <c r="B98" s="47">
        <f t="shared" si="4"/>
        <v>1</v>
      </c>
      <c r="C98" s="47">
        <f t="shared" si="8"/>
        <v>16</v>
      </c>
      <c r="D98">
        <f t="shared" si="9"/>
        <v>16</v>
      </c>
      <c r="E98" s="7" t="s">
        <v>580</v>
      </c>
      <c r="F98" s="200">
        <f>VLOOKUP($E98,'Analysis Inputs'!$D$14:$M$67,10,FALSE)</f>
        <v>34800.561320441149</v>
      </c>
      <c r="G98" s="203" t="str">
        <f>VLOOKUP($E98,'Analysis Inputs'!$D$14:$M$67,4,FALSE)</f>
        <v>NA</v>
      </c>
      <c r="H98" s="203" t="s">
        <v>503</v>
      </c>
      <c r="I98" s="200">
        <f>VLOOKUP($E98,'Analysis Inputs'!$D$14:$M$67,5,FALSE)</f>
        <v>34800.561320441149</v>
      </c>
      <c r="J98" s="200">
        <f t="shared" si="1"/>
        <v>-1952.3590280354576</v>
      </c>
      <c r="K98" s="202">
        <f>VLOOKUP($E98,'Analysis Inputs'!$D$14:$M$67,6,FALSE)</f>
        <v>0</v>
      </c>
      <c r="L98" s="200">
        <f t="shared" si="2"/>
        <v>0</v>
      </c>
      <c r="M98" s="202">
        <f>VLOOKUP($E98,'Analysis Inputs'!$D$14:$M$67,7,FALSE)</f>
        <v>0</v>
      </c>
      <c r="N98" s="200">
        <f t="shared" si="10"/>
        <v>0</v>
      </c>
      <c r="O98" s="700">
        <f>VLOOKUP($E98,'Analysis Inputs'!$D$14:$U$67,8,FALSE)</f>
        <v>0</v>
      </c>
      <c r="P98" s="477" t="str">
        <f t="shared" si="11"/>
        <v>NA</v>
      </c>
      <c r="Q98" s="405">
        <f t="shared" si="3"/>
        <v>-1952.3590280354576</v>
      </c>
      <c r="R98" s="8"/>
      <c r="S98" s="47"/>
      <c r="T98" s="32"/>
    </row>
    <row r="99" spans="2:20" ht="12.75" customHeight="1" x14ac:dyDescent="0.25">
      <c r="B99" s="47">
        <f t="shared" si="4"/>
        <v>0</v>
      </c>
      <c r="C99" s="47">
        <f t="shared" si="8"/>
        <v>16</v>
      </c>
      <c r="D99">
        <f t="shared" si="9"/>
        <v>0</v>
      </c>
      <c r="E99" s="7" t="s">
        <v>521</v>
      </c>
      <c r="F99" s="200">
        <f>VLOOKUP($E99,'Analysis Inputs'!$D$14:$M$67,10,FALSE)</f>
        <v>0</v>
      </c>
      <c r="G99" s="203" t="str">
        <f>VLOOKUP($E99,'Analysis Inputs'!$D$14:$M$67,4,FALSE)</f>
        <v>NA</v>
      </c>
      <c r="H99" s="203" t="s">
        <v>503</v>
      </c>
      <c r="I99" s="200">
        <f>VLOOKUP($E99,'Analysis Inputs'!$D$14:$M$67,5,FALSE)</f>
        <v>0</v>
      </c>
      <c r="J99" s="200">
        <f t="shared" si="1"/>
        <v>0</v>
      </c>
      <c r="K99" s="202">
        <f>VLOOKUP($E99,'Analysis Inputs'!$D$14:$M$67,6,FALSE)</f>
        <v>0</v>
      </c>
      <c r="L99" s="200">
        <f t="shared" si="2"/>
        <v>0</v>
      </c>
      <c r="M99" s="202">
        <f>VLOOKUP($E99,'Analysis Inputs'!$D$14:$M$67,7,FALSE)</f>
        <v>0</v>
      </c>
      <c r="N99" s="200">
        <f t="shared" si="10"/>
        <v>0</v>
      </c>
      <c r="O99" s="700">
        <f>VLOOKUP($E99,'Analysis Inputs'!$D$14:$U$67,8,FALSE)</f>
        <v>0</v>
      </c>
      <c r="P99" s="477" t="str">
        <f t="shared" si="11"/>
        <v>NA</v>
      </c>
      <c r="Q99" s="405">
        <f t="shared" si="3"/>
        <v>0</v>
      </c>
      <c r="R99" s="8"/>
      <c r="S99" s="47"/>
      <c r="T99" s="32"/>
    </row>
    <row r="100" spans="2:20" ht="12.75" customHeight="1" x14ac:dyDescent="0.25">
      <c r="B100" s="47">
        <f t="shared" si="4"/>
        <v>0</v>
      </c>
      <c r="C100" s="47">
        <f t="shared" si="8"/>
        <v>16</v>
      </c>
      <c r="D100">
        <f t="shared" si="9"/>
        <v>0</v>
      </c>
      <c r="E100" s="7" t="s">
        <v>522</v>
      </c>
      <c r="F100" s="200">
        <f>VLOOKUP($E100,'Analysis Inputs'!$D$14:$M$67,10,FALSE)</f>
        <v>0</v>
      </c>
      <c r="G100" s="203" t="str">
        <f>VLOOKUP($E100,'Analysis Inputs'!$D$14:$M$67,4,FALSE)</f>
        <v>NA</v>
      </c>
      <c r="H100" s="203" t="s">
        <v>503</v>
      </c>
      <c r="I100" s="200">
        <f>VLOOKUP($E100,'Analysis Inputs'!$D$14:$M$67,5,FALSE)</f>
        <v>0</v>
      </c>
      <c r="J100" s="200">
        <f t="shared" si="1"/>
        <v>0</v>
      </c>
      <c r="K100" s="202">
        <f>VLOOKUP($E100,'Analysis Inputs'!$D$14:$M$67,6,FALSE)</f>
        <v>0</v>
      </c>
      <c r="L100" s="200">
        <f t="shared" si="2"/>
        <v>0</v>
      </c>
      <c r="M100" s="202">
        <f>VLOOKUP($E100,'Analysis Inputs'!$D$14:$M$67,7,FALSE)</f>
        <v>0</v>
      </c>
      <c r="N100" s="200">
        <f t="shared" si="10"/>
        <v>0</v>
      </c>
      <c r="O100" s="700">
        <f>VLOOKUP($E100,'Analysis Inputs'!$D$14:$U$67,8,FALSE)</f>
        <v>0</v>
      </c>
      <c r="P100" s="477" t="str">
        <f t="shared" si="11"/>
        <v>NA</v>
      </c>
      <c r="Q100" s="405">
        <f t="shared" si="3"/>
        <v>0</v>
      </c>
      <c r="R100" s="8"/>
      <c r="S100" s="47"/>
      <c r="T100" s="32"/>
    </row>
    <row r="101" spans="2:20" ht="12.75" customHeight="1" x14ac:dyDescent="0.25">
      <c r="B101" s="47">
        <f t="shared" si="4"/>
        <v>1</v>
      </c>
      <c r="C101" s="47">
        <f t="shared" si="8"/>
        <v>17</v>
      </c>
      <c r="D101">
        <f t="shared" si="9"/>
        <v>17</v>
      </c>
      <c r="E101" s="7" t="s">
        <v>523</v>
      </c>
      <c r="F101" s="200">
        <f>VLOOKUP($E101,'Analysis Inputs'!$D$14:$M$67,10,FALSE)</f>
        <v>2781.912059757693</v>
      </c>
      <c r="G101" s="203" t="str">
        <f>VLOOKUP($E101,'Analysis Inputs'!$D$14:$M$67,4,FALSE)</f>
        <v>NA</v>
      </c>
      <c r="H101" s="203" t="s">
        <v>503</v>
      </c>
      <c r="I101" s="200">
        <f>VLOOKUP($E101,'Analysis Inputs'!$D$14:$M$67,5,FALSE)</f>
        <v>2781.912059757693</v>
      </c>
      <c r="J101" s="200">
        <f t="shared" ref="J101:J122" si="12">+I101*H44</f>
        <v>-295.74060085216678</v>
      </c>
      <c r="K101" s="202">
        <f>VLOOKUP($E101,'Analysis Inputs'!$D$14:$M$67,6,FALSE)</f>
        <v>0</v>
      </c>
      <c r="L101" s="200">
        <f t="shared" si="2"/>
        <v>0</v>
      </c>
      <c r="M101" s="202">
        <f>VLOOKUP($E101,'Analysis Inputs'!$D$14:$M$67,7,FALSE)</f>
        <v>0</v>
      </c>
      <c r="N101" s="200">
        <f t="shared" si="10"/>
        <v>0</v>
      </c>
      <c r="O101" s="700">
        <f>VLOOKUP($E101,'Analysis Inputs'!$D$14:$U$67,8,FALSE)</f>
        <v>0</v>
      </c>
      <c r="P101" s="477" t="str">
        <f t="shared" si="11"/>
        <v>NA</v>
      </c>
      <c r="Q101" s="405">
        <f t="shared" si="3"/>
        <v>-295.74060085216678</v>
      </c>
      <c r="S101" s="47"/>
      <c r="T101" s="32"/>
    </row>
    <row r="102" spans="2:20" ht="12.75" customHeight="1" x14ac:dyDescent="0.25">
      <c r="B102" s="47">
        <f t="shared" si="4"/>
        <v>1</v>
      </c>
      <c r="C102" s="47">
        <f t="shared" si="8"/>
        <v>18</v>
      </c>
      <c r="D102">
        <f t="shared" si="9"/>
        <v>18</v>
      </c>
      <c r="E102" s="7" t="s">
        <v>583</v>
      </c>
      <c r="F102" s="200">
        <f>VLOOKUP($E102,'Analysis Inputs'!$D$14:$M$67,10,FALSE)</f>
        <v>93768.529977279337</v>
      </c>
      <c r="G102" s="203">
        <f>VLOOKUP($E102,'Analysis Inputs'!$D$14:$M$67,4,FALSE)</f>
        <v>0</v>
      </c>
      <c r="H102" s="201">
        <f t="shared" ref="H102:H107" si="13">+G102*G45</f>
        <v>0</v>
      </c>
      <c r="I102" s="200">
        <f>VLOOKUP($E102,'Analysis Inputs'!$D$14:$M$67,5,FALSE)</f>
        <v>93768.529977279337</v>
      </c>
      <c r="J102" s="200">
        <f t="shared" si="12"/>
        <v>7315.7915188868501</v>
      </c>
      <c r="K102" s="202">
        <f>VLOOKUP($E102,'Analysis Inputs'!$D$14:$M$67,6,FALSE)</f>
        <v>0</v>
      </c>
      <c r="L102" s="200">
        <f t="shared" si="2"/>
        <v>0</v>
      </c>
      <c r="M102" s="202" t="str">
        <f>VLOOKUP($E102,'Analysis Inputs'!$D$14:$M$67,7,FALSE)</f>
        <v>NA</v>
      </c>
      <c r="N102" s="202" t="s">
        <v>503</v>
      </c>
      <c r="O102" s="700" t="str">
        <f>VLOOKUP($E102,'Analysis Inputs'!$D$14:$U$67,8,FALSE)</f>
        <v>NA</v>
      </c>
      <c r="P102" s="477" t="s">
        <v>503</v>
      </c>
      <c r="Q102" s="405">
        <f t="shared" si="3"/>
        <v>7315.7915188868501</v>
      </c>
      <c r="S102" s="47"/>
      <c r="T102" s="32"/>
    </row>
    <row r="103" spans="2:20" ht="12.75" customHeight="1" x14ac:dyDescent="0.25">
      <c r="B103" s="47">
        <f t="shared" si="4"/>
        <v>0</v>
      </c>
      <c r="C103" s="47">
        <f t="shared" si="8"/>
        <v>18</v>
      </c>
      <c r="D103">
        <f t="shared" si="9"/>
        <v>0</v>
      </c>
      <c r="E103" s="7" t="s">
        <v>584</v>
      </c>
      <c r="F103" s="200">
        <f>VLOOKUP($E103,'Analysis Inputs'!$D$14:$M$67,10,FALSE)</f>
        <v>0</v>
      </c>
      <c r="G103" s="203">
        <f>VLOOKUP($E103,'Analysis Inputs'!$D$14:$M$67,4,FALSE)</f>
        <v>0</v>
      </c>
      <c r="H103" s="201">
        <f t="shared" si="13"/>
        <v>0</v>
      </c>
      <c r="I103" s="200">
        <f>VLOOKUP($E103,'Analysis Inputs'!$D$14:$M$67,5,FALSE)</f>
        <v>0</v>
      </c>
      <c r="J103" s="200">
        <f t="shared" si="12"/>
        <v>0</v>
      </c>
      <c r="K103" s="202">
        <f>VLOOKUP($E103,'Analysis Inputs'!$D$14:$M$67,6,FALSE)</f>
        <v>0</v>
      </c>
      <c r="L103" s="200">
        <f t="shared" si="2"/>
        <v>0</v>
      </c>
      <c r="M103" s="202" t="str">
        <f>VLOOKUP($E103,'Analysis Inputs'!$D$14:$M$67,7,FALSE)</f>
        <v>NA</v>
      </c>
      <c r="N103" s="202" t="s">
        <v>503</v>
      </c>
      <c r="O103" s="700" t="str">
        <f>VLOOKUP($E103,'Analysis Inputs'!$D$14:$U$67,8,FALSE)</f>
        <v>NA</v>
      </c>
      <c r="P103" s="477" t="s">
        <v>503</v>
      </c>
      <c r="Q103" s="405">
        <f t="shared" si="3"/>
        <v>0</v>
      </c>
      <c r="S103" s="47"/>
      <c r="T103" s="32"/>
    </row>
    <row r="104" spans="2:20" ht="12.75" customHeight="1" x14ac:dyDescent="0.25">
      <c r="B104" s="47">
        <f t="shared" si="4"/>
        <v>0</v>
      </c>
      <c r="C104" s="47">
        <f t="shared" si="8"/>
        <v>18</v>
      </c>
      <c r="D104">
        <f t="shared" si="9"/>
        <v>0</v>
      </c>
      <c r="E104" s="7" t="s">
        <v>585</v>
      </c>
      <c r="F104" s="200">
        <f>VLOOKUP($E104,'Analysis Inputs'!$D$14:$M$67,10,FALSE)</f>
        <v>0</v>
      </c>
      <c r="G104" s="203">
        <f>VLOOKUP($E104,'Analysis Inputs'!$D$14:$M$67,4,FALSE)</f>
        <v>0</v>
      </c>
      <c r="H104" s="201">
        <f t="shared" si="13"/>
        <v>0</v>
      </c>
      <c r="I104" s="200">
        <f>VLOOKUP($E104,'Analysis Inputs'!$D$14:$M$67,5,FALSE)</f>
        <v>0</v>
      </c>
      <c r="J104" s="200">
        <f t="shared" si="12"/>
        <v>0</v>
      </c>
      <c r="K104" s="202">
        <f>VLOOKUP($E104,'Analysis Inputs'!$D$14:$M$67,6,FALSE)</f>
        <v>0</v>
      </c>
      <c r="L104" s="200">
        <f t="shared" si="2"/>
        <v>0</v>
      </c>
      <c r="M104" s="202" t="str">
        <f>VLOOKUP($E104,'Analysis Inputs'!$D$14:$M$67,7,FALSE)</f>
        <v>NA</v>
      </c>
      <c r="N104" s="202" t="s">
        <v>503</v>
      </c>
      <c r="O104" s="700" t="str">
        <f>VLOOKUP($E104,'Analysis Inputs'!$D$14:$U$67,8,FALSE)</f>
        <v>NA</v>
      </c>
      <c r="P104" s="477" t="s">
        <v>503</v>
      </c>
      <c r="Q104" s="405">
        <f t="shared" si="3"/>
        <v>0</v>
      </c>
      <c r="S104" s="47"/>
      <c r="T104" s="32"/>
    </row>
    <row r="105" spans="2:20" ht="12.75" customHeight="1" x14ac:dyDescent="0.25">
      <c r="B105" s="47">
        <f t="shared" si="4"/>
        <v>1</v>
      </c>
      <c r="C105" s="47">
        <f t="shared" si="8"/>
        <v>19</v>
      </c>
      <c r="D105">
        <f t="shared" si="9"/>
        <v>19</v>
      </c>
      <c r="E105" s="117" t="s">
        <v>633</v>
      </c>
      <c r="F105" s="200">
        <f>VLOOKUP($E105,'Analysis Inputs'!$D$14:$M$67,10,FALSE)</f>
        <v>31048.613761431894</v>
      </c>
      <c r="G105" s="203">
        <f>VLOOKUP($E105,'Analysis Inputs'!$D$14:$M$67,4,FALSE)</f>
        <v>0</v>
      </c>
      <c r="H105" s="201">
        <f t="shared" si="13"/>
        <v>0</v>
      </c>
      <c r="I105" s="200">
        <f>VLOOKUP($E105,'Analysis Inputs'!$D$14:$M$67,5,FALSE)</f>
        <v>31048.613761431894</v>
      </c>
      <c r="J105" s="200">
        <f t="shared" si="12"/>
        <v>171.51129320141598</v>
      </c>
      <c r="K105" s="202">
        <f>VLOOKUP($E105,'Analysis Inputs'!$D$14:$M$67,6,FALSE)</f>
        <v>0</v>
      </c>
      <c r="L105" s="200">
        <f t="shared" si="2"/>
        <v>0</v>
      </c>
      <c r="M105" s="202" t="str">
        <f>VLOOKUP($E105,'Analysis Inputs'!$D$14:$M$67,7,FALSE)</f>
        <v>NA</v>
      </c>
      <c r="N105" s="202" t="s">
        <v>503</v>
      </c>
      <c r="O105" s="700" t="str">
        <f>VLOOKUP($E105,'Analysis Inputs'!$D$14:$U$67,8,FALSE)</f>
        <v>NA</v>
      </c>
      <c r="P105" s="477" t="s">
        <v>503</v>
      </c>
      <c r="Q105" s="405">
        <f t="shared" si="3"/>
        <v>171.51129320141598</v>
      </c>
      <c r="S105" s="47"/>
      <c r="T105" s="32"/>
    </row>
    <row r="106" spans="2:20" ht="12.75" customHeight="1" x14ac:dyDescent="0.25">
      <c r="B106" s="47">
        <f t="shared" si="4"/>
        <v>1</v>
      </c>
      <c r="C106" s="47">
        <f t="shared" si="8"/>
        <v>20</v>
      </c>
      <c r="D106">
        <f t="shared" si="9"/>
        <v>20</v>
      </c>
      <c r="E106" s="7" t="s">
        <v>386</v>
      </c>
      <c r="F106" s="200">
        <f>VLOOKUP($E106,'Analysis Inputs'!$D$14:$M$67,10,FALSE)</f>
        <v>65431.449481739066</v>
      </c>
      <c r="G106" s="203">
        <f>VLOOKUP($E106,'Analysis Inputs'!$D$14:$M$67,4,FALSE)</f>
        <v>0</v>
      </c>
      <c r="H106" s="201">
        <f t="shared" si="13"/>
        <v>0</v>
      </c>
      <c r="I106" s="200">
        <f>VLOOKUP($E106,'Analysis Inputs'!$D$14:$M$67,5,FALSE)</f>
        <v>65431.449481739066</v>
      </c>
      <c r="J106" s="200">
        <f t="shared" si="12"/>
        <v>361.44069435384165</v>
      </c>
      <c r="K106" s="202">
        <f>VLOOKUP($E106,'Analysis Inputs'!$D$14:$M$67,6,FALSE)</f>
        <v>0</v>
      </c>
      <c r="L106" s="200">
        <f t="shared" si="2"/>
        <v>0</v>
      </c>
      <c r="M106" s="202" t="str">
        <f>VLOOKUP($E106,'Analysis Inputs'!$D$14:$M$67,7,FALSE)</f>
        <v>NA</v>
      </c>
      <c r="N106" s="202" t="s">
        <v>503</v>
      </c>
      <c r="O106" s="700" t="str">
        <f>VLOOKUP($E106,'Analysis Inputs'!$D$14:$U$67,8,FALSE)</f>
        <v>NA</v>
      </c>
      <c r="P106" s="477" t="s">
        <v>503</v>
      </c>
      <c r="Q106" s="405">
        <f t="shared" si="3"/>
        <v>361.44069435384165</v>
      </c>
      <c r="S106" s="47"/>
      <c r="T106" s="32"/>
    </row>
    <row r="107" spans="2:20" ht="12.75" customHeight="1" x14ac:dyDescent="0.25">
      <c r="B107" s="47">
        <f t="shared" si="4"/>
        <v>0</v>
      </c>
      <c r="C107" s="47">
        <f t="shared" si="8"/>
        <v>20</v>
      </c>
      <c r="D107">
        <f t="shared" si="9"/>
        <v>0</v>
      </c>
      <c r="E107" s="7" t="s">
        <v>272</v>
      </c>
      <c r="F107" s="200">
        <f>VLOOKUP($E107,'Analysis Inputs'!$D$14:$M$67,10,FALSE)</f>
        <v>0</v>
      </c>
      <c r="G107" s="203">
        <f>VLOOKUP($E107,'Analysis Inputs'!$D$14:$M$67,4,FALSE)</f>
        <v>0</v>
      </c>
      <c r="H107" s="201">
        <f t="shared" si="13"/>
        <v>0</v>
      </c>
      <c r="I107" s="200">
        <f>VLOOKUP($E107,'Analysis Inputs'!$D$14:$M$67,5,FALSE)</f>
        <v>0</v>
      </c>
      <c r="J107" s="200">
        <f t="shared" si="12"/>
        <v>0</v>
      </c>
      <c r="K107" s="202">
        <f>VLOOKUP($E107,'Analysis Inputs'!$D$14:$M$67,6,FALSE)</f>
        <v>0</v>
      </c>
      <c r="L107" s="200">
        <f t="shared" si="2"/>
        <v>0</v>
      </c>
      <c r="M107" s="202" t="str">
        <f>VLOOKUP($E107,'Analysis Inputs'!$D$14:$M$67,7,FALSE)</f>
        <v>NA</v>
      </c>
      <c r="N107" s="202" t="s">
        <v>503</v>
      </c>
      <c r="O107" s="700" t="str">
        <f>VLOOKUP($E107,'Analysis Inputs'!$D$14:$U$67,8,FALSE)</f>
        <v>NA</v>
      </c>
      <c r="P107" s="477" t="s">
        <v>503</v>
      </c>
      <c r="Q107" s="405">
        <f t="shared" si="3"/>
        <v>0</v>
      </c>
      <c r="S107" s="47"/>
      <c r="T107" s="32"/>
    </row>
    <row r="108" spans="2:20" ht="12.75" customHeight="1" x14ac:dyDescent="0.25">
      <c r="B108" s="47">
        <f t="shared" si="4"/>
        <v>0</v>
      </c>
      <c r="C108" s="47">
        <f t="shared" si="8"/>
        <v>20</v>
      </c>
      <c r="D108">
        <f t="shared" si="9"/>
        <v>0</v>
      </c>
      <c r="E108" s="7" t="s">
        <v>740</v>
      </c>
      <c r="F108" s="200">
        <f>VLOOKUP($E108,'Analysis Inputs'!$D$14:$M$67,10,FALSE)</f>
        <v>0</v>
      </c>
      <c r="G108" s="203" t="str">
        <f>VLOOKUP($E108,'Analysis Inputs'!$D$14:$M$67,4,FALSE)</f>
        <v>NA</v>
      </c>
      <c r="H108" s="203" t="s">
        <v>503</v>
      </c>
      <c r="I108" s="200">
        <f>VLOOKUP($E108,'Analysis Inputs'!$D$14:$M$67,5,FALSE)</f>
        <v>0</v>
      </c>
      <c r="J108" s="200">
        <f t="shared" si="12"/>
        <v>0</v>
      </c>
      <c r="K108" s="202">
        <f>VLOOKUP($E108,'Analysis Inputs'!$D$14:$M$67,6,FALSE)</f>
        <v>0</v>
      </c>
      <c r="L108" s="200">
        <f t="shared" si="2"/>
        <v>0</v>
      </c>
      <c r="M108" s="202">
        <f>VLOOKUP($E108,'Analysis Inputs'!$D$14:$M$67,7,FALSE)</f>
        <v>0</v>
      </c>
      <c r="N108" s="200">
        <f>+M108*J51</f>
        <v>0</v>
      </c>
      <c r="O108" s="700">
        <f>VLOOKUP($E108,'Analysis Inputs'!$D$14:$U$67,8,FALSE)</f>
        <v>0</v>
      </c>
      <c r="P108" s="477">
        <f t="shared" si="11"/>
        <v>0</v>
      </c>
      <c r="Q108" s="405">
        <f t="shared" si="3"/>
        <v>0</v>
      </c>
      <c r="S108" s="47"/>
      <c r="T108" s="32"/>
    </row>
    <row r="109" spans="2:20" ht="12.75" customHeight="1" x14ac:dyDescent="0.25">
      <c r="B109" s="47">
        <f t="shared" si="4"/>
        <v>0</v>
      </c>
      <c r="C109" s="47">
        <f t="shared" si="8"/>
        <v>20</v>
      </c>
      <c r="D109">
        <f t="shared" si="9"/>
        <v>0</v>
      </c>
      <c r="E109" s="7" t="s">
        <v>385</v>
      </c>
      <c r="F109" s="200">
        <f>VLOOKUP($E109,'Analysis Inputs'!$D$14:$M$67,10,FALSE)</f>
        <v>0</v>
      </c>
      <c r="G109" s="203" t="str">
        <f>VLOOKUP($E109,'Analysis Inputs'!$D$14:$M$67,4,FALSE)</f>
        <v>NA</v>
      </c>
      <c r="H109" s="203" t="s">
        <v>503</v>
      </c>
      <c r="I109" s="202">
        <f>VLOOKUP($E109,'Analysis Inputs'!$D$14:$M$67,5,FALSE)</f>
        <v>0</v>
      </c>
      <c r="J109" s="202">
        <f t="shared" si="12"/>
        <v>0</v>
      </c>
      <c r="K109" s="202">
        <f>VLOOKUP($E109,'Analysis Inputs'!$D$14:$M$67,6,FALSE)</f>
        <v>0</v>
      </c>
      <c r="L109" s="202">
        <f t="shared" si="2"/>
        <v>0</v>
      </c>
      <c r="M109" s="202">
        <f>VLOOKUP($E109,'Analysis Inputs'!$D$14:$M$67,7,FALSE)</f>
        <v>0</v>
      </c>
      <c r="N109" s="200">
        <f>+M109*J52</f>
        <v>0</v>
      </c>
      <c r="O109" s="700">
        <f>VLOOKUP($E109,'Analysis Inputs'!$D$14:$U$67,8,FALSE)</f>
        <v>0</v>
      </c>
      <c r="P109" s="477" t="str">
        <f t="shared" si="11"/>
        <v>NA</v>
      </c>
      <c r="Q109" s="405">
        <f t="shared" si="3"/>
        <v>0</v>
      </c>
      <c r="S109" s="47"/>
      <c r="T109" s="32"/>
    </row>
    <row r="110" spans="2:20" ht="12.75" customHeight="1" x14ac:dyDescent="0.25">
      <c r="B110" s="47">
        <f t="shared" si="4"/>
        <v>1</v>
      </c>
      <c r="C110" s="47">
        <f t="shared" si="8"/>
        <v>21</v>
      </c>
      <c r="D110">
        <f t="shared" si="9"/>
        <v>21</v>
      </c>
      <c r="E110" s="7" t="s">
        <v>574</v>
      </c>
      <c r="F110" s="200">
        <f>VLOOKUP($E110,'Analysis Inputs'!$D$14:$M$67,10,FALSE)</f>
        <v>186408.24273021927</v>
      </c>
      <c r="G110" s="203" t="str">
        <f>VLOOKUP($E110,'Analysis Inputs'!$D$14:$M$67,4,FALSE)</f>
        <v>NA</v>
      </c>
      <c r="H110" s="203" t="s">
        <v>503</v>
      </c>
      <c r="I110" s="202">
        <f>VLOOKUP($E110,'Analysis Inputs'!$D$14:$M$67,5,FALSE)</f>
        <v>186408.24273021927</v>
      </c>
      <c r="J110" s="202">
        <f t="shared" si="12"/>
        <v>22416.960223449863</v>
      </c>
      <c r="K110" s="202">
        <f>VLOOKUP($E110,'Analysis Inputs'!$D$14:$M$67,6,FALSE)</f>
        <v>0</v>
      </c>
      <c r="L110" s="202">
        <f t="shared" si="2"/>
        <v>0</v>
      </c>
      <c r="M110" s="202" t="str">
        <f>VLOOKUP($E110,'Analysis Inputs'!$D$14:$M$67,7,FALSE)</f>
        <v>NA</v>
      </c>
      <c r="N110" s="202" t="s">
        <v>503</v>
      </c>
      <c r="O110" s="700" t="str">
        <f>VLOOKUP($E110,'Analysis Inputs'!$D$14:$U$67,8,FALSE)</f>
        <v>NA</v>
      </c>
      <c r="P110" s="477" t="s">
        <v>503</v>
      </c>
      <c r="Q110" s="405">
        <f t="shared" si="3"/>
        <v>22416.960223449863</v>
      </c>
      <c r="S110" s="47"/>
      <c r="T110" s="32"/>
    </row>
    <row r="111" spans="2:20" ht="12.75" customHeight="1" x14ac:dyDescent="0.25">
      <c r="B111" s="47">
        <f t="shared" si="4"/>
        <v>1</v>
      </c>
      <c r="C111" s="47">
        <f t="shared" si="8"/>
        <v>22</v>
      </c>
      <c r="D111">
        <f t="shared" si="9"/>
        <v>22</v>
      </c>
      <c r="E111" s="7" t="s">
        <v>573</v>
      </c>
      <c r="F111" s="200">
        <f>VLOOKUP($E111,'Analysis Inputs'!$D$14:$M$67,10,FALSE)</f>
        <v>17777.945134258178</v>
      </c>
      <c r="G111" s="203">
        <f>VLOOKUP($E111,'Analysis Inputs'!$D$14:$M$67,4,FALSE)</f>
        <v>0</v>
      </c>
      <c r="H111" s="203">
        <f>+G111*G54</f>
        <v>0</v>
      </c>
      <c r="I111" s="202">
        <f>VLOOKUP($E111,'Analysis Inputs'!$D$14:$M$67,5,FALSE)</f>
        <v>17777.945134258178</v>
      </c>
      <c r="J111" s="202">
        <f t="shared" si="12"/>
        <v>98.204653639899661</v>
      </c>
      <c r="K111" s="202">
        <f>VLOOKUP($E111,'Analysis Inputs'!$D$14:$M$67,6,FALSE)</f>
        <v>0</v>
      </c>
      <c r="L111" s="202">
        <f t="shared" si="2"/>
        <v>0</v>
      </c>
      <c r="M111" s="202" t="str">
        <f>VLOOKUP($E111,'Analysis Inputs'!$D$14:$M$67,7,FALSE)</f>
        <v>NA</v>
      </c>
      <c r="N111" s="202" t="s">
        <v>503</v>
      </c>
      <c r="O111" s="700" t="str">
        <f>VLOOKUP($E111,'Analysis Inputs'!$D$14:$U$67,8,FALSE)</f>
        <v>NA</v>
      </c>
      <c r="P111" s="477" t="s">
        <v>503</v>
      </c>
      <c r="Q111" s="405">
        <f t="shared" si="3"/>
        <v>98.204653639899661</v>
      </c>
      <c r="S111" s="47"/>
      <c r="T111" s="32"/>
    </row>
    <row r="112" spans="2:20" ht="12.75" customHeight="1" x14ac:dyDescent="0.25">
      <c r="B112" s="47">
        <f t="shared" si="4"/>
        <v>1</v>
      </c>
      <c r="C112" s="47">
        <f t="shared" si="8"/>
        <v>23</v>
      </c>
      <c r="D112">
        <f t="shared" si="9"/>
        <v>23</v>
      </c>
      <c r="E112" s="7" t="s">
        <v>423</v>
      </c>
      <c r="F112" s="200">
        <f>VLOOKUP($E112,'Analysis Inputs'!$D$14:$M$67,10,FALSE)</f>
        <v>3566.6261698317612</v>
      </c>
      <c r="G112" s="203">
        <f>VLOOKUP($E112,'Analysis Inputs'!$D$14:$M$67,4,FALSE)</f>
        <v>0</v>
      </c>
      <c r="H112" s="203">
        <f>+G112*G55</f>
        <v>0</v>
      </c>
      <c r="I112" s="202">
        <f>VLOOKUP($E112,'Analysis Inputs'!$D$14:$M$67,5,FALSE)</f>
        <v>3566.6261698317612</v>
      </c>
      <c r="J112" s="202">
        <f t="shared" si="12"/>
        <v>19.701899461731315</v>
      </c>
      <c r="K112" s="202">
        <f>VLOOKUP($E112,'Analysis Inputs'!$D$14:$M$67,6,FALSE)</f>
        <v>0</v>
      </c>
      <c r="L112" s="202">
        <f t="shared" si="2"/>
        <v>0</v>
      </c>
      <c r="M112" s="202" t="str">
        <f>VLOOKUP($E112,'Analysis Inputs'!$D$14:$M$67,7,FALSE)</f>
        <v>NA</v>
      </c>
      <c r="N112" s="202" t="s">
        <v>503</v>
      </c>
      <c r="O112" s="700" t="str">
        <f>VLOOKUP($E112,'Analysis Inputs'!$D$14:$U$67,8,FALSE)</f>
        <v>NA</v>
      </c>
      <c r="P112" s="477" t="s">
        <v>503</v>
      </c>
      <c r="Q112" s="405">
        <f t="shared" si="3"/>
        <v>19.701899461731315</v>
      </c>
      <c r="S112" s="47"/>
      <c r="T112" s="32"/>
    </row>
    <row r="113" spans="2:20" ht="12.75" customHeight="1" x14ac:dyDescent="0.25">
      <c r="B113" s="47">
        <f t="shared" si="4"/>
        <v>0</v>
      </c>
      <c r="C113" s="47">
        <f t="shared" si="8"/>
        <v>23</v>
      </c>
      <c r="D113">
        <f t="shared" si="9"/>
        <v>0</v>
      </c>
      <c r="E113" s="117" t="s">
        <v>455</v>
      </c>
      <c r="F113" s="200">
        <f>VLOOKUP($E113,'Analysis Inputs'!$D$14:$M$67,10,FALSE)</f>
        <v>0</v>
      </c>
      <c r="G113" s="203" t="str">
        <f>VLOOKUP($E113,'Analysis Inputs'!$D$14:$M$67,4,FALSE)</f>
        <v>NA</v>
      </c>
      <c r="H113" s="203" t="s">
        <v>503</v>
      </c>
      <c r="I113" s="202">
        <f>VLOOKUP($E113,'Analysis Inputs'!$D$14:$M$67,5,FALSE)</f>
        <v>0</v>
      </c>
      <c r="J113" s="202">
        <f t="shared" si="12"/>
        <v>0</v>
      </c>
      <c r="K113" s="202" t="str">
        <f>VLOOKUP($E113,'Analysis Inputs'!$D$14:$M$67,6,FALSE)</f>
        <v>NA</v>
      </c>
      <c r="L113" s="202" t="s">
        <v>503</v>
      </c>
      <c r="M113" s="202" t="str">
        <f>VLOOKUP($E113,'Analysis Inputs'!$D$14:$M$67,7,FALSE)</f>
        <v>NA</v>
      </c>
      <c r="N113" s="202" t="s">
        <v>503</v>
      </c>
      <c r="O113" s="700" t="str">
        <f>VLOOKUP($E113,'Analysis Inputs'!$D$14:$U$67,8,FALSE)</f>
        <v>NA</v>
      </c>
      <c r="P113" s="477" t="s">
        <v>503</v>
      </c>
      <c r="Q113" s="405">
        <f t="shared" si="3"/>
        <v>0</v>
      </c>
      <c r="S113" s="47"/>
      <c r="T113" s="32"/>
    </row>
    <row r="114" spans="2:20" ht="12.75" customHeight="1" x14ac:dyDescent="0.25">
      <c r="B114" s="47">
        <f t="shared" si="4"/>
        <v>0</v>
      </c>
      <c r="C114" s="47">
        <f t="shared" si="8"/>
        <v>23</v>
      </c>
      <c r="D114">
        <f t="shared" si="9"/>
        <v>0</v>
      </c>
      <c r="E114" s="117" t="s">
        <v>476</v>
      </c>
      <c r="F114" s="200">
        <f>VLOOKUP($E114,'Analysis Inputs'!$D$14:$M$67,10,FALSE)</f>
        <v>0</v>
      </c>
      <c r="G114" s="203">
        <f>VLOOKUP($E114,'Analysis Inputs'!$D$14:$M$67,4,FALSE)</f>
        <v>0</v>
      </c>
      <c r="H114" s="203">
        <f t="shared" ref="H114:H119" si="14">+G114*G57</f>
        <v>0</v>
      </c>
      <c r="I114" s="202">
        <f>VLOOKUP($E114,'Analysis Inputs'!$D$14:$M$67,5,FALSE)</f>
        <v>0</v>
      </c>
      <c r="J114" s="202">
        <f t="shared" si="12"/>
        <v>0</v>
      </c>
      <c r="K114" s="202" t="str">
        <f>VLOOKUP($E114,'Analysis Inputs'!$D$14:$M$67,6,FALSE)</f>
        <v>NA</v>
      </c>
      <c r="L114" s="202" t="s">
        <v>503</v>
      </c>
      <c r="M114" s="202" t="str">
        <f>VLOOKUP($E114,'Analysis Inputs'!$D$14:$M$67,7,FALSE)</f>
        <v>NA</v>
      </c>
      <c r="N114" s="202" t="s">
        <v>503</v>
      </c>
      <c r="O114" s="700" t="str">
        <f>VLOOKUP($E114,'Analysis Inputs'!$D$14:$U$67,8,FALSE)</f>
        <v>NA</v>
      </c>
      <c r="P114" s="477" t="s">
        <v>503</v>
      </c>
      <c r="Q114" s="405">
        <f t="shared" si="3"/>
        <v>0</v>
      </c>
      <c r="S114" s="47"/>
      <c r="T114" s="32"/>
    </row>
    <row r="115" spans="2:20" ht="12.75" customHeight="1" x14ac:dyDescent="0.25">
      <c r="B115" s="47">
        <f t="shared" si="4"/>
        <v>1</v>
      </c>
      <c r="C115" s="47">
        <f t="shared" si="8"/>
        <v>24</v>
      </c>
      <c r="D115">
        <f t="shared" si="9"/>
        <v>24</v>
      </c>
      <c r="E115" s="117" t="s">
        <v>131</v>
      </c>
      <c r="F115" s="200">
        <f>VLOOKUP($E115,'Analysis Inputs'!$D$14:$M$67,10,FALSE)</f>
        <v>48.934699796860542</v>
      </c>
      <c r="G115" s="203">
        <f>VLOOKUP($E115,'Analysis Inputs'!$D$14:$M$67,4,FALSE)</f>
        <v>0</v>
      </c>
      <c r="H115" s="203">
        <f t="shared" si="14"/>
        <v>0</v>
      </c>
      <c r="I115" s="202">
        <f>VLOOKUP($E115,'Analysis Inputs'!$D$14:$M$67,5,FALSE)</f>
        <v>48.934699796860542</v>
      </c>
      <c r="J115" s="202">
        <f t="shared" si="12"/>
        <v>0.27031331282841659</v>
      </c>
      <c r="K115" s="202" t="str">
        <f>VLOOKUP($E115,'Analysis Inputs'!$D$14:$M$67,6,FALSE)</f>
        <v>NA</v>
      </c>
      <c r="L115" s="202" t="s">
        <v>503</v>
      </c>
      <c r="M115" s="202" t="str">
        <f>VLOOKUP($E115,'Analysis Inputs'!$D$14:$M$67,7,FALSE)</f>
        <v>NA</v>
      </c>
      <c r="N115" s="202" t="s">
        <v>503</v>
      </c>
      <c r="O115" s="700" t="str">
        <f>VLOOKUP($E115,'Analysis Inputs'!$D$14:$U$67,8,FALSE)</f>
        <v>NA</v>
      </c>
      <c r="P115" s="477" t="s">
        <v>503</v>
      </c>
      <c r="Q115" s="405">
        <f t="shared" si="3"/>
        <v>0.27031331282841659</v>
      </c>
      <c r="S115" s="47"/>
      <c r="T115" s="32"/>
    </row>
    <row r="116" spans="2:20" ht="12.75" customHeight="1" x14ac:dyDescent="0.25">
      <c r="B116" s="47">
        <f t="shared" si="4"/>
        <v>1</v>
      </c>
      <c r="C116" s="47">
        <f t="shared" si="8"/>
        <v>25</v>
      </c>
      <c r="D116">
        <f t="shared" si="9"/>
        <v>25</v>
      </c>
      <c r="E116" s="117" t="s">
        <v>444</v>
      </c>
      <c r="F116" s="200">
        <f>VLOOKUP($E116,'Analysis Inputs'!$D$14:$M$67,10,FALSE)</f>
        <v>667.21647161788258</v>
      </c>
      <c r="G116" s="203">
        <f>VLOOKUP($E116,'Analysis Inputs'!$D$14:$M$67,4,FALSE)</f>
        <v>0</v>
      </c>
      <c r="H116" s="203">
        <f t="shared" si="14"/>
        <v>0</v>
      </c>
      <c r="I116" s="202">
        <f>VLOOKUP($E116,'Analysis Inputs'!$D$14:$M$67,5,FALSE)</f>
        <v>667.21647161788258</v>
      </c>
      <c r="J116" s="202">
        <f t="shared" si="12"/>
        <v>3.6856769442833706</v>
      </c>
      <c r="K116" s="202">
        <f>VLOOKUP($E116,'Analysis Inputs'!$D$14:$M$67,6,FALSE)</f>
        <v>0</v>
      </c>
      <c r="L116" s="202">
        <f>+K116*I59</f>
        <v>0</v>
      </c>
      <c r="M116" s="202" t="str">
        <f>VLOOKUP($E116,'Analysis Inputs'!$D$14:$M$67,7,FALSE)</f>
        <v>NA</v>
      </c>
      <c r="N116" s="202" t="s">
        <v>503</v>
      </c>
      <c r="O116" s="700" t="str">
        <f>VLOOKUP($E116,'Analysis Inputs'!$D$14:$U$67,8,FALSE)</f>
        <v>NA</v>
      </c>
      <c r="P116" s="477" t="s">
        <v>503</v>
      </c>
      <c r="Q116" s="405">
        <f t="shared" si="3"/>
        <v>3.6856769442833706</v>
      </c>
      <c r="S116" s="47"/>
      <c r="T116" s="32"/>
    </row>
    <row r="117" spans="2:20" ht="12.75" customHeight="1" x14ac:dyDescent="0.25">
      <c r="B117" s="47">
        <f t="shared" si="4"/>
        <v>0</v>
      </c>
      <c r="C117" s="47">
        <f t="shared" si="8"/>
        <v>25</v>
      </c>
      <c r="D117">
        <f t="shared" si="9"/>
        <v>0</v>
      </c>
      <c r="E117" s="117" t="s">
        <v>53</v>
      </c>
      <c r="F117" s="200">
        <f>VLOOKUP($E117,'Analysis Inputs'!$D$14:$M$67,10,FALSE)</f>
        <v>0</v>
      </c>
      <c r="G117" s="203">
        <f>VLOOKUP($E117,'Analysis Inputs'!$D$14:$M$67,4,FALSE)</f>
        <v>0</v>
      </c>
      <c r="H117" s="203">
        <f t="shared" si="14"/>
        <v>0</v>
      </c>
      <c r="I117" s="202">
        <f>VLOOKUP($E117,'Analysis Inputs'!$D$14:$M$67,5,FALSE)</f>
        <v>0</v>
      </c>
      <c r="J117" s="202">
        <f t="shared" si="12"/>
        <v>0</v>
      </c>
      <c r="K117" s="202" t="str">
        <f>VLOOKUP($E117,'Analysis Inputs'!$D$14:$M$67,6,FALSE)</f>
        <v>NA</v>
      </c>
      <c r="L117" s="202" t="s">
        <v>503</v>
      </c>
      <c r="M117" s="202" t="str">
        <f>VLOOKUP($E117,'Analysis Inputs'!$D$14:$M$67,7,FALSE)</f>
        <v>NA</v>
      </c>
      <c r="N117" s="202" t="s">
        <v>503</v>
      </c>
      <c r="O117" s="700" t="str">
        <f>VLOOKUP($E117,'Analysis Inputs'!$D$14:$U$67,8,FALSE)</f>
        <v>NA</v>
      </c>
      <c r="P117" s="477" t="s">
        <v>503</v>
      </c>
      <c r="Q117" s="405">
        <f t="shared" si="3"/>
        <v>0</v>
      </c>
      <c r="S117" s="47"/>
      <c r="T117" s="32"/>
    </row>
    <row r="118" spans="2:20" ht="12.75" customHeight="1" x14ac:dyDescent="0.25">
      <c r="B118" s="47">
        <f t="shared" si="4"/>
        <v>1</v>
      </c>
      <c r="C118" s="47">
        <f t="shared" si="8"/>
        <v>26</v>
      </c>
      <c r="D118">
        <f t="shared" si="9"/>
        <v>26</v>
      </c>
      <c r="E118" s="117" t="s">
        <v>54</v>
      </c>
      <c r="F118" s="200">
        <f>VLOOKUP($E118,'Analysis Inputs'!$D$14:$M$67,10,FALSE)</f>
        <v>3002.42668852621</v>
      </c>
      <c r="G118" s="203">
        <f>VLOOKUP($E118,'Analysis Inputs'!$D$14:$M$67,4,FALSE)</f>
        <v>0</v>
      </c>
      <c r="H118" s="203">
        <f t="shared" si="14"/>
        <v>0</v>
      </c>
      <c r="I118" s="202">
        <f>VLOOKUP($E118,'Analysis Inputs'!$D$14:$M$67,5,FALSE)</f>
        <v>3002.42668852621</v>
      </c>
      <c r="J118" s="202">
        <f t="shared" si="12"/>
        <v>16.585284227125086</v>
      </c>
      <c r="K118" s="202">
        <f>VLOOKUP($E118,'Analysis Inputs'!$D$14:$M$67,6,FALSE)</f>
        <v>0</v>
      </c>
      <c r="L118" s="202">
        <f>+K118*I61</f>
        <v>0</v>
      </c>
      <c r="M118" s="202" t="str">
        <f>VLOOKUP($E118,'Analysis Inputs'!$D$14:$M$67,7,FALSE)</f>
        <v>NA</v>
      </c>
      <c r="N118" s="202" t="s">
        <v>503</v>
      </c>
      <c r="O118" s="700" t="str">
        <f>VLOOKUP($E118,'Analysis Inputs'!$D$14:$U$67,8,FALSE)</f>
        <v>NA</v>
      </c>
      <c r="P118" s="477" t="s">
        <v>503</v>
      </c>
      <c r="Q118" s="405">
        <f>IF(P118="INPUT ERROR","INPUT ERROR",SUM(H118,J118,L118,N118,P118))</f>
        <v>16.585284227125086</v>
      </c>
      <c r="S118" s="47"/>
      <c r="T118" s="32"/>
    </row>
    <row r="119" spans="2:20" ht="12.75" customHeight="1" x14ac:dyDescent="0.25">
      <c r="B119" s="47">
        <f t="shared" si="4"/>
        <v>1</v>
      </c>
      <c r="C119" s="47">
        <f t="shared" si="8"/>
        <v>27</v>
      </c>
      <c r="D119">
        <f t="shared" si="9"/>
        <v>27</v>
      </c>
      <c r="E119" s="117" t="s">
        <v>55</v>
      </c>
      <c r="F119" s="200">
        <f>VLOOKUP($E119,'Analysis Inputs'!$D$14:$M$67,10,FALSE)</f>
        <v>14797.404669376238</v>
      </c>
      <c r="G119" s="203">
        <f>VLOOKUP($E119,'Analysis Inputs'!$D$14:$M$67,4,FALSE)</f>
        <v>0</v>
      </c>
      <c r="H119" s="203">
        <f t="shared" si="14"/>
        <v>0</v>
      </c>
      <c r="I119" s="202">
        <f>VLOOKUP($E119,'Analysis Inputs'!$D$14:$M$67,5,FALSE)</f>
        <v>14797.404669376238</v>
      </c>
      <c r="J119" s="202">
        <f t="shared" si="12"/>
        <v>-246.34179602367013</v>
      </c>
      <c r="K119" s="202" t="str">
        <f>VLOOKUP($E119,'Analysis Inputs'!$D$14:$M$67,6,FALSE)</f>
        <v>NA</v>
      </c>
      <c r="L119" s="202" t="s">
        <v>503</v>
      </c>
      <c r="M119" s="202" t="str">
        <f>VLOOKUP($E119,'Analysis Inputs'!$D$14:$M$67,7,FALSE)</f>
        <v>NA</v>
      </c>
      <c r="N119" s="202" t="s">
        <v>503</v>
      </c>
      <c r="O119" s="700" t="str">
        <f>VLOOKUP($E119,'Analysis Inputs'!$D$14:$U$67,8,FALSE)</f>
        <v>NA</v>
      </c>
      <c r="P119" s="477" t="s">
        <v>503</v>
      </c>
      <c r="Q119" s="405">
        <f t="shared" si="3"/>
        <v>-246.34179602367013</v>
      </c>
      <c r="S119" s="47"/>
      <c r="T119" s="32"/>
    </row>
    <row r="120" spans="2:20" ht="12.75" customHeight="1" x14ac:dyDescent="0.25">
      <c r="B120" s="47">
        <f t="shared" si="4"/>
        <v>0</v>
      </c>
      <c r="C120" s="47">
        <f t="shared" si="8"/>
        <v>27</v>
      </c>
      <c r="D120">
        <f t="shared" si="9"/>
        <v>0</v>
      </c>
      <c r="E120" s="117" t="s">
        <v>56</v>
      </c>
      <c r="F120" s="200">
        <f>VLOOKUP($E120,'Analysis Inputs'!$D$14:$M$67,10,FALSE)</f>
        <v>0</v>
      </c>
      <c r="G120" s="203" t="str">
        <f>VLOOKUP($E120,'Analysis Inputs'!$D$14:$M$67,4,FALSE)</f>
        <v>NA</v>
      </c>
      <c r="H120" s="203" t="s">
        <v>503</v>
      </c>
      <c r="I120" s="202">
        <f>VLOOKUP($E120,'Analysis Inputs'!$D$14:$M$67,5,FALSE)</f>
        <v>0</v>
      </c>
      <c r="J120" s="202">
        <f t="shared" si="12"/>
        <v>0</v>
      </c>
      <c r="K120" s="202" t="str">
        <f>VLOOKUP($E120,'Analysis Inputs'!$D$14:$M$67,6,FALSE)</f>
        <v>NA</v>
      </c>
      <c r="L120" s="202" t="s">
        <v>503</v>
      </c>
      <c r="M120" s="202" t="str">
        <f>VLOOKUP($E120,'Analysis Inputs'!$D$14:$M$67,7,FALSE)</f>
        <v>NA</v>
      </c>
      <c r="N120" s="202" t="s">
        <v>503</v>
      </c>
      <c r="O120" s="700" t="str">
        <f>VLOOKUP($E120,'Analysis Inputs'!$D$14:$U$67,8,FALSE)</f>
        <v>NA</v>
      </c>
      <c r="P120" s="477" t="s">
        <v>503</v>
      </c>
      <c r="Q120" s="405">
        <f t="shared" si="3"/>
        <v>0</v>
      </c>
      <c r="S120" s="47"/>
      <c r="T120" s="32"/>
    </row>
    <row r="121" spans="2:20" ht="12.75" customHeight="1" x14ac:dyDescent="0.25">
      <c r="B121" s="47">
        <f t="shared" si="4"/>
        <v>0</v>
      </c>
      <c r="C121" s="47">
        <f t="shared" si="8"/>
        <v>27</v>
      </c>
      <c r="D121">
        <f t="shared" si="9"/>
        <v>0</v>
      </c>
      <c r="E121" s="117" t="s">
        <v>57</v>
      </c>
      <c r="F121" s="200">
        <f>VLOOKUP($E121,'Analysis Inputs'!$D$14:$M$67,10,FALSE)</f>
        <v>0</v>
      </c>
      <c r="G121" s="203" t="str">
        <f>VLOOKUP($E121,'Analysis Inputs'!$D$14:$M$67,4,FALSE)</f>
        <v>NA</v>
      </c>
      <c r="H121" s="203" t="s">
        <v>503</v>
      </c>
      <c r="I121" s="202">
        <f>VLOOKUP($E121,'Analysis Inputs'!$D$14:$M$67,5,FALSE)</f>
        <v>0</v>
      </c>
      <c r="J121" s="202">
        <f t="shared" si="12"/>
        <v>0</v>
      </c>
      <c r="K121" s="202">
        <f>VLOOKUP($E121,'Analysis Inputs'!$D$14:$M$67,6,FALSE)</f>
        <v>0</v>
      </c>
      <c r="L121" s="202">
        <f>+K121*I64</f>
        <v>0</v>
      </c>
      <c r="M121" s="202" t="str">
        <f>VLOOKUP($E121,'Analysis Inputs'!$D$14:$M$67,7,FALSE)</f>
        <v>NA</v>
      </c>
      <c r="N121" s="202" t="s">
        <v>503</v>
      </c>
      <c r="O121" s="700" t="str">
        <f>VLOOKUP($E121,'Analysis Inputs'!$D$14:$U$67,8,FALSE)</f>
        <v>NA</v>
      </c>
      <c r="P121" s="477" t="s">
        <v>503</v>
      </c>
      <c r="Q121" s="405">
        <f t="shared" si="3"/>
        <v>0</v>
      </c>
      <c r="S121" s="47"/>
      <c r="T121" s="32"/>
    </row>
    <row r="122" spans="2:20" ht="12.75" customHeight="1" x14ac:dyDescent="0.25">
      <c r="B122" s="47">
        <f t="shared" si="4"/>
        <v>0</v>
      </c>
      <c r="C122" s="47">
        <f t="shared" si="8"/>
        <v>27</v>
      </c>
      <c r="D122">
        <f t="shared" si="9"/>
        <v>0</v>
      </c>
      <c r="E122" s="117" t="s">
        <v>58</v>
      </c>
      <c r="F122" s="200">
        <f>VLOOKUP($E122,'Analysis Inputs'!$D$14:$M$67,10,FALSE)</f>
        <v>0</v>
      </c>
      <c r="G122" s="203" t="str">
        <f>VLOOKUP($E122,'Analysis Inputs'!$D$14:$M$67,4,FALSE)</f>
        <v>NA</v>
      </c>
      <c r="H122" s="203" t="s">
        <v>503</v>
      </c>
      <c r="I122" s="202">
        <f>VLOOKUP($E122,'Analysis Inputs'!$D$14:$M$67,5,FALSE)</f>
        <v>0</v>
      </c>
      <c r="J122" s="202">
        <f t="shared" si="12"/>
        <v>0</v>
      </c>
      <c r="K122" s="202">
        <f>VLOOKUP($E122,'Analysis Inputs'!$D$14:$M$67,6,FALSE)</f>
        <v>0</v>
      </c>
      <c r="L122" s="202">
        <f>+K122*I65</f>
        <v>0</v>
      </c>
      <c r="M122" s="202" t="str">
        <f>VLOOKUP($E122,'Analysis Inputs'!$D$14:$M$67,7,FALSE)</f>
        <v>NA</v>
      </c>
      <c r="N122" s="202" t="s">
        <v>503</v>
      </c>
      <c r="O122" s="700" t="str">
        <f>VLOOKUP($E122,'Analysis Inputs'!$D$14:$U$67,8,FALSE)</f>
        <v>NA</v>
      </c>
      <c r="P122" s="677" t="s">
        <v>503</v>
      </c>
      <c r="Q122" s="405">
        <f t="shared" si="3"/>
        <v>0</v>
      </c>
      <c r="S122" s="47"/>
      <c r="T122" s="32"/>
    </row>
    <row r="123" spans="2:20" ht="13" thickBot="1" x14ac:dyDescent="0.3">
      <c r="E123" s="141" t="s">
        <v>526</v>
      </c>
      <c r="F123" s="399">
        <f t="shared" ref="F123:N123" si="15">SUM(F69:F122)</f>
        <v>842952.9413789165</v>
      </c>
      <c r="G123" s="399">
        <f t="shared" si="15"/>
        <v>0</v>
      </c>
      <c r="H123" s="399">
        <f t="shared" si="15"/>
        <v>0</v>
      </c>
      <c r="I123" s="399">
        <f t="shared" si="15"/>
        <v>842952.9413789165</v>
      </c>
      <c r="J123" s="399">
        <f t="shared" si="15"/>
        <v>25828.125670437501</v>
      </c>
      <c r="K123" s="399">
        <f t="shared" si="15"/>
        <v>0</v>
      </c>
      <c r="L123" s="399">
        <f t="shared" si="15"/>
        <v>0</v>
      </c>
      <c r="M123" s="399">
        <f t="shared" si="15"/>
        <v>0</v>
      </c>
      <c r="N123" s="399">
        <f t="shared" si="15"/>
        <v>0</v>
      </c>
      <c r="O123" s="681">
        <f>SUM(O69:O122)</f>
        <v>0</v>
      </c>
      <c r="P123" s="701">
        <f>IF(AND('Analysis Inputs'!$N$150=3,SUM(O98:O101,O109)&lt;&gt;0),"INPUT ERROR",SUM(P69:P122))</f>
        <v>0</v>
      </c>
      <c r="Q123" s="682">
        <f>IF(AND('Analysis Inputs'!$N$150=3,SUM(O98:O101,O109)&lt;&gt;0),"INPUT ERROR: Please select dry digestion",SUM(H123,J123,L123,N123,P123))</f>
        <v>25828.125670437501</v>
      </c>
    </row>
    <row r="125" spans="2:20" ht="13.5" thickBot="1" x14ac:dyDescent="0.35">
      <c r="E125" s="741" t="s">
        <v>791</v>
      </c>
      <c r="F125" s="2"/>
      <c r="G125" s="27"/>
      <c r="H125" s="27"/>
      <c r="I125" s="2"/>
      <c r="J125" s="2"/>
      <c r="K125" s="2"/>
      <c r="L125" s="665"/>
      <c r="M125" s="665"/>
      <c r="N125" s="665"/>
      <c r="O125" s="665"/>
      <c r="P125" s="665"/>
      <c r="Q125" s="665"/>
      <c r="R125" s="2"/>
      <c r="S125" s="2"/>
    </row>
    <row r="126" spans="2:20" ht="29" x14ac:dyDescent="0.25">
      <c r="E126" s="58" t="s">
        <v>496</v>
      </c>
      <c r="F126" s="59" t="s">
        <v>525</v>
      </c>
      <c r="G126" s="60" t="s">
        <v>783</v>
      </c>
      <c r="H126" s="61" t="s">
        <v>808</v>
      </c>
      <c r="I126" s="60" t="s">
        <v>784</v>
      </c>
      <c r="J126" s="61" t="s">
        <v>805</v>
      </c>
      <c r="K126" s="61" t="s">
        <v>785</v>
      </c>
      <c r="L126" s="61" t="s">
        <v>806</v>
      </c>
      <c r="M126" s="698" t="s">
        <v>786</v>
      </c>
      <c r="N126" s="61" t="s">
        <v>807</v>
      </c>
      <c r="O126" s="416" t="s">
        <v>787</v>
      </c>
      <c r="P126" s="61" t="s">
        <v>802</v>
      </c>
      <c r="Q126" s="60" t="s">
        <v>788</v>
      </c>
      <c r="R126" s="750" t="s">
        <v>803</v>
      </c>
      <c r="S126" s="62" t="s">
        <v>804</v>
      </c>
    </row>
    <row r="127" spans="2:20" ht="12.75" customHeight="1" x14ac:dyDescent="0.25">
      <c r="B127" s="47">
        <f>IF(SUM(G127,I127,K127,M127,O127,Q127)=0,0,1)</f>
        <v>1</v>
      </c>
      <c r="C127" s="47">
        <f>B127</f>
        <v>1</v>
      </c>
      <c r="D127">
        <f>C127*B127</f>
        <v>1</v>
      </c>
      <c r="E127" s="7" t="s">
        <v>515</v>
      </c>
      <c r="F127" s="200">
        <f>VLOOKUP($E127,'Analysis Inputs'!$D$14:$U$67,10,FALSE)</f>
        <v>2581.9310711278504</v>
      </c>
      <c r="G127" s="203">
        <f>VLOOKUP($E127,'Analysis Inputs'!$D$14:$U$67,13,FALSE)</f>
        <v>0</v>
      </c>
      <c r="H127" s="201">
        <f>+G127*F12</f>
        <v>0</v>
      </c>
      <c r="I127" s="202">
        <f>VLOOKUP($E127,'Analysis Inputs'!$D$14:$U$67,14,FALSE)</f>
        <v>0</v>
      </c>
      <c r="J127" s="200">
        <f>+I127*G12</f>
        <v>0</v>
      </c>
      <c r="K127" s="200">
        <f>VLOOKUP($E127,'Analysis Inputs'!$D$14:$U$67,15,FALSE)</f>
        <v>2581.9310711278504</v>
      </c>
      <c r="L127" s="200">
        <f t="shared" ref="L127:L158" si="16">+K127*H12</f>
        <v>14.262483354929415</v>
      </c>
      <c r="M127" s="202">
        <f>VLOOKUP($E127,'Analysis Inputs'!$D$14:$U$67,16,FALSE)</f>
        <v>0</v>
      </c>
      <c r="N127" s="415">
        <f t="shared" ref="N127:N170" si="17">+M127*I12</f>
        <v>0</v>
      </c>
      <c r="O127" s="676" t="str">
        <f>VLOOKUP($E127,'Analysis Inputs'!$D$14:$U$67,17,FALSE)</f>
        <v>NA</v>
      </c>
      <c r="P127" s="406" t="s">
        <v>503</v>
      </c>
      <c r="Q127" s="704" t="str">
        <f>VLOOKUP($E127,'Analysis Inputs'!$D$14:$U$67,18,FALSE)</f>
        <v>NA</v>
      </c>
      <c r="R127" s="707" t="s">
        <v>503</v>
      </c>
      <c r="S127" s="405">
        <f t="shared" ref="S127:S180" si="18">IF(R127="INPUT ERROR","INPUT ERROR",SUM(H127,J127,L127,N127,P127,R127))</f>
        <v>14.262483354929415</v>
      </c>
    </row>
    <row r="128" spans="2:20" ht="12.75" customHeight="1" x14ac:dyDescent="0.25">
      <c r="B128" s="47">
        <f t="shared" ref="B128:B180" si="19">IF(SUM(G128,I128,K128,M128,O128,Q128)=0,0,1)</f>
        <v>1</v>
      </c>
      <c r="C128" s="47">
        <f>B128+C127</f>
        <v>2</v>
      </c>
      <c r="D128">
        <f>C128*B128</f>
        <v>2</v>
      </c>
      <c r="E128" s="7" t="s">
        <v>84</v>
      </c>
      <c r="F128" s="200">
        <f>VLOOKUP($E128,'Analysis Inputs'!$D$14:$U$67,10,FALSE)</f>
        <v>1647.4287121844873</v>
      </c>
      <c r="G128" s="203">
        <f>VLOOKUP($E128,'Analysis Inputs'!$D$14:$U$67,13,FALSE)</f>
        <v>0</v>
      </c>
      <c r="H128" s="201">
        <f t="shared" ref="H128:H155" si="20">+G128*F13</f>
        <v>0</v>
      </c>
      <c r="I128" s="202">
        <f>VLOOKUP($E128,'Analysis Inputs'!$D$14:$U$67,14,FALSE)</f>
        <v>0</v>
      </c>
      <c r="J128" s="200">
        <f t="shared" ref="J128:J177" si="21">+I128*G13</f>
        <v>0</v>
      </c>
      <c r="K128" s="200">
        <f>VLOOKUP($E128,'Analysis Inputs'!$D$14:$U$67,15,FALSE)</f>
        <v>1647.4287121844873</v>
      </c>
      <c r="L128" s="200">
        <f t="shared" si="16"/>
        <v>9.1003299230990873</v>
      </c>
      <c r="M128" s="202">
        <f>VLOOKUP($E128,'Analysis Inputs'!$D$14:$U$67,16,FALSE)</f>
        <v>0</v>
      </c>
      <c r="N128" s="415">
        <f t="shared" si="17"/>
        <v>0</v>
      </c>
      <c r="O128" s="477" t="str">
        <f>VLOOKUP($E128,'Analysis Inputs'!$D$14:$U$67,17,FALSE)</f>
        <v>NA</v>
      </c>
      <c r="P128" s="406" t="s">
        <v>503</v>
      </c>
      <c r="Q128" s="705" t="str">
        <f>VLOOKUP($E128,'Analysis Inputs'!$D$14:$U$67,18,FALSE)</f>
        <v>NA</v>
      </c>
      <c r="R128" s="706" t="s">
        <v>503</v>
      </c>
      <c r="S128" s="405">
        <f t="shared" si="18"/>
        <v>9.1003299230990873</v>
      </c>
    </row>
    <row r="129" spans="2:19" ht="12.75" customHeight="1" x14ac:dyDescent="0.25">
      <c r="B129" s="47">
        <f t="shared" si="19"/>
        <v>1</v>
      </c>
      <c r="C129" s="47">
        <f t="shared" ref="C129:C147" si="22">B129+C128</f>
        <v>3</v>
      </c>
      <c r="D129">
        <f t="shared" ref="D129:D147" si="23">C129*B129</f>
        <v>3</v>
      </c>
      <c r="E129" s="7" t="s">
        <v>516</v>
      </c>
      <c r="F129" s="200">
        <f>VLOOKUP($E129,'Analysis Inputs'!$D$14:$U$67,10,FALSE)</f>
        <v>4001.7125772610179</v>
      </c>
      <c r="G129" s="203">
        <f>VLOOKUP($E129,'Analysis Inputs'!$D$14:$U$67,13,FALSE)</f>
        <v>0</v>
      </c>
      <c r="H129" s="201">
        <f t="shared" si="20"/>
        <v>0</v>
      </c>
      <c r="I129" s="202">
        <f>VLOOKUP($E129,'Analysis Inputs'!$D$14:$U$67,14,FALSE)</f>
        <v>0</v>
      </c>
      <c r="J129" s="200">
        <f t="shared" si="21"/>
        <v>0</v>
      </c>
      <c r="K129" s="200">
        <f>VLOOKUP($E129,'Analysis Inputs'!$D$14:$U$67,15,FALSE)</f>
        <v>4001.7125772610179</v>
      </c>
      <c r="L129" s="200">
        <f t="shared" si="16"/>
        <v>22.105299271008615</v>
      </c>
      <c r="M129" s="202">
        <f>VLOOKUP($E129,'Analysis Inputs'!$D$14:$U$67,16,FALSE)</f>
        <v>0</v>
      </c>
      <c r="N129" s="415">
        <f t="shared" si="17"/>
        <v>0</v>
      </c>
      <c r="O129" s="477" t="str">
        <f>VLOOKUP($E129,'Analysis Inputs'!$D$14:$U$67,17,FALSE)</f>
        <v>NA</v>
      </c>
      <c r="P129" s="406" t="s">
        <v>503</v>
      </c>
      <c r="Q129" s="705" t="str">
        <f>VLOOKUP($E129,'Analysis Inputs'!$D$14:$U$67,18,FALSE)</f>
        <v>NA</v>
      </c>
      <c r="R129" s="706" t="s">
        <v>503</v>
      </c>
      <c r="S129" s="405">
        <f t="shared" si="18"/>
        <v>22.105299271008615</v>
      </c>
    </row>
    <row r="130" spans="2:19" ht="12.75" customHeight="1" x14ac:dyDescent="0.25">
      <c r="B130" s="47">
        <f t="shared" si="19"/>
        <v>0</v>
      </c>
      <c r="C130" s="47">
        <f t="shared" si="22"/>
        <v>3</v>
      </c>
      <c r="D130">
        <f t="shared" si="23"/>
        <v>0</v>
      </c>
      <c r="E130" s="7" t="s">
        <v>438</v>
      </c>
      <c r="F130" s="200">
        <f>VLOOKUP($E130,'Analysis Inputs'!$D$14:$U$67,10,FALSE)</f>
        <v>0</v>
      </c>
      <c r="G130" s="203">
        <f>VLOOKUP($E130,'Analysis Inputs'!$D$14:$U$67,13,FALSE)</f>
        <v>0</v>
      </c>
      <c r="H130" s="201">
        <f t="shared" si="20"/>
        <v>0</v>
      </c>
      <c r="I130" s="202">
        <f>VLOOKUP($E130,'Analysis Inputs'!$D$14:$U$67,14,FALSE)</f>
        <v>0</v>
      </c>
      <c r="J130" s="200">
        <f t="shared" si="21"/>
        <v>0</v>
      </c>
      <c r="K130" s="200">
        <f>VLOOKUP($E130,'Analysis Inputs'!$D$14:$U$67,15,FALSE)</f>
        <v>0</v>
      </c>
      <c r="L130" s="200">
        <f t="shared" si="16"/>
        <v>0</v>
      </c>
      <c r="M130" s="202">
        <f>VLOOKUP($E130,'Analysis Inputs'!$D$14:$U$67,16,FALSE)</f>
        <v>0</v>
      </c>
      <c r="N130" s="415">
        <f t="shared" si="17"/>
        <v>0</v>
      </c>
      <c r="O130" s="477" t="str">
        <f>VLOOKUP($E130,'Analysis Inputs'!$D$14:$U$67,17,FALSE)</f>
        <v>NA</v>
      </c>
      <c r="P130" s="406" t="s">
        <v>503</v>
      </c>
      <c r="Q130" s="705" t="str">
        <f>VLOOKUP($E130,'Analysis Inputs'!$D$14:$U$67,18,FALSE)</f>
        <v>NA</v>
      </c>
      <c r="R130" s="706" t="s">
        <v>503</v>
      </c>
      <c r="S130" s="405">
        <f t="shared" si="18"/>
        <v>0</v>
      </c>
    </row>
    <row r="131" spans="2:19" ht="12.75" customHeight="1" x14ac:dyDescent="0.25">
      <c r="B131" s="47">
        <f t="shared" si="19"/>
        <v>1</v>
      </c>
      <c r="C131" s="47">
        <f t="shared" si="22"/>
        <v>4</v>
      </c>
      <c r="D131">
        <f t="shared" si="23"/>
        <v>4</v>
      </c>
      <c r="E131" s="7" t="s">
        <v>517</v>
      </c>
      <c r="F131" s="200">
        <f>VLOOKUP($E131,'Analysis Inputs'!$D$14:$U$67,10,FALSE)</f>
        <v>22379.467981121063</v>
      </c>
      <c r="G131" s="203">
        <f>VLOOKUP($E131,'Analysis Inputs'!$D$14:$U$67,13,FALSE)</f>
        <v>0</v>
      </c>
      <c r="H131" s="201">
        <f t="shared" si="20"/>
        <v>0</v>
      </c>
      <c r="I131" s="202">
        <f>VLOOKUP($E131,'Analysis Inputs'!$D$14:$U$67,14,FALSE)</f>
        <v>0</v>
      </c>
      <c r="J131" s="200">
        <f t="shared" si="21"/>
        <v>0</v>
      </c>
      <c r="K131" s="200">
        <f>VLOOKUP($E131,'Analysis Inputs'!$D$14:$U$67,15,FALSE)</f>
        <v>22379.467981121063</v>
      </c>
      <c r="L131" s="200">
        <f t="shared" si="16"/>
        <v>123.62328070729107</v>
      </c>
      <c r="M131" s="202">
        <f>VLOOKUP($E131,'Analysis Inputs'!$D$14:$U$67,16,FALSE)</f>
        <v>0</v>
      </c>
      <c r="N131" s="415">
        <f t="shared" si="17"/>
        <v>0</v>
      </c>
      <c r="O131" s="477" t="str">
        <f>VLOOKUP($E131,'Analysis Inputs'!$D$14:$U$67,17,FALSE)</f>
        <v>NA</v>
      </c>
      <c r="P131" s="406" t="s">
        <v>503</v>
      </c>
      <c r="Q131" s="705" t="str">
        <f>VLOOKUP($E131,'Analysis Inputs'!$D$14:$U$67,18,FALSE)</f>
        <v>NA</v>
      </c>
      <c r="R131" s="706" t="s">
        <v>503</v>
      </c>
      <c r="S131" s="405">
        <f t="shared" si="18"/>
        <v>123.62328070729107</v>
      </c>
    </row>
    <row r="132" spans="2:19" ht="12.75" customHeight="1" x14ac:dyDescent="0.25">
      <c r="B132" s="47">
        <f t="shared" si="19"/>
        <v>1</v>
      </c>
      <c r="C132" s="47">
        <f t="shared" si="22"/>
        <v>5</v>
      </c>
      <c r="D132">
        <f t="shared" si="23"/>
        <v>5</v>
      </c>
      <c r="E132" s="7" t="s">
        <v>518</v>
      </c>
      <c r="F132" s="200">
        <f>VLOOKUP($E132,'Analysis Inputs'!$D$14:$U$67,10,FALSE)</f>
        <v>4378.1563584420928</v>
      </c>
      <c r="G132" s="203">
        <f>VLOOKUP($E132,'Analysis Inputs'!$D$14:$U$67,13,FALSE)</f>
        <v>0</v>
      </c>
      <c r="H132" s="201">
        <f t="shared" si="20"/>
        <v>0</v>
      </c>
      <c r="I132" s="202">
        <f>VLOOKUP($E132,'Analysis Inputs'!$D$14:$U$67,14,FALSE)</f>
        <v>0</v>
      </c>
      <c r="J132" s="200">
        <f t="shared" si="21"/>
        <v>0</v>
      </c>
      <c r="K132" s="200">
        <f>VLOOKUP($E132,'Analysis Inputs'!$D$14:$U$67,15,FALSE)</f>
        <v>4378.1563584420928</v>
      </c>
      <c r="L132" s="200">
        <f t="shared" si="16"/>
        <v>24.184759572331242</v>
      </c>
      <c r="M132" s="202">
        <f>VLOOKUP($E132,'Analysis Inputs'!$D$14:$U$67,16,FALSE)</f>
        <v>0</v>
      </c>
      <c r="N132" s="415">
        <f t="shared" si="17"/>
        <v>0</v>
      </c>
      <c r="O132" s="477" t="str">
        <f>VLOOKUP($E132,'Analysis Inputs'!$D$14:$U$67,17,FALSE)</f>
        <v>NA</v>
      </c>
      <c r="P132" s="406" t="s">
        <v>503</v>
      </c>
      <c r="Q132" s="705" t="str">
        <f>VLOOKUP($E132,'Analysis Inputs'!$D$14:$U$67,18,FALSE)</f>
        <v>NA</v>
      </c>
      <c r="R132" s="706" t="s">
        <v>503</v>
      </c>
      <c r="S132" s="405">
        <f t="shared" si="18"/>
        <v>24.184759572331242</v>
      </c>
    </row>
    <row r="133" spans="2:19" ht="12.75" customHeight="1" x14ac:dyDescent="0.25">
      <c r="B133" s="47">
        <f t="shared" si="19"/>
        <v>1</v>
      </c>
      <c r="C133" s="47">
        <f t="shared" si="22"/>
        <v>6</v>
      </c>
      <c r="D133">
        <f t="shared" si="23"/>
        <v>6</v>
      </c>
      <c r="E133" s="7" t="s">
        <v>519</v>
      </c>
      <c r="F133" s="200">
        <f>VLOOKUP($E133,'Analysis Inputs'!$D$14:$U$67,10,FALSE)</f>
        <v>4168.741080644736</v>
      </c>
      <c r="G133" s="203">
        <f>VLOOKUP($E133,'Analysis Inputs'!$D$14:$U$67,13,FALSE)</f>
        <v>0</v>
      </c>
      <c r="H133" s="201">
        <f t="shared" si="20"/>
        <v>0</v>
      </c>
      <c r="I133" s="202" t="str">
        <f>VLOOKUP($E133,'Analysis Inputs'!$D$14:$U$67,14,FALSE)</f>
        <v>NA</v>
      </c>
      <c r="J133" s="202" t="s">
        <v>503</v>
      </c>
      <c r="K133" s="200">
        <f>VLOOKUP($E133,'Analysis Inputs'!$D$14:$U$67,15,FALSE)</f>
        <v>4168.741080644736</v>
      </c>
      <c r="L133" s="200">
        <f>+K133*H18</f>
        <v>23.027958003438847</v>
      </c>
      <c r="M133" s="202">
        <f>VLOOKUP($E133,'Analysis Inputs'!$D$14:$U$67,16,FALSE)</f>
        <v>0</v>
      </c>
      <c r="N133" s="415">
        <f t="shared" si="17"/>
        <v>0</v>
      </c>
      <c r="O133" s="477" t="str">
        <f>VLOOKUP($E133,'Analysis Inputs'!$D$14:$U$67,17,FALSE)</f>
        <v>NA</v>
      </c>
      <c r="P133" s="406" t="s">
        <v>503</v>
      </c>
      <c r="Q133" s="705" t="str">
        <f>VLOOKUP($E133,'Analysis Inputs'!$D$14:$U$67,18,FALSE)</f>
        <v>NA</v>
      </c>
      <c r="R133" s="706" t="s">
        <v>503</v>
      </c>
      <c r="S133" s="405">
        <f t="shared" si="18"/>
        <v>23.027958003438847</v>
      </c>
    </row>
    <row r="134" spans="2:19" ht="12.75" customHeight="1" x14ac:dyDescent="0.25">
      <c r="B134" s="47">
        <f t="shared" si="19"/>
        <v>1</v>
      </c>
      <c r="C134" s="47">
        <f t="shared" si="22"/>
        <v>7</v>
      </c>
      <c r="D134">
        <f t="shared" si="23"/>
        <v>7</v>
      </c>
      <c r="E134" s="7" t="s">
        <v>520</v>
      </c>
      <c r="F134" s="200">
        <f>VLOOKUP($E134,'Analysis Inputs'!$D$14:$U$67,10,FALSE)</f>
        <v>7088.1162615431676</v>
      </c>
      <c r="G134" s="203">
        <f>VLOOKUP($E134,'Analysis Inputs'!$D$14:$U$67,13,FALSE)</f>
        <v>0</v>
      </c>
      <c r="H134" s="201">
        <f t="shared" si="20"/>
        <v>0</v>
      </c>
      <c r="I134" s="202">
        <f>VLOOKUP($E134,'Analysis Inputs'!$D$14:$U$67,14,FALSE)</f>
        <v>0</v>
      </c>
      <c r="J134" s="200">
        <f t="shared" si="21"/>
        <v>0</v>
      </c>
      <c r="K134" s="200">
        <f>VLOOKUP($E134,'Analysis Inputs'!$D$14:$U$67,15,FALSE)</f>
        <v>7088.1162615431676</v>
      </c>
      <c r="L134" s="200">
        <f t="shared" si="16"/>
        <v>39.154469043940651</v>
      </c>
      <c r="M134" s="202">
        <f>VLOOKUP($E134,'Analysis Inputs'!$D$14:$U$67,16,FALSE)</f>
        <v>0</v>
      </c>
      <c r="N134" s="415">
        <f t="shared" si="17"/>
        <v>0</v>
      </c>
      <c r="O134" s="477" t="str">
        <f>VLOOKUP($E134,'Analysis Inputs'!$D$14:$U$67,17,FALSE)</f>
        <v>NA</v>
      </c>
      <c r="P134" s="406" t="s">
        <v>503</v>
      </c>
      <c r="Q134" s="705" t="str">
        <f>VLOOKUP($E134,'Analysis Inputs'!$D$14:$U$67,18,FALSE)</f>
        <v>NA</v>
      </c>
      <c r="R134" s="706" t="s">
        <v>503</v>
      </c>
      <c r="S134" s="405">
        <f t="shared" si="18"/>
        <v>39.154469043940651</v>
      </c>
    </row>
    <row r="135" spans="2:19" ht="12.75" customHeight="1" x14ac:dyDescent="0.25">
      <c r="B135" s="47">
        <f t="shared" si="19"/>
        <v>1</v>
      </c>
      <c r="C135" s="47">
        <f t="shared" si="22"/>
        <v>8</v>
      </c>
      <c r="D135">
        <f t="shared" si="23"/>
        <v>8</v>
      </c>
      <c r="E135" s="7" t="s">
        <v>86</v>
      </c>
      <c r="F135" s="200">
        <f>VLOOKUP($E135,'Analysis Inputs'!$D$14:$U$67,10,FALSE)</f>
        <v>12601.65494719689</v>
      </c>
      <c r="G135" s="203">
        <f>VLOOKUP($E135,'Analysis Inputs'!$D$14:$U$67,13,FALSE)</f>
        <v>0</v>
      </c>
      <c r="H135" s="201">
        <f t="shared" si="20"/>
        <v>0</v>
      </c>
      <c r="I135" s="202" t="str">
        <f>VLOOKUP($E135,'Analysis Inputs'!$D$14:$U$67,14,FALSE)</f>
        <v>NA</v>
      </c>
      <c r="J135" s="202" t="s">
        <v>503</v>
      </c>
      <c r="K135" s="200">
        <f>VLOOKUP($E135,'Analysis Inputs'!$D$14:$U$67,15,FALSE)</f>
        <v>12601.65494719689</v>
      </c>
      <c r="L135" s="200">
        <f t="shared" si="16"/>
        <v>69.61103491056744</v>
      </c>
      <c r="M135" s="202">
        <f>VLOOKUP($E135,'Analysis Inputs'!$D$14:$U$67,16,FALSE)</f>
        <v>0</v>
      </c>
      <c r="N135" s="415">
        <f t="shared" si="17"/>
        <v>0</v>
      </c>
      <c r="O135" s="477" t="str">
        <f>VLOOKUP($E135,'Analysis Inputs'!$D$14:$U$67,17,FALSE)</f>
        <v>NA</v>
      </c>
      <c r="P135" s="406" t="s">
        <v>503</v>
      </c>
      <c r="Q135" s="705" t="str">
        <f>VLOOKUP($E135,'Analysis Inputs'!$D$14:$U$67,18,FALSE)</f>
        <v>NA</v>
      </c>
      <c r="R135" s="706" t="s">
        <v>503</v>
      </c>
      <c r="S135" s="405">
        <f t="shared" si="18"/>
        <v>69.61103491056744</v>
      </c>
    </row>
    <row r="136" spans="2:19" ht="12.75" customHeight="1" x14ac:dyDescent="0.25">
      <c r="B136" s="47">
        <f t="shared" si="19"/>
        <v>0</v>
      </c>
      <c r="C136" s="47">
        <f t="shared" si="22"/>
        <v>8</v>
      </c>
      <c r="D136">
        <f t="shared" si="23"/>
        <v>0</v>
      </c>
      <c r="E136" s="7" t="s">
        <v>87</v>
      </c>
      <c r="F136" s="200">
        <f>VLOOKUP($E136,'Analysis Inputs'!$D$14:$U$67,10,FALSE)</f>
        <v>0</v>
      </c>
      <c r="G136" s="203">
        <f>VLOOKUP($E136,'Analysis Inputs'!$D$14:$U$67,13,FALSE)</f>
        <v>0</v>
      </c>
      <c r="H136" s="201">
        <f t="shared" si="20"/>
        <v>0</v>
      </c>
      <c r="I136" s="202" t="str">
        <f>VLOOKUP($E136,'Analysis Inputs'!$D$14:$U$67,14,FALSE)</f>
        <v>NA</v>
      </c>
      <c r="J136" s="202" t="s">
        <v>503</v>
      </c>
      <c r="K136" s="200">
        <f>VLOOKUP($E136,'Analysis Inputs'!$D$14:$U$67,15,FALSE)</f>
        <v>0</v>
      </c>
      <c r="L136" s="200">
        <f t="shared" si="16"/>
        <v>0</v>
      </c>
      <c r="M136" s="202">
        <f>VLOOKUP($E136,'Analysis Inputs'!$D$14:$U$67,16,FALSE)</f>
        <v>0</v>
      </c>
      <c r="N136" s="415">
        <f t="shared" si="17"/>
        <v>0</v>
      </c>
      <c r="O136" s="477" t="str">
        <f>VLOOKUP($E136,'Analysis Inputs'!$D$14:$U$67,17,FALSE)</f>
        <v>NA</v>
      </c>
      <c r="P136" s="406" t="s">
        <v>503</v>
      </c>
      <c r="Q136" s="705" t="str">
        <f>VLOOKUP($E136,'Analysis Inputs'!$D$14:$U$67,18,FALSE)</f>
        <v>NA</v>
      </c>
      <c r="R136" s="706" t="s">
        <v>503</v>
      </c>
      <c r="S136" s="405">
        <f t="shared" si="18"/>
        <v>0</v>
      </c>
    </row>
    <row r="137" spans="2:19" ht="12.75" customHeight="1" x14ac:dyDescent="0.25">
      <c r="B137" s="47">
        <f t="shared" si="19"/>
        <v>1</v>
      </c>
      <c r="C137" s="47">
        <f t="shared" si="22"/>
        <v>9</v>
      </c>
      <c r="D137">
        <f t="shared" si="23"/>
        <v>9</v>
      </c>
      <c r="E137" s="7" t="s">
        <v>88</v>
      </c>
      <c r="F137" s="200">
        <f>VLOOKUP($E137,'Analysis Inputs'!$D$14:$U$67,10,FALSE)</f>
        <v>5327.0221948308408</v>
      </c>
      <c r="G137" s="203">
        <f>VLOOKUP($E137,'Analysis Inputs'!$D$14:$U$67,13,FALSE)</f>
        <v>0</v>
      </c>
      <c r="H137" s="201">
        <f t="shared" si="20"/>
        <v>0</v>
      </c>
      <c r="I137" s="202" t="str">
        <f>VLOOKUP($E137,'Analysis Inputs'!$D$14:$U$67,14,FALSE)</f>
        <v>NA</v>
      </c>
      <c r="J137" s="202" t="s">
        <v>503</v>
      </c>
      <c r="K137" s="200">
        <f>VLOOKUP($E137,'Analysis Inputs'!$D$14:$U$67,15,FALSE)</f>
        <v>5327.0221948308408</v>
      </c>
      <c r="L137" s="200">
        <f t="shared" si="16"/>
        <v>29.426256275666574</v>
      </c>
      <c r="M137" s="202">
        <f>VLOOKUP($E137,'Analysis Inputs'!$D$14:$U$67,16,FALSE)</f>
        <v>0</v>
      </c>
      <c r="N137" s="415">
        <f t="shared" si="17"/>
        <v>0</v>
      </c>
      <c r="O137" s="477" t="str">
        <f>VLOOKUP($E137,'Analysis Inputs'!$D$14:$U$67,17,FALSE)</f>
        <v>NA</v>
      </c>
      <c r="P137" s="406" t="s">
        <v>503</v>
      </c>
      <c r="Q137" s="705" t="str">
        <f>VLOOKUP($E137,'Analysis Inputs'!$D$14:$U$67,18,FALSE)</f>
        <v>NA</v>
      </c>
      <c r="R137" s="706" t="s">
        <v>503</v>
      </c>
      <c r="S137" s="405">
        <f t="shared" si="18"/>
        <v>29.426256275666574</v>
      </c>
    </row>
    <row r="138" spans="2:19" ht="12.75" customHeight="1" x14ac:dyDescent="0.25">
      <c r="B138" s="47">
        <f t="shared" si="19"/>
        <v>0</v>
      </c>
      <c r="C138" s="47">
        <f t="shared" si="22"/>
        <v>9</v>
      </c>
      <c r="D138">
        <f t="shared" si="23"/>
        <v>0</v>
      </c>
      <c r="E138" s="7" t="s">
        <v>89</v>
      </c>
      <c r="F138" s="200">
        <f>VLOOKUP($E138,'Analysis Inputs'!$D$14:$U$67,10,FALSE)</f>
        <v>0</v>
      </c>
      <c r="G138" s="203">
        <f>VLOOKUP($E138,'Analysis Inputs'!$D$14:$U$67,13,FALSE)</f>
        <v>0</v>
      </c>
      <c r="H138" s="201">
        <f t="shared" si="20"/>
        <v>0</v>
      </c>
      <c r="I138" s="202" t="str">
        <f>VLOOKUP($E138,'Analysis Inputs'!$D$14:$U$67,14,FALSE)</f>
        <v>NA</v>
      </c>
      <c r="J138" s="202" t="s">
        <v>503</v>
      </c>
      <c r="K138" s="200">
        <f>VLOOKUP($E138,'Analysis Inputs'!$D$14:$U$67,15,FALSE)</f>
        <v>0</v>
      </c>
      <c r="L138" s="200">
        <f t="shared" si="16"/>
        <v>0</v>
      </c>
      <c r="M138" s="202">
        <f>VLOOKUP($E138,'Analysis Inputs'!$D$14:$U$67,16,FALSE)</f>
        <v>0</v>
      </c>
      <c r="N138" s="415">
        <f t="shared" si="17"/>
        <v>0</v>
      </c>
      <c r="O138" s="477" t="str">
        <f>VLOOKUP($E138,'Analysis Inputs'!$D$14:$U$67,17,FALSE)</f>
        <v>NA</v>
      </c>
      <c r="P138" s="406" t="s">
        <v>503</v>
      </c>
      <c r="Q138" s="705" t="str">
        <f>VLOOKUP($E138,'Analysis Inputs'!$D$14:$U$67,18,FALSE)</f>
        <v>NA</v>
      </c>
      <c r="R138" s="706" t="s">
        <v>503</v>
      </c>
      <c r="S138" s="405">
        <f t="shared" si="18"/>
        <v>0</v>
      </c>
    </row>
    <row r="139" spans="2:19" ht="12.75" customHeight="1" x14ac:dyDescent="0.25">
      <c r="B139" s="47">
        <f t="shared" si="19"/>
        <v>0</v>
      </c>
      <c r="C139" s="47">
        <f t="shared" si="22"/>
        <v>9</v>
      </c>
      <c r="D139">
        <f t="shared" si="23"/>
        <v>0</v>
      </c>
      <c r="E139" s="7" t="s">
        <v>85</v>
      </c>
      <c r="F139" s="200">
        <f>VLOOKUP($E139,'Analysis Inputs'!$D$14:$U$67,10,FALSE)</f>
        <v>0</v>
      </c>
      <c r="G139" s="203">
        <f>VLOOKUP($E139,'Analysis Inputs'!$D$14:$U$67,13,FALSE)</f>
        <v>0</v>
      </c>
      <c r="H139" s="201">
        <f t="shared" si="20"/>
        <v>0</v>
      </c>
      <c r="I139" s="202" t="str">
        <f>VLOOKUP($E139,'Analysis Inputs'!$D$14:$U$67,14,FALSE)</f>
        <v>NA</v>
      </c>
      <c r="J139" s="202" t="s">
        <v>503</v>
      </c>
      <c r="K139" s="200">
        <f>VLOOKUP($E139,'Analysis Inputs'!$D$14:$U$67,15,FALSE)</f>
        <v>0</v>
      </c>
      <c r="L139" s="200">
        <f t="shared" si="16"/>
        <v>0</v>
      </c>
      <c r="M139" s="202">
        <f>VLOOKUP($E139,'Analysis Inputs'!$D$14:$U$67,16,FALSE)</f>
        <v>0</v>
      </c>
      <c r="N139" s="415">
        <f t="shared" si="17"/>
        <v>0</v>
      </c>
      <c r="O139" s="477">
        <f>VLOOKUP($E139,'Analysis Inputs'!$D$14:$U$67,17,FALSE)</f>
        <v>0</v>
      </c>
      <c r="P139" s="406">
        <f>O139*J24</f>
        <v>0</v>
      </c>
      <c r="Q139" s="705" t="str">
        <f>VLOOKUP($E139,'Analysis Inputs'!$D$14:$U$67,18,FALSE)</f>
        <v>NA</v>
      </c>
      <c r="R139" s="706" t="s">
        <v>503</v>
      </c>
      <c r="S139" s="405">
        <f t="shared" si="18"/>
        <v>0</v>
      </c>
    </row>
    <row r="140" spans="2:19" ht="12.75" customHeight="1" x14ac:dyDescent="0.25">
      <c r="B140" s="47">
        <f t="shared" si="19"/>
        <v>1</v>
      </c>
      <c r="C140" s="47">
        <f t="shared" si="22"/>
        <v>10</v>
      </c>
      <c r="D140">
        <f t="shared" si="23"/>
        <v>10</v>
      </c>
      <c r="E140" s="7" t="s">
        <v>59</v>
      </c>
      <c r="F140" s="200">
        <f>VLOOKUP($E140,'Analysis Inputs'!$D$14:$U$67,10,FALSE)</f>
        <v>27908.476920644473</v>
      </c>
      <c r="G140" s="203">
        <f>VLOOKUP($E140,'Analysis Inputs'!$D$14:$U$67,13,FALSE)</f>
        <v>0</v>
      </c>
      <c r="H140" s="201">
        <f t="shared" si="20"/>
        <v>0</v>
      </c>
      <c r="I140" s="202">
        <f>VLOOKUP($E140,'Analysis Inputs'!$D$14:$U$67,14,FALSE)</f>
        <v>0</v>
      </c>
      <c r="J140" s="200">
        <f t="shared" si="21"/>
        <v>0</v>
      </c>
      <c r="K140" s="200">
        <f>VLOOKUP($E140,'Analysis Inputs'!$D$14:$U$67,15,FALSE)</f>
        <v>27908.476920644473</v>
      </c>
      <c r="L140" s="200">
        <f t="shared" si="16"/>
        <v>3386.3373214084127</v>
      </c>
      <c r="M140" s="202">
        <f>VLOOKUP($E140,'Analysis Inputs'!$D$14:$U$67,16,FALSE)</f>
        <v>0</v>
      </c>
      <c r="N140" s="415">
        <f t="shared" si="17"/>
        <v>0</v>
      </c>
      <c r="O140" s="477" t="str">
        <f>VLOOKUP($E140,'Analysis Inputs'!$D$14:$U$67,17,FALSE)</f>
        <v>NA</v>
      </c>
      <c r="P140" s="406" t="s">
        <v>503</v>
      </c>
      <c r="Q140" s="705" t="str">
        <f>VLOOKUP($E140,'Analysis Inputs'!$D$14:$U$67,18,FALSE)</f>
        <v>NA</v>
      </c>
      <c r="R140" s="706" t="s">
        <v>503</v>
      </c>
      <c r="S140" s="405">
        <f t="shared" si="18"/>
        <v>3386.3373214084127</v>
      </c>
    </row>
    <row r="141" spans="2:19" ht="12.75" customHeight="1" x14ac:dyDescent="0.25">
      <c r="B141" s="47">
        <f t="shared" si="19"/>
        <v>0</v>
      </c>
      <c r="C141" s="47">
        <f t="shared" si="22"/>
        <v>10</v>
      </c>
      <c r="D141">
        <f t="shared" si="23"/>
        <v>0</v>
      </c>
      <c r="E141" s="7" t="s">
        <v>290</v>
      </c>
      <c r="F141" s="200">
        <f>VLOOKUP($E141,'Analysis Inputs'!$D$14:$U$67,10,FALSE)</f>
        <v>0</v>
      </c>
      <c r="G141" s="203">
        <f>VLOOKUP($E141,'Analysis Inputs'!$D$14:$U$67,13,FALSE)</f>
        <v>0</v>
      </c>
      <c r="H141" s="201">
        <f t="shared" si="20"/>
        <v>0</v>
      </c>
      <c r="I141" s="202">
        <f>VLOOKUP($E141,'Analysis Inputs'!$D$14:$U$67,14,FALSE)</f>
        <v>0</v>
      </c>
      <c r="J141" s="200">
        <f t="shared" si="21"/>
        <v>0</v>
      </c>
      <c r="K141" s="200">
        <f>VLOOKUP($E141,'Analysis Inputs'!$D$14:$U$67,15,FALSE)</f>
        <v>0</v>
      </c>
      <c r="L141" s="200">
        <f t="shared" si="16"/>
        <v>0</v>
      </c>
      <c r="M141" s="202">
        <f>VLOOKUP($E141,'Analysis Inputs'!$D$14:$U$67,16,FALSE)</f>
        <v>0</v>
      </c>
      <c r="N141" s="415">
        <f t="shared" si="17"/>
        <v>0</v>
      </c>
      <c r="O141" s="477" t="str">
        <f>VLOOKUP($E141,'Analysis Inputs'!$D$14:$U$67,17,FALSE)</f>
        <v>NA</v>
      </c>
      <c r="P141" s="406" t="s">
        <v>503</v>
      </c>
      <c r="Q141" s="705" t="str">
        <f>VLOOKUP($E141,'Analysis Inputs'!$D$14:$U$67,18,FALSE)</f>
        <v>NA</v>
      </c>
      <c r="R141" s="706" t="s">
        <v>503</v>
      </c>
      <c r="S141" s="405">
        <f t="shared" si="18"/>
        <v>0</v>
      </c>
    </row>
    <row r="142" spans="2:19" ht="12.75" customHeight="1" x14ac:dyDescent="0.25">
      <c r="B142" s="47">
        <f t="shared" si="19"/>
        <v>1</v>
      </c>
      <c r="C142" s="47">
        <f t="shared" si="22"/>
        <v>11</v>
      </c>
      <c r="D142">
        <f t="shared" si="23"/>
        <v>11</v>
      </c>
      <c r="E142" s="7" t="s">
        <v>502</v>
      </c>
      <c r="F142" s="200">
        <f>VLOOKUP($E142,'Analysis Inputs'!$D$14:$U$67,10,FALSE)</f>
        <v>12962.300300440122</v>
      </c>
      <c r="G142" s="203">
        <f>VLOOKUP($E142,'Analysis Inputs'!$D$14:$U$67,13,FALSE)</f>
        <v>0</v>
      </c>
      <c r="H142" s="201">
        <f t="shared" si="20"/>
        <v>0</v>
      </c>
      <c r="I142" s="202">
        <f>VLOOKUP($E142,'Analysis Inputs'!$D$14:$U$67,14,FALSE)</f>
        <v>0</v>
      </c>
      <c r="J142" s="200">
        <f t="shared" si="21"/>
        <v>0</v>
      </c>
      <c r="K142" s="200">
        <f>VLOOKUP($E142,'Analysis Inputs'!$D$14:$U$67,15,FALSE)</f>
        <v>12962.300300440122</v>
      </c>
      <c r="L142" s="200">
        <f t="shared" si="16"/>
        <v>-2658.9239273445701</v>
      </c>
      <c r="M142" s="202">
        <f>VLOOKUP($E142,'Analysis Inputs'!$D$14:$U$67,16,FALSE)</f>
        <v>0</v>
      </c>
      <c r="N142" s="415">
        <f t="shared" si="17"/>
        <v>0</v>
      </c>
      <c r="O142" s="477" t="str">
        <f>VLOOKUP($E142,'Analysis Inputs'!$D$14:$U$67,17,FALSE)</f>
        <v>NA</v>
      </c>
      <c r="P142" s="406" t="s">
        <v>503</v>
      </c>
      <c r="Q142" s="705" t="str">
        <f>VLOOKUP($E142,'Analysis Inputs'!$D$14:$U$67,18,FALSE)</f>
        <v>NA</v>
      </c>
      <c r="R142" s="706" t="s">
        <v>503</v>
      </c>
      <c r="S142" s="405">
        <f t="shared" si="18"/>
        <v>-2658.9239273445701</v>
      </c>
    </row>
    <row r="143" spans="2:19" ht="12.75" customHeight="1" x14ac:dyDescent="0.25">
      <c r="B143" s="47">
        <f t="shared" si="19"/>
        <v>1</v>
      </c>
      <c r="C143" s="47">
        <f t="shared" si="22"/>
        <v>12</v>
      </c>
      <c r="D143">
        <f t="shared" si="23"/>
        <v>12</v>
      </c>
      <c r="E143" s="7" t="s">
        <v>514</v>
      </c>
      <c r="F143" s="200">
        <f>VLOOKUP($E143,'Analysis Inputs'!$D$14:$U$67,10,FALSE)</f>
        <v>6726.271332146167</v>
      </c>
      <c r="G143" s="203">
        <f>VLOOKUP($E143,'Analysis Inputs'!$D$14:$U$67,13,FALSE)</f>
        <v>0</v>
      </c>
      <c r="H143" s="201">
        <f t="shared" si="20"/>
        <v>0</v>
      </c>
      <c r="I143" s="202">
        <f>VLOOKUP($E143,'Analysis Inputs'!$D$14:$U$67,14,FALSE)</f>
        <v>0</v>
      </c>
      <c r="J143" s="200">
        <f t="shared" si="21"/>
        <v>0</v>
      </c>
      <c r="K143" s="200">
        <f>VLOOKUP($E143,'Analysis Inputs'!$D$14:$U$67,15,FALSE)</f>
        <v>6726.271332146167</v>
      </c>
      <c r="L143" s="200">
        <f t="shared" si="16"/>
        <v>2750.1610637453723</v>
      </c>
      <c r="M143" s="202">
        <f>VLOOKUP($E143,'Analysis Inputs'!$D$14:$U$67,16,FALSE)</f>
        <v>0</v>
      </c>
      <c r="N143" s="415">
        <f t="shared" si="17"/>
        <v>0</v>
      </c>
      <c r="O143" s="477" t="str">
        <f>VLOOKUP($E143,'Analysis Inputs'!$D$14:$U$67,17,FALSE)</f>
        <v>NA</v>
      </c>
      <c r="P143" s="406" t="s">
        <v>503</v>
      </c>
      <c r="Q143" s="705" t="str">
        <f>VLOOKUP($E143,'Analysis Inputs'!$D$14:$U$67,18,FALSE)</f>
        <v>NA</v>
      </c>
      <c r="R143" s="706" t="s">
        <v>503</v>
      </c>
      <c r="S143" s="405">
        <f t="shared" si="18"/>
        <v>2750.1610637453723</v>
      </c>
    </row>
    <row r="144" spans="2:19" ht="12.75" customHeight="1" x14ac:dyDescent="0.25">
      <c r="B144" s="47">
        <f t="shared" si="19"/>
        <v>0</v>
      </c>
      <c r="C144" s="47">
        <f t="shared" si="22"/>
        <v>12</v>
      </c>
      <c r="D144">
        <f t="shared" si="23"/>
        <v>0</v>
      </c>
      <c r="E144" s="7" t="s">
        <v>383</v>
      </c>
      <c r="F144" s="200">
        <f>VLOOKUP($E144,'Analysis Inputs'!$D$14:$U$67,10,FALSE)</f>
        <v>0</v>
      </c>
      <c r="G144" s="203">
        <f>VLOOKUP($E144,'Analysis Inputs'!$D$14:$U$67,13,FALSE)</f>
        <v>0</v>
      </c>
      <c r="H144" s="201">
        <f t="shared" si="20"/>
        <v>0</v>
      </c>
      <c r="I144" s="202">
        <f>VLOOKUP($E144,'Analysis Inputs'!$D$14:$U$67,14,FALSE)</f>
        <v>0</v>
      </c>
      <c r="J144" s="200">
        <f t="shared" si="21"/>
        <v>0</v>
      </c>
      <c r="K144" s="200">
        <f>VLOOKUP($E144,'Analysis Inputs'!$D$14:$U$67,15,FALSE)</f>
        <v>0</v>
      </c>
      <c r="L144" s="200">
        <f t="shared" si="16"/>
        <v>0</v>
      </c>
      <c r="M144" s="202">
        <f>VLOOKUP($E144,'Analysis Inputs'!$D$14:$U$67,16,FALSE)</f>
        <v>0</v>
      </c>
      <c r="N144" s="415">
        <f t="shared" si="17"/>
        <v>0</v>
      </c>
      <c r="O144" s="477" t="str">
        <f>VLOOKUP($E144,'Analysis Inputs'!$D$14:$U$67,17,FALSE)</f>
        <v>NA</v>
      </c>
      <c r="P144" s="406" t="s">
        <v>503</v>
      </c>
      <c r="Q144" s="705" t="str">
        <f>VLOOKUP($E144,'Analysis Inputs'!$D$14:$U$67,18,FALSE)</f>
        <v>NA</v>
      </c>
      <c r="R144" s="706" t="s">
        <v>503</v>
      </c>
      <c r="S144" s="405">
        <f t="shared" si="18"/>
        <v>0</v>
      </c>
    </row>
    <row r="145" spans="2:19" ht="12.75" customHeight="1" x14ac:dyDescent="0.25">
      <c r="B145" s="47">
        <f t="shared" si="19"/>
        <v>0</v>
      </c>
      <c r="C145" s="47">
        <f t="shared" si="22"/>
        <v>12</v>
      </c>
      <c r="D145">
        <f t="shared" si="23"/>
        <v>0</v>
      </c>
      <c r="E145" s="7" t="s">
        <v>384</v>
      </c>
      <c r="F145" s="200">
        <f>VLOOKUP($E145,'Analysis Inputs'!$D$14:$U$67,10,FALSE)</f>
        <v>0</v>
      </c>
      <c r="G145" s="203">
        <f>VLOOKUP($E145,'Analysis Inputs'!$D$14:$U$67,13,FALSE)</f>
        <v>0</v>
      </c>
      <c r="H145" s="203">
        <f t="shared" si="20"/>
        <v>0</v>
      </c>
      <c r="I145" s="202">
        <f>VLOOKUP($E145,'Analysis Inputs'!$D$14:$U$67,14,FALSE)</f>
        <v>0</v>
      </c>
      <c r="J145" s="200">
        <f t="shared" si="21"/>
        <v>0</v>
      </c>
      <c r="K145" s="200">
        <f>VLOOKUP($E145,'Analysis Inputs'!$D$14:$U$67,15,FALSE)</f>
        <v>0</v>
      </c>
      <c r="L145" s="202">
        <f t="shared" si="16"/>
        <v>0</v>
      </c>
      <c r="M145" s="202">
        <f>VLOOKUP($E145,'Analysis Inputs'!$D$14:$U$67,16,FALSE)</f>
        <v>0</v>
      </c>
      <c r="N145" s="415">
        <f t="shared" si="17"/>
        <v>0</v>
      </c>
      <c r="O145" s="477" t="str">
        <f>VLOOKUP($E145,'Analysis Inputs'!$D$14:$U$67,17,FALSE)</f>
        <v>NA</v>
      </c>
      <c r="P145" s="406" t="s">
        <v>503</v>
      </c>
      <c r="Q145" s="705" t="str">
        <f>VLOOKUP($E145,'Analysis Inputs'!$D$14:$U$67,18,FALSE)</f>
        <v>NA</v>
      </c>
      <c r="R145" s="706" t="s">
        <v>503</v>
      </c>
      <c r="S145" s="405">
        <f t="shared" si="18"/>
        <v>0</v>
      </c>
    </row>
    <row r="146" spans="2:19" ht="12.75" customHeight="1" x14ac:dyDescent="0.25">
      <c r="B146" s="47">
        <f t="shared" si="19"/>
        <v>1</v>
      </c>
      <c r="C146" s="47">
        <f t="shared" si="22"/>
        <v>13</v>
      </c>
      <c r="D146">
        <f t="shared" si="23"/>
        <v>13</v>
      </c>
      <c r="E146" s="7" t="s">
        <v>4</v>
      </c>
      <c r="F146" s="200">
        <f>VLOOKUP($E146,'Analysis Inputs'!$D$14:$U$67,10,FALSE)</f>
        <v>103846.1137708187</v>
      </c>
      <c r="G146" s="203">
        <f>VLOOKUP($E146,'Analysis Inputs'!$D$14:$U$67,13,FALSE)</f>
        <v>0</v>
      </c>
      <c r="H146" s="203">
        <f t="shared" si="20"/>
        <v>0</v>
      </c>
      <c r="I146" s="202">
        <f>VLOOKUP($E146,'Analysis Inputs'!$D$14:$U$67,14,FALSE)</f>
        <v>0</v>
      </c>
      <c r="J146" s="200">
        <f t="shared" si="21"/>
        <v>0</v>
      </c>
      <c r="K146" s="200">
        <f>VLOOKUP($E146,'Analysis Inputs'!$D$14:$U$67,15,FALSE)</f>
        <v>103846.1137708187</v>
      </c>
      <c r="L146" s="202">
        <f t="shared" si="16"/>
        <v>-28655.154435404249</v>
      </c>
      <c r="M146" s="202">
        <f>VLOOKUP($E146,'Analysis Inputs'!$D$14:$U$67,16,FALSE)</f>
        <v>0</v>
      </c>
      <c r="N146" s="415">
        <f t="shared" si="17"/>
        <v>0</v>
      </c>
      <c r="O146" s="477" t="str">
        <f>VLOOKUP($E146,'Analysis Inputs'!$D$14:$U$67,17,FALSE)</f>
        <v>NA</v>
      </c>
      <c r="P146" s="202" t="s">
        <v>503</v>
      </c>
      <c r="Q146" s="705" t="str">
        <f>VLOOKUP($E146,'Analysis Inputs'!$D$14:$U$67,18,FALSE)</f>
        <v>NA</v>
      </c>
      <c r="R146" s="706" t="s">
        <v>503</v>
      </c>
      <c r="S146" s="405">
        <f t="shared" si="18"/>
        <v>-28655.154435404249</v>
      </c>
    </row>
    <row r="147" spans="2:19" ht="12.75" customHeight="1" x14ac:dyDescent="0.25">
      <c r="B147" s="47">
        <f t="shared" si="19"/>
        <v>0</v>
      </c>
      <c r="C147" s="47">
        <f t="shared" si="22"/>
        <v>13</v>
      </c>
      <c r="D147">
        <f t="shared" si="23"/>
        <v>0</v>
      </c>
      <c r="E147" s="7" t="s">
        <v>558</v>
      </c>
      <c r="F147" s="200">
        <f>VLOOKUP($E147,'Analysis Inputs'!$D$14:$U$67,10,FALSE)</f>
        <v>0</v>
      </c>
      <c r="G147" s="203">
        <f>VLOOKUP($E147,'Analysis Inputs'!$D$14:$U$67,13,FALSE)</f>
        <v>0</v>
      </c>
      <c r="H147" s="203">
        <f t="shared" si="20"/>
        <v>0</v>
      </c>
      <c r="I147" s="202">
        <f>VLOOKUP($E147,'Analysis Inputs'!$D$14:$U$67,14,FALSE)</f>
        <v>0</v>
      </c>
      <c r="J147" s="200">
        <f t="shared" si="21"/>
        <v>0</v>
      </c>
      <c r="K147" s="200">
        <f>VLOOKUP($E147,'Analysis Inputs'!$D$14:$U$67,15,FALSE)</f>
        <v>0</v>
      </c>
      <c r="L147" s="202">
        <f t="shared" si="16"/>
        <v>0</v>
      </c>
      <c r="M147" s="202">
        <f>VLOOKUP($E147,'Analysis Inputs'!$D$14:$U$67,16,FALSE)</f>
        <v>0</v>
      </c>
      <c r="N147" s="415">
        <f t="shared" si="17"/>
        <v>0</v>
      </c>
      <c r="O147" s="477" t="str">
        <f>VLOOKUP($E147,'Analysis Inputs'!$D$14:$U$67,17,FALSE)</f>
        <v>NA</v>
      </c>
      <c r="P147" s="202" t="s">
        <v>503</v>
      </c>
      <c r="Q147" s="700" t="str">
        <f>VLOOKUP($E147,'Analysis Inputs'!$D$14:$U$67,18,FALSE)</f>
        <v>NA</v>
      </c>
      <c r="R147" s="706" t="s">
        <v>503</v>
      </c>
      <c r="S147" s="405">
        <f t="shared" si="18"/>
        <v>0</v>
      </c>
    </row>
    <row r="148" spans="2:19" ht="12.75" customHeight="1" x14ac:dyDescent="0.25">
      <c r="B148" s="47">
        <f t="shared" si="19"/>
        <v>1</v>
      </c>
      <c r="C148" s="47">
        <f t="shared" ref="C148:C180" si="24">B148+C147</f>
        <v>14</v>
      </c>
      <c r="D148">
        <f t="shared" ref="D148:D180" si="25">C148*B148</f>
        <v>14</v>
      </c>
      <c r="E148" s="7" t="s">
        <v>646</v>
      </c>
      <c r="F148" s="200">
        <f>VLOOKUP($E148,'Analysis Inputs'!$D$14:$U$67,10,FALSE)</f>
        <v>107960.23499957993</v>
      </c>
      <c r="G148" s="203">
        <f>VLOOKUP($E148,'Analysis Inputs'!$D$14:$U$67,13,FALSE)</f>
        <v>0</v>
      </c>
      <c r="H148" s="203">
        <f t="shared" si="20"/>
        <v>0</v>
      </c>
      <c r="I148" s="202" t="str">
        <f>VLOOKUP($E148,'Analysis Inputs'!$D$14:$U$67,14,FALSE)</f>
        <v>NA</v>
      </c>
      <c r="J148" s="202" t="s">
        <v>503</v>
      </c>
      <c r="K148" s="200">
        <f>VLOOKUP($E148,'Analysis Inputs'!$D$14:$U$67,15,FALSE)</f>
        <v>107960.23499957993</v>
      </c>
      <c r="L148" s="202">
        <f t="shared" si="16"/>
        <v>14172.470585468584</v>
      </c>
      <c r="M148" s="202">
        <f>VLOOKUP($E148,'Analysis Inputs'!$D$14:$U$67,16,FALSE)</f>
        <v>0</v>
      </c>
      <c r="N148" s="415">
        <f t="shared" si="17"/>
        <v>0</v>
      </c>
      <c r="O148" s="477">
        <f>VLOOKUP($E148,'Analysis Inputs'!$D$14:$U$67,17,FALSE)</f>
        <v>0</v>
      </c>
      <c r="P148" s="202">
        <f t="shared" ref="P148:P159" si="26">O148*J33</f>
        <v>0</v>
      </c>
      <c r="Q148" s="700">
        <f>VLOOKUP($E148,'Analysis Inputs'!$D$14:$U$67,18,FALSE)</f>
        <v>0</v>
      </c>
      <c r="R148" s="419">
        <f>IF(AND(K33="NA",Q148&lt;&gt;0),"INPUT ERROR",IF(AND(K33="NA",Q148=0),"NA",+Q148*K33))</f>
        <v>0</v>
      </c>
      <c r="S148" s="405">
        <f t="shared" si="18"/>
        <v>14172.470585468584</v>
      </c>
    </row>
    <row r="149" spans="2:19" ht="12.75" customHeight="1" x14ac:dyDescent="0.25">
      <c r="B149" s="47">
        <f t="shared" si="19"/>
        <v>1</v>
      </c>
      <c r="C149" s="47">
        <f t="shared" si="24"/>
        <v>15</v>
      </c>
      <c r="D149">
        <f t="shared" si="25"/>
        <v>15</v>
      </c>
      <c r="E149" s="7" t="s">
        <v>744</v>
      </c>
      <c r="F149" s="200">
        <f>VLOOKUP($E149,'Analysis Inputs'!$D$14:$U$67,10,FALSE)</f>
        <v>65275.449706659572</v>
      </c>
      <c r="G149" s="203">
        <f>VLOOKUP($E149,'Analysis Inputs'!$D$14:$U$67,13,FALSE)</f>
        <v>0</v>
      </c>
      <c r="H149" s="203">
        <f t="shared" si="20"/>
        <v>0</v>
      </c>
      <c r="I149" s="202" t="str">
        <f>VLOOKUP($E149,'Analysis Inputs'!$D$14:$U$67,14,FALSE)</f>
        <v>NA</v>
      </c>
      <c r="J149" s="202" t="s">
        <v>503</v>
      </c>
      <c r="K149" s="200">
        <f>VLOOKUP($E149,'Analysis Inputs'!$D$14:$U$67,15,FALSE)</f>
        <v>65275.449706659572</v>
      </c>
      <c r="L149" s="202">
        <f t="shared" si="16"/>
        <v>8569.0290589351371</v>
      </c>
      <c r="M149" s="202">
        <f>VLOOKUP($E149,'Analysis Inputs'!$D$14:$U$67,16,FALSE)</f>
        <v>0</v>
      </c>
      <c r="N149" s="415">
        <f t="shared" si="17"/>
        <v>0</v>
      </c>
      <c r="O149" s="477">
        <f>VLOOKUP($E149,'Analysis Inputs'!$D$14:$U$67,17,FALSE)</f>
        <v>0</v>
      </c>
      <c r="P149" s="202">
        <f t="shared" si="26"/>
        <v>0</v>
      </c>
      <c r="Q149" s="700">
        <f>VLOOKUP($E149,'Analysis Inputs'!$D$14:$U$67,18,FALSE)</f>
        <v>0</v>
      </c>
      <c r="R149" s="419">
        <f t="shared" ref="R149:R167" si="27">IF(AND(K34="NA",Q149&lt;&gt;0),"INPUT ERROR",IF(AND(K34="NA",Q149=0),"NA",+Q149*K34))</f>
        <v>0</v>
      </c>
      <c r="S149" s="405">
        <f t="shared" si="18"/>
        <v>8569.0290589351371</v>
      </c>
    </row>
    <row r="150" spans="2:19" ht="12.75" customHeight="1" x14ac:dyDescent="0.25">
      <c r="B150" s="47">
        <f t="shared" si="19"/>
        <v>0</v>
      </c>
      <c r="C150" s="47">
        <f t="shared" si="24"/>
        <v>15</v>
      </c>
      <c r="D150">
        <f t="shared" si="25"/>
        <v>0</v>
      </c>
      <c r="E150" s="7" t="s">
        <v>741</v>
      </c>
      <c r="F150" s="200">
        <f>VLOOKUP($E150,'Analysis Inputs'!$D$14:$U$67,10,FALSE)</f>
        <v>0</v>
      </c>
      <c r="G150" s="203">
        <f>VLOOKUP($E150,'Analysis Inputs'!$D$14:$U$67,13,FALSE)</f>
        <v>0</v>
      </c>
      <c r="H150" s="203">
        <f t="shared" si="20"/>
        <v>0</v>
      </c>
      <c r="I150" s="202" t="str">
        <f>VLOOKUP($E150,'Analysis Inputs'!$D$14:$U$67,14,FALSE)</f>
        <v>NA</v>
      </c>
      <c r="J150" s="202" t="s">
        <v>503</v>
      </c>
      <c r="K150" s="200">
        <f>VLOOKUP($E150,'Analysis Inputs'!$D$14:$U$67,15,FALSE)</f>
        <v>0</v>
      </c>
      <c r="L150" s="202">
        <f t="shared" si="16"/>
        <v>0</v>
      </c>
      <c r="M150" s="202">
        <f>VLOOKUP($E150,'Analysis Inputs'!$D$14:$U$67,16,FALSE)</f>
        <v>0</v>
      </c>
      <c r="N150" s="415">
        <f t="shared" si="17"/>
        <v>0</v>
      </c>
      <c r="O150" s="477">
        <f>VLOOKUP($E150,'Analysis Inputs'!$D$14:$U$67,17,FALSE)</f>
        <v>0</v>
      </c>
      <c r="P150" s="202">
        <f t="shared" si="26"/>
        <v>0</v>
      </c>
      <c r="Q150" s="700">
        <f>VLOOKUP($E150,'Analysis Inputs'!$D$14:$U$67,18,FALSE)</f>
        <v>0</v>
      </c>
      <c r="R150" s="419">
        <f t="shared" si="27"/>
        <v>0</v>
      </c>
      <c r="S150" s="405">
        <f t="shared" si="18"/>
        <v>0</v>
      </c>
    </row>
    <row r="151" spans="2:19" ht="12.75" customHeight="1" x14ac:dyDescent="0.25">
      <c r="B151" s="47">
        <f t="shared" si="19"/>
        <v>0</v>
      </c>
      <c r="C151" s="47">
        <f t="shared" si="24"/>
        <v>15</v>
      </c>
      <c r="D151">
        <f t="shared" si="25"/>
        <v>0</v>
      </c>
      <c r="E151" s="7" t="s">
        <v>742</v>
      </c>
      <c r="F151" s="200">
        <f>VLOOKUP($E151,'Analysis Inputs'!$D$14:$U$67,10,FALSE)</f>
        <v>0</v>
      </c>
      <c r="G151" s="203">
        <f>VLOOKUP($E151,'Analysis Inputs'!$D$14:$U$67,13,FALSE)</f>
        <v>0</v>
      </c>
      <c r="H151" s="203">
        <f t="shared" si="20"/>
        <v>0</v>
      </c>
      <c r="I151" s="202" t="str">
        <f>VLOOKUP($E151,'Analysis Inputs'!$D$14:$U$67,14,FALSE)</f>
        <v>NA</v>
      </c>
      <c r="J151" s="202" t="s">
        <v>503</v>
      </c>
      <c r="K151" s="200">
        <f>VLOOKUP($E151,'Analysis Inputs'!$D$14:$U$67,15,FALSE)</f>
        <v>0</v>
      </c>
      <c r="L151" s="202">
        <f t="shared" si="16"/>
        <v>0</v>
      </c>
      <c r="M151" s="202">
        <f>VLOOKUP($E151,'Analysis Inputs'!$D$14:$U$67,16,FALSE)</f>
        <v>0</v>
      </c>
      <c r="N151" s="415">
        <f t="shared" si="17"/>
        <v>0</v>
      </c>
      <c r="O151" s="477">
        <f>VLOOKUP($E151,'Analysis Inputs'!$D$14:$U$67,17,FALSE)</f>
        <v>0</v>
      </c>
      <c r="P151" s="202">
        <f t="shared" si="26"/>
        <v>0</v>
      </c>
      <c r="Q151" s="700">
        <f>VLOOKUP($E151,'Analysis Inputs'!$D$14:$U$67,18,FALSE)</f>
        <v>0</v>
      </c>
      <c r="R151" s="419">
        <f t="shared" si="27"/>
        <v>0</v>
      </c>
      <c r="S151" s="405">
        <f t="shared" si="18"/>
        <v>0</v>
      </c>
    </row>
    <row r="152" spans="2:19" ht="12.75" customHeight="1" x14ac:dyDescent="0.25">
      <c r="B152" s="47">
        <f t="shared" si="19"/>
        <v>0</v>
      </c>
      <c r="C152" s="47">
        <f t="shared" si="24"/>
        <v>15</v>
      </c>
      <c r="D152">
        <f t="shared" si="25"/>
        <v>0</v>
      </c>
      <c r="E152" s="7" t="s">
        <v>649</v>
      </c>
      <c r="F152" s="200">
        <f>VLOOKUP($E152,'Analysis Inputs'!$D$14:$U$67,10,FALSE)</f>
        <v>0</v>
      </c>
      <c r="G152" s="203">
        <f>VLOOKUP($E152,'Analysis Inputs'!$D$14:$U$67,13,FALSE)</f>
        <v>0</v>
      </c>
      <c r="H152" s="203">
        <f t="shared" si="20"/>
        <v>0</v>
      </c>
      <c r="I152" s="202" t="str">
        <f>VLOOKUP($E152,'Analysis Inputs'!$D$14:$U$67,14,FALSE)</f>
        <v>NA</v>
      </c>
      <c r="J152" s="202" t="s">
        <v>503</v>
      </c>
      <c r="K152" s="200">
        <f>VLOOKUP($E152,'Analysis Inputs'!$D$14:$U$67,15,FALSE)</f>
        <v>0</v>
      </c>
      <c r="L152" s="202">
        <f t="shared" si="16"/>
        <v>0</v>
      </c>
      <c r="M152" s="202">
        <f>VLOOKUP($E152,'Analysis Inputs'!$D$14:$U$67,16,FALSE)</f>
        <v>0</v>
      </c>
      <c r="N152" s="415">
        <f t="shared" si="17"/>
        <v>0</v>
      </c>
      <c r="O152" s="477">
        <f>VLOOKUP($E152,'Analysis Inputs'!$D$14:$U$67,17,FALSE)</f>
        <v>0</v>
      </c>
      <c r="P152" s="202">
        <f t="shared" si="26"/>
        <v>0</v>
      </c>
      <c r="Q152" s="705">
        <f>VLOOKUP($E152,'Analysis Inputs'!$D$14:$U$67,18,FALSE)</f>
        <v>0</v>
      </c>
      <c r="R152" s="419">
        <f t="shared" si="27"/>
        <v>0</v>
      </c>
      <c r="S152" s="405">
        <f t="shared" si="18"/>
        <v>0</v>
      </c>
    </row>
    <row r="153" spans="2:19" ht="12.75" customHeight="1" x14ac:dyDescent="0.25">
      <c r="B153" s="47">
        <f t="shared" si="19"/>
        <v>0</v>
      </c>
      <c r="C153" s="47">
        <f t="shared" si="24"/>
        <v>15</v>
      </c>
      <c r="D153">
        <f t="shared" si="25"/>
        <v>0</v>
      </c>
      <c r="E153" s="7" t="s">
        <v>645</v>
      </c>
      <c r="F153" s="200">
        <f>VLOOKUP($E153,'Analysis Inputs'!$D$14:$U$67,10,FALSE)</f>
        <v>0</v>
      </c>
      <c r="G153" s="203">
        <f>VLOOKUP($E153,'Analysis Inputs'!$D$14:$U$67,13,FALSE)</f>
        <v>0</v>
      </c>
      <c r="H153" s="203">
        <f t="shared" si="20"/>
        <v>0</v>
      </c>
      <c r="I153" s="202" t="str">
        <f>VLOOKUP($E153,'Analysis Inputs'!$D$14:$U$67,14,FALSE)</f>
        <v>NA</v>
      </c>
      <c r="J153" s="202" t="s">
        <v>503</v>
      </c>
      <c r="K153" s="200">
        <f>VLOOKUP($E153,'Analysis Inputs'!$D$14:$U$67,15,FALSE)</f>
        <v>0</v>
      </c>
      <c r="L153" s="202">
        <f t="shared" si="16"/>
        <v>0</v>
      </c>
      <c r="M153" s="202">
        <f>VLOOKUP($E153,'Analysis Inputs'!$D$14:$U$67,16,FALSE)</f>
        <v>0</v>
      </c>
      <c r="N153" s="415">
        <f t="shared" si="17"/>
        <v>0</v>
      </c>
      <c r="O153" s="477">
        <f>VLOOKUP($E153,'Analysis Inputs'!$D$14:$U$67,17,FALSE)</f>
        <v>0</v>
      </c>
      <c r="P153" s="202">
        <f t="shared" si="26"/>
        <v>0</v>
      </c>
      <c r="Q153" s="705">
        <f>VLOOKUP($E153,'Analysis Inputs'!$D$14:$U$67,18,FALSE)</f>
        <v>0</v>
      </c>
      <c r="R153" s="419">
        <f t="shared" si="27"/>
        <v>0</v>
      </c>
      <c r="S153" s="405">
        <f t="shared" si="18"/>
        <v>0</v>
      </c>
    </row>
    <row r="154" spans="2:19" ht="12.75" customHeight="1" x14ac:dyDescent="0.25">
      <c r="B154" s="47">
        <f t="shared" si="19"/>
        <v>0</v>
      </c>
      <c r="C154" s="47">
        <f t="shared" si="24"/>
        <v>15</v>
      </c>
      <c r="D154">
        <f t="shared" si="25"/>
        <v>0</v>
      </c>
      <c r="E154" s="7" t="s">
        <v>647</v>
      </c>
      <c r="F154" s="200">
        <f>VLOOKUP($E154,'Analysis Inputs'!$D$14:$U$67,10,FALSE)</f>
        <v>0</v>
      </c>
      <c r="G154" s="203">
        <f>VLOOKUP($E154,'Analysis Inputs'!$D$14:$U$67,13,FALSE)</f>
        <v>0</v>
      </c>
      <c r="H154" s="203">
        <f t="shared" si="20"/>
        <v>0</v>
      </c>
      <c r="I154" s="202" t="str">
        <f>VLOOKUP($E154,'Analysis Inputs'!$D$14:$U$67,14,FALSE)</f>
        <v>NA</v>
      </c>
      <c r="J154" s="202" t="s">
        <v>503</v>
      </c>
      <c r="K154" s="200">
        <f>VLOOKUP($E154,'Analysis Inputs'!$D$14:$U$67,15,FALSE)</f>
        <v>0</v>
      </c>
      <c r="L154" s="202">
        <f t="shared" si="16"/>
        <v>0</v>
      </c>
      <c r="M154" s="202">
        <f>VLOOKUP($E154,'Analysis Inputs'!$D$14:$U$67,16,FALSE)</f>
        <v>0</v>
      </c>
      <c r="N154" s="415">
        <f t="shared" si="17"/>
        <v>0</v>
      </c>
      <c r="O154" s="477">
        <f>VLOOKUP($E154,'Analysis Inputs'!$D$14:$U$67,17,FALSE)</f>
        <v>0</v>
      </c>
      <c r="P154" s="202">
        <f t="shared" si="26"/>
        <v>0</v>
      </c>
      <c r="Q154" s="705">
        <f>VLOOKUP($E154,'Analysis Inputs'!$D$14:$U$67,18,FALSE)</f>
        <v>0</v>
      </c>
      <c r="R154" s="419">
        <f t="shared" si="27"/>
        <v>0</v>
      </c>
      <c r="S154" s="405">
        <f t="shared" si="18"/>
        <v>0</v>
      </c>
    </row>
    <row r="155" spans="2:19" ht="12.75" customHeight="1" x14ac:dyDescent="0.25">
      <c r="B155" s="47">
        <f t="shared" si="19"/>
        <v>0</v>
      </c>
      <c r="C155" s="47">
        <f t="shared" si="24"/>
        <v>15</v>
      </c>
      <c r="D155">
        <f t="shared" si="25"/>
        <v>0</v>
      </c>
      <c r="E155" s="7" t="s">
        <v>648</v>
      </c>
      <c r="F155" s="200">
        <f>VLOOKUP($E155,'Analysis Inputs'!$D$14:$U$67,10,FALSE)</f>
        <v>0</v>
      </c>
      <c r="G155" s="203">
        <f>VLOOKUP($E155,'Analysis Inputs'!$D$14:$U$67,13,FALSE)</f>
        <v>0</v>
      </c>
      <c r="H155" s="203">
        <f t="shared" si="20"/>
        <v>0</v>
      </c>
      <c r="I155" s="202" t="str">
        <f>VLOOKUP($E155,'Analysis Inputs'!$D$14:$U$67,14,FALSE)</f>
        <v>NA</v>
      </c>
      <c r="J155" s="202" t="s">
        <v>503</v>
      </c>
      <c r="K155" s="200">
        <f>VLOOKUP($E155,'Analysis Inputs'!$D$14:$U$67,15,FALSE)</f>
        <v>0</v>
      </c>
      <c r="L155" s="202">
        <f t="shared" si="16"/>
        <v>0</v>
      </c>
      <c r="M155" s="202">
        <f>VLOOKUP($E155,'Analysis Inputs'!$D$14:$U$67,16,FALSE)</f>
        <v>0</v>
      </c>
      <c r="N155" s="415">
        <f t="shared" si="17"/>
        <v>0</v>
      </c>
      <c r="O155" s="477">
        <f>VLOOKUP($E155,'Analysis Inputs'!$D$14:$U$67,17,FALSE)</f>
        <v>0</v>
      </c>
      <c r="P155" s="202">
        <f t="shared" si="26"/>
        <v>0</v>
      </c>
      <c r="Q155" s="705">
        <f>VLOOKUP($E155,'Analysis Inputs'!$D$14:$U$67,18,FALSE)</f>
        <v>0</v>
      </c>
      <c r="R155" s="419">
        <f t="shared" si="27"/>
        <v>0</v>
      </c>
      <c r="S155" s="405">
        <f t="shared" si="18"/>
        <v>0</v>
      </c>
    </row>
    <row r="156" spans="2:19" ht="12.75" customHeight="1" x14ac:dyDescent="0.25">
      <c r="B156" s="47">
        <f t="shared" si="19"/>
        <v>1</v>
      </c>
      <c r="C156" s="47">
        <f t="shared" si="24"/>
        <v>16</v>
      </c>
      <c r="D156">
        <f t="shared" si="25"/>
        <v>16</v>
      </c>
      <c r="E156" s="7" t="s">
        <v>580</v>
      </c>
      <c r="F156" s="200">
        <f>VLOOKUP($E156,'Analysis Inputs'!$D$14:$U$67,10,FALSE)</f>
        <v>34800.561320441149</v>
      </c>
      <c r="G156" s="203" t="str">
        <f>VLOOKUP($E156,'Analysis Inputs'!$D$14:$U$67,13,FALSE)</f>
        <v>NA</v>
      </c>
      <c r="H156" s="202" t="s">
        <v>503</v>
      </c>
      <c r="I156" s="202" t="str">
        <f>VLOOKUP($E156,'Analysis Inputs'!$D$14:$U$67,14,FALSE)</f>
        <v>NA</v>
      </c>
      <c r="J156" s="202" t="s">
        <v>503</v>
      </c>
      <c r="K156" s="200">
        <f>VLOOKUP($E156,'Analysis Inputs'!$D$14:$U$67,15,FALSE)</f>
        <v>34800.561320441149</v>
      </c>
      <c r="L156" s="202">
        <f t="shared" si="16"/>
        <v>-1952.3590280354576</v>
      </c>
      <c r="M156" s="202">
        <f>VLOOKUP($E156,'Analysis Inputs'!$D$14:$U$67,16,FALSE)</f>
        <v>0</v>
      </c>
      <c r="N156" s="415">
        <f t="shared" si="17"/>
        <v>0</v>
      </c>
      <c r="O156" s="477">
        <f>VLOOKUP($E156,'Analysis Inputs'!$D$14:$U$67,17,FALSE)</f>
        <v>0</v>
      </c>
      <c r="P156" s="202">
        <f t="shared" si="26"/>
        <v>0</v>
      </c>
      <c r="Q156" s="705">
        <f>VLOOKUP($E156,'Analysis Inputs'!$D$14:$U$67,18,FALSE)</f>
        <v>0</v>
      </c>
      <c r="R156" s="419" t="str">
        <f>IF(AND(K41="NA",Q156&lt;&gt;0),"INPUT ERROR",IF(AND(K41="NA",Q156=0),"NA",+Q156*K41))</f>
        <v>NA</v>
      </c>
      <c r="S156" s="405">
        <f>IF(R156="INPUT ERROR","INPUT ERROR",SUM(H156,J156,L156,N156,P156,R156))</f>
        <v>-1952.3590280354576</v>
      </c>
    </row>
    <row r="157" spans="2:19" ht="12.75" customHeight="1" x14ac:dyDescent="0.25">
      <c r="B157" s="47">
        <f t="shared" si="19"/>
        <v>0</v>
      </c>
      <c r="C157" s="47">
        <f t="shared" si="24"/>
        <v>16</v>
      </c>
      <c r="D157">
        <f t="shared" si="25"/>
        <v>0</v>
      </c>
      <c r="E157" s="7" t="s">
        <v>521</v>
      </c>
      <c r="F157" s="200">
        <f>VLOOKUP($E157,'Analysis Inputs'!$D$14:$U$67,10,FALSE)</f>
        <v>0</v>
      </c>
      <c r="G157" s="203" t="str">
        <f>VLOOKUP($E157,'Analysis Inputs'!$D$14:$U$67,13,FALSE)</f>
        <v>NA</v>
      </c>
      <c r="H157" s="202" t="s">
        <v>503</v>
      </c>
      <c r="I157" s="202" t="str">
        <f>VLOOKUP($E157,'Analysis Inputs'!$D$14:$U$67,14,FALSE)</f>
        <v>NA</v>
      </c>
      <c r="J157" s="202" t="s">
        <v>503</v>
      </c>
      <c r="K157" s="200">
        <f>VLOOKUP($E157,'Analysis Inputs'!$D$14:$U$67,15,FALSE)</f>
        <v>0</v>
      </c>
      <c r="L157" s="202">
        <f t="shared" si="16"/>
        <v>0</v>
      </c>
      <c r="M157" s="202">
        <f>VLOOKUP($E157,'Analysis Inputs'!$D$14:$U$67,16,FALSE)</f>
        <v>0</v>
      </c>
      <c r="N157" s="415">
        <f t="shared" si="17"/>
        <v>0</v>
      </c>
      <c r="O157" s="477">
        <f>VLOOKUP($E157,'Analysis Inputs'!$D$14:$U$67,17,FALSE)</f>
        <v>0</v>
      </c>
      <c r="P157" s="202">
        <f t="shared" si="26"/>
        <v>0</v>
      </c>
      <c r="Q157" s="705">
        <f>VLOOKUP($E157,'Analysis Inputs'!$D$14:$U$67,18,FALSE)</f>
        <v>0</v>
      </c>
      <c r="R157" s="419" t="str">
        <f t="shared" si="27"/>
        <v>NA</v>
      </c>
      <c r="S157" s="405">
        <f t="shared" si="18"/>
        <v>0</v>
      </c>
    </row>
    <row r="158" spans="2:19" ht="12.75" customHeight="1" x14ac:dyDescent="0.25">
      <c r="B158" s="47">
        <f t="shared" si="19"/>
        <v>0</v>
      </c>
      <c r="C158" s="47">
        <f t="shared" si="24"/>
        <v>16</v>
      </c>
      <c r="D158">
        <f t="shared" si="25"/>
        <v>0</v>
      </c>
      <c r="E158" s="7" t="s">
        <v>522</v>
      </c>
      <c r="F158" s="200">
        <f>VLOOKUP($E158,'Analysis Inputs'!$D$14:$U$67,10,FALSE)</f>
        <v>0</v>
      </c>
      <c r="G158" s="203" t="str">
        <f>VLOOKUP($E158,'Analysis Inputs'!$D$14:$U$67,13,FALSE)</f>
        <v>NA</v>
      </c>
      <c r="H158" s="202" t="s">
        <v>503</v>
      </c>
      <c r="I158" s="202" t="str">
        <f>VLOOKUP($E158,'Analysis Inputs'!$D$14:$U$67,14,FALSE)</f>
        <v>NA</v>
      </c>
      <c r="J158" s="202" t="s">
        <v>503</v>
      </c>
      <c r="K158" s="200">
        <f>VLOOKUP($E158,'Analysis Inputs'!$D$14:$U$67,15,FALSE)</f>
        <v>0</v>
      </c>
      <c r="L158" s="202">
        <f t="shared" si="16"/>
        <v>0</v>
      </c>
      <c r="M158" s="202">
        <f>VLOOKUP($E158,'Analysis Inputs'!$D$14:$U$67,16,FALSE)</f>
        <v>0</v>
      </c>
      <c r="N158" s="415">
        <f t="shared" si="17"/>
        <v>0</v>
      </c>
      <c r="O158" s="477">
        <f>VLOOKUP($E158,'Analysis Inputs'!$D$14:$U$67,17,FALSE)</f>
        <v>0</v>
      </c>
      <c r="P158" s="202">
        <f t="shared" si="26"/>
        <v>0</v>
      </c>
      <c r="Q158" s="705">
        <f>VLOOKUP($E158,'Analysis Inputs'!$D$14:$U$67,18,FALSE)</f>
        <v>0</v>
      </c>
      <c r="R158" s="419" t="str">
        <f t="shared" si="27"/>
        <v>NA</v>
      </c>
      <c r="S158" s="405">
        <f t="shared" si="18"/>
        <v>0</v>
      </c>
    </row>
    <row r="159" spans="2:19" ht="12.75" customHeight="1" x14ac:dyDescent="0.25">
      <c r="B159" s="47">
        <f t="shared" si="19"/>
        <v>1</v>
      </c>
      <c r="C159" s="47">
        <f t="shared" si="24"/>
        <v>17</v>
      </c>
      <c r="D159">
        <f t="shared" si="25"/>
        <v>17</v>
      </c>
      <c r="E159" s="7" t="s">
        <v>523</v>
      </c>
      <c r="F159" s="200">
        <f>VLOOKUP($E159,'Analysis Inputs'!$D$14:$U$67,10,FALSE)</f>
        <v>2781.912059757693</v>
      </c>
      <c r="G159" s="203" t="str">
        <f>VLOOKUP($E159,'Analysis Inputs'!$D$14:$U$67,13,FALSE)</f>
        <v>NA</v>
      </c>
      <c r="H159" s="202" t="s">
        <v>503</v>
      </c>
      <c r="I159" s="202" t="str">
        <f>VLOOKUP($E159,'Analysis Inputs'!$D$14:$U$67,14,FALSE)</f>
        <v>NA</v>
      </c>
      <c r="J159" s="202" t="s">
        <v>503</v>
      </c>
      <c r="K159" s="200">
        <f>VLOOKUP($E159,'Analysis Inputs'!$D$14:$U$67,15,FALSE)</f>
        <v>2781.912059757693</v>
      </c>
      <c r="L159" s="202">
        <f t="shared" ref="L159:L180" si="28">+K159*H44</f>
        <v>-295.74060085216678</v>
      </c>
      <c r="M159" s="202">
        <f>VLOOKUP($E159,'Analysis Inputs'!$D$14:$U$67,16,FALSE)</f>
        <v>0</v>
      </c>
      <c r="N159" s="415">
        <f t="shared" si="17"/>
        <v>0</v>
      </c>
      <c r="O159" s="477">
        <f>VLOOKUP($E159,'Analysis Inputs'!$D$14:$U$67,17,FALSE)</f>
        <v>0</v>
      </c>
      <c r="P159" s="406">
        <f t="shared" si="26"/>
        <v>0</v>
      </c>
      <c r="Q159" s="705">
        <f>VLOOKUP($E159,'Analysis Inputs'!$D$14:$U$67,18,FALSE)</f>
        <v>0</v>
      </c>
      <c r="R159" s="419" t="str">
        <f t="shared" si="27"/>
        <v>NA</v>
      </c>
      <c r="S159" s="405">
        <f t="shared" si="18"/>
        <v>-295.74060085216678</v>
      </c>
    </row>
    <row r="160" spans="2:19" ht="12.75" customHeight="1" x14ac:dyDescent="0.25">
      <c r="B160" s="47">
        <f t="shared" si="19"/>
        <v>1</v>
      </c>
      <c r="C160" s="47">
        <f t="shared" si="24"/>
        <v>18</v>
      </c>
      <c r="D160">
        <f t="shared" si="25"/>
        <v>18</v>
      </c>
      <c r="E160" s="7" t="s">
        <v>583</v>
      </c>
      <c r="F160" s="200">
        <f>VLOOKUP($E160,'Analysis Inputs'!$D$14:$U$67,10,FALSE)</f>
        <v>93768.529977279337</v>
      </c>
      <c r="G160" s="203">
        <f>VLOOKUP($E160,'Analysis Inputs'!$D$14:$U$67,13,FALSE)</f>
        <v>0</v>
      </c>
      <c r="H160" s="203">
        <f>+G160*F45</f>
        <v>0</v>
      </c>
      <c r="I160" s="202">
        <f>VLOOKUP($E160,'Analysis Inputs'!$D$14:$U$67,14,FALSE)</f>
        <v>0</v>
      </c>
      <c r="J160" s="200">
        <f t="shared" si="21"/>
        <v>0</v>
      </c>
      <c r="K160" s="200">
        <f>VLOOKUP($E160,'Analysis Inputs'!$D$14:$U$67,15,FALSE)</f>
        <v>93768.529977279337</v>
      </c>
      <c r="L160" s="202">
        <f t="shared" si="28"/>
        <v>7315.7915188868501</v>
      </c>
      <c r="M160" s="202">
        <f>VLOOKUP($E160,'Analysis Inputs'!$D$14:$U$67,16,FALSE)</f>
        <v>0</v>
      </c>
      <c r="N160" s="415">
        <f t="shared" si="17"/>
        <v>0</v>
      </c>
      <c r="O160" s="477" t="str">
        <f>VLOOKUP($E160,'Analysis Inputs'!$D$14:$U$67,17,FALSE)</f>
        <v>NA</v>
      </c>
      <c r="P160" s="406" t="s">
        <v>503</v>
      </c>
      <c r="Q160" s="705" t="str">
        <f>VLOOKUP($E160,'Analysis Inputs'!$D$14:$U$67,18,FALSE)</f>
        <v>NA</v>
      </c>
      <c r="R160" s="419" t="s">
        <v>503</v>
      </c>
      <c r="S160" s="405">
        <f t="shared" si="18"/>
        <v>7315.7915188868501</v>
      </c>
    </row>
    <row r="161" spans="2:19" ht="12.75" customHeight="1" x14ac:dyDescent="0.25">
      <c r="B161" s="47">
        <f t="shared" si="19"/>
        <v>0</v>
      </c>
      <c r="C161" s="47">
        <f t="shared" si="24"/>
        <v>18</v>
      </c>
      <c r="D161">
        <f t="shared" si="25"/>
        <v>0</v>
      </c>
      <c r="E161" s="7" t="s">
        <v>584</v>
      </c>
      <c r="F161" s="200">
        <f>VLOOKUP($E161,'Analysis Inputs'!$D$14:$U$67,10,FALSE)</f>
        <v>0</v>
      </c>
      <c r="G161" s="203">
        <f>VLOOKUP($E161,'Analysis Inputs'!$D$14:$U$67,13,FALSE)</f>
        <v>0</v>
      </c>
      <c r="H161" s="203">
        <f>+G161*F46</f>
        <v>0</v>
      </c>
      <c r="I161" s="202">
        <f>VLOOKUP($E161,'Analysis Inputs'!$D$14:$U$67,14,FALSE)</f>
        <v>0</v>
      </c>
      <c r="J161" s="200">
        <f t="shared" si="21"/>
        <v>0</v>
      </c>
      <c r="K161" s="200">
        <f>VLOOKUP($E161,'Analysis Inputs'!$D$14:$U$67,15,FALSE)</f>
        <v>0</v>
      </c>
      <c r="L161" s="202">
        <f t="shared" si="28"/>
        <v>0</v>
      </c>
      <c r="M161" s="202">
        <f>VLOOKUP($E161,'Analysis Inputs'!$D$14:$U$67,16,FALSE)</f>
        <v>0</v>
      </c>
      <c r="N161" s="415">
        <f t="shared" si="17"/>
        <v>0</v>
      </c>
      <c r="O161" s="477" t="str">
        <f>VLOOKUP($E161,'Analysis Inputs'!$D$14:$U$67,17,FALSE)</f>
        <v>NA</v>
      </c>
      <c r="P161" s="406" t="s">
        <v>503</v>
      </c>
      <c r="Q161" s="705" t="str">
        <f>VLOOKUP($E161,'Analysis Inputs'!$D$14:$U$67,18,FALSE)</f>
        <v>NA</v>
      </c>
      <c r="R161" s="419" t="s">
        <v>503</v>
      </c>
      <c r="S161" s="405">
        <f t="shared" si="18"/>
        <v>0</v>
      </c>
    </row>
    <row r="162" spans="2:19" ht="12.75" customHeight="1" x14ac:dyDescent="0.25">
      <c r="B162" s="47">
        <f t="shared" si="19"/>
        <v>0</v>
      </c>
      <c r="C162" s="47">
        <f t="shared" si="24"/>
        <v>18</v>
      </c>
      <c r="D162">
        <f t="shared" si="25"/>
        <v>0</v>
      </c>
      <c r="E162" s="7" t="s">
        <v>585</v>
      </c>
      <c r="F162" s="200">
        <f>VLOOKUP($E162,'Analysis Inputs'!$D$14:$U$67,10,FALSE)</f>
        <v>0</v>
      </c>
      <c r="G162" s="203">
        <f>VLOOKUP($E162,'Analysis Inputs'!$D$14:$U$67,13,FALSE)</f>
        <v>0</v>
      </c>
      <c r="H162" s="203">
        <f>+G162*F47</f>
        <v>0</v>
      </c>
      <c r="I162" s="202">
        <f>VLOOKUP($E162,'Analysis Inputs'!$D$14:$U$67,14,FALSE)</f>
        <v>0</v>
      </c>
      <c r="J162" s="200">
        <f t="shared" si="21"/>
        <v>0</v>
      </c>
      <c r="K162" s="200">
        <f>VLOOKUP($E162,'Analysis Inputs'!$D$14:$U$67,15,FALSE)</f>
        <v>0</v>
      </c>
      <c r="L162" s="202">
        <f t="shared" si="28"/>
        <v>0</v>
      </c>
      <c r="M162" s="202">
        <f>VLOOKUP($E162,'Analysis Inputs'!$D$14:$U$67,16,FALSE)</f>
        <v>0</v>
      </c>
      <c r="N162" s="415">
        <f t="shared" si="17"/>
        <v>0</v>
      </c>
      <c r="O162" s="477" t="str">
        <f>VLOOKUP($E162,'Analysis Inputs'!$D$14:$U$67,17,FALSE)</f>
        <v>NA</v>
      </c>
      <c r="P162" s="406" t="s">
        <v>503</v>
      </c>
      <c r="Q162" s="705" t="str">
        <f>VLOOKUP($E162,'Analysis Inputs'!$D$14:$U$67,18,FALSE)</f>
        <v>NA</v>
      </c>
      <c r="R162" s="419" t="s">
        <v>503</v>
      </c>
      <c r="S162" s="405">
        <f t="shared" si="18"/>
        <v>0</v>
      </c>
    </row>
    <row r="163" spans="2:19" ht="12.75" customHeight="1" x14ac:dyDescent="0.25">
      <c r="B163" s="47">
        <f t="shared" si="19"/>
        <v>1</v>
      </c>
      <c r="C163" s="47">
        <f t="shared" si="24"/>
        <v>19</v>
      </c>
      <c r="D163">
        <f t="shared" si="25"/>
        <v>19</v>
      </c>
      <c r="E163" s="117" t="s">
        <v>633</v>
      </c>
      <c r="F163" s="200">
        <f>VLOOKUP($E163,'Analysis Inputs'!$D$14:$U$67,10,FALSE)</f>
        <v>31048.613761431894</v>
      </c>
      <c r="G163" s="203">
        <f>VLOOKUP($E163,'Analysis Inputs'!$D$14:$U$67,13,FALSE)</f>
        <v>0</v>
      </c>
      <c r="H163" s="203">
        <f>+G163*F48</f>
        <v>0</v>
      </c>
      <c r="I163" s="202">
        <f>VLOOKUP($E163,'Analysis Inputs'!$D$14:$U$67,14,FALSE)</f>
        <v>0</v>
      </c>
      <c r="J163" s="200">
        <f t="shared" si="21"/>
        <v>0</v>
      </c>
      <c r="K163" s="200">
        <f>VLOOKUP($E163,'Analysis Inputs'!$D$14:$U$67,15,FALSE)</f>
        <v>31048.613761431894</v>
      </c>
      <c r="L163" s="202">
        <f t="shared" si="28"/>
        <v>171.51129320141598</v>
      </c>
      <c r="M163" s="202">
        <f>VLOOKUP($E163,'Analysis Inputs'!$D$14:$U$67,16,FALSE)</f>
        <v>0</v>
      </c>
      <c r="N163" s="415">
        <f t="shared" si="17"/>
        <v>0</v>
      </c>
      <c r="O163" s="477" t="str">
        <f>VLOOKUP($E163,'Analysis Inputs'!$D$14:$U$67,17,FALSE)</f>
        <v>NA</v>
      </c>
      <c r="P163" s="406" t="s">
        <v>503</v>
      </c>
      <c r="Q163" s="705" t="str">
        <f>VLOOKUP($E163,'Analysis Inputs'!$D$14:$U$67,18,FALSE)</f>
        <v>NA</v>
      </c>
      <c r="R163" s="419" t="s">
        <v>503</v>
      </c>
      <c r="S163" s="405">
        <f t="shared" si="18"/>
        <v>171.51129320141598</v>
      </c>
    </row>
    <row r="164" spans="2:19" ht="12.75" customHeight="1" x14ac:dyDescent="0.25">
      <c r="B164" s="47">
        <f t="shared" si="19"/>
        <v>1</v>
      </c>
      <c r="C164" s="47">
        <f t="shared" si="24"/>
        <v>20</v>
      </c>
      <c r="D164">
        <f t="shared" si="25"/>
        <v>20</v>
      </c>
      <c r="E164" s="7" t="s">
        <v>386</v>
      </c>
      <c r="F164" s="200">
        <f>VLOOKUP($E164,'Analysis Inputs'!$D$14:$U$67,10,FALSE)</f>
        <v>65431.449481739066</v>
      </c>
      <c r="G164" s="203">
        <f>VLOOKUP($E164,'Analysis Inputs'!$D$14:$U$67,13,FALSE)</f>
        <v>0</v>
      </c>
      <c r="H164" s="203">
        <f>+G164*F49</f>
        <v>0</v>
      </c>
      <c r="I164" s="202">
        <f>VLOOKUP($E164,'Analysis Inputs'!$D$14:$U$67,14,FALSE)</f>
        <v>0</v>
      </c>
      <c r="J164" s="200">
        <f t="shared" si="21"/>
        <v>0</v>
      </c>
      <c r="K164" s="200">
        <f>VLOOKUP($E164,'Analysis Inputs'!$D$14:$U$67,15,FALSE)</f>
        <v>65431.449481739066</v>
      </c>
      <c r="L164" s="202">
        <f t="shared" si="28"/>
        <v>361.44069435384165</v>
      </c>
      <c r="M164" s="202">
        <f>VLOOKUP($E164,'Analysis Inputs'!$D$14:$U$67,16,FALSE)</f>
        <v>0</v>
      </c>
      <c r="N164" s="415">
        <f t="shared" si="17"/>
        <v>0</v>
      </c>
      <c r="O164" s="477" t="str">
        <f>VLOOKUP($E164,'Analysis Inputs'!$D$14:$U$67,17,FALSE)</f>
        <v>NA</v>
      </c>
      <c r="P164" s="406" t="s">
        <v>503</v>
      </c>
      <c r="Q164" s="705" t="str">
        <f>VLOOKUP($E164,'Analysis Inputs'!$D$14:$U$67,18,FALSE)</f>
        <v>NA</v>
      </c>
      <c r="R164" s="419" t="s">
        <v>503</v>
      </c>
      <c r="S164" s="405">
        <f t="shared" si="18"/>
        <v>361.44069435384165</v>
      </c>
    </row>
    <row r="165" spans="2:19" ht="12.75" customHeight="1" x14ac:dyDescent="0.25">
      <c r="B165" s="47">
        <f t="shared" si="19"/>
        <v>0</v>
      </c>
      <c r="C165" s="47">
        <f t="shared" si="24"/>
        <v>20</v>
      </c>
      <c r="D165">
        <f t="shared" si="25"/>
        <v>0</v>
      </c>
      <c r="E165" s="7" t="s">
        <v>272</v>
      </c>
      <c r="F165" s="200">
        <f>VLOOKUP($E165,'Analysis Inputs'!$D$14:$U$67,10,FALSE)</f>
        <v>0</v>
      </c>
      <c r="G165" s="203" t="str">
        <f>VLOOKUP($E165,'Analysis Inputs'!$D$14:$U$67,13,FALSE)</f>
        <v>NA</v>
      </c>
      <c r="H165" s="203" t="s">
        <v>503</v>
      </c>
      <c r="I165" s="202">
        <f>VLOOKUP($E165,'Analysis Inputs'!$D$14:$U$67,14,FALSE)</f>
        <v>0</v>
      </c>
      <c r="J165" s="200">
        <f t="shared" si="21"/>
        <v>0</v>
      </c>
      <c r="K165" s="200">
        <f>VLOOKUP($E165,'Analysis Inputs'!$D$14:$U$67,15,FALSE)</f>
        <v>0</v>
      </c>
      <c r="L165" s="202">
        <f t="shared" si="28"/>
        <v>0</v>
      </c>
      <c r="M165" s="202">
        <f>VLOOKUP($E165,'Analysis Inputs'!$D$14:$U$67,16,FALSE)</f>
        <v>0</v>
      </c>
      <c r="N165" s="415">
        <f t="shared" si="17"/>
        <v>0</v>
      </c>
      <c r="O165" s="477" t="str">
        <f>VLOOKUP($E165,'Analysis Inputs'!$D$14:$U$67,17,FALSE)</f>
        <v>NA</v>
      </c>
      <c r="P165" s="406" t="s">
        <v>503</v>
      </c>
      <c r="Q165" s="705" t="str">
        <f>VLOOKUP($E165,'Analysis Inputs'!$D$14:$U$67,18,FALSE)</f>
        <v>NA</v>
      </c>
      <c r="R165" s="419" t="s">
        <v>503</v>
      </c>
      <c r="S165" s="405">
        <f t="shared" si="18"/>
        <v>0</v>
      </c>
    </row>
    <row r="166" spans="2:19" ht="12.75" customHeight="1" x14ac:dyDescent="0.25">
      <c r="B166" s="47">
        <f t="shared" si="19"/>
        <v>0</v>
      </c>
      <c r="C166" s="47">
        <f t="shared" si="24"/>
        <v>20</v>
      </c>
      <c r="D166">
        <f t="shared" si="25"/>
        <v>0</v>
      </c>
      <c r="E166" s="7" t="s">
        <v>740</v>
      </c>
      <c r="F166" s="200">
        <f>VLOOKUP($E166,'Analysis Inputs'!$D$14:$U$67,10,FALSE)</f>
        <v>0</v>
      </c>
      <c r="G166" s="203">
        <f>VLOOKUP($E166,'Analysis Inputs'!$D$14:$U$67,13,FALSE)</f>
        <v>0</v>
      </c>
      <c r="H166" s="203">
        <f>+G166*F51</f>
        <v>0</v>
      </c>
      <c r="I166" s="202" t="str">
        <f>VLOOKUP($E166,'Analysis Inputs'!$D$14:$U$67,14,FALSE)</f>
        <v>NA</v>
      </c>
      <c r="J166" s="202" t="s">
        <v>503</v>
      </c>
      <c r="K166" s="200">
        <f>VLOOKUP($E166,'Analysis Inputs'!$D$14:$U$67,15,FALSE)</f>
        <v>0</v>
      </c>
      <c r="L166" s="202">
        <f t="shared" si="28"/>
        <v>0</v>
      </c>
      <c r="M166" s="202">
        <f>VLOOKUP($E166,'Analysis Inputs'!$D$14:$U$67,16,FALSE)</f>
        <v>0</v>
      </c>
      <c r="N166" s="415">
        <f t="shared" si="17"/>
        <v>0</v>
      </c>
      <c r="O166" s="477">
        <f>VLOOKUP($E166,'Analysis Inputs'!$D$14:$U$67,17,FALSE)</f>
        <v>0</v>
      </c>
      <c r="P166" s="406">
        <f>O166*J51</f>
        <v>0</v>
      </c>
      <c r="Q166" s="705">
        <f>VLOOKUP($E166,'Analysis Inputs'!$D$14:$U$67,18,FALSE)</f>
        <v>0</v>
      </c>
      <c r="R166" s="419">
        <f t="shared" si="27"/>
        <v>0</v>
      </c>
      <c r="S166" s="405">
        <f t="shared" si="18"/>
        <v>0</v>
      </c>
    </row>
    <row r="167" spans="2:19" ht="12.75" customHeight="1" x14ac:dyDescent="0.25">
      <c r="B167" s="47">
        <f t="shared" si="19"/>
        <v>0</v>
      </c>
      <c r="C167" s="47">
        <f t="shared" si="24"/>
        <v>20</v>
      </c>
      <c r="D167">
        <f t="shared" si="25"/>
        <v>0</v>
      </c>
      <c r="E167" s="7" t="s">
        <v>385</v>
      </c>
      <c r="F167" s="200">
        <f>VLOOKUP($E167,'Analysis Inputs'!$D$14:$U$67,10,FALSE)</f>
        <v>0</v>
      </c>
      <c r="G167" s="203" t="str">
        <f>VLOOKUP($E167,'Analysis Inputs'!$D$14:$U$67,13,FALSE)</f>
        <v>NA</v>
      </c>
      <c r="H167" s="203" t="s">
        <v>503</v>
      </c>
      <c r="I167" s="202" t="str">
        <f>VLOOKUP($E167,'Analysis Inputs'!$D$14:$U$67,14,FALSE)</f>
        <v>NA</v>
      </c>
      <c r="J167" s="202" t="s">
        <v>503</v>
      </c>
      <c r="K167" s="200">
        <f>VLOOKUP($E167,'Analysis Inputs'!$D$14:$U$67,15,FALSE)</f>
        <v>0</v>
      </c>
      <c r="L167" s="202">
        <f t="shared" si="28"/>
        <v>0</v>
      </c>
      <c r="M167" s="202">
        <f>VLOOKUP($E167,'Analysis Inputs'!$D$14:$U$67,16,FALSE)</f>
        <v>0</v>
      </c>
      <c r="N167" s="415">
        <f t="shared" si="17"/>
        <v>0</v>
      </c>
      <c r="O167" s="477">
        <f>VLOOKUP($E167,'Analysis Inputs'!$D$14:$U$67,17,FALSE)</f>
        <v>0</v>
      </c>
      <c r="P167" s="406">
        <f>O167*J52</f>
        <v>0</v>
      </c>
      <c r="Q167" s="705">
        <f>VLOOKUP($E167,'Analysis Inputs'!$D$14:$U$67,18,FALSE)</f>
        <v>0</v>
      </c>
      <c r="R167" s="419" t="str">
        <f t="shared" si="27"/>
        <v>NA</v>
      </c>
      <c r="S167" s="405">
        <f t="shared" si="18"/>
        <v>0</v>
      </c>
    </row>
    <row r="168" spans="2:19" ht="12.75" customHeight="1" x14ac:dyDescent="0.25">
      <c r="B168" s="47">
        <f t="shared" si="19"/>
        <v>1</v>
      </c>
      <c r="C168" s="47">
        <f t="shared" si="24"/>
        <v>21</v>
      </c>
      <c r="D168">
        <f t="shared" si="25"/>
        <v>21</v>
      </c>
      <c r="E168" s="7" t="s">
        <v>574</v>
      </c>
      <c r="F168" s="200">
        <f>VLOOKUP($E168,'Analysis Inputs'!$D$14:$U$67,10,FALSE)</f>
        <v>186408.24273021927</v>
      </c>
      <c r="G168" s="203" t="str">
        <f>VLOOKUP($E168,'Analysis Inputs'!$D$14:$U$67,13,FALSE)</f>
        <v>NA</v>
      </c>
      <c r="H168" s="203" t="s">
        <v>503</v>
      </c>
      <c r="I168" s="202" t="str">
        <f>VLOOKUP($E168,'Analysis Inputs'!$D$14:$U$67,14,FALSE)</f>
        <v>NA</v>
      </c>
      <c r="J168" s="202" t="s">
        <v>503</v>
      </c>
      <c r="K168" s="200">
        <f>VLOOKUP($E168,'Analysis Inputs'!$D$14:$U$67,15,FALSE)</f>
        <v>186408.24273021927</v>
      </c>
      <c r="L168" s="202">
        <f t="shared" si="28"/>
        <v>22416.960223449863</v>
      </c>
      <c r="M168" s="202">
        <f>VLOOKUP($E168,'Analysis Inputs'!$D$14:$U$67,16,FALSE)</f>
        <v>0</v>
      </c>
      <c r="N168" s="415">
        <f t="shared" si="17"/>
        <v>0</v>
      </c>
      <c r="O168" s="477" t="str">
        <f>VLOOKUP($E168,'Analysis Inputs'!$D$14:$U$67,17,FALSE)</f>
        <v>NA</v>
      </c>
      <c r="P168" s="406" t="s">
        <v>503</v>
      </c>
      <c r="Q168" s="705" t="str">
        <f>VLOOKUP($E168,'Analysis Inputs'!$D$14:$U$67,18,FALSE)</f>
        <v>NA</v>
      </c>
      <c r="R168" s="419" t="s">
        <v>503</v>
      </c>
      <c r="S168" s="405">
        <f t="shared" si="18"/>
        <v>22416.960223449863</v>
      </c>
    </row>
    <row r="169" spans="2:19" ht="12.75" customHeight="1" x14ac:dyDescent="0.25">
      <c r="B169" s="47">
        <f t="shared" si="19"/>
        <v>1</v>
      </c>
      <c r="C169" s="47">
        <f t="shared" si="24"/>
        <v>22</v>
      </c>
      <c r="D169">
        <f t="shared" si="25"/>
        <v>22</v>
      </c>
      <c r="E169" s="7" t="s">
        <v>573</v>
      </c>
      <c r="F169" s="200">
        <f>VLOOKUP($E169,'Analysis Inputs'!$D$14:$U$67,10,FALSE)</f>
        <v>17777.945134258178</v>
      </c>
      <c r="G169" s="203">
        <f>VLOOKUP($E169,'Analysis Inputs'!$D$14:$U$67,13,FALSE)</f>
        <v>0</v>
      </c>
      <c r="H169" s="203">
        <f>+G169*F54</f>
        <v>0</v>
      </c>
      <c r="I169" s="202">
        <f>VLOOKUP($E169,'Analysis Inputs'!$D$14:$U$67,14,FALSE)</f>
        <v>0</v>
      </c>
      <c r="J169" s="200">
        <f t="shared" si="21"/>
        <v>0</v>
      </c>
      <c r="K169" s="200">
        <f>VLOOKUP($E169,'Analysis Inputs'!$D$14:$U$67,15,FALSE)</f>
        <v>17777.945134258178</v>
      </c>
      <c r="L169" s="202">
        <f t="shared" si="28"/>
        <v>98.204653639899661</v>
      </c>
      <c r="M169" s="202">
        <f>VLOOKUP($E169,'Analysis Inputs'!$D$14:$U$67,16,FALSE)</f>
        <v>0</v>
      </c>
      <c r="N169" s="415">
        <f t="shared" si="17"/>
        <v>0</v>
      </c>
      <c r="O169" s="477" t="str">
        <f>VLOOKUP($E169,'Analysis Inputs'!$D$14:$U$67,17,FALSE)</f>
        <v>NA</v>
      </c>
      <c r="P169" s="406" t="s">
        <v>503</v>
      </c>
      <c r="Q169" s="705" t="str">
        <f>VLOOKUP($E169,'Analysis Inputs'!$D$14:$U$67,18,FALSE)</f>
        <v>NA</v>
      </c>
      <c r="R169" s="419" t="s">
        <v>503</v>
      </c>
      <c r="S169" s="405">
        <f t="shared" si="18"/>
        <v>98.204653639899661</v>
      </c>
    </row>
    <row r="170" spans="2:19" ht="12.75" customHeight="1" x14ac:dyDescent="0.25">
      <c r="B170" s="47">
        <f t="shared" si="19"/>
        <v>1</v>
      </c>
      <c r="C170" s="47">
        <f t="shared" si="24"/>
        <v>23</v>
      </c>
      <c r="D170">
        <f t="shared" si="25"/>
        <v>23</v>
      </c>
      <c r="E170" s="7" t="s">
        <v>423</v>
      </c>
      <c r="F170" s="200">
        <f>VLOOKUP($E170,'Analysis Inputs'!$D$14:$U$67,10,FALSE)</f>
        <v>3566.6261698317612</v>
      </c>
      <c r="G170" s="203">
        <f>VLOOKUP($E170,'Analysis Inputs'!$D$14:$U$67,13,FALSE)</f>
        <v>0</v>
      </c>
      <c r="H170" s="203">
        <f>+G170*F55</f>
        <v>0</v>
      </c>
      <c r="I170" s="202">
        <f>VLOOKUP($E170,'Analysis Inputs'!$D$14:$U$67,14,FALSE)</f>
        <v>0</v>
      </c>
      <c r="J170" s="200">
        <f t="shared" si="21"/>
        <v>0</v>
      </c>
      <c r="K170" s="200">
        <f>VLOOKUP($E170,'Analysis Inputs'!$D$14:$U$67,15,FALSE)</f>
        <v>3566.6261698317612</v>
      </c>
      <c r="L170" s="202">
        <f t="shared" si="28"/>
        <v>19.701899461731315</v>
      </c>
      <c r="M170" s="202">
        <f>VLOOKUP($E170,'Analysis Inputs'!$D$14:$U$67,16,FALSE)</f>
        <v>0</v>
      </c>
      <c r="N170" s="415">
        <f t="shared" si="17"/>
        <v>0</v>
      </c>
      <c r="O170" s="477" t="str">
        <f>VLOOKUP($E170,'Analysis Inputs'!$D$14:$U$67,17,FALSE)</f>
        <v>NA</v>
      </c>
      <c r="P170" s="406" t="s">
        <v>503</v>
      </c>
      <c r="Q170" s="705" t="str">
        <f>VLOOKUP($E170,'Analysis Inputs'!$D$14:$U$67,18,FALSE)</f>
        <v>NA</v>
      </c>
      <c r="R170" s="419" t="s">
        <v>503</v>
      </c>
      <c r="S170" s="405">
        <f t="shared" si="18"/>
        <v>19.701899461731315</v>
      </c>
    </row>
    <row r="171" spans="2:19" ht="12.75" customHeight="1" x14ac:dyDescent="0.25">
      <c r="B171" s="47">
        <f t="shared" si="19"/>
        <v>0</v>
      </c>
      <c r="C171" s="47">
        <f t="shared" si="24"/>
        <v>23</v>
      </c>
      <c r="D171">
        <f t="shared" si="25"/>
        <v>0</v>
      </c>
      <c r="E171" s="117" t="s">
        <v>455</v>
      </c>
      <c r="F171" s="200">
        <f>VLOOKUP($E171,'Analysis Inputs'!$D$14:$U$67,10,FALSE)</f>
        <v>0</v>
      </c>
      <c r="G171" s="203">
        <f>VLOOKUP($E171,'Analysis Inputs'!$D$14:$U$67,13,FALSE)</f>
        <v>0</v>
      </c>
      <c r="H171" s="203">
        <f>+G171*F56</f>
        <v>0</v>
      </c>
      <c r="I171" s="202" t="str">
        <f>VLOOKUP($E171,'Analysis Inputs'!$D$14:$U$67,14,FALSE)</f>
        <v>NA</v>
      </c>
      <c r="J171" s="202" t="s">
        <v>503</v>
      </c>
      <c r="K171" s="200">
        <f>VLOOKUP($E171,'Analysis Inputs'!$D$14:$U$67,15,FALSE)</f>
        <v>0</v>
      </c>
      <c r="L171" s="202">
        <f t="shared" si="28"/>
        <v>0</v>
      </c>
      <c r="M171" s="202" t="str">
        <f>VLOOKUP($E171,'Analysis Inputs'!$D$14:$U$67,16,FALSE)</f>
        <v>NA</v>
      </c>
      <c r="N171" s="415" t="s">
        <v>503</v>
      </c>
      <c r="O171" s="477" t="str">
        <f>VLOOKUP($E171,'Analysis Inputs'!$D$14:$U$67,17,FALSE)</f>
        <v>NA</v>
      </c>
      <c r="P171" s="406" t="s">
        <v>503</v>
      </c>
      <c r="Q171" s="705" t="str">
        <f>VLOOKUP($E171,'Analysis Inputs'!$D$14:$U$67,18,FALSE)</f>
        <v>NA</v>
      </c>
      <c r="R171" s="419" t="s">
        <v>503</v>
      </c>
      <c r="S171" s="405">
        <f t="shared" si="18"/>
        <v>0</v>
      </c>
    </row>
    <row r="172" spans="2:19" ht="12.75" customHeight="1" x14ac:dyDescent="0.25">
      <c r="B172" s="47">
        <f t="shared" si="19"/>
        <v>0</v>
      </c>
      <c r="C172" s="47">
        <f t="shared" si="24"/>
        <v>23</v>
      </c>
      <c r="D172">
        <f t="shared" si="25"/>
        <v>0</v>
      </c>
      <c r="E172" s="117" t="s">
        <v>476</v>
      </c>
      <c r="F172" s="200">
        <f>VLOOKUP($E172,'Analysis Inputs'!$D$14:$U$67,10,FALSE)</f>
        <v>0</v>
      </c>
      <c r="G172" s="203" t="str">
        <f>VLOOKUP($E172,'Analysis Inputs'!$D$14:$U$67,13,FALSE)</f>
        <v>NA</v>
      </c>
      <c r="H172" s="203" t="s">
        <v>503</v>
      </c>
      <c r="I172" s="202">
        <f>VLOOKUP($E172,'Analysis Inputs'!$D$14:$U$67,14,FALSE)</f>
        <v>0</v>
      </c>
      <c r="J172" s="200">
        <f t="shared" si="21"/>
        <v>0</v>
      </c>
      <c r="K172" s="200">
        <f>VLOOKUP($E172,'Analysis Inputs'!$D$14:$U$67,15,FALSE)</f>
        <v>0</v>
      </c>
      <c r="L172" s="202">
        <f t="shared" si="28"/>
        <v>0</v>
      </c>
      <c r="M172" s="202" t="str">
        <f>VLOOKUP($E172,'Analysis Inputs'!$D$14:$U$67,16,FALSE)</f>
        <v>NA</v>
      </c>
      <c r="N172" s="415" t="s">
        <v>503</v>
      </c>
      <c r="O172" s="477" t="str">
        <f>VLOOKUP($E172,'Analysis Inputs'!$D$14:$U$67,17,FALSE)</f>
        <v>NA</v>
      </c>
      <c r="P172" s="406" t="s">
        <v>503</v>
      </c>
      <c r="Q172" s="705" t="str">
        <f>VLOOKUP($E172,'Analysis Inputs'!$D$14:$U$67,18,FALSE)</f>
        <v>NA</v>
      </c>
      <c r="R172" s="419" t="s">
        <v>503</v>
      </c>
      <c r="S172" s="405">
        <f t="shared" si="18"/>
        <v>0</v>
      </c>
    </row>
    <row r="173" spans="2:19" ht="12.75" customHeight="1" x14ac:dyDescent="0.25">
      <c r="B173" s="47">
        <f t="shared" si="19"/>
        <v>1</v>
      </c>
      <c r="C173" s="47">
        <f t="shared" si="24"/>
        <v>24</v>
      </c>
      <c r="D173">
        <f t="shared" si="25"/>
        <v>24</v>
      </c>
      <c r="E173" s="117" t="s">
        <v>131</v>
      </c>
      <c r="F173" s="200">
        <f>VLOOKUP($E173,'Analysis Inputs'!$D$14:$U$67,10,FALSE)</f>
        <v>48.934699796860542</v>
      </c>
      <c r="G173" s="203" t="str">
        <f>VLOOKUP($E173,'Analysis Inputs'!$D$14:$U$67,13,FALSE)</f>
        <v>NA</v>
      </c>
      <c r="H173" s="203" t="s">
        <v>503</v>
      </c>
      <c r="I173" s="202">
        <f>VLOOKUP($E173,'Analysis Inputs'!$D$14:$U$67,14,FALSE)</f>
        <v>0</v>
      </c>
      <c r="J173" s="200">
        <f t="shared" si="21"/>
        <v>0</v>
      </c>
      <c r="K173" s="200">
        <f>VLOOKUP($E173,'Analysis Inputs'!$D$14:$U$67,15,FALSE)</f>
        <v>48.934699796860542</v>
      </c>
      <c r="L173" s="202">
        <f t="shared" si="28"/>
        <v>0.27031331282841659</v>
      </c>
      <c r="M173" s="202" t="str">
        <f>VLOOKUP($E173,'Analysis Inputs'!$D$14:$U$67,16,FALSE)</f>
        <v>NA</v>
      </c>
      <c r="N173" s="415" t="s">
        <v>503</v>
      </c>
      <c r="O173" s="477" t="str">
        <f>VLOOKUP($E173,'Analysis Inputs'!$D$14:$U$67,17,FALSE)</f>
        <v>NA</v>
      </c>
      <c r="P173" s="406" t="s">
        <v>503</v>
      </c>
      <c r="Q173" s="705" t="str">
        <f>VLOOKUP($E173,'Analysis Inputs'!$D$14:$U$67,18,FALSE)</f>
        <v>NA</v>
      </c>
      <c r="R173" s="419" t="s">
        <v>503</v>
      </c>
      <c r="S173" s="405">
        <f t="shared" si="18"/>
        <v>0.27031331282841659</v>
      </c>
    </row>
    <row r="174" spans="2:19" ht="12.75" customHeight="1" x14ac:dyDescent="0.25">
      <c r="B174" s="47">
        <f t="shared" si="19"/>
        <v>1</v>
      </c>
      <c r="C174" s="47">
        <f t="shared" si="24"/>
        <v>25</v>
      </c>
      <c r="D174">
        <f t="shared" si="25"/>
        <v>25</v>
      </c>
      <c r="E174" s="117" t="s">
        <v>444</v>
      </c>
      <c r="F174" s="200">
        <f>VLOOKUP($E174,'Analysis Inputs'!$D$14:$U$67,10,FALSE)</f>
        <v>667.21647161788258</v>
      </c>
      <c r="G174" s="203">
        <f>VLOOKUP($E174,'Analysis Inputs'!$D$14:$U$67,13,FALSE)</f>
        <v>0</v>
      </c>
      <c r="H174" s="203">
        <f t="shared" ref="H174:H180" si="29">+G174*F59</f>
        <v>0</v>
      </c>
      <c r="I174" s="202">
        <f>VLOOKUP($E174,'Analysis Inputs'!$D$14:$U$67,14,FALSE)</f>
        <v>0</v>
      </c>
      <c r="J174" s="200">
        <f t="shared" si="21"/>
        <v>0</v>
      </c>
      <c r="K174" s="200">
        <f>VLOOKUP($E174,'Analysis Inputs'!$D$14:$U$67,15,FALSE)</f>
        <v>667.21647161788258</v>
      </c>
      <c r="L174" s="202">
        <f t="shared" si="28"/>
        <v>3.6856769442833706</v>
      </c>
      <c r="M174" s="202">
        <f>VLOOKUP($E174,'Analysis Inputs'!$D$14:$U$67,16,FALSE)</f>
        <v>0</v>
      </c>
      <c r="N174" s="415">
        <f>+M174*I59</f>
        <v>0</v>
      </c>
      <c r="O174" s="477" t="str">
        <f>VLOOKUP($E174,'Analysis Inputs'!$D$14:$U$67,17,FALSE)</f>
        <v>NA</v>
      </c>
      <c r="P174" s="406" t="s">
        <v>503</v>
      </c>
      <c r="Q174" s="705" t="str">
        <f>VLOOKUP($E174,'Analysis Inputs'!$D$14:$U$67,18,FALSE)</f>
        <v>NA</v>
      </c>
      <c r="R174" s="419" t="s">
        <v>503</v>
      </c>
      <c r="S174" s="405">
        <f t="shared" si="18"/>
        <v>3.6856769442833706</v>
      </c>
    </row>
    <row r="175" spans="2:19" ht="12.75" customHeight="1" x14ac:dyDescent="0.25">
      <c r="B175" s="47">
        <f t="shared" si="19"/>
        <v>0</v>
      </c>
      <c r="C175" s="47">
        <f t="shared" si="24"/>
        <v>25</v>
      </c>
      <c r="D175">
        <f t="shared" si="25"/>
        <v>0</v>
      </c>
      <c r="E175" s="117" t="s">
        <v>53</v>
      </c>
      <c r="F175" s="200">
        <f>VLOOKUP($E175,'Analysis Inputs'!$D$14:$U$67,10,FALSE)</f>
        <v>0</v>
      </c>
      <c r="G175" s="203">
        <f>VLOOKUP($E175,'Analysis Inputs'!$D$14:$U$67,13,FALSE)</f>
        <v>0</v>
      </c>
      <c r="H175" s="203">
        <f t="shared" si="29"/>
        <v>0</v>
      </c>
      <c r="I175" s="202">
        <f>VLOOKUP($E175,'Analysis Inputs'!$D$14:$U$67,14,FALSE)</f>
        <v>0</v>
      </c>
      <c r="J175" s="200">
        <f t="shared" si="21"/>
        <v>0</v>
      </c>
      <c r="K175" s="200">
        <f>VLOOKUP($E175,'Analysis Inputs'!$D$14:$U$67,15,FALSE)</f>
        <v>0</v>
      </c>
      <c r="L175" s="202">
        <f t="shared" si="28"/>
        <v>0</v>
      </c>
      <c r="M175" s="202" t="str">
        <f>VLOOKUP($E175,'Analysis Inputs'!$D$14:$U$67,16,FALSE)</f>
        <v>NA</v>
      </c>
      <c r="N175" s="415" t="s">
        <v>503</v>
      </c>
      <c r="O175" s="477" t="str">
        <f>VLOOKUP($E175,'Analysis Inputs'!$D$14:$U$67,17,FALSE)</f>
        <v>NA</v>
      </c>
      <c r="P175" s="406" t="s">
        <v>503</v>
      </c>
      <c r="Q175" s="705" t="str">
        <f>VLOOKUP($E175,'Analysis Inputs'!$D$14:$U$67,18,FALSE)</f>
        <v>NA</v>
      </c>
      <c r="R175" s="419" t="s">
        <v>503</v>
      </c>
      <c r="S175" s="405">
        <f t="shared" si="18"/>
        <v>0</v>
      </c>
    </row>
    <row r="176" spans="2:19" ht="12.75" customHeight="1" x14ac:dyDescent="0.25">
      <c r="B176" s="47">
        <f t="shared" si="19"/>
        <v>1</v>
      </c>
      <c r="C176" s="47">
        <f t="shared" si="24"/>
        <v>26</v>
      </c>
      <c r="D176">
        <f t="shared" si="25"/>
        <v>26</v>
      </c>
      <c r="E176" s="117" t="s">
        <v>54</v>
      </c>
      <c r="F176" s="200">
        <f>VLOOKUP($E176,'Analysis Inputs'!$D$14:$U$67,10,FALSE)</f>
        <v>3002.42668852621</v>
      </c>
      <c r="G176" s="203">
        <f>VLOOKUP($E176,'Analysis Inputs'!$D$14:$U$67,13,FALSE)</f>
        <v>0</v>
      </c>
      <c r="H176" s="203">
        <f t="shared" si="29"/>
        <v>0</v>
      </c>
      <c r="I176" s="202">
        <f>VLOOKUP($E176,'Analysis Inputs'!$D$14:$U$67,14,FALSE)</f>
        <v>0</v>
      </c>
      <c r="J176" s="200">
        <f t="shared" si="21"/>
        <v>0</v>
      </c>
      <c r="K176" s="200">
        <f>VLOOKUP($E176,'Analysis Inputs'!$D$14:$U$67,15,FALSE)</f>
        <v>3002.42668852621</v>
      </c>
      <c r="L176" s="202">
        <f t="shared" si="28"/>
        <v>16.585284227125086</v>
      </c>
      <c r="M176" s="202">
        <f>VLOOKUP($E176,'Analysis Inputs'!$D$14:$U$67,16,FALSE)</f>
        <v>0</v>
      </c>
      <c r="N176" s="415">
        <f>+M176*I61</f>
        <v>0</v>
      </c>
      <c r="O176" s="477" t="str">
        <f>VLOOKUP($E176,'Analysis Inputs'!$D$14:$U$67,17,FALSE)</f>
        <v>NA</v>
      </c>
      <c r="P176" s="406" t="s">
        <v>503</v>
      </c>
      <c r="Q176" s="705" t="str">
        <f>VLOOKUP($E176,'Analysis Inputs'!$D$14:$U$67,18,FALSE)</f>
        <v>NA</v>
      </c>
      <c r="R176" s="419" t="s">
        <v>503</v>
      </c>
      <c r="S176" s="405">
        <f t="shared" si="18"/>
        <v>16.585284227125086</v>
      </c>
    </row>
    <row r="177" spans="2:19" ht="12.75" customHeight="1" x14ac:dyDescent="0.25">
      <c r="B177" s="47">
        <f t="shared" si="19"/>
        <v>1</v>
      </c>
      <c r="C177" s="47">
        <f t="shared" si="24"/>
        <v>27</v>
      </c>
      <c r="D177">
        <f t="shared" si="25"/>
        <v>27</v>
      </c>
      <c r="E177" s="117" t="s">
        <v>55</v>
      </c>
      <c r="F177" s="200">
        <f>VLOOKUP($E177,'Analysis Inputs'!$D$14:$U$67,10,FALSE)</f>
        <v>14797.404669376238</v>
      </c>
      <c r="G177" s="203">
        <f>VLOOKUP($E177,'Analysis Inputs'!$D$14:$U$67,13,FALSE)</f>
        <v>0</v>
      </c>
      <c r="H177" s="203">
        <f t="shared" si="29"/>
        <v>0</v>
      </c>
      <c r="I177" s="202">
        <f>VLOOKUP($E177,'Analysis Inputs'!$D$14:$U$67,14,FALSE)</f>
        <v>0</v>
      </c>
      <c r="J177" s="200">
        <f t="shared" si="21"/>
        <v>0</v>
      </c>
      <c r="K177" s="200">
        <f>VLOOKUP($E177,'Analysis Inputs'!$D$14:$U$67,15,FALSE)</f>
        <v>14797.404669376238</v>
      </c>
      <c r="L177" s="202">
        <f t="shared" si="28"/>
        <v>-246.34179602367013</v>
      </c>
      <c r="M177" s="202" t="str">
        <f>VLOOKUP($E177,'Analysis Inputs'!$D$14:$U$67,16,FALSE)</f>
        <v>NA</v>
      </c>
      <c r="N177" s="415" t="s">
        <v>503</v>
      </c>
      <c r="O177" s="477" t="str">
        <f>VLOOKUP($E177,'Analysis Inputs'!$D$14:$U$67,17,FALSE)</f>
        <v>NA</v>
      </c>
      <c r="P177" s="406" t="s">
        <v>503</v>
      </c>
      <c r="Q177" s="705" t="str">
        <f>VLOOKUP($E177,'Analysis Inputs'!$D$14:$U$67,18,FALSE)</f>
        <v>NA</v>
      </c>
      <c r="R177" s="419" t="s">
        <v>503</v>
      </c>
      <c r="S177" s="405">
        <f t="shared" si="18"/>
        <v>-246.34179602367013</v>
      </c>
    </row>
    <row r="178" spans="2:19" ht="12.75" customHeight="1" x14ac:dyDescent="0.25">
      <c r="B178" s="47">
        <f t="shared" si="19"/>
        <v>0</v>
      </c>
      <c r="C178" s="47">
        <f t="shared" si="24"/>
        <v>27</v>
      </c>
      <c r="D178">
        <f t="shared" si="25"/>
        <v>0</v>
      </c>
      <c r="E178" s="117" t="s">
        <v>56</v>
      </c>
      <c r="F178" s="200">
        <f>VLOOKUP($E178,'Analysis Inputs'!$D$14:$U$67,10,FALSE)</f>
        <v>0</v>
      </c>
      <c r="G178" s="203">
        <f>VLOOKUP($E178,'Analysis Inputs'!$D$14:$U$67,13,FALSE)</f>
        <v>0</v>
      </c>
      <c r="H178" s="203">
        <f t="shared" si="29"/>
        <v>0</v>
      </c>
      <c r="I178" s="202" t="str">
        <f>VLOOKUP($E178,'Analysis Inputs'!$D$14:$U$67,14,FALSE)</f>
        <v>NA</v>
      </c>
      <c r="J178" s="202" t="s">
        <v>503</v>
      </c>
      <c r="K178" s="200">
        <f>VLOOKUP($E178,'Analysis Inputs'!$D$14:$U$67,15,FALSE)</f>
        <v>0</v>
      </c>
      <c r="L178" s="202">
        <f t="shared" si="28"/>
        <v>0</v>
      </c>
      <c r="M178" s="202" t="str">
        <f>VLOOKUP($E178,'Analysis Inputs'!$D$14:$U$67,16,FALSE)</f>
        <v>NA</v>
      </c>
      <c r="N178" s="415" t="s">
        <v>503</v>
      </c>
      <c r="O178" s="477" t="str">
        <f>VLOOKUP($E178,'Analysis Inputs'!$D$14:$U$67,17,FALSE)</f>
        <v>NA</v>
      </c>
      <c r="P178" s="406" t="s">
        <v>503</v>
      </c>
      <c r="Q178" s="705" t="str">
        <f>VLOOKUP($E178,'Analysis Inputs'!$D$14:$U$67,18,FALSE)</f>
        <v>NA</v>
      </c>
      <c r="R178" s="419" t="s">
        <v>503</v>
      </c>
      <c r="S178" s="405">
        <f t="shared" si="18"/>
        <v>0</v>
      </c>
    </row>
    <row r="179" spans="2:19" ht="12.75" customHeight="1" x14ac:dyDescent="0.25">
      <c r="B179" s="47">
        <f t="shared" si="19"/>
        <v>0</v>
      </c>
      <c r="C179" s="47">
        <f t="shared" si="24"/>
        <v>27</v>
      </c>
      <c r="D179">
        <f t="shared" si="25"/>
        <v>0</v>
      </c>
      <c r="E179" s="117" t="s">
        <v>57</v>
      </c>
      <c r="F179" s="200">
        <f>VLOOKUP($E179,'Analysis Inputs'!$D$14:$U$67,10,FALSE)</f>
        <v>0</v>
      </c>
      <c r="G179" s="203">
        <f>VLOOKUP($E179,'Analysis Inputs'!$D$14:$U$67,13,FALSE)</f>
        <v>0</v>
      </c>
      <c r="H179" s="203">
        <f t="shared" si="29"/>
        <v>0</v>
      </c>
      <c r="I179" s="202" t="str">
        <f>VLOOKUP($E179,'Analysis Inputs'!$D$14:$U$67,14,FALSE)</f>
        <v>NA</v>
      </c>
      <c r="J179" s="202" t="s">
        <v>503</v>
      </c>
      <c r="K179" s="200">
        <f>VLOOKUP($E179,'Analysis Inputs'!$D$14:$U$67,15,FALSE)</f>
        <v>0</v>
      </c>
      <c r="L179" s="202">
        <f t="shared" si="28"/>
        <v>0</v>
      </c>
      <c r="M179" s="202">
        <f>VLOOKUP($E179,'Analysis Inputs'!$D$14:$U$67,16,FALSE)</f>
        <v>0</v>
      </c>
      <c r="N179" s="415">
        <f>+M179*I64</f>
        <v>0</v>
      </c>
      <c r="O179" s="477" t="str">
        <f>VLOOKUP($E179,'Analysis Inputs'!$D$14:$U$67,17,FALSE)</f>
        <v>NA</v>
      </c>
      <c r="P179" s="406" t="s">
        <v>503</v>
      </c>
      <c r="Q179" s="705" t="str">
        <f>VLOOKUP($E179,'Analysis Inputs'!$D$14:$U$67,18,FALSE)</f>
        <v>NA</v>
      </c>
      <c r="R179" s="419" t="s">
        <v>503</v>
      </c>
      <c r="S179" s="405">
        <f t="shared" si="18"/>
        <v>0</v>
      </c>
    </row>
    <row r="180" spans="2:19" ht="12.75" customHeight="1" x14ac:dyDescent="0.25">
      <c r="B180" s="47">
        <f t="shared" si="19"/>
        <v>0</v>
      </c>
      <c r="C180" s="47">
        <f t="shared" si="24"/>
        <v>27</v>
      </c>
      <c r="D180">
        <f t="shared" si="25"/>
        <v>0</v>
      </c>
      <c r="E180" s="117" t="s">
        <v>58</v>
      </c>
      <c r="F180" s="200">
        <f>VLOOKUP($E180,'Analysis Inputs'!$D$14:$U$67,10,FALSE)</f>
        <v>0</v>
      </c>
      <c r="G180" s="203">
        <f>VLOOKUP($E180,'Analysis Inputs'!$D$14:$U$67,13,FALSE)</f>
        <v>0</v>
      </c>
      <c r="H180" s="203">
        <f t="shared" si="29"/>
        <v>0</v>
      </c>
      <c r="I180" s="202" t="str">
        <f>VLOOKUP($E180,'Analysis Inputs'!$D$14:$U$67,14,FALSE)</f>
        <v>NA</v>
      </c>
      <c r="J180" s="202" t="s">
        <v>503</v>
      </c>
      <c r="K180" s="200">
        <f>VLOOKUP($E180,'Analysis Inputs'!$D$14:$U$67,15,FALSE)</f>
        <v>0</v>
      </c>
      <c r="L180" s="200">
        <f t="shared" si="28"/>
        <v>0</v>
      </c>
      <c r="M180" s="202">
        <f>VLOOKUP($E180,'Analysis Inputs'!$D$14:$U$67,16,FALSE)</f>
        <v>0</v>
      </c>
      <c r="N180" s="415">
        <f>+M180*I65</f>
        <v>0</v>
      </c>
      <c r="O180" s="677" t="str">
        <f>VLOOKUP($E180,'Analysis Inputs'!$D$14:$U$67,17,FALSE)</f>
        <v>NA</v>
      </c>
      <c r="P180" s="406" t="s">
        <v>503</v>
      </c>
      <c r="Q180" s="705" t="str">
        <f>VLOOKUP($E180,'Analysis Inputs'!$D$14:$U$67,18,FALSE)</f>
        <v>NA</v>
      </c>
      <c r="R180" s="420" t="s">
        <v>503</v>
      </c>
      <c r="S180" s="405">
        <f t="shared" si="18"/>
        <v>0</v>
      </c>
    </row>
    <row r="181" spans="2:19" ht="13" thickBot="1" x14ac:dyDescent="0.3">
      <c r="E181" s="141" t="s">
        <v>526</v>
      </c>
      <c r="F181" s="410">
        <f t="shared" ref="F181:P181" si="30">SUM(F127:F180)</f>
        <v>842952.9413789165</v>
      </c>
      <c r="G181" s="410">
        <f t="shared" si="30"/>
        <v>0</v>
      </c>
      <c r="H181" s="410">
        <f t="shared" si="30"/>
        <v>0</v>
      </c>
      <c r="I181" s="410">
        <f t="shared" si="30"/>
        <v>0</v>
      </c>
      <c r="J181" s="410">
        <f t="shared" si="30"/>
        <v>0</v>
      </c>
      <c r="K181" s="410">
        <f t="shared" si="30"/>
        <v>842952.9413789165</v>
      </c>
      <c r="L181" s="410">
        <f t="shared" si="30"/>
        <v>25828.125670437501</v>
      </c>
      <c r="M181" s="410">
        <f t="shared" si="30"/>
        <v>0</v>
      </c>
      <c r="N181" s="410">
        <f t="shared" si="30"/>
        <v>0</v>
      </c>
      <c r="O181" s="417">
        <f t="shared" si="30"/>
        <v>0</v>
      </c>
      <c r="P181" s="410">
        <f t="shared" si="30"/>
        <v>0</v>
      </c>
      <c r="Q181" s="681">
        <f>SUM(Q127:Q180)</f>
        <v>0</v>
      </c>
      <c r="R181" s="701">
        <f>IF(AND('Analysis Inputs'!$N$150=3,SUM(Q156:Q159,Q167)&lt;&gt;0),"INPUT ERROR",SUM(R127:R180))</f>
        <v>0</v>
      </c>
      <c r="S181" s="684">
        <f>IF(AND('Analysis Inputs'!$N$150=3,SUM(Q156:Q159,Q167)&lt;&gt;0),"INPUT ERROR: Please select dry digestion",SUM(S127:S180))</f>
        <v>25828.125670437501</v>
      </c>
    </row>
    <row r="183" spans="2:19" ht="13.5" thickBot="1" x14ac:dyDescent="0.35">
      <c r="E183" s="30" t="s">
        <v>794</v>
      </c>
      <c r="F183" s="2"/>
      <c r="G183" s="2"/>
      <c r="H183" s="2"/>
      <c r="I183" s="2"/>
      <c r="J183" s="2"/>
      <c r="K183" s="2"/>
      <c r="L183" s="2"/>
      <c r="M183" s="2"/>
      <c r="N183" s="2"/>
      <c r="O183" s="2"/>
      <c r="P183" s="665"/>
      <c r="Q183" s="1"/>
    </row>
    <row r="184" spans="2:19" ht="36" x14ac:dyDescent="0.25">
      <c r="E184" s="58" t="s">
        <v>496</v>
      </c>
      <c r="F184" s="60" t="s">
        <v>529</v>
      </c>
      <c r="G184" s="61" t="s">
        <v>530</v>
      </c>
      <c r="H184" s="60" t="s">
        <v>531</v>
      </c>
      <c r="I184" s="61" t="s">
        <v>532</v>
      </c>
      <c r="J184" s="61" t="s">
        <v>533</v>
      </c>
      <c r="K184" s="61" t="s">
        <v>534</v>
      </c>
      <c r="L184" s="61" t="s">
        <v>535</v>
      </c>
      <c r="M184" s="61" t="s">
        <v>536</v>
      </c>
      <c r="N184" s="60" t="s">
        <v>537</v>
      </c>
      <c r="O184" s="61" t="s">
        <v>527</v>
      </c>
      <c r="P184" s="60" t="s">
        <v>772</v>
      </c>
      <c r="Q184" s="61" t="s">
        <v>841</v>
      </c>
      <c r="R184" s="62" t="s">
        <v>528</v>
      </c>
    </row>
    <row r="185" spans="2:19" ht="12.75" customHeight="1" x14ac:dyDescent="0.25">
      <c r="E185" s="7" t="s">
        <v>515</v>
      </c>
      <c r="F185" s="201">
        <f t="shared" ref="F185:G204" si="31">+G127</f>
        <v>0</v>
      </c>
      <c r="G185" s="201">
        <f t="shared" si="31"/>
        <v>0</v>
      </c>
      <c r="H185" s="200">
        <f t="shared" ref="H185:M190" si="32">+I127-G69</f>
        <v>0</v>
      </c>
      <c r="I185" s="200">
        <f t="shared" si="32"/>
        <v>0</v>
      </c>
      <c r="J185" s="200">
        <f t="shared" si="32"/>
        <v>0</v>
      </c>
      <c r="K185" s="200">
        <f t="shared" si="32"/>
        <v>0</v>
      </c>
      <c r="L185" s="200">
        <f t="shared" si="32"/>
        <v>0</v>
      </c>
      <c r="M185" s="200">
        <f t="shared" si="32"/>
        <v>0</v>
      </c>
      <c r="N185" s="202" t="s">
        <v>503</v>
      </c>
      <c r="O185" s="202" t="s">
        <v>503</v>
      </c>
      <c r="P185" s="679" t="s">
        <v>503</v>
      </c>
      <c r="Q185" s="683" t="s">
        <v>503</v>
      </c>
      <c r="R185" s="407">
        <f>IF(ROUND(SUM(F185,H185,J185,L185,N185,P185),8)&lt;&gt;0,"INPUT ERROR: Make sure tons managed equals tons generated",SUM(G185,I185,K185,M185,O185,Q185))</f>
        <v>0</v>
      </c>
    </row>
    <row r="186" spans="2:19" ht="12.75" customHeight="1" x14ac:dyDescent="0.25">
      <c r="E186" s="7" t="s">
        <v>84</v>
      </c>
      <c r="F186" s="201">
        <f t="shared" si="31"/>
        <v>0</v>
      </c>
      <c r="G186" s="201">
        <f t="shared" si="31"/>
        <v>0</v>
      </c>
      <c r="H186" s="200">
        <f t="shared" si="32"/>
        <v>0</v>
      </c>
      <c r="I186" s="200">
        <f t="shared" si="32"/>
        <v>0</v>
      </c>
      <c r="J186" s="200">
        <f t="shared" si="32"/>
        <v>0</v>
      </c>
      <c r="K186" s="200">
        <f t="shared" si="32"/>
        <v>0</v>
      </c>
      <c r="L186" s="200">
        <f t="shared" si="32"/>
        <v>0</v>
      </c>
      <c r="M186" s="200">
        <f t="shared" si="32"/>
        <v>0</v>
      </c>
      <c r="N186" s="202" t="s">
        <v>503</v>
      </c>
      <c r="O186" s="202" t="s">
        <v>503</v>
      </c>
      <c r="P186" s="680" t="s">
        <v>503</v>
      </c>
      <c r="Q186" s="477" t="s">
        <v>503</v>
      </c>
      <c r="R186" s="407">
        <f t="shared" ref="R186:R205" si="33">IF(ROUND(SUM(F186,H186,J186,L186,N186,P186),8)&lt;&gt;0,"INPUT ERROR: Make sure tons managed equals tons generated",SUM(G186,I186,K186,M186,O186,Q186))</f>
        <v>0</v>
      </c>
    </row>
    <row r="187" spans="2:19" ht="12.75" customHeight="1" x14ac:dyDescent="0.25">
      <c r="E187" s="7" t="s">
        <v>516</v>
      </c>
      <c r="F187" s="201">
        <f t="shared" si="31"/>
        <v>0</v>
      </c>
      <c r="G187" s="201">
        <f t="shared" si="31"/>
        <v>0</v>
      </c>
      <c r="H187" s="200">
        <f t="shared" si="32"/>
        <v>0</v>
      </c>
      <c r="I187" s="200">
        <f t="shared" si="32"/>
        <v>0</v>
      </c>
      <c r="J187" s="200">
        <f t="shared" si="32"/>
        <v>0</v>
      </c>
      <c r="K187" s="200">
        <f t="shared" si="32"/>
        <v>0</v>
      </c>
      <c r="L187" s="200">
        <f t="shared" si="32"/>
        <v>0</v>
      </c>
      <c r="M187" s="200">
        <f t="shared" si="32"/>
        <v>0</v>
      </c>
      <c r="N187" s="202" t="s">
        <v>503</v>
      </c>
      <c r="O187" s="202" t="s">
        <v>503</v>
      </c>
      <c r="P187" s="680" t="s">
        <v>503</v>
      </c>
      <c r="Q187" s="477" t="s">
        <v>503</v>
      </c>
      <c r="R187" s="407">
        <f t="shared" si="33"/>
        <v>0</v>
      </c>
    </row>
    <row r="188" spans="2:19" ht="12.75" customHeight="1" x14ac:dyDescent="0.25">
      <c r="E188" s="7" t="s">
        <v>438</v>
      </c>
      <c r="F188" s="201">
        <f t="shared" si="31"/>
        <v>0</v>
      </c>
      <c r="G188" s="201">
        <f t="shared" si="31"/>
        <v>0</v>
      </c>
      <c r="H188" s="200">
        <f t="shared" si="32"/>
        <v>0</v>
      </c>
      <c r="I188" s="200">
        <f t="shared" si="32"/>
        <v>0</v>
      </c>
      <c r="J188" s="200">
        <f t="shared" si="32"/>
        <v>0</v>
      </c>
      <c r="K188" s="200">
        <f t="shared" si="32"/>
        <v>0</v>
      </c>
      <c r="L188" s="200">
        <f t="shared" si="32"/>
        <v>0</v>
      </c>
      <c r="M188" s="200">
        <f t="shared" si="32"/>
        <v>0</v>
      </c>
      <c r="N188" s="202" t="s">
        <v>503</v>
      </c>
      <c r="O188" s="202" t="s">
        <v>503</v>
      </c>
      <c r="P188" s="680" t="s">
        <v>503</v>
      </c>
      <c r="Q188" s="477" t="s">
        <v>503</v>
      </c>
      <c r="R188" s="407">
        <f t="shared" si="33"/>
        <v>0</v>
      </c>
    </row>
    <row r="189" spans="2:19" ht="12.75" customHeight="1" x14ac:dyDescent="0.25">
      <c r="E189" s="7" t="s">
        <v>517</v>
      </c>
      <c r="F189" s="201">
        <f t="shared" si="31"/>
        <v>0</v>
      </c>
      <c r="G189" s="201">
        <f t="shared" si="31"/>
        <v>0</v>
      </c>
      <c r="H189" s="200">
        <f t="shared" si="32"/>
        <v>0</v>
      </c>
      <c r="I189" s="200">
        <f t="shared" si="32"/>
        <v>0</v>
      </c>
      <c r="J189" s="200">
        <f t="shared" si="32"/>
        <v>0</v>
      </c>
      <c r="K189" s="200">
        <f t="shared" si="32"/>
        <v>0</v>
      </c>
      <c r="L189" s="200">
        <f t="shared" si="32"/>
        <v>0</v>
      </c>
      <c r="M189" s="200">
        <f t="shared" si="32"/>
        <v>0</v>
      </c>
      <c r="N189" s="202" t="s">
        <v>503</v>
      </c>
      <c r="O189" s="202" t="s">
        <v>503</v>
      </c>
      <c r="P189" s="680" t="s">
        <v>503</v>
      </c>
      <c r="Q189" s="477" t="s">
        <v>503</v>
      </c>
      <c r="R189" s="407">
        <f t="shared" si="33"/>
        <v>0</v>
      </c>
    </row>
    <row r="190" spans="2:19" ht="12.75" customHeight="1" x14ac:dyDescent="0.25">
      <c r="E190" s="7" t="s">
        <v>518</v>
      </c>
      <c r="F190" s="201">
        <f t="shared" si="31"/>
        <v>0</v>
      </c>
      <c r="G190" s="201">
        <f t="shared" si="31"/>
        <v>0</v>
      </c>
      <c r="H190" s="200">
        <f t="shared" si="32"/>
        <v>0</v>
      </c>
      <c r="I190" s="200">
        <f t="shared" si="32"/>
        <v>0</v>
      </c>
      <c r="J190" s="200">
        <f t="shared" si="32"/>
        <v>0</v>
      </c>
      <c r="K190" s="200">
        <f t="shared" si="32"/>
        <v>0</v>
      </c>
      <c r="L190" s="200">
        <f t="shared" si="32"/>
        <v>0</v>
      </c>
      <c r="M190" s="200">
        <f t="shared" si="32"/>
        <v>0</v>
      </c>
      <c r="N190" s="202" t="s">
        <v>503</v>
      </c>
      <c r="O190" s="202" t="s">
        <v>503</v>
      </c>
      <c r="P190" s="680" t="s">
        <v>503</v>
      </c>
      <c r="Q190" s="477" t="s">
        <v>503</v>
      </c>
      <c r="R190" s="407">
        <f t="shared" si="33"/>
        <v>0</v>
      </c>
    </row>
    <row r="191" spans="2:19" ht="12.75" customHeight="1" x14ac:dyDescent="0.25">
      <c r="E191" s="7" t="s">
        <v>519</v>
      </c>
      <c r="F191" s="201">
        <f t="shared" si="31"/>
        <v>0</v>
      </c>
      <c r="G191" s="201">
        <f t="shared" si="31"/>
        <v>0</v>
      </c>
      <c r="H191" s="202" t="s">
        <v>503</v>
      </c>
      <c r="I191" s="202" t="s">
        <v>503</v>
      </c>
      <c r="J191" s="200">
        <f t="shared" ref="J191:M210" si="34">+K133-I75</f>
        <v>0</v>
      </c>
      <c r="K191" s="200">
        <f t="shared" si="34"/>
        <v>0</v>
      </c>
      <c r="L191" s="200">
        <f t="shared" si="34"/>
        <v>0</v>
      </c>
      <c r="M191" s="200">
        <f t="shared" si="34"/>
        <v>0</v>
      </c>
      <c r="N191" s="202" t="s">
        <v>503</v>
      </c>
      <c r="O191" s="202" t="s">
        <v>503</v>
      </c>
      <c r="P191" s="680" t="s">
        <v>503</v>
      </c>
      <c r="Q191" s="477" t="s">
        <v>503</v>
      </c>
      <c r="R191" s="407">
        <f t="shared" si="33"/>
        <v>0</v>
      </c>
    </row>
    <row r="192" spans="2:19" ht="12.75" customHeight="1" x14ac:dyDescent="0.25">
      <c r="E192" s="7" t="s">
        <v>520</v>
      </c>
      <c r="F192" s="201">
        <f t="shared" si="31"/>
        <v>0</v>
      </c>
      <c r="G192" s="201">
        <f t="shared" si="31"/>
        <v>0</v>
      </c>
      <c r="H192" s="200">
        <f>+I134-G76</f>
        <v>0</v>
      </c>
      <c r="I192" s="200">
        <f>+J134-H76</f>
        <v>0</v>
      </c>
      <c r="J192" s="200">
        <f t="shared" si="34"/>
        <v>0</v>
      </c>
      <c r="K192" s="200">
        <f t="shared" si="34"/>
        <v>0</v>
      </c>
      <c r="L192" s="200">
        <f t="shared" si="34"/>
        <v>0</v>
      </c>
      <c r="M192" s="200">
        <f t="shared" si="34"/>
        <v>0</v>
      </c>
      <c r="N192" s="202" t="s">
        <v>503</v>
      </c>
      <c r="O192" s="202" t="s">
        <v>503</v>
      </c>
      <c r="P192" s="680" t="s">
        <v>503</v>
      </c>
      <c r="Q192" s="477" t="s">
        <v>503</v>
      </c>
      <c r="R192" s="407">
        <f t="shared" si="33"/>
        <v>0</v>
      </c>
    </row>
    <row r="193" spans="5:19" ht="12.75" customHeight="1" x14ac:dyDescent="0.25">
      <c r="E193" s="7" t="s">
        <v>86</v>
      </c>
      <c r="F193" s="201">
        <f t="shared" si="31"/>
        <v>0</v>
      </c>
      <c r="G193" s="201">
        <f t="shared" si="31"/>
        <v>0</v>
      </c>
      <c r="H193" s="202" t="s">
        <v>503</v>
      </c>
      <c r="I193" s="202" t="s">
        <v>503</v>
      </c>
      <c r="J193" s="200">
        <f t="shared" si="34"/>
        <v>0</v>
      </c>
      <c r="K193" s="200">
        <f t="shared" si="34"/>
        <v>0</v>
      </c>
      <c r="L193" s="200">
        <f t="shared" si="34"/>
        <v>0</v>
      </c>
      <c r="M193" s="200">
        <f t="shared" si="34"/>
        <v>0</v>
      </c>
      <c r="N193" s="202" t="s">
        <v>503</v>
      </c>
      <c r="O193" s="202" t="s">
        <v>503</v>
      </c>
      <c r="P193" s="680" t="s">
        <v>503</v>
      </c>
      <c r="Q193" s="477" t="s">
        <v>503</v>
      </c>
      <c r="R193" s="407">
        <f t="shared" si="33"/>
        <v>0</v>
      </c>
    </row>
    <row r="194" spans="5:19" ht="12.75" customHeight="1" x14ac:dyDescent="0.25">
      <c r="E194" s="7" t="s">
        <v>87</v>
      </c>
      <c r="F194" s="201">
        <f t="shared" si="31"/>
        <v>0</v>
      </c>
      <c r="G194" s="201">
        <f t="shared" si="31"/>
        <v>0</v>
      </c>
      <c r="H194" s="202" t="s">
        <v>503</v>
      </c>
      <c r="I194" s="202" t="s">
        <v>503</v>
      </c>
      <c r="J194" s="200">
        <f t="shared" si="34"/>
        <v>0</v>
      </c>
      <c r="K194" s="200">
        <f t="shared" si="34"/>
        <v>0</v>
      </c>
      <c r="L194" s="200">
        <f t="shared" si="34"/>
        <v>0</v>
      </c>
      <c r="M194" s="200">
        <f t="shared" si="34"/>
        <v>0</v>
      </c>
      <c r="N194" s="202" t="s">
        <v>503</v>
      </c>
      <c r="O194" s="202" t="s">
        <v>503</v>
      </c>
      <c r="P194" s="680" t="s">
        <v>503</v>
      </c>
      <c r="Q194" s="477" t="s">
        <v>503</v>
      </c>
      <c r="R194" s="407">
        <f t="shared" si="33"/>
        <v>0</v>
      </c>
    </row>
    <row r="195" spans="5:19" ht="12.75" customHeight="1" x14ac:dyDescent="0.25">
      <c r="E195" s="7" t="s">
        <v>88</v>
      </c>
      <c r="F195" s="201">
        <f t="shared" si="31"/>
        <v>0</v>
      </c>
      <c r="G195" s="201">
        <f t="shared" si="31"/>
        <v>0</v>
      </c>
      <c r="H195" s="202" t="s">
        <v>503</v>
      </c>
      <c r="I195" s="202" t="s">
        <v>503</v>
      </c>
      <c r="J195" s="200">
        <f t="shared" si="34"/>
        <v>0</v>
      </c>
      <c r="K195" s="200">
        <f t="shared" si="34"/>
        <v>0</v>
      </c>
      <c r="L195" s="200">
        <f t="shared" si="34"/>
        <v>0</v>
      </c>
      <c r="M195" s="200">
        <f t="shared" si="34"/>
        <v>0</v>
      </c>
      <c r="N195" s="202" t="s">
        <v>503</v>
      </c>
      <c r="O195" s="202" t="s">
        <v>503</v>
      </c>
      <c r="P195" s="680" t="s">
        <v>503</v>
      </c>
      <c r="Q195" s="477" t="s">
        <v>503</v>
      </c>
      <c r="R195" s="407">
        <f t="shared" si="33"/>
        <v>0</v>
      </c>
    </row>
    <row r="196" spans="5:19" ht="12.75" customHeight="1" x14ac:dyDescent="0.25">
      <c r="E196" s="7" t="s">
        <v>89</v>
      </c>
      <c r="F196" s="201">
        <f t="shared" si="31"/>
        <v>0</v>
      </c>
      <c r="G196" s="201">
        <f t="shared" si="31"/>
        <v>0</v>
      </c>
      <c r="H196" s="202" t="s">
        <v>503</v>
      </c>
      <c r="I196" s="202" t="s">
        <v>503</v>
      </c>
      <c r="J196" s="200">
        <f t="shared" si="34"/>
        <v>0</v>
      </c>
      <c r="K196" s="200">
        <f t="shared" si="34"/>
        <v>0</v>
      </c>
      <c r="L196" s="200">
        <f t="shared" si="34"/>
        <v>0</v>
      </c>
      <c r="M196" s="200">
        <f t="shared" si="34"/>
        <v>0</v>
      </c>
      <c r="N196" s="202" t="s">
        <v>503</v>
      </c>
      <c r="O196" s="202" t="s">
        <v>503</v>
      </c>
      <c r="P196" s="680" t="s">
        <v>503</v>
      </c>
      <c r="Q196" s="477" t="s">
        <v>503</v>
      </c>
      <c r="R196" s="407">
        <f t="shared" si="33"/>
        <v>0</v>
      </c>
    </row>
    <row r="197" spans="5:19" ht="12.75" customHeight="1" x14ac:dyDescent="0.25">
      <c r="E197" s="7" t="s">
        <v>85</v>
      </c>
      <c r="F197" s="203">
        <f t="shared" si="31"/>
        <v>0</v>
      </c>
      <c r="G197" s="203">
        <f t="shared" si="31"/>
        <v>0</v>
      </c>
      <c r="H197" s="202" t="s">
        <v>503</v>
      </c>
      <c r="I197" s="202" t="s">
        <v>503</v>
      </c>
      <c r="J197" s="200">
        <f t="shared" si="34"/>
        <v>0</v>
      </c>
      <c r="K197" s="200">
        <f t="shared" si="34"/>
        <v>0</v>
      </c>
      <c r="L197" s="200">
        <f t="shared" si="34"/>
        <v>0</v>
      </c>
      <c r="M197" s="200">
        <f t="shared" si="34"/>
        <v>0</v>
      </c>
      <c r="N197" s="202">
        <f>+O139-M81</f>
        <v>0</v>
      </c>
      <c r="O197" s="202">
        <f>+P139-N81</f>
        <v>0</v>
      </c>
      <c r="P197" s="680" t="s">
        <v>503</v>
      </c>
      <c r="Q197" s="477" t="s">
        <v>503</v>
      </c>
      <c r="R197" s="407">
        <f t="shared" si="33"/>
        <v>0</v>
      </c>
    </row>
    <row r="198" spans="5:19" ht="12.75" customHeight="1" x14ac:dyDescent="0.25">
      <c r="E198" s="7" t="s">
        <v>59</v>
      </c>
      <c r="F198" s="201">
        <f t="shared" si="31"/>
        <v>0</v>
      </c>
      <c r="G198" s="201">
        <f t="shared" si="31"/>
        <v>0</v>
      </c>
      <c r="H198" s="200">
        <f t="shared" ref="H198:I205" si="35">+I140-G82</f>
        <v>0</v>
      </c>
      <c r="I198" s="200">
        <f t="shared" si="35"/>
        <v>0</v>
      </c>
      <c r="J198" s="200">
        <f t="shared" si="34"/>
        <v>0</v>
      </c>
      <c r="K198" s="200">
        <f t="shared" si="34"/>
        <v>0</v>
      </c>
      <c r="L198" s="200">
        <f t="shared" si="34"/>
        <v>0</v>
      </c>
      <c r="M198" s="200">
        <f t="shared" si="34"/>
        <v>0</v>
      </c>
      <c r="N198" s="202" t="s">
        <v>503</v>
      </c>
      <c r="O198" s="202" t="s">
        <v>503</v>
      </c>
      <c r="P198" s="680" t="s">
        <v>503</v>
      </c>
      <c r="Q198" s="477" t="s">
        <v>503</v>
      </c>
      <c r="R198" s="407">
        <f t="shared" si="33"/>
        <v>0</v>
      </c>
    </row>
    <row r="199" spans="5:19" ht="12.75" customHeight="1" x14ac:dyDescent="0.25">
      <c r="E199" s="7" t="s">
        <v>290</v>
      </c>
      <c r="F199" s="201">
        <f t="shared" si="31"/>
        <v>0</v>
      </c>
      <c r="G199" s="201">
        <f t="shared" si="31"/>
        <v>0</v>
      </c>
      <c r="H199" s="200">
        <f t="shared" si="35"/>
        <v>0</v>
      </c>
      <c r="I199" s="200">
        <f t="shared" si="35"/>
        <v>0</v>
      </c>
      <c r="J199" s="200">
        <f t="shared" si="34"/>
        <v>0</v>
      </c>
      <c r="K199" s="200">
        <f t="shared" si="34"/>
        <v>0</v>
      </c>
      <c r="L199" s="200">
        <f t="shared" si="34"/>
        <v>0</v>
      </c>
      <c r="M199" s="200">
        <f t="shared" si="34"/>
        <v>0</v>
      </c>
      <c r="N199" s="202" t="s">
        <v>503</v>
      </c>
      <c r="O199" s="202" t="s">
        <v>503</v>
      </c>
      <c r="P199" s="680" t="s">
        <v>503</v>
      </c>
      <c r="Q199" s="477" t="s">
        <v>503</v>
      </c>
      <c r="R199" s="407">
        <f t="shared" si="33"/>
        <v>0</v>
      </c>
    </row>
    <row r="200" spans="5:19" ht="12.75" customHeight="1" x14ac:dyDescent="0.25">
      <c r="E200" s="7" t="s">
        <v>502</v>
      </c>
      <c r="F200" s="201">
        <f t="shared" si="31"/>
        <v>0</v>
      </c>
      <c r="G200" s="201">
        <f t="shared" si="31"/>
        <v>0</v>
      </c>
      <c r="H200" s="200">
        <f t="shared" si="35"/>
        <v>0</v>
      </c>
      <c r="I200" s="200">
        <f t="shared" si="35"/>
        <v>0</v>
      </c>
      <c r="J200" s="200">
        <f t="shared" si="34"/>
        <v>0</v>
      </c>
      <c r="K200" s="200">
        <f t="shared" si="34"/>
        <v>0</v>
      </c>
      <c r="L200" s="200">
        <f t="shared" si="34"/>
        <v>0</v>
      </c>
      <c r="M200" s="200">
        <f t="shared" si="34"/>
        <v>0</v>
      </c>
      <c r="N200" s="202" t="s">
        <v>503</v>
      </c>
      <c r="O200" s="202" t="s">
        <v>503</v>
      </c>
      <c r="P200" s="680" t="s">
        <v>503</v>
      </c>
      <c r="Q200" s="477" t="s">
        <v>503</v>
      </c>
      <c r="R200" s="407">
        <f t="shared" si="33"/>
        <v>0</v>
      </c>
    </row>
    <row r="201" spans="5:19" ht="12.75" customHeight="1" x14ac:dyDescent="0.25">
      <c r="E201" s="7" t="s">
        <v>514</v>
      </c>
      <c r="F201" s="201">
        <f t="shared" si="31"/>
        <v>0</v>
      </c>
      <c r="G201" s="201">
        <f t="shared" si="31"/>
        <v>0</v>
      </c>
      <c r="H201" s="200">
        <f t="shared" si="35"/>
        <v>0</v>
      </c>
      <c r="I201" s="200">
        <f t="shared" si="35"/>
        <v>0</v>
      </c>
      <c r="J201" s="200">
        <f t="shared" si="34"/>
        <v>0</v>
      </c>
      <c r="K201" s="200">
        <f t="shared" si="34"/>
        <v>0</v>
      </c>
      <c r="L201" s="200">
        <f t="shared" si="34"/>
        <v>0</v>
      </c>
      <c r="M201" s="200">
        <f t="shared" si="34"/>
        <v>0</v>
      </c>
      <c r="N201" s="202" t="s">
        <v>503</v>
      </c>
      <c r="O201" s="202" t="s">
        <v>503</v>
      </c>
      <c r="P201" s="680" t="s">
        <v>503</v>
      </c>
      <c r="Q201" s="477" t="s">
        <v>503</v>
      </c>
      <c r="R201" s="407">
        <f t="shared" si="33"/>
        <v>0</v>
      </c>
    </row>
    <row r="202" spans="5:19" ht="12.75" customHeight="1" x14ac:dyDescent="0.25">
      <c r="E202" s="7" t="s">
        <v>383</v>
      </c>
      <c r="F202" s="201">
        <f t="shared" si="31"/>
        <v>0</v>
      </c>
      <c r="G202" s="201">
        <f t="shared" si="31"/>
        <v>0</v>
      </c>
      <c r="H202" s="200">
        <f t="shared" si="35"/>
        <v>0</v>
      </c>
      <c r="I202" s="200">
        <f t="shared" si="35"/>
        <v>0</v>
      </c>
      <c r="J202" s="200">
        <f t="shared" si="34"/>
        <v>0</v>
      </c>
      <c r="K202" s="200">
        <f t="shared" si="34"/>
        <v>0</v>
      </c>
      <c r="L202" s="200">
        <f t="shared" si="34"/>
        <v>0</v>
      </c>
      <c r="M202" s="200">
        <f t="shared" si="34"/>
        <v>0</v>
      </c>
      <c r="N202" s="202" t="s">
        <v>503</v>
      </c>
      <c r="O202" s="202" t="s">
        <v>503</v>
      </c>
      <c r="P202" s="680" t="s">
        <v>503</v>
      </c>
      <c r="Q202" s="477" t="s">
        <v>503</v>
      </c>
      <c r="R202" s="407">
        <f t="shared" si="33"/>
        <v>0</v>
      </c>
    </row>
    <row r="203" spans="5:19" ht="12.75" customHeight="1" x14ac:dyDescent="0.25">
      <c r="E203" s="7" t="s">
        <v>384</v>
      </c>
      <c r="F203" s="201">
        <f t="shared" si="31"/>
        <v>0</v>
      </c>
      <c r="G203" s="201">
        <f t="shared" si="31"/>
        <v>0</v>
      </c>
      <c r="H203" s="200">
        <f t="shared" si="35"/>
        <v>0</v>
      </c>
      <c r="I203" s="200">
        <f t="shared" si="35"/>
        <v>0</v>
      </c>
      <c r="J203" s="200">
        <f t="shared" si="34"/>
        <v>0</v>
      </c>
      <c r="K203" s="200">
        <f t="shared" si="34"/>
        <v>0</v>
      </c>
      <c r="L203" s="200">
        <f t="shared" si="34"/>
        <v>0</v>
      </c>
      <c r="M203" s="200">
        <f t="shared" si="34"/>
        <v>0</v>
      </c>
      <c r="N203" s="202" t="s">
        <v>503</v>
      </c>
      <c r="O203" s="202" t="s">
        <v>503</v>
      </c>
      <c r="P203" s="680" t="s">
        <v>503</v>
      </c>
      <c r="Q203" s="477" t="s">
        <v>503</v>
      </c>
      <c r="R203" s="407">
        <f t="shared" si="33"/>
        <v>0</v>
      </c>
    </row>
    <row r="204" spans="5:19" ht="12.75" customHeight="1" x14ac:dyDescent="0.25">
      <c r="E204" s="7" t="s">
        <v>4</v>
      </c>
      <c r="F204" s="201">
        <f t="shared" si="31"/>
        <v>0</v>
      </c>
      <c r="G204" s="201">
        <f t="shared" si="31"/>
        <v>0</v>
      </c>
      <c r="H204" s="200">
        <f t="shared" si="35"/>
        <v>0</v>
      </c>
      <c r="I204" s="200">
        <f t="shared" si="35"/>
        <v>0</v>
      </c>
      <c r="J204" s="200">
        <f t="shared" si="34"/>
        <v>0</v>
      </c>
      <c r="K204" s="200">
        <f t="shared" si="34"/>
        <v>0</v>
      </c>
      <c r="L204" s="200">
        <f t="shared" si="34"/>
        <v>0</v>
      </c>
      <c r="M204" s="200">
        <f t="shared" si="34"/>
        <v>0</v>
      </c>
      <c r="N204" s="202" t="s">
        <v>503</v>
      </c>
      <c r="O204" s="202" t="s">
        <v>503</v>
      </c>
      <c r="P204" s="680" t="s">
        <v>503</v>
      </c>
      <c r="Q204" s="477" t="s">
        <v>503</v>
      </c>
      <c r="R204" s="407">
        <f t="shared" si="33"/>
        <v>0</v>
      </c>
    </row>
    <row r="205" spans="5:19" ht="12.75" customHeight="1" x14ac:dyDescent="0.25">
      <c r="E205" s="7" t="s">
        <v>558</v>
      </c>
      <c r="F205" s="201">
        <f t="shared" ref="F205:G224" si="36">+G147</f>
        <v>0</v>
      </c>
      <c r="G205" s="201">
        <f t="shared" si="36"/>
        <v>0</v>
      </c>
      <c r="H205" s="200">
        <f t="shared" si="35"/>
        <v>0</v>
      </c>
      <c r="I205" s="200">
        <f t="shared" si="35"/>
        <v>0</v>
      </c>
      <c r="J205" s="200">
        <f t="shared" si="34"/>
        <v>0</v>
      </c>
      <c r="K205" s="200">
        <f t="shared" si="34"/>
        <v>0</v>
      </c>
      <c r="L205" s="200">
        <f t="shared" si="34"/>
        <v>0</v>
      </c>
      <c r="M205" s="200">
        <f t="shared" si="34"/>
        <v>0</v>
      </c>
      <c r="N205" s="202" t="s">
        <v>503</v>
      </c>
      <c r="O205" s="202" t="s">
        <v>503</v>
      </c>
      <c r="P205" s="680" t="s">
        <v>503</v>
      </c>
      <c r="Q205" s="477" t="s">
        <v>503</v>
      </c>
      <c r="R205" s="407">
        <f t="shared" si="33"/>
        <v>0</v>
      </c>
      <c r="S205" s="8"/>
    </row>
    <row r="206" spans="5:19" ht="12.75" customHeight="1" x14ac:dyDescent="0.25">
      <c r="E206" s="7" t="s">
        <v>646</v>
      </c>
      <c r="F206" s="203">
        <f t="shared" si="36"/>
        <v>0</v>
      </c>
      <c r="G206" s="203">
        <f t="shared" si="36"/>
        <v>0</v>
      </c>
      <c r="H206" s="202" t="s">
        <v>503</v>
      </c>
      <c r="I206" s="202" t="s">
        <v>503</v>
      </c>
      <c r="J206" s="200">
        <f t="shared" si="34"/>
        <v>0</v>
      </c>
      <c r="K206" s="200">
        <f t="shared" si="34"/>
        <v>0</v>
      </c>
      <c r="L206" s="200">
        <f t="shared" si="34"/>
        <v>0</v>
      </c>
      <c r="M206" s="200">
        <f t="shared" si="34"/>
        <v>0</v>
      </c>
      <c r="N206" s="202">
        <f t="shared" ref="N206:O217" si="37">+O148-M90</f>
        <v>0</v>
      </c>
      <c r="O206" s="202">
        <f t="shared" si="37"/>
        <v>0</v>
      </c>
      <c r="P206" s="680">
        <f t="shared" ref="P206:P217" si="38">+Q148-O90</f>
        <v>0</v>
      </c>
      <c r="Q206" s="477">
        <f>IF(AND(K33="NA",P206&lt;&gt;0),"INPUT ERROR",IF(AND(K33="NA",P206=0),"NA",+R148-P90))</f>
        <v>0</v>
      </c>
      <c r="R206" s="407">
        <f>IF(ROUND(SUM(F206,H206,J206,L206,N206,P206),8)&lt;&gt;0,"INPUT ERROR: Make sure tons managed equals tons generated",IF(Q206="INPUT ERROR","INPUT ERROR: Please select dry digestion",SUM(G206,I206,K206,M206,O206,Q206)))</f>
        <v>0</v>
      </c>
      <c r="S206" s="8"/>
    </row>
    <row r="207" spans="5:19" ht="12.75" customHeight="1" x14ac:dyDescent="0.25">
      <c r="E207" s="7" t="s">
        <v>744</v>
      </c>
      <c r="F207" s="203">
        <f t="shared" si="36"/>
        <v>0</v>
      </c>
      <c r="G207" s="203">
        <f t="shared" si="36"/>
        <v>0</v>
      </c>
      <c r="H207" s="202" t="s">
        <v>503</v>
      </c>
      <c r="I207" s="202" t="s">
        <v>503</v>
      </c>
      <c r="J207" s="200">
        <f t="shared" si="34"/>
        <v>0</v>
      </c>
      <c r="K207" s="200">
        <f t="shared" si="34"/>
        <v>0</v>
      </c>
      <c r="L207" s="200">
        <f t="shared" si="34"/>
        <v>0</v>
      </c>
      <c r="M207" s="200">
        <f t="shared" si="34"/>
        <v>0</v>
      </c>
      <c r="N207" s="202">
        <f t="shared" si="37"/>
        <v>0</v>
      </c>
      <c r="O207" s="202">
        <f t="shared" si="37"/>
        <v>0</v>
      </c>
      <c r="P207" s="680">
        <f t="shared" si="38"/>
        <v>0</v>
      </c>
      <c r="Q207" s="477">
        <f t="shared" ref="Q207:Q225" si="39">IF(AND(K34="NA",P207&lt;&gt;0),"INPUT ERROR",IF(AND(K34="NA",P207=0),"NA",+R149-P91))</f>
        <v>0</v>
      </c>
      <c r="R207" s="407">
        <f t="shared" ref="R207:R238" si="40">IF(ROUND(SUM(F207,H207,J207,L207,N207,P207),8)&lt;&gt;0,"INPUT ERROR: Make sure tons managed equals tons generated",IF(Q207="INPUT ERROR","INPUT ERROR: Please select dry digestion",SUM(G207,I207,K207,M207,O207,Q207)))</f>
        <v>0</v>
      </c>
      <c r="S207" s="8"/>
    </row>
    <row r="208" spans="5:19" ht="12.75" customHeight="1" x14ac:dyDescent="0.25">
      <c r="E208" s="7" t="s">
        <v>741</v>
      </c>
      <c r="F208" s="203">
        <f t="shared" si="36"/>
        <v>0</v>
      </c>
      <c r="G208" s="203">
        <f t="shared" si="36"/>
        <v>0</v>
      </c>
      <c r="H208" s="202" t="s">
        <v>503</v>
      </c>
      <c r="I208" s="202" t="s">
        <v>503</v>
      </c>
      <c r="J208" s="200">
        <f t="shared" si="34"/>
        <v>0</v>
      </c>
      <c r="K208" s="200">
        <f t="shared" si="34"/>
        <v>0</v>
      </c>
      <c r="L208" s="200">
        <f t="shared" si="34"/>
        <v>0</v>
      </c>
      <c r="M208" s="200">
        <f t="shared" si="34"/>
        <v>0</v>
      </c>
      <c r="N208" s="202">
        <f t="shared" si="37"/>
        <v>0</v>
      </c>
      <c r="O208" s="202">
        <f t="shared" si="37"/>
        <v>0</v>
      </c>
      <c r="P208" s="680">
        <f t="shared" si="38"/>
        <v>0</v>
      </c>
      <c r="Q208" s="477">
        <f t="shared" si="39"/>
        <v>0</v>
      </c>
      <c r="R208" s="407">
        <f t="shared" si="40"/>
        <v>0</v>
      </c>
      <c r="S208" s="8"/>
    </row>
    <row r="209" spans="5:19" ht="12.75" customHeight="1" x14ac:dyDescent="0.25">
      <c r="E209" s="7" t="s">
        <v>742</v>
      </c>
      <c r="F209" s="203">
        <f t="shared" si="36"/>
        <v>0</v>
      </c>
      <c r="G209" s="203">
        <f t="shared" si="36"/>
        <v>0</v>
      </c>
      <c r="H209" s="202" t="s">
        <v>503</v>
      </c>
      <c r="I209" s="202" t="s">
        <v>503</v>
      </c>
      <c r="J209" s="200">
        <f t="shared" si="34"/>
        <v>0</v>
      </c>
      <c r="K209" s="200">
        <f t="shared" si="34"/>
        <v>0</v>
      </c>
      <c r="L209" s="200">
        <f t="shared" si="34"/>
        <v>0</v>
      </c>
      <c r="M209" s="200">
        <f t="shared" si="34"/>
        <v>0</v>
      </c>
      <c r="N209" s="202">
        <f t="shared" si="37"/>
        <v>0</v>
      </c>
      <c r="O209" s="202">
        <f t="shared" si="37"/>
        <v>0</v>
      </c>
      <c r="P209" s="680">
        <f t="shared" si="38"/>
        <v>0</v>
      </c>
      <c r="Q209" s="477">
        <f t="shared" si="39"/>
        <v>0</v>
      </c>
      <c r="R209" s="407">
        <f t="shared" si="40"/>
        <v>0</v>
      </c>
      <c r="S209" s="8"/>
    </row>
    <row r="210" spans="5:19" ht="12.75" customHeight="1" x14ac:dyDescent="0.25">
      <c r="E210" s="7" t="s">
        <v>649</v>
      </c>
      <c r="F210" s="203">
        <f t="shared" si="36"/>
        <v>0</v>
      </c>
      <c r="G210" s="203">
        <f t="shared" si="36"/>
        <v>0</v>
      </c>
      <c r="H210" s="202" t="s">
        <v>503</v>
      </c>
      <c r="I210" s="202" t="s">
        <v>503</v>
      </c>
      <c r="J210" s="200">
        <f t="shared" si="34"/>
        <v>0</v>
      </c>
      <c r="K210" s="200">
        <f t="shared" si="34"/>
        <v>0</v>
      </c>
      <c r="L210" s="200">
        <f t="shared" si="34"/>
        <v>0</v>
      </c>
      <c r="M210" s="200">
        <f t="shared" si="34"/>
        <v>0</v>
      </c>
      <c r="N210" s="202">
        <f t="shared" si="37"/>
        <v>0</v>
      </c>
      <c r="O210" s="202">
        <f t="shared" si="37"/>
        <v>0</v>
      </c>
      <c r="P210" s="680">
        <f t="shared" si="38"/>
        <v>0</v>
      </c>
      <c r="Q210" s="477">
        <f t="shared" si="39"/>
        <v>0</v>
      </c>
      <c r="R210" s="407">
        <f t="shared" si="40"/>
        <v>0</v>
      </c>
      <c r="S210" s="8"/>
    </row>
    <row r="211" spans="5:19" ht="12.75" customHeight="1" x14ac:dyDescent="0.25">
      <c r="E211" s="7" t="s">
        <v>645</v>
      </c>
      <c r="F211" s="203">
        <f t="shared" si="36"/>
        <v>0</v>
      </c>
      <c r="G211" s="203">
        <f t="shared" si="36"/>
        <v>0</v>
      </c>
      <c r="H211" s="202" t="s">
        <v>503</v>
      </c>
      <c r="I211" s="202" t="s">
        <v>503</v>
      </c>
      <c r="J211" s="200">
        <f t="shared" ref="J211:M228" si="41">+K153-I95</f>
        <v>0</v>
      </c>
      <c r="K211" s="200">
        <f t="shared" si="41"/>
        <v>0</v>
      </c>
      <c r="L211" s="200">
        <f t="shared" si="41"/>
        <v>0</v>
      </c>
      <c r="M211" s="200">
        <f t="shared" si="41"/>
        <v>0</v>
      </c>
      <c r="N211" s="202">
        <f t="shared" si="37"/>
        <v>0</v>
      </c>
      <c r="O211" s="202">
        <f t="shared" si="37"/>
        <v>0</v>
      </c>
      <c r="P211" s="680">
        <f t="shared" si="38"/>
        <v>0</v>
      </c>
      <c r="Q211" s="477">
        <f t="shared" si="39"/>
        <v>0</v>
      </c>
      <c r="R211" s="407">
        <f t="shared" si="40"/>
        <v>0</v>
      </c>
      <c r="S211" s="8"/>
    </row>
    <row r="212" spans="5:19" ht="12.75" customHeight="1" x14ac:dyDescent="0.25">
      <c r="E212" s="7" t="s">
        <v>647</v>
      </c>
      <c r="F212" s="203">
        <f t="shared" si="36"/>
        <v>0</v>
      </c>
      <c r="G212" s="203">
        <f t="shared" si="36"/>
        <v>0</v>
      </c>
      <c r="H212" s="202" t="s">
        <v>503</v>
      </c>
      <c r="I212" s="202" t="s">
        <v>503</v>
      </c>
      <c r="J212" s="200">
        <f t="shared" si="41"/>
        <v>0</v>
      </c>
      <c r="K212" s="200">
        <f t="shared" si="41"/>
        <v>0</v>
      </c>
      <c r="L212" s="200">
        <f t="shared" si="41"/>
        <v>0</v>
      </c>
      <c r="M212" s="200">
        <f t="shared" si="41"/>
        <v>0</v>
      </c>
      <c r="N212" s="202">
        <f t="shared" si="37"/>
        <v>0</v>
      </c>
      <c r="O212" s="202">
        <f t="shared" si="37"/>
        <v>0</v>
      </c>
      <c r="P212" s="680">
        <f t="shared" si="38"/>
        <v>0</v>
      </c>
      <c r="Q212" s="477">
        <f t="shared" si="39"/>
        <v>0</v>
      </c>
      <c r="R212" s="407">
        <f t="shared" si="40"/>
        <v>0</v>
      </c>
      <c r="S212" s="8"/>
    </row>
    <row r="213" spans="5:19" ht="12.75" customHeight="1" x14ac:dyDescent="0.25">
      <c r="E213" s="7" t="s">
        <v>648</v>
      </c>
      <c r="F213" s="203">
        <f t="shared" si="36"/>
        <v>0</v>
      </c>
      <c r="G213" s="203">
        <f t="shared" si="36"/>
        <v>0</v>
      </c>
      <c r="H213" s="202" t="s">
        <v>503</v>
      </c>
      <c r="I213" s="202" t="s">
        <v>503</v>
      </c>
      <c r="J213" s="200">
        <f t="shared" si="41"/>
        <v>0</v>
      </c>
      <c r="K213" s="200">
        <f t="shared" si="41"/>
        <v>0</v>
      </c>
      <c r="L213" s="200">
        <f t="shared" si="41"/>
        <v>0</v>
      </c>
      <c r="M213" s="200">
        <f t="shared" si="41"/>
        <v>0</v>
      </c>
      <c r="N213" s="202">
        <f t="shared" si="37"/>
        <v>0</v>
      </c>
      <c r="O213" s="202">
        <f t="shared" si="37"/>
        <v>0</v>
      </c>
      <c r="P213" s="680">
        <f t="shared" si="38"/>
        <v>0</v>
      </c>
      <c r="Q213" s="477">
        <f t="shared" si="39"/>
        <v>0</v>
      </c>
      <c r="R213" s="407">
        <f t="shared" si="40"/>
        <v>0</v>
      </c>
      <c r="S213" s="8"/>
    </row>
    <row r="214" spans="5:19" ht="12.75" customHeight="1" x14ac:dyDescent="0.25">
      <c r="E214" s="7" t="s">
        <v>580</v>
      </c>
      <c r="F214" s="203" t="str">
        <f t="shared" si="36"/>
        <v>NA</v>
      </c>
      <c r="G214" s="203" t="str">
        <f t="shared" si="36"/>
        <v>NA</v>
      </c>
      <c r="H214" s="202" t="s">
        <v>503</v>
      </c>
      <c r="I214" s="202" t="s">
        <v>503</v>
      </c>
      <c r="J214" s="200">
        <f t="shared" si="41"/>
        <v>0</v>
      </c>
      <c r="K214" s="200">
        <f t="shared" si="41"/>
        <v>0</v>
      </c>
      <c r="L214" s="200">
        <f t="shared" si="41"/>
        <v>0</v>
      </c>
      <c r="M214" s="200">
        <f t="shared" si="41"/>
        <v>0</v>
      </c>
      <c r="N214" s="202">
        <f t="shared" si="37"/>
        <v>0</v>
      </c>
      <c r="O214" s="202">
        <f t="shared" si="37"/>
        <v>0</v>
      </c>
      <c r="P214" s="680">
        <f t="shared" si="38"/>
        <v>0</v>
      </c>
      <c r="Q214" s="477" t="str">
        <f t="shared" si="39"/>
        <v>NA</v>
      </c>
      <c r="R214" s="407">
        <f t="shared" si="40"/>
        <v>0</v>
      </c>
      <c r="S214" s="8"/>
    </row>
    <row r="215" spans="5:19" ht="12.75" customHeight="1" x14ac:dyDescent="0.25">
      <c r="E215" s="7" t="s">
        <v>521</v>
      </c>
      <c r="F215" s="203" t="str">
        <f t="shared" si="36"/>
        <v>NA</v>
      </c>
      <c r="G215" s="203" t="str">
        <f t="shared" si="36"/>
        <v>NA</v>
      </c>
      <c r="H215" s="202" t="s">
        <v>503</v>
      </c>
      <c r="I215" s="202" t="s">
        <v>503</v>
      </c>
      <c r="J215" s="200">
        <f t="shared" si="41"/>
        <v>0</v>
      </c>
      <c r="K215" s="200">
        <f t="shared" si="41"/>
        <v>0</v>
      </c>
      <c r="L215" s="200">
        <f t="shared" si="41"/>
        <v>0</v>
      </c>
      <c r="M215" s="200">
        <f t="shared" si="41"/>
        <v>0</v>
      </c>
      <c r="N215" s="202">
        <f t="shared" si="37"/>
        <v>0</v>
      </c>
      <c r="O215" s="202">
        <f t="shared" si="37"/>
        <v>0</v>
      </c>
      <c r="P215" s="680">
        <f t="shared" si="38"/>
        <v>0</v>
      </c>
      <c r="Q215" s="477" t="str">
        <f t="shared" si="39"/>
        <v>NA</v>
      </c>
      <c r="R215" s="407">
        <f t="shared" si="40"/>
        <v>0</v>
      </c>
      <c r="S215" s="8"/>
    </row>
    <row r="216" spans="5:19" ht="12.75" customHeight="1" x14ac:dyDescent="0.25">
      <c r="E216" s="7" t="s">
        <v>522</v>
      </c>
      <c r="F216" s="203" t="str">
        <f t="shared" si="36"/>
        <v>NA</v>
      </c>
      <c r="G216" s="203" t="str">
        <f t="shared" si="36"/>
        <v>NA</v>
      </c>
      <c r="H216" s="202" t="s">
        <v>503</v>
      </c>
      <c r="I216" s="202" t="s">
        <v>503</v>
      </c>
      <c r="J216" s="200">
        <f t="shared" si="41"/>
        <v>0</v>
      </c>
      <c r="K216" s="200">
        <f t="shared" si="41"/>
        <v>0</v>
      </c>
      <c r="L216" s="200">
        <f t="shared" si="41"/>
        <v>0</v>
      </c>
      <c r="M216" s="200">
        <f t="shared" si="41"/>
        <v>0</v>
      </c>
      <c r="N216" s="202">
        <f t="shared" si="37"/>
        <v>0</v>
      </c>
      <c r="O216" s="202">
        <f t="shared" si="37"/>
        <v>0</v>
      </c>
      <c r="P216" s="680">
        <f t="shared" si="38"/>
        <v>0</v>
      </c>
      <c r="Q216" s="477" t="str">
        <f t="shared" si="39"/>
        <v>NA</v>
      </c>
      <c r="R216" s="407">
        <f t="shared" si="40"/>
        <v>0</v>
      </c>
      <c r="S216" s="8"/>
    </row>
    <row r="217" spans="5:19" ht="12.75" customHeight="1" x14ac:dyDescent="0.25">
      <c r="E217" s="7" t="s">
        <v>523</v>
      </c>
      <c r="F217" s="203" t="str">
        <f t="shared" si="36"/>
        <v>NA</v>
      </c>
      <c r="G217" s="203" t="str">
        <f t="shared" si="36"/>
        <v>NA</v>
      </c>
      <c r="H217" s="202" t="s">
        <v>503</v>
      </c>
      <c r="I217" s="202" t="s">
        <v>503</v>
      </c>
      <c r="J217" s="200">
        <f t="shared" si="41"/>
        <v>0</v>
      </c>
      <c r="K217" s="200">
        <f t="shared" si="41"/>
        <v>0</v>
      </c>
      <c r="L217" s="200">
        <f t="shared" si="41"/>
        <v>0</v>
      </c>
      <c r="M217" s="200">
        <f t="shared" si="41"/>
        <v>0</v>
      </c>
      <c r="N217" s="202">
        <f t="shared" si="37"/>
        <v>0</v>
      </c>
      <c r="O217" s="202">
        <f t="shared" si="37"/>
        <v>0</v>
      </c>
      <c r="P217" s="680">
        <f t="shared" si="38"/>
        <v>0</v>
      </c>
      <c r="Q217" s="477" t="str">
        <f t="shared" si="39"/>
        <v>NA</v>
      </c>
      <c r="R217" s="407">
        <f t="shared" si="40"/>
        <v>0</v>
      </c>
      <c r="S217" s="8"/>
    </row>
    <row r="218" spans="5:19" ht="12.75" customHeight="1" x14ac:dyDescent="0.25">
      <c r="E218" s="7" t="s">
        <v>583</v>
      </c>
      <c r="F218" s="203">
        <f t="shared" si="36"/>
        <v>0</v>
      </c>
      <c r="G218" s="203">
        <f t="shared" si="36"/>
        <v>0</v>
      </c>
      <c r="H218" s="200">
        <f t="shared" ref="H218:I223" si="42">+I160-G102</f>
        <v>0</v>
      </c>
      <c r="I218" s="200">
        <f t="shared" si="42"/>
        <v>0</v>
      </c>
      <c r="J218" s="200">
        <f t="shared" si="41"/>
        <v>0</v>
      </c>
      <c r="K218" s="200">
        <f t="shared" si="41"/>
        <v>0</v>
      </c>
      <c r="L218" s="200">
        <f t="shared" si="41"/>
        <v>0</v>
      </c>
      <c r="M218" s="200">
        <f t="shared" si="41"/>
        <v>0</v>
      </c>
      <c r="N218" s="202" t="s">
        <v>503</v>
      </c>
      <c r="O218" s="202" t="s">
        <v>503</v>
      </c>
      <c r="P218" s="680" t="s">
        <v>503</v>
      </c>
      <c r="Q218" s="477" t="s">
        <v>503</v>
      </c>
      <c r="R218" s="407">
        <f t="shared" si="40"/>
        <v>0</v>
      </c>
      <c r="S218" s="8"/>
    </row>
    <row r="219" spans="5:19" ht="12.75" customHeight="1" x14ac:dyDescent="0.25">
      <c r="E219" s="7" t="s">
        <v>584</v>
      </c>
      <c r="F219" s="203">
        <f t="shared" si="36"/>
        <v>0</v>
      </c>
      <c r="G219" s="203">
        <f t="shared" si="36"/>
        <v>0</v>
      </c>
      <c r="H219" s="200">
        <f t="shared" si="42"/>
        <v>0</v>
      </c>
      <c r="I219" s="200">
        <f t="shared" si="42"/>
        <v>0</v>
      </c>
      <c r="J219" s="200">
        <f t="shared" si="41"/>
        <v>0</v>
      </c>
      <c r="K219" s="200">
        <f t="shared" si="41"/>
        <v>0</v>
      </c>
      <c r="L219" s="200">
        <f t="shared" si="41"/>
        <v>0</v>
      </c>
      <c r="M219" s="200">
        <f t="shared" si="41"/>
        <v>0</v>
      </c>
      <c r="N219" s="202" t="s">
        <v>503</v>
      </c>
      <c r="O219" s="202" t="s">
        <v>503</v>
      </c>
      <c r="P219" s="680" t="s">
        <v>503</v>
      </c>
      <c r="Q219" s="477" t="s">
        <v>503</v>
      </c>
      <c r="R219" s="407">
        <f t="shared" si="40"/>
        <v>0</v>
      </c>
      <c r="S219" s="8"/>
    </row>
    <row r="220" spans="5:19" ht="12.75" customHeight="1" x14ac:dyDescent="0.25">
      <c r="E220" s="7" t="s">
        <v>585</v>
      </c>
      <c r="F220" s="203">
        <f t="shared" si="36"/>
        <v>0</v>
      </c>
      <c r="G220" s="203">
        <f t="shared" si="36"/>
        <v>0</v>
      </c>
      <c r="H220" s="200">
        <f t="shared" si="42"/>
        <v>0</v>
      </c>
      <c r="I220" s="200">
        <f t="shared" si="42"/>
        <v>0</v>
      </c>
      <c r="J220" s="200">
        <f t="shared" si="41"/>
        <v>0</v>
      </c>
      <c r="K220" s="200">
        <f t="shared" si="41"/>
        <v>0</v>
      </c>
      <c r="L220" s="200">
        <f t="shared" si="41"/>
        <v>0</v>
      </c>
      <c r="M220" s="200">
        <f t="shared" si="41"/>
        <v>0</v>
      </c>
      <c r="N220" s="202" t="s">
        <v>503</v>
      </c>
      <c r="O220" s="202" t="s">
        <v>503</v>
      </c>
      <c r="P220" s="680" t="s">
        <v>503</v>
      </c>
      <c r="Q220" s="477" t="s">
        <v>503</v>
      </c>
      <c r="R220" s="407">
        <f t="shared" si="40"/>
        <v>0</v>
      </c>
    </row>
    <row r="221" spans="5:19" ht="12.75" customHeight="1" x14ac:dyDescent="0.25">
      <c r="E221" s="97" t="s">
        <v>633</v>
      </c>
      <c r="F221" s="205">
        <f t="shared" si="36"/>
        <v>0</v>
      </c>
      <c r="G221" s="203">
        <f t="shared" si="36"/>
        <v>0</v>
      </c>
      <c r="H221" s="200">
        <f t="shared" si="42"/>
        <v>0</v>
      </c>
      <c r="I221" s="200">
        <f t="shared" si="42"/>
        <v>0</v>
      </c>
      <c r="J221" s="200">
        <f t="shared" si="41"/>
        <v>0</v>
      </c>
      <c r="K221" s="200">
        <f t="shared" si="41"/>
        <v>0</v>
      </c>
      <c r="L221" s="200">
        <f t="shared" si="41"/>
        <v>0</v>
      </c>
      <c r="M221" s="200">
        <f t="shared" si="41"/>
        <v>0</v>
      </c>
      <c r="N221" s="202" t="s">
        <v>503</v>
      </c>
      <c r="O221" s="202" t="s">
        <v>503</v>
      </c>
      <c r="P221" s="680" t="s">
        <v>503</v>
      </c>
      <c r="Q221" s="477" t="s">
        <v>503</v>
      </c>
      <c r="R221" s="407">
        <f t="shared" si="40"/>
        <v>0</v>
      </c>
    </row>
    <row r="222" spans="5:19" ht="12.75" customHeight="1" x14ac:dyDescent="0.25">
      <c r="E222" s="7" t="s">
        <v>386</v>
      </c>
      <c r="F222" s="203">
        <f t="shared" si="36"/>
        <v>0</v>
      </c>
      <c r="G222" s="203">
        <f t="shared" si="36"/>
        <v>0</v>
      </c>
      <c r="H222" s="200">
        <f t="shared" si="42"/>
        <v>0</v>
      </c>
      <c r="I222" s="200">
        <f t="shared" si="42"/>
        <v>0</v>
      </c>
      <c r="J222" s="200">
        <f t="shared" si="41"/>
        <v>0</v>
      </c>
      <c r="K222" s="200">
        <f t="shared" si="41"/>
        <v>0</v>
      </c>
      <c r="L222" s="200">
        <f t="shared" si="41"/>
        <v>0</v>
      </c>
      <c r="M222" s="200">
        <f t="shared" si="41"/>
        <v>0</v>
      </c>
      <c r="N222" s="202" t="s">
        <v>503</v>
      </c>
      <c r="O222" s="202" t="s">
        <v>503</v>
      </c>
      <c r="P222" s="680" t="s">
        <v>503</v>
      </c>
      <c r="Q222" s="477" t="s">
        <v>503</v>
      </c>
      <c r="R222" s="407">
        <f t="shared" si="40"/>
        <v>0</v>
      </c>
    </row>
    <row r="223" spans="5:19" ht="12.75" customHeight="1" x14ac:dyDescent="0.25">
      <c r="E223" s="7" t="s">
        <v>272</v>
      </c>
      <c r="F223" s="203" t="str">
        <f t="shared" si="36"/>
        <v>NA</v>
      </c>
      <c r="G223" s="203" t="str">
        <f t="shared" si="36"/>
        <v>NA</v>
      </c>
      <c r="H223" s="200">
        <f t="shared" si="42"/>
        <v>0</v>
      </c>
      <c r="I223" s="200">
        <f t="shared" si="42"/>
        <v>0</v>
      </c>
      <c r="J223" s="200">
        <f t="shared" si="41"/>
        <v>0</v>
      </c>
      <c r="K223" s="200">
        <f t="shared" si="41"/>
        <v>0</v>
      </c>
      <c r="L223" s="200">
        <f t="shared" si="41"/>
        <v>0</v>
      </c>
      <c r="M223" s="200">
        <f t="shared" si="41"/>
        <v>0</v>
      </c>
      <c r="N223" s="202" t="s">
        <v>503</v>
      </c>
      <c r="O223" s="202" t="s">
        <v>503</v>
      </c>
      <c r="P223" s="680" t="s">
        <v>503</v>
      </c>
      <c r="Q223" s="477" t="s">
        <v>503</v>
      </c>
      <c r="R223" s="407">
        <f t="shared" si="40"/>
        <v>0</v>
      </c>
    </row>
    <row r="224" spans="5:19" ht="12.75" customHeight="1" x14ac:dyDescent="0.25">
      <c r="E224" s="7" t="s">
        <v>740</v>
      </c>
      <c r="F224" s="205">
        <f t="shared" si="36"/>
        <v>0</v>
      </c>
      <c r="G224" s="203">
        <f t="shared" si="36"/>
        <v>0</v>
      </c>
      <c r="H224" s="202" t="s">
        <v>503</v>
      </c>
      <c r="I224" s="202" t="s">
        <v>503</v>
      </c>
      <c r="J224" s="200">
        <f t="shared" si="41"/>
        <v>0</v>
      </c>
      <c r="K224" s="200">
        <f t="shared" si="41"/>
        <v>0</v>
      </c>
      <c r="L224" s="200">
        <f t="shared" si="41"/>
        <v>0</v>
      </c>
      <c r="M224" s="200">
        <f t="shared" si="41"/>
        <v>0</v>
      </c>
      <c r="N224" s="202">
        <f t="shared" ref="N224:P225" si="43">+O166-M108</f>
        <v>0</v>
      </c>
      <c r="O224" s="202">
        <f t="shared" si="43"/>
        <v>0</v>
      </c>
      <c r="P224" s="680">
        <f t="shared" si="43"/>
        <v>0</v>
      </c>
      <c r="Q224" s="477">
        <f t="shared" si="39"/>
        <v>0</v>
      </c>
      <c r="R224" s="407">
        <f t="shared" si="40"/>
        <v>0</v>
      </c>
    </row>
    <row r="225" spans="5:18" ht="12.75" customHeight="1" x14ac:dyDescent="0.25">
      <c r="E225" s="7" t="s">
        <v>385</v>
      </c>
      <c r="F225" s="203" t="str">
        <f t="shared" ref="F225:G238" si="44">+G167</f>
        <v>NA</v>
      </c>
      <c r="G225" s="203" t="str">
        <f t="shared" si="44"/>
        <v>NA</v>
      </c>
      <c r="H225" s="202" t="s">
        <v>503</v>
      </c>
      <c r="I225" s="202" t="s">
        <v>503</v>
      </c>
      <c r="J225" s="200">
        <f t="shared" si="41"/>
        <v>0</v>
      </c>
      <c r="K225" s="200">
        <f t="shared" si="41"/>
        <v>0</v>
      </c>
      <c r="L225" s="200">
        <f t="shared" si="41"/>
        <v>0</v>
      </c>
      <c r="M225" s="200">
        <f t="shared" si="41"/>
        <v>0</v>
      </c>
      <c r="N225" s="202">
        <f t="shared" si="43"/>
        <v>0</v>
      </c>
      <c r="O225" s="202">
        <f t="shared" si="43"/>
        <v>0</v>
      </c>
      <c r="P225" s="680">
        <f t="shared" si="43"/>
        <v>0</v>
      </c>
      <c r="Q225" s="477" t="str">
        <f t="shared" si="39"/>
        <v>NA</v>
      </c>
      <c r="R225" s="407">
        <f t="shared" si="40"/>
        <v>0</v>
      </c>
    </row>
    <row r="226" spans="5:18" ht="12.75" customHeight="1" x14ac:dyDescent="0.25">
      <c r="E226" s="7" t="s">
        <v>574</v>
      </c>
      <c r="F226" s="203" t="str">
        <f t="shared" si="44"/>
        <v>NA</v>
      </c>
      <c r="G226" s="203" t="str">
        <f t="shared" si="44"/>
        <v>NA</v>
      </c>
      <c r="H226" s="202" t="s">
        <v>503</v>
      </c>
      <c r="I226" s="202" t="s">
        <v>503</v>
      </c>
      <c r="J226" s="200">
        <f t="shared" si="41"/>
        <v>0</v>
      </c>
      <c r="K226" s="200">
        <f t="shared" si="41"/>
        <v>0</v>
      </c>
      <c r="L226" s="200">
        <f t="shared" si="41"/>
        <v>0</v>
      </c>
      <c r="M226" s="200">
        <f t="shared" si="41"/>
        <v>0</v>
      </c>
      <c r="N226" s="202" t="s">
        <v>503</v>
      </c>
      <c r="O226" s="202" t="s">
        <v>503</v>
      </c>
      <c r="P226" s="680" t="s">
        <v>503</v>
      </c>
      <c r="Q226" s="477" t="s">
        <v>503</v>
      </c>
      <c r="R226" s="407">
        <f t="shared" si="40"/>
        <v>0</v>
      </c>
    </row>
    <row r="227" spans="5:18" ht="12.75" customHeight="1" x14ac:dyDescent="0.25">
      <c r="E227" s="7" t="s">
        <v>573</v>
      </c>
      <c r="F227" s="201">
        <f t="shared" si="44"/>
        <v>0</v>
      </c>
      <c r="G227" s="201">
        <f t="shared" si="44"/>
        <v>0</v>
      </c>
      <c r="H227" s="200">
        <f>+I169-G111</f>
        <v>0</v>
      </c>
      <c r="I227" s="200">
        <f>+J169-H111</f>
        <v>0</v>
      </c>
      <c r="J227" s="200">
        <f t="shared" si="41"/>
        <v>0</v>
      </c>
      <c r="K227" s="200">
        <f t="shared" si="41"/>
        <v>0</v>
      </c>
      <c r="L227" s="200">
        <f t="shared" si="41"/>
        <v>0</v>
      </c>
      <c r="M227" s="200">
        <f t="shared" si="41"/>
        <v>0</v>
      </c>
      <c r="N227" s="202" t="s">
        <v>503</v>
      </c>
      <c r="O227" s="202" t="s">
        <v>503</v>
      </c>
      <c r="P227" s="680" t="s">
        <v>503</v>
      </c>
      <c r="Q227" s="477" t="s">
        <v>503</v>
      </c>
      <c r="R227" s="407">
        <f t="shared" si="40"/>
        <v>0</v>
      </c>
    </row>
    <row r="228" spans="5:18" ht="12.75" customHeight="1" x14ac:dyDescent="0.25">
      <c r="E228" s="7" t="s">
        <v>423</v>
      </c>
      <c r="F228" s="201">
        <f t="shared" si="44"/>
        <v>0</v>
      </c>
      <c r="G228" s="201">
        <f t="shared" si="44"/>
        <v>0</v>
      </c>
      <c r="H228" s="200">
        <f>+I170-G112</f>
        <v>0</v>
      </c>
      <c r="I228" s="200">
        <f>+J170-H112</f>
        <v>0</v>
      </c>
      <c r="J228" s="200">
        <f t="shared" si="41"/>
        <v>0</v>
      </c>
      <c r="K228" s="200">
        <f t="shared" si="41"/>
        <v>0</v>
      </c>
      <c r="L228" s="200">
        <f t="shared" si="41"/>
        <v>0</v>
      </c>
      <c r="M228" s="200">
        <f t="shared" si="41"/>
        <v>0</v>
      </c>
      <c r="N228" s="202" t="s">
        <v>503</v>
      </c>
      <c r="O228" s="202" t="s">
        <v>503</v>
      </c>
      <c r="P228" s="680" t="s">
        <v>503</v>
      </c>
      <c r="Q228" s="477" t="s">
        <v>503</v>
      </c>
      <c r="R228" s="407">
        <f t="shared" si="40"/>
        <v>0</v>
      </c>
    </row>
    <row r="229" spans="5:18" ht="12.75" customHeight="1" x14ac:dyDescent="0.25">
      <c r="E229" s="117" t="s">
        <v>455</v>
      </c>
      <c r="F229" s="201">
        <f t="shared" si="44"/>
        <v>0</v>
      </c>
      <c r="G229" s="201">
        <f t="shared" si="44"/>
        <v>0</v>
      </c>
      <c r="H229" s="202" t="s">
        <v>503</v>
      </c>
      <c r="I229" s="202" t="s">
        <v>503</v>
      </c>
      <c r="J229" s="200">
        <f t="shared" ref="J229:K238" si="45">+K171-I113</f>
        <v>0</v>
      </c>
      <c r="K229" s="200">
        <f t="shared" si="45"/>
        <v>0</v>
      </c>
      <c r="L229" s="202" t="s">
        <v>503</v>
      </c>
      <c r="M229" s="202" t="s">
        <v>503</v>
      </c>
      <c r="N229" s="202" t="s">
        <v>503</v>
      </c>
      <c r="O229" s="202" t="s">
        <v>503</v>
      </c>
      <c r="P229" s="680" t="s">
        <v>503</v>
      </c>
      <c r="Q229" s="477" t="s">
        <v>503</v>
      </c>
      <c r="R229" s="407">
        <f t="shared" si="40"/>
        <v>0</v>
      </c>
    </row>
    <row r="230" spans="5:18" ht="12.75" customHeight="1" x14ac:dyDescent="0.25">
      <c r="E230" s="117" t="s">
        <v>476</v>
      </c>
      <c r="F230" s="203" t="str">
        <f t="shared" si="44"/>
        <v>NA</v>
      </c>
      <c r="G230" s="203" t="str">
        <f t="shared" si="44"/>
        <v>NA</v>
      </c>
      <c r="H230" s="200">
        <f t="shared" ref="H230:I235" si="46">+I172-G114</f>
        <v>0</v>
      </c>
      <c r="I230" s="200">
        <f t="shared" si="46"/>
        <v>0</v>
      </c>
      <c r="J230" s="200">
        <f t="shared" si="45"/>
        <v>0</v>
      </c>
      <c r="K230" s="200">
        <f t="shared" si="45"/>
        <v>0</v>
      </c>
      <c r="L230" s="202" t="s">
        <v>503</v>
      </c>
      <c r="M230" s="202" t="s">
        <v>503</v>
      </c>
      <c r="N230" s="202" t="s">
        <v>503</v>
      </c>
      <c r="O230" s="202" t="s">
        <v>503</v>
      </c>
      <c r="P230" s="680" t="s">
        <v>503</v>
      </c>
      <c r="Q230" s="477" t="s">
        <v>503</v>
      </c>
      <c r="R230" s="407">
        <f t="shared" si="40"/>
        <v>0</v>
      </c>
    </row>
    <row r="231" spans="5:18" ht="12.75" customHeight="1" x14ac:dyDescent="0.25">
      <c r="E231" s="117" t="s">
        <v>131</v>
      </c>
      <c r="F231" s="203" t="str">
        <f t="shared" si="44"/>
        <v>NA</v>
      </c>
      <c r="G231" s="203" t="str">
        <f t="shared" si="44"/>
        <v>NA</v>
      </c>
      <c r="H231" s="200">
        <f t="shared" si="46"/>
        <v>0</v>
      </c>
      <c r="I231" s="200">
        <f t="shared" si="46"/>
        <v>0</v>
      </c>
      <c r="J231" s="200">
        <f t="shared" si="45"/>
        <v>0</v>
      </c>
      <c r="K231" s="200">
        <f t="shared" si="45"/>
        <v>0</v>
      </c>
      <c r="L231" s="202" t="s">
        <v>503</v>
      </c>
      <c r="M231" s="202" t="s">
        <v>503</v>
      </c>
      <c r="N231" s="202" t="s">
        <v>503</v>
      </c>
      <c r="O231" s="202" t="s">
        <v>503</v>
      </c>
      <c r="P231" s="680" t="s">
        <v>503</v>
      </c>
      <c r="Q231" s="477" t="s">
        <v>503</v>
      </c>
      <c r="R231" s="407">
        <f t="shared" si="40"/>
        <v>0</v>
      </c>
    </row>
    <row r="232" spans="5:18" ht="12.75" customHeight="1" x14ac:dyDescent="0.25">
      <c r="E232" s="117" t="s">
        <v>444</v>
      </c>
      <c r="F232" s="203">
        <f t="shared" si="44"/>
        <v>0</v>
      </c>
      <c r="G232" s="203">
        <f t="shared" si="44"/>
        <v>0</v>
      </c>
      <c r="H232" s="200">
        <f t="shared" si="46"/>
        <v>0</v>
      </c>
      <c r="I232" s="200">
        <f t="shared" si="46"/>
        <v>0</v>
      </c>
      <c r="J232" s="200">
        <f t="shared" si="45"/>
        <v>0</v>
      </c>
      <c r="K232" s="200">
        <f t="shared" si="45"/>
        <v>0</v>
      </c>
      <c r="L232" s="200">
        <f>+M174-K116</f>
        <v>0</v>
      </c>
      <c r="M232" s="200">
        <f>+N174-L116</f>
        <v>0</v>
      </c>
      <c r="N232" s="202" t="s">
        <v>503</v>
      </c>
      <c r="O232" s="202" t="s">
        <v>503</v>
      </c>
      <c r="P232" s="680" t="s">
        <v>503</v>
      </c>
      <c r="Q232" s="477" t="s">
        <v>503</v>
      </c>
      <c r="R232" s="407">
        <f t="shared" si="40"/>
        <v>0</v>
      </c>
    </row>
    <row r="233" spans="5:18" ht="12.75" customHeight="1" x14ac:dyDescent="0.25">
      <c r="E233" s="117" t="s">
        <v>53</v>
      </c>
      <c r="F233" s="203">
        <f t="shared" si="44"/>
        <v>0</v>
      </c>
      <c r="G233" s="203">
        <f t="shared" si="44"/>
        <v>0</v>
      </c>
      <c r="H233" s="200">
        <f t="shared" si="46"/>
        <v>0</v>
      </c>
      <c r="I233" s="200">
        <f t="shared" si="46"/>
        <v>0</v>
      </c>
      <c r="J233" s="200">
        <f t="shared" si="45"/>
        <v>0</v>
      </c>
      <c r="K233" s="200">
        <f t="shared" si="45"/>
        <v>0</v>
      </c>
      <c r="L233" s="202" t="s">
        <v>503</v>
      </c>
      <c r="M233" s="202" t="s">
        <v>503</v>
      </c>
      <c r="N233" s="202" t="s">
        <v>503</v>
      </c>
      <c r="O233" s="202" t="s">
        <v>503</v>
      </c>
      <c r="P233" s="680" t="s">
        <v>503</v>
      </c>
      <c r="Q233" s="477" t="s">
        <v>503</v>
      </c>
      <c r="R233" s="407">
        <f t="shared" si="40"/>
        <v>0</v>
      </c>
    </row>
    <row r="234" spans="5:18" ht="12.75" customHeight="1" x14ac:dyDescent="0.25">
      <c r="E234" s="117" t="s">
        <v>54</v>
      </c>
      <c r="F234" s="203">
        <f t="shared" si="44"/>
        <v>0</v>
      </c>
      <c r="G234" s="203">
        <f t="shared" si="44"/>
        <v>0</v>
      </c>
      <c r="H234" s="200">
        <f t="shared" si="46"/>
        <v>0</v>
      </c>
      <c r="I234" s="200">
        <f t="shared" si="46"/>
        <v>0</v>
      </c>
      <c r="J234" s="200">
        <f t="shared" si="45"/>
        <v>0</v>
      </c>
      <c r="K234" s="200">
        <f t="shared" si="45"/>
        <v>0</v>
      </c>
      <c r="L234" s="202">
        <f>+M176-K118</f>
        <v>0</v>
      </c>
      <c r="M234" s="202">
        <f>+N176-L118</f>
        <v>0</v>
      </c>
      <c r="N234" s="202" t="s">
        <v>503</v>
      </c>
      <c r="O234" s="202" t="s">
        <v>503</v>
      </c>
      <c r="P234" s="680" t="s">
        <v>503</v>
      </c>
      <c r="Q234" s="477" t="s">
        <v>503</v>
      </c>
      <c r="R234" s="407">
        <f t="shared" si="40"/>
        <v>0</v>
      </c>
    </row>
    <row r="235" spans="5:18" ht="12.75" customHeight="1" x14ac:dyDescent="0.25">
      <c r="E235" s="117" t="s">
        <v>55</v>
      </c>
      <c r="F235" s="203">
        <f t="shared" si="44"/>
        <v>0</v>
      </c>
      <c r="G235" s="203">
        <f t="shared" si="44"/>
        <v>0</v>
      </c>
      <c r="H235" s="200">
        <f t="shared" si="46"/>
        <v>0</v>
      </c>
      <c r="I235" s="200">
        <f t="shared" si="46"/>
        <v>0</v>
      </c>
      <c r="J235" s="200">
        <f t="shared" si="45"/>
        <v>0</v>
      </c>
      <c r="K235" s="200">
        <f t="shared" si="45"/>
        <v>0</v>
      </c>
      <c r="L235" s="202" t="s">
        <v>503</v>
      </c>
      <c r="M235" s="202" t="s">
        <v>503</v>
      </c>
      <c r="N235" s="202" t="s">
        <v>503</v>
      </c>
      <c r="O235" s="202" t="s">
        <v>503</v>
      </c>
      <c r="P235" s="680" t="s">
        <v>503</v>
      </c>
      <c r="Q235" s="477" t="s">
        <v>503</v>
      </c>
      <c r="R235" s="407">
        <f t="shared" si="40"/>
        <v>0</v>
      </c>
    </row>
    <row r="236" spans="5:18" ht="12.75" customHeight="1" x14ac:dyDescent="0.25">
      <c r="E236" s="117" t="s">
        <v>56</v>
      </c>
      <c r="F236" s="203">
        <f t="shared" si="44"/>
        <v>0</v>
      </c>
      <c r="G236" s="203">
        <f t="shared" si="44"/>
        <v>0</v>
      </c>
      <c r="H236" s="202" t="s">
        <v>503</v>
      </c>
      <c r="I236" s="202" t="s">
        <v>503</v>
      </c>
      <c r="J236" s="200">
        <f t="shared" si="45"/>
        <v>0</v>
      </c>
      <c r="K236" s="200">
        <f t="shared" si="45"/>
        <v>0</v>
      </c>
      <c r="L236" s="202" t="s">
        <v>503</v>
      </c>
      <c r="M236" s="202" t="s">
        <v>503</v>
      </c>
      <c r="N236" s="202" t="s">
        <v>503</v>
      </c>
      <c r="O236" s="202" t="s">
        <v>503</v>
      </c>
      <c r="P236" s="680" t="s">
        <v>503</v>
      </c>
      <c r="Q236" s="477" t="s">
        <v>503</v>
      </c>
      <c r="R236" s="407">
        <f t="shared" si="40"/>
        <v>0</v>
      </c>
    </row>
    <row r="237" spans="5:18" ht="12.75" customHeight="1" x14ac:dyDescent="0.25">
      <c r="E237" s="117" t="s">
        <v>57</v>
      </c>
      <c r="F237" s="203">
        <f t="shared" si="44"/>
        <v>0</v>
      </c>
      <c r="G237" s="203">
        <f t="shared" si="44"/>
        <v>0</v>
      </c>
      <c r="H237" s="202" t="s">
        <v>503</v>
      </c>
      <c r="I237" s="202" t="s">
        <v>503</v>
      </c>
      <c r="J237" s="200">
        <f t="shared" si="45"/>
        <v>0</v>
      </c>
      <c r="K237" s="200">
        <f t="shared" si="45"/>
        <v>0</v>
      </c>
      <c r="L237" s="200">
        <f>+M179-K121</f>
        <v>0</v>
      </c>
      <c r="M237" s="200">
        <f>+N179-L121</f>
        <v>0</v>
      </c>
      <c r="N237" s="202" t="s">
        <v>503</v>
      </c>
      <c r="O237" s="202" t="s">
        <v>503</v>
      </c>
      <c r="P237" s="680" t="s">
        <v>503</v>
      </c>
      <c r="Q237" s="477" t="s">
        <v>503</v>
      </c>
      <c r="R237" s="407">
        <f t="shared" si="40"/>
        <v>0</v>
      </c>
    </row>
    <row r="238" spans="5:18" ht="12.75" customHeight="1" x14ac:dyDescent="0.25">
      <c r="E238" s="140" t="s">
        <v>58</v>
      </c>
      <c r="F238" s="203">
        <f t="shared" si="44"/>
        <v>0</v>
      </c>
      <c r="G238" s="203">
        <f t="shared" si="44"/>
        <v>0</v>
      </c>
      <c r="H238" s="202" t="s">
        <v>503</v>
      </c>
      <c r="I238" s="202" t="s">
        <v>503</v>
      </c>
      <c r="J238" s="200">
        <f t="shared" si="45"/>
        <v>0</v>
      </c>
      <c r="K238" s="200">
        <f t="shared" si="45"/>
        <v>0</v>
      </c>
      <c r="L238" s="200">
        <f>+M180-K122</f>
        <v>0</v>
      </c>
      <c r="M238" s="200">
        <f>+N180-L122</f>
        <v>0</v>
      </c>
      <c r="N238" s="202" t="s">
        <v>503</v>
      </c>
      <c r="O238" s="202" t="s">
        <v>503</v>
      </c>
      <c r="P238" s="680" t="s">
        <v>503</v>
      </c>
      <c r="Q238" s="477" t="s">
        <v>503</v>
      </c>
      <c r="R238" s="407">
        <f t="shared" si="40"/>
        <v>0</v>
      </c>
    </row>
    <row r="239" spans="5:18" ht="13" thickBot="1" x14ac:dyDescent="0.3">
      <c r="E239" s="139" t="s">
        <v>526</v>
      </c>
      <c r="F239" s="204">
        <f t="shared" ref="F239:N239" si="47">SUM(F185:F238)</f>
        <v>0</v>
      </c>
      <c r="G239" s="204">
        <f t="shared" si="47"/>
        <v>0</v>
      </c>
      <c r="H239" s="204">
        <f t="shared" si="47"/>
        <v>0</v>
      </c>
      <c r="I239" s="204">
        <f t="shared" si="47"/>
        <v>0</v>
      </c>
      <c r="J239" s="204">
        <f t="shared" si="47"/>
        <v>0</v>
      </c>
      <c r="K239" s="204">
        <f t="shared" si="47"/>
        <v>0</v>
      </c>
      <c r="L239" s="204">
        <f t="shared" si="47"/>
        <v>0</v>
      </c>
      <c r="M239" s="204">
        <f t="shared" si="47"/>
        <v>0</v>
      </c>
      <c r="N239" s="204">
        <f t="shared" si="47"/>
        <v>0</v>
      </c>
      <c r="O239" s="204">
        <f>SUM(O185:O238)</f>
        <v>0</v>
      </c>
      <c r="P239" s="685">
        <f>SUM(P185:P238)</f>
        <v>0</v>
      </c>
      <c r="Q239" s="686">
        <f>IF(AND('Analysis Inputs'!$N$150=3,SUM(P214:P217,P225)&lt;&gt;0),"INPUT ERROR",SUM(Q185:Q238))</f>
        <v>0</v>
      </c>
      <c r="R239" s="684">
        <f>IF(ROUND(SUM(F239,H239,J239,L239,N239,P239),8)&lt;&gt;0,"INPUT ERROR: Make sure tons managed equals tons generated",IF(Q239="INPUT ERROR","INPUT ERROR: Please select dry digestion",SUM(G239,I239,K239,M239,O239,Q239)))</f>
        <v>0</v>
      </c>
    </row>
    <row r="240" spans="5:18" x14ac:dyDescent="0.25">
      <c r="E240" s="478" t="s">
        <v>714</v>
      </c>
    </row>
    <row r="241" spans="5:5" x14ac:dyDescent="0.25">
      <c r="E241" s="45" t="s">
        <v>712</v>
      </c>
    </row>
    <row r="242" spans="5:5" x14ac:dyDescent="0.25">
      <c r="E242" s="137" t="s">
        <v>715</v>
      </c>
    </row>
    <row r="244" spans="5:5" x14ac:dyDescent="0.25">
      <c r="E244" s="46" t="s">
        <v>7</v>
      </c>
    </row>
    <row r="245" spans="5:5" x14ac:dyDescent="0.25">
      <c r="E245" s="46" t="s">
        <v>8</v>
      </c>
    </row>
  </sheetData>
  <sheetProtection password="CDE6" sheet="1"/>
  <phoneticPr fontId="14" type="noConversion"/>
  <conditionalFormatting sqref="L4:L6 P69:Q123 R127:S181 Q185:R239">
    <cfRule type="containsText" dxfId="0" priority="2" stopIfTrue="1" operator="containsText" text="INPUT ERROR">
      <formula>NOT(ISERROR(SEARCH("INPUT ERROR",L4)))</formula>
    </cfRule>
  </conditionalFormatting>
  <printOptions horizontalCentered="1" verticalCentered="1" gridLinesSet="0"/>
  <pageMargins left="0.25" right="0.25" top="1" bottom="1" header="0.5" footer="0.5"/>
  <pageSetup orientation="landscape" horizontalDpi="360" r:id="rId1"/>
  <headerFooter alignWithMargins="0">
    <oddHeader>&amp;A</oddHeader>
    <oddFooter>&amp;L&amp;D&amp;CPage &amp;P of &amp;N</oddFooter>
  </headerFooter>
  <rowBreaks count="2" manualBreakCount="2">
    <brk id="66" min="4" max="16" man="1"/>
    <brk id="124" min="4" max="1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filterMode="1"/>
  <dimension ref="A2:H79"/>
  <sheetViews>
    <sheetView workbookViewId="0">
      <selection activeCell="F14" sqref="F14"/>
    </sheetView>
  </sheetViews>
  <sheetFormatPr defaultRowHeight="12.5" x14ac:dyDescent="0.25"/>
  <cols>
    <col min="2" max="2" width="4" style="820" customWidth="1"/>
    <col min="3" max="4" width="27.7265625" style="819" customWidth="1"/>
    <col min="5" max="5" width="55.1796875" style="819" customWidth="1"/>
    <col min="6" max="6" width="16.453125" style="819" customWidth="1"/>
    <col min="7" max="7" width="12.26953125" style="819" customWidth="1"/>
    <col min="8" max="8" width="74.453125" style="819" customWidth="1"/>
  </cols>
  <sheetData>
    <row r="2" spans="2:8" s="1" customFormat="1" ht="26" x14ac:dyDescent="0.3">
      <c r="B2" s="822"/>
      <c r="C2" s="209" t="s">
        <v>1003</v>
      </c>
      <c r="D2" s="209" t="s">
        <v>857</v>
      </c>
      <c r="E2" s="209" t="s">
        <v>858</v>
      </c>
      <c r="F2" s="209" t="s">
        <v>859</v>
      </c>
      <c r="G2" s="209" t="s">
        <v>860</v>
      </c>
      <c r="H2" s="209" t="s">
        <v>861</v>
      </c>
    </row>
    <row r="3" spans="2:8" ht="25" hidden="1" x14ac:dyDescent="0.25">
      <c r="B3" s="823">
        <v>1</v>
      </c>
      <c r="C3" s="819" t="s">
        <v>1004</v>
      </c>
      <c r="D3" s="819" t="s">
        <v>515</v>
      </c>
      <c r="E3" s="819" t="s">
        <v>862</v>
      </c>
      <c r="F3" s="819" t="s">
        <v>863</v>
      </c>
      <c r="G3" s="819">
        <v>2010</v>
      </c>
      <c r="H3" s="819" t="s">
        <v>864</v>
      </c>
    </row>
    <row r="4" spans="2:8" ht="112.5" hidden="1" x14ac:dyDescent="0.25">
      <c r="B4" s="823">
        <v>2</v>
      </c>
      <c r="C4" s="819" t="s">
        <v>1004</v>
      </c>
      <c r="D4" s="819" t="s">
        <v>84</v>
      </c>
      <c r="E4" s="819" t="s">
        <v>865</v>
      </c>
      <c r="F4" s="819" t="s">
        <v>866</v>
      </c>
      <c r="G4" s="819">
        <v>2011</v>
      </c>
      <c r="H4" s="819" t="s">
        <v>867</v>
      </c>
    </row>
    <row r="5" spans="2:8" hidden="1" x14ac:dyDescent="0.25">
      <c r="B5" s="823">
        <v>2</v>
      </c>
      <c r="C5" s="819" t="s">
        <v>1004</v>
      </c>
      <c r="F5" s="819" t="s">
        <v>863</v>
      </c>
      <c r="G5" s="819">
        <v>2010</v>
      </c>
      <c r="H5" s="819" t="s">
        <v>864</v>
      </c>
    </row>
    <row r="6" spans="2:8" ht="37.5" hidden="1" x14ac:dyDescent="0.25">
      <c r="B6" s="823">
        <v>3</v>
      </c>
      <c r="C6" s="819" t="s">
        <v>1004</v>
      </c>
      <c r="D6" s="819" t="s">
        <v>516</v>
      </c>
      <c r="E6" s="819" t="s">
        <v>868</v>
      </c>
      <c r="F6" s="819" t="s">
        <v>869</v>
      </c>
      <c r="G6" s="819">
        <v>1998</v>
      </c>
      <c r="H6" s="819" t="s">
        <v>870</v>
      </c>
    </row>
    <row r="7" spans="2:8" ht="37.5" hidden="1" x14ac:dyDescent="0.25">
      <c r="B7" s="823">
        <v>4</v>
      </c>
      <c r="C7" s="819" t="s">
        <v>1004</v>
      </c>
      <c r="D7" s="819" t="s">
        <v>438</v>
      </c>
      <c r="E7" s="819" t="s">
        <v>871</v>
      </c>
      <c r="F7" s="819" t="s">
        <v>869</v>
      </c>
      <c r="G7" s="819">
        <v>2002</v>
      </c>
      <c r="H7" s="819" t="s">
        <v>872</v>
      </c>
    </row>
    <row r="8" spans="2:8" ht="25" hidden="1" x14ac:dyDescent="0.25">
      <c r="B8" s="823">
        <v>5</v>
      </c>
      <c r="C8" s="821" t="s">
        <v>517</v>
      </c>
      <c r="D8" s="819" t="s">
        <v>517</v>
      </c>
      <c r="E8" s="819" t="s">
        <v>873</v>
      </c>
      <c r="F8" s="819" t="s">
        <v>874</v>
      </c>
      <c r="G8" s="819">
        <v>2008</v>
      </c>
      <c r="H8" s="819" t="s">
        <v>875</v>
      </c>
    </row>
    <row r="9" spans="2:8" ht="50" x14ac:dyDescent="0.25">
      <c r="B9" s="823">
        <v>6</v>
      </c>
      <c r="C9" s="821" t="s">
        <v>1005</v>
      </c>
      <c r="D9" s="819" t="s">
        <v>518</v>
      </c>
      <c r="E9" s="819" t="s">
        <v>876</v>
      </c>
      <c r="F9" s="819" t="s">
        <v>877</v>
      </c>
      <c r="G9" s="819">
        <v>2010</v>
      </c>
      <c r="H9" s="819" t="s">
        <v>878</v>
      </c>
    </row>
    <row r="10" spans="2:8" ht="50" x14ac:dyDescent="0.25">
      <c r="B10" s="823">
        <v>7</v>
      </c>
      <c r="C10" s="821" t="s">
        <v>1005</v>
      </c>
      <c r="D10" s="819" t="s">
        <v>519</v>
      </c>
      <c r="E10" s="819" t="s">
        <v>879</v>
      </c>
      <c r="F10" s="819" t="s">
        <v>877</v>
      </c>
      <c r="G10" s="819">
        <v>2010</v>
      </c>
      <c r="H10" s="819" t="s">
        <v>878</v>
      </c>
    </row>
    <row r="11" spans="2:8" ht="50" x14ac:dyDescent="0.25">
      <c r="B11" s="823">
        <v>8</v>
      </c>
      <c r="C11" s="821" t="s">
        <v>1005</v>
      </c>
      <c r="D11" s="819" t="s">
        <v>520</v>
      </c>
      <c r="E11" s="819" t="s">
        <v>880</v>
      </c>
      <c r="F11" s="819" t="s">
        <v>877</v>
      </c>
      <c r="G11" s="819">
        <v>2010</v>
      </c>
      <c r="H11" s="819" t="s">
        <v>878</v>
      </c>
    </row>
    <row r="12" spans="2:8" ht="62.5" x14ac:dyDescent="0.25">
      <c r="B12" s="823">
        <v>9</v>
      </c>
      <c r="C12" s="821" t="s">
        <v>1005</v>
      </c>
      <c r="D12" s="819" t="s">
        <v>86</v>
      </c>
      <c r="E12" s="819" t="s">
        <v>881</v>
      </c>
      <c r="F12" s="819" t="s">
        <v>877</v>
      </c>
      <c r="G12" s="819">
        <v>2010</v>
      </c>
      <c r="H12" s="819" t="s">
        <v>878</v>
      </c>
    </row>
    <row r="13" spans="2:8" hidden="1" x14ac:dyDescent="0.25">
      <c r="B13" s="823">
        <v>9</v>
      </c>
      <c r="C13" s="821" t="s">
        <v>1005</v>
      </c>
    </row>
    <row r="14" spans="2:8" ht="75" x14ac:dyDescent="0.25">
      <c r="B14" s="823">
        <v>10</v>
      </c>
      <c r="C14" s="821" t="s">
        <v>1005</v>
      </c>
      <c r="D14" s="819" t="s">
        <v>87</v>
      </c>
      <c r="E14" s="819" t="s">
        <v>882</v>
      </c>
      <c r="F14" s="819" t="s">
        <v>883</v>
      </c>
      <c r="G14" s="819">
        <v>2010</v>
      </c>
      <c r="H14" s="819" t="s">
        <v>878</v>
      </c>
    </row>
    <row r="15" spans="2:8" ht="50" x14ac:dyDescent="0.25">
      <c r="B15" s="823">
        <v>11</v>
      </c>
      <c r="C15" s="821" t="s">
        <v>1005</v>
      </c>
      <c r="D15" s="819" t="s">
        <v>88</v>
      </c>
      <c r="E15" s="819" t="s">
        <v>884</v>
      </c>
      <c r="F15" s="819" t="s">
        <v>877</v>
      </c>
      <c r="G15" s="819">
        <v>2010</v>
      </c>
      <c r="H15" s="819" t="s">
        <v>878</v>
      </c>
    </row>
    <row r="16" spans="2:8" ht="50" x14ac:dyDescent="0.25">
      <c r="B16" s="823">
        <v>12</v>
      </c>
      <c r="C16" s="821" t="s">
        <v>1005</v>
      </c>
      <c r="D16" s="819" t="s">
        <v>89</v>
      </c>
      <c r="E16" s="819" t="s">
        <v>885</v>
      </c>
      <c r="F16" s="819" t="s">
        <v>877</v>
      </c>
      <c r="G16" s="819">
        <v>2010</v>
      </c>
      <c r="H16" s="819" t="s">
        <v>878</v>
      </c>
    </row>
    <row r="17" spans="2:8" ht="62.5" x14ac:dyDescent="0.25">
      <c r="B17" s="823">
        <v>13</v>
      </c>
      <c r="C17" s="821" t="s">
        <v>1005</v>
      </c>
      <c r="D17" s="819" t="s">
        <v>85</v>
      </c>
      <c r="E17" s="819" t="s">
        <v>886</v>
      </c>
      <c r="F17" s="819" t="s">
        <v>887</v>
      </c>
      <c r="G17" s="819">
        <v>2010</v>
      </c>
      <c r="H17" s="819" t="s">
        <v>888</v>
      </c>
    </row>
    <row r="18" spans="2:8" ht="25" hidden="1" x14ac:dyDescent="0.25">
      <c r="B18" s="823">
        <v>13</v>
      </c>
      <c r="C18" s="821" t="s">
        <v>1005</v>
      </c>
      <c r="F18" s="819" t="s">
        <v>889</v>
      </c>
      <c r="G18" s="819">
        <v>2010</v>
      </c>
      <c r="H18" s="819" t="s">
        <v>890</v>
      </c>
    </row>
    <row r="19" spans="2:8" ht="25" hidden="1" x14ac:dyDescent="0.25">
      <c r="B19" s="823">
        <v>14</v>
      </c>
      <c r="C19" s="821" t="s">
        <v>1006</v>
      </c>
      <c r="D19" s="819" t="s">
        <v>59</v>
      </c>
      <c r="E19" s="819" t="s">
        <v>891</v>
      </c>
      <c r="F19" s="819" t="s">
        <v>874</v>
      </c>
      <c r="G19" s="819">
        <v>2006</v>
      </c>
      <c r="H19" s="819" t="s">
        <v>729</v>
      </c>
    </row>
    <row r="20" spans="2:8" ht="50" hidden="1" x14ac:dyDescent="0.25">
      <c r="B20" s="823">
        <v>15</v>
      </c>
      <c r="C20" s="821" t="s">
        <v>1006</v>
      </c>
      <c r="D20" s="819" t="s">
        <v>128</v>
      </c>
      <c r="E20" s="819" t="s">
        <v>892</v>
      </c>
      <c r="F20" s="819" t="s">
        <v>874</v>
      </c>
      <c r="G20" s="819">
        <v>2006</v>
      </c>
      <c r="H20" s="819" t="s">
        <v>729</v>
      </c>
    </row>
    <row r="21" spans="2:8" ht="50" hidden="1" x14ac:dyDescent="0.25">
      <c r="B21" s="823">
        <v>16</v>
      </c>
      <c r="C21" s="821" t="s">
        <v>1006</v>
      </c>
      <c r="D21" s="819" t="s">
        <v>502</v>
      </c>
      <c r="E21" s="819" t="s">
        <v>893</v>
      </c>
      <c r="F21" s="819" t="s">
        <v>869</v>
      </c>
      <c r="G21" s="819">
        <v>1998</v>
      </c>
      <c r="H21" s="819" t="s">
        <v>870</v>
      </c>
    </row>
    <row r="22" spans="2:8" ht="25" hidden="1" x14ac:dyDescent="0.25">
      <c r="B22" s="823">
        <v>17</v>
      </c>
      <c r="C22" s="821" t="s">
        <v>1006</v>
      </c>
      <c r="D22" s="819" t="s">
        <v>514</v>
      </c>
      <c r="E22" s="819" t="s">
        <v>894</v>
      </c>
      <c r="F22" s="819" t="s">
        <v>869</v>
      </c>
      <c r="G22" s="819">
        <v>1998</v>
      </c>
      <c r="H22" s="819" t="s">
        <v>895</v>
      </c>
    </row>
    <row r="23" spans="2:8" ht="25" hidden="1" x14ac:dyDescent="0.25">
      <c r="B23" s="823">
        <v>18</v>
      </c>
      <c r="C23" s="821" t="s">
        <v>1006</v>
      </c>
      <c r="D23" s="819" t="s">
        <v>383</v>
      </c>
      <c r="E23" s="819" t="s">
        <v>896</v>
      </c>
      <c r="F23" s="819" t="s">
        <v>874</v>
      </c>
      <c r="G23" s="819">
        <v>2006</v>
      </c>
      <c r="H23" s="819" t="s">
        <v>729</v>
      </c>
    </row>
    <row r="24" spans="2:8" ht="25" hidden="1" x14ac:dyDescent="0.25">
      <c r="B24" s="823">
        <v>19</v>
      </c>
      <c r="C24" s="821" t="s">
        <v>1006</v>
      </c>
      <c r="D24" s="819" t="s">
        <v>384</v>
      </c>
      <c r="E24" s="819" t="s">
        <v>897</v>
      </c>
      <c r="F24" s="819" t="s">
        <v>874</v>
      </c>
      <c r="G24" s="819">
        <v>2006</v>
      </c>
      <c r="H24" s="819" t="s">
        <v>729</v>
      </c>
    </row>
    <row r="25" spans="2:8" ht="37.5" hidden="1" x14ac:dyDescent="0.25">
      <c r="B25" s="823">
        <v>20</v>
      </c>
      <c r="C25" s="821" t="s">
        <v>1007</v>
      </c>
      <c r="D25" s="819" t="s">
        <v>4</v>
      </c>
      <c r="E25" s="819" t="s">
        <v>898</v>
      </c>
      <c r="F25" s="819" t="s">
        <v>874</v>
      </c>
      <c r="G25" s="819">
        <v>2008</v>
      </c>
      <c r="H25" s="819" t="s">
        <v>899</v>
      </c>
    </row>
    <row r="26" spans="2:8" ht="37.5" hidden="1" x14ac:dyDescent="0.25">
      <c r="B26" s="823">
        <v>21</v>
      </c>
      <c r="C26" s="821" t="s">
        <v>1008</v>
      </c>
      <c r="D26" s="819" t="s">
        <v>558</v>
      </c>
      <c r="E26" s="819" t="s">
        <v>900</v>
      </c>
      <c r="F26" s="819" t="s">
        <v>874</v>
      </c>
      <c r="G26" s="819">
        <v>1995</v>
      </c>
      <c r="H26" s="819" t="s">
        <v>901</v>
      </c>
    </row>
    <row r="27" spans="2:8" ht="75" hidden="1" x14ac:dyDescent="0.25">
      <c r="B27" s="823">
        <v>22</v>
      </c>
      <c r="C27" s="821" t="s">
        <v>1009</v>
      </c>
      <c r="D27" s="819" t="s">
        <v>646</v>
      </c>
      <c r="E27" s="819" t="s">
        <v>902</v>
      </c>
      <c r="F27" s="819" t="s">
        <v>903</v>
      </c>
      <c r="G27" s="819">
        <v>2012</v>
      </c>
      <c r="H27" s="819" t="s">
        <v>904</v>
      </c>
    </row>
    <row r="28" spans="2:8" ht="62.5" hidden="1" x14ac:dyDescent="0.25">
      <c r="B28" s="823">
        <v>23</v>
      </c>
      <c r="C28" s="821" t="s">
        <v>1009</v>
      </c>
      <c r="D28" s="819" t="s">
        <v>744</v>
      </c>
      <c r="E28" s="819" t="s">
        <v>905</v>
      </c>
      <c r="F28" s="819" t="s">
        <v>903</v>
      </c>
      <c r="G28" s="819">
        <v>2012</v>
      </c>
      <c r="H28" s="819" t="s">
        <v>904</v>
      </c>
    </row>
    <row r="29" spans="2:8" ht="37.5" hidden="1" x14ac:dyDescent="0.25">
      <c r="B29" s="823">
        <v>24</v>
      </c>
      <c r="C29" s="821" t="s">
        <v>1009</v>
      </c>
      <c r="D29" s="819" t="s">
        <v>741</v>
      </c>
      <c r="E29" s="819" t="s">
        <v>906</v>
      </c>
      <c r="F29" s="819" t="s">
        <v>907</v>
      </c>
      <c r="G29" s="819">
        <v>2011</v>
      </c>
      <c r="H29" s="819" t="s">
        <v>908</v>
      </c>
    </row>
    <row r="30" spans="2:8" ht="50" hidden="1" x14ac:dyDescent="0.25">
      <c r="B30" s="823">
        <v>25</v>
      </c>
      <c r="C30" s="821" t="s">
        <v>1009</v>
      </c>
      <c r="D30" s="819" t="s">
        <v>742</v>
      </c>
      <c r="E30" s="819" t="s">
        <v>909</v>
      </c>
      <c r="F30" s="819" t="s">
        <v>910</v>
      </c>
      <c r="G30" s="819">
        <v>2000</v>
      </c>
      <c r="H30" s="819" t="s">
        <v>911</v>
      </c>
    </row>
    <row r="31" spans="2:8" ht="37.5" hidden="1" x14ac:dyDescent="0.25">
      <c r="B31" s="823">
        <v>26</v>
      </c>
      <c r="C31" s="821" t="s">
        <v>1009</v>
      </c>
      <c r="D31" s="819" t="s">
        <v>649</v>
      </c>
      <c r="E31" s="819" t="s">
        <v>912</v>
      </c>
      <c r="F31" s="819" t="s">
        <v>903</v>
      </c>
      <c r="G31" s="819" t="s">
        <v>913</v>
      </c>
      <c r="H31" s="819" t="s">
        <v>914</v>
      </c>
    </row>
    <row r="32" spans="2:8" ht="37.5" hidden="1" x14ac:dyDescent="0.25">
      <c r="B32" s="823">
        <v>27</v>
      </c>
      <c r="C32" s="821" t="s">
        <v>1009</v>
      </c>
      <c r="D32" s="819" t="s">
        <v>645</v>
      </c>
      <c r="E32" s="819" t="s">
        <v>915</v>
      </c>
      <c r="F32" s="819" t="s">
        <v>903</v>
      </c>
      <c r="G32" s="819" t="s">
        <v>916</v>
      </c>
      <c r="H32" s="819" t="s">
        <v>914</v>
      </c>
    </row>
    <row r="33" spans="1:8" ht="25" hidden="1" x14ac:dyDescent="0.25">
      <c r="B33" s="823">
        <v>27</v>
      </c>
      <c r="C33" s="821" t="s">
        <v>1009</v>
      </c>
      <c r="F33" s="819" t="s">
        <v>917</v>
      </c>
      <c r="G33" s="819">
        <v>2011</v>
      </c>
      <c r="H33" s="819" t="s">
        <v>918</v>
      </c>
    </row>
    <row r="34" spans="1:8" ht="62.5" hidden="1" x14ac:dyDescent="0.25">
      <c r="B34" s="823">
        <v>28</v>
      </c>
      <c r="C34" s="821" t="s">
        <v>1009</v>
      </c>
      <c r="D34" s="819" t="s">
        <v>647</v>
      </c>
      <c r="E34" s="819" t="s">
        <v>919</v>
      </c>
      <c r="F34" s="819" t="s">
        <v>920</v>
      </c>
      <c r="G34" s="819">
        <v>2007</v>
      </c>
      <c r="H34" s="819" t="s">
        <v>921</v>
      </c>
    </row>
    <row r="35" spans="1:8" ht="25" hidden="1" x14ac:dyDescent="0.25">
      <c r="B35" s="823">
        <v>28</v>
      </c>
      <c r="C35" s="821" t="s">
        <v>1009</v>
      </c>
      <c r="F35" s="819" t="s">
        <v>922</v>
      </c>
      <c r="G35" s="819">
        <v>2010</v>
      </c>
      <c r="H35" s="819" t="s">
        <v>923</v>
      </c>
    </row>
    <row r="36" spans="1:8" hidden="1" x14ac:dyDescent="0.25">
      <c r="B36" s="823">
        <v>28</v>
      </c>
      <c r="C36" s="821" t="s">
        <v>1009</v>
      </c>
      <c r="F36" s="819" t="s">
        <v>924</v>
      </c>
      <c r="G36" s="819">
        <v>2009</v>
      </c>
      <c r="H36" s="819" t="s">
        <v>925</v>
      </c>
    </row>
    <row r="37" spans="1:8" ht="37.5" hidden="1" x14ac:dyDescent="0.25">
      <c r="B37" s="823">
        <v>29</v>
      </c>
      <c r="C37" s="821" t="s">
        <v>1009</v>
      </c>
      <c r="D37" s="819" t="s">
        <v>648</v>
      </c>
      <c r="E37" s="819" t="s">
        <v>926</v>
      </c>
      <c r="F37" s="819" t="s">
        <v>927</v>
      </c>
      <c r="G37" s="819">
        <v>2010</v>
      </c>
      <c r="H37" s="819" t="s">
        <v>928</v>
      </c>
    </row>
    <row r="38" spans="1:8" ht="37.5" hidden="1" x14ac:dyDescent="0.25">
      <c r="B38" s="823">
        <v>30</v>
      </c>
      <c r="C38" s="821" t="s">
        <v>1010</v>
      </c>
      <c r="D38" s="819" t="s">
        <v>580</v>
      </c>
      <c r="E38" s="819" t="s">
        <v>929</v>
      </c>
      <c r="F38" s="819" t="s">
        <v>874</v>
      </c>
      <c r="G38" s="819">
        <v>2006</v>
      </c>
      <c r="H38" s="819" t="s">
        <v>729</v>
      </c>
    </row>
    <row r="39" spans="1:8" ht="25" hidden="1" x14ac:dyDescent="0.25">
      <c r="B39" s="823">
        <v>31</v>
      </c>
      <c r="C39" s="821" t="s">
        <v>1010</v>
      </c>
      <c r="D39" s="819" t="s">
        <v>521</v>
      </c>
      <c r="E39" s="819" t="s">
        <v>930</v>
      </c>
      <c r="F39" s="819" t="s">
        <v>874</v>
      </c>
      <c r="G39" s="819" t="s">
        <v>931</v>
      </c>
      <c r="H39" s="819" t="s">
        <v>729</v>
      </c>
    </row>
    <row r="40" spans="1:8" ht="25" hidden="1" x14ac:dyDescent="0.25">
      <c r="B40" s="823">
        <v>32</v>
      </c>
      <c r="C40" s="821" t="s">
        <v>1010</v>
      </c>
      <c r="D40" s="819" t="s">
        <v>522</v>
      </c>
      <c r="E40" s="819" t="s">
        <v>932</v>
      </c>
      <c r="F40" s="819" t="s">
        <v>874</v>
      </c>
      <c r="G40" s="819" t="s">
        <v>931</v>
      </c>
      <c r="H40" s="819" t="s">
        <v>729</v>
      </c>
    </row>
    <row r="41" spans="1:8" ht="25" hidden="1" x14ac:dyDescent="0.25">
      <c r="B41" s="823">
        <v>33</v>
      </c>
      <c r="C41" s="821" t="s">
        <v>1010</v>
      </c>
      <c r="D41" s="819" t="s">
        <v>523</v>
      </c>
      <c r="E41" s="819" t="s">
        <v>933</v>
      </c>
      <c r="F41" s="819" t="s">
        <v>874</v>
      </c>
      <c r="G41" s="819" t="s">
        <v>931</v>
      </c>
      <c r="H41" s="819" t="s">
        <v>729</v>
      </c>
    </row>
    <row r="42" spans="1:8" ht="25" hidden="1" x14ac:dyDescent="0.25">
      <c r="A42" s="28"/>
      <c r="B42" s="823">
        <v>34</v>
      </c>
      <c r="C42" s="821" t="s">
        <v>1006</v>
      </c>
      <c r="D42" s="819" t="s">
        <v>1000</v>
      </c>
      <c r="E42" s="819" t="s">
        <v>934</v>
      </c>
      <c r="F42" s="819" t="s">
        <v>874</v>
      </c>
      <c r="G42" s="819">
        <v>2006</v>
      </c>
      <c r="H42" s="819" t="s">
        <v>729</v>
      </c>
    </row>
    <row r="43" spans="1:8" ht="25" hidden="1" x14ac:dyDescent="0.25">
      <c r="B43" s="823">
        <v>35</v>
      </c>
      <c r="C43" s="821" t="s">
        <v>1006</v>
      </c>
      <c r="D43" s="819" t="s">
        <v>1001</v>
      </c>
      <c r="E43" s="819" t="s">
        <v>935</v>
      </c>
      <c r="F43" s="819" t="s">
        <v>874</v>
      </c>
      <c r="G43" s="819">
        <v>2006</v>
      </c>
      <c r="H43" s="819" t="s">
        <v>729</v>
      </c>
    </row>
    <row r="44" spans="1:8" ht="25" hidden="1" x14ac:dyDescent="0.25">
      <c r="B44" s="823">
        <v>36</v>
      </c>
      <c r="C44" s="821" t="s">
        <v>1006</v>
      </c>
      <c r="D44" s="819" t="s">
        <v>1002</v>
      </c>
      <c r="E44" s="819" t="s">
        <v>936</v>
      </c>
      <c r="F44" s="819" t="s">
        <v>874</v>
      </c>
      <c r="G44" s="819">
        <v>2006</v>
      </c>
      <c r="H44" s="819" t="s">
        <v>729</v>
      </c>
    </row>
    <row r="45" spans="1:8" ht="25" hidden="1" x14ac:dyDescent="0.25">
      <c r="B45" s="823">
        <v>37</v>
      </c>
      <c r="C45" s="821" t="s">
        <v>1004</v>
      </c>
      <c r="D45" s="819" t="s">
        <v>633</v>
      </c>
      <c r="E45" s="819" t="s">
        <v>937</v>
      </c>
      <c r="F45" s="819" t="s">
        <v>874</v>
      </c>
      <c r="G45" s="819">
        <v>2006</v>
      </c>
      <c r="H45" s="819" t="s">
        <v>729</v>
      </c>
    </row>
    <row r="46" spans="1:8" ht="25" x14ac:dyDescent="0.25">
      <c r="B46" s="823">
        <v>38</v>
      </c>
      <c r="C46" s="821" t="s">
        <v>1005</v>
      </c>
      <c r="D46" s="819" t="s">
        <v>386</v>
      </c>
      <c r="E46" s="819" t="s">
        <v>938</v>
      </c>
      <c r="F46" s="819" t="s">
        <v>874</v>
      </c>
      <c r="G46" s="819">
        <v>2006</v>
      </c>
      <c r="H46" s="819" t="s">
        <v>729</v>
      </c>
    </row>
    <row r="47" spans="1:8" ht="62.5" hidden="1" x14ac:dyDescent="0.25">
      <c r="B47" s="823">
        <v>39</v>
      </c>
      <c r="C47" s="821" t="s">
        <v>1012</v>
      </c>
      <c r="D47" s="819" t="s">
        <v>272</v>
      </c>
      <c r="E47" s="819" t="s">
        <v>939</v>
      </c>
      <c r="F47" s="819" t="s">
        <v>874</v>
      </c>
      <c r="G47" s="819">
        <v>2006</v>
      </c>
      <c r="H47" s="819" t="s">
        <v>729</v>
      </c>
    </row>
    <row r="48" spans="1:8" ht="112.5" hidden="1" x14ac:dyDescent="0.25">
      <c r="B48" s="823">
        <v>40</v>
      </c>
      <c r="C48" s="821" t="s">
        <v>1009</v>
      </c>
      <c r="D48" s="819" t="s">
        <v>740</v>
      </c>
      <c r="E48" s="819" t="s">
        <v>940</v>
      </c>
      <c r="F48" s="819" t="s">
        <v>903</v>
      </c>
      <c r="G48" s="819">
        <v>2012</v>
      </c>
      <c r="H48" s="819" t="s">
        <v>904</v>
      </c>
    </row>
    <row r="49" spans="2:8" ht="25" hidden="1" x14ac:dyDescent="0.25">
      <c r="B49" s="823">
        <v>41</v>
      </c>
      <c r="C49" s="821" t="s">
        <v>1012</v>
      </c>
      <c r="D49" s="819" t="s">
        <v>385</v>
      </c>
      <c r="E49" s="819" t="s">
        <v>941</v>
      </c>
      <c r="F49" s="819" t="s">
        <v>874</v>
      </c>
      <c r="G49" s="819">
        <v>2006</v>
      </c>
      <c r="H49" s="819" t="s">
        <v>729</v>
      </c>
    </row>
    <row r="50" spans="2:8" ht="50" hidden="1" x14ac:dyDescent="0.25">
      <c r="B50" s="823">
        <v>42</v>
      </c>
      <c r="C50" s="821" t="s">
        <v>1012</v>
      </c>
      <c r="D50" s="819" t="s">
        <v>574</v>
      </c>
      <c r="E50" s="819" t="s">
        <v>942</v>
      </c>
      <c r="F50" s="819" t="s">
        <v>874</v>
      </c>
      <c r="G50" s="819">
        <v>2006</v>
      </c>
      <c r="H50" s="819" t="s">
        <v>729</v>
      </c>
    </row>
    <row r="51" spans="2:8" ht="37.5" hidden="1" x14ac:dyDescent="0.25">
      <c r="B51" s="823">
        <v>43</v>
      </c>
      <c r="C51" s="821" t="s">
        <v>1008</v>
      </c>
      <c r="D51" s="819" t="s">
        <v>573</v>
      </c>
      <c r="E51" s="819" t="s">
        <v>943</v>
      </c>
      <c r="F51" s="819" t="s">
        <v>944</v>
      </c>
      <c r="G51" s="819">
        <v>2005</v>
      </c>
      <c r="H51" s="819" t="s">
        <v>945</v>
      </c>
    </row>
    <row r="52" spans="2:8" ht="25" hidden="1" x14ac:dyDescent="0.25">
      <c r="B52" s="823">
        <v>43</v>
      </c>
      <c r="C52" s="821" t="s">
        <v>1008</v>
      </c>
      <c r="F52" s="819" t="s">
        <v>946</v>
      </c>
      <c r="G52" s="819">
        <v>2011</v>
      </c>
      <c r="H52" s="819" t="s">
        <v>947</v>
      </c>
    </row>
    <row r="53" spans="2:8" ht="75" hidden="1" x14ac:dyDescent="0.25">
      <c r="B53" s="823">
        <v>44</v>
      </c>
      <c r="C53" s="821" t="s">
        <v>1011</v>
      </c>
      <c r="D53" s="819" t="s">
        <v>423</v>
      </c>
      <c r="E53" s="819" t="s">
        <v>948</v>
      </c>
      <c r="F53" s="819" t="s">
        <v>869</v>
      </c>
      <c r="G53" s="819">
        <v>2002</v>
      </c>
      <c r="H53" s="819" t="s">
        <v>872</v>
      </c>
    </row>
    <row r="54" spans="2:8" ht="62.5" hidden="1" x14ac:dyDescent="0.25">
      <c r="B54" s="823">
        <v>45</v>
      </c>
      <c r="C54" s="821" t="s">
        <v>1008</v>
      </c>
      <c r="D54" s="819" t="s">
        <v>455</v>
      </c>
      <c r="E54" s="819" t="s">
        <v>949</v>
      </c>
      <c r="F54" s="819" t="s">
        <v>874</v>
      </c>
      <c r="G54" s="819">
        <v>2003</v>
      </c>
      <c r="H54" s="819" t="s">
        <v>950</v>
      </c>
    </row>
    <row r="55" spans="2:8" ht="62.5" hidden="1" x14ac:dyDescent="0.25">
      <c r="B55" s="823">
        <v>46</v>
      </c>
      <c r="C55" s="819" t="s">
        <v>1008</v>
      </c>
      <c r="D55" s="819" t="s">
        <v>476</v>
      </c>
      <c r="E55" s="819" t="s">
        <v>951</v>
      </c>
      <c r="F55" s="819" t="s">
        <v>874</v>
      </c>
      <c r="G55" s="819">
        <v>2003</v>
      </c>
      <c r="H55" s="819" t="s">
        <v>950</v>
      </c>
    </row>
    <row r="56" spans="2:8" ht="25" hidden="1" x14ac:dyDescent="0.25">
      <c r="B56" s="823">
        <v>47</v>
      </c>
      <c r="C56" s="819" t="s">
        <v>1008</v>
      </c>
      <c r="D56" s="819" t="s">
        <v>131</v>
      </c>
      <c r="E56" s="819" t="s">
        <v>952</v>
      </c>
      <c r="F56" s="819" t="s">
        <v>874</v>
      </c>
      <c r="G56" s="819">
        <v>2003</v>
      </c>
      <c r="H56" s="819" t="s">
        <v>953</v>
      </c>
    </row>
    <row r="57" spans="2:8" ht="50" hidden="1" x14ac:dyDescent="0.25">
      <c r="B57" s="823">
        <v>48</v>
      </c>
      <c r="C57" s="821" t="s">
        <v>1011</v>
      </c>
      <c r="D57" s="819" t="s">
        <v>444</v>
      </c>
      <c r="E57" s="819" t="s">
        <v>954</v>
      </c>
      <c r="F57" s="819" t="s">
        <v>955</v>
      </c>
      <c r="G57" s="819">
        <v>2001</v>
      </c>
      <c r="H57" s="819" t="s">
        <v>956</v>
      </c>
    </row>
    <row r="58" spans="2:8" ht="25" hidden="1" x14ac:dyDescent="0.25">
      <c r="B58" s="823">
        <v>48</v>
      </c>
      <c r="C58" s="821" t="s">
        <v>1011</v>
      </c>
      <c r="F58" s="819" t="s">
        <v>957</v>
      </c>
      <c r="G58" s="819">
        <v>2009</v>
      </c>
      <c r="H58" s="819" t="s">
        <v>958</v>
      </c>
    </row>
    <row r="59" spans="2:8" ht="25" hidden="1" x14ac:dyDescent="0.25">
      <c r="B59" s="823">
        <v>48</v>
      </c>
      <c r="C59" s="821" t="s">
        <v>1011</v>
      </c>
      <c r="F59" s="819" t="s">
        <v>959</v>
      </c>
      <c r="G59" s="819">
        <v>2004</v>
      </c>
      <c r="H59" s="819" t="s">
        <v>960</v>
      </c>
    </row>
    <row r="60" spans="2:8" hidden="1" x14ac:dyDescent="0.25">
      <c r="B60" s="823">
        <v>48</v>
      </c>
      <c r="C60" s="821" t="s">
        <v>1011</v>
      </c>
      <c r="F60" s="819" t="s">
        <v>961</v>
      </c>
      <c r="G60" s="819">
        <v>2000</v>
      </c>
      <c r="H60" s="819" t="s">
        <v>962</v>
      </c>
    </row>
    <row r="61" spans="2:8" ht="37.5" hidden="1" x14ac:dyDescent="0.25">
      <c r="B61" s="823">
        <v>49</v>
      </c>
      <c r="C61" s="821" t="s">
        <v>1008</v>
      </c>
      <c r="D61" s="819" t="s">
        <v>53</v>
      </c>
      <c r="E61" s="819" t="s">
        <v>963</v>
      </c>
      <c r="F61" s="819" t="s">
        <v>964</v>
      </c>
      <c r="G61" s="819">
        <v>2001</v>
      </c>
      <c r="H61" s="819" t="s">
        <v>965</v>
      </c>
    </row>
    <row r="62" spans="2:8" hidden="1" x14ac:dyDescent="0.25">
      <c r="B62" s="823">
        <v>49</v>
      </c>
      <c r="C62" s="821" t="s">
        <v>1008</v>
      </c>
      <c r="F62" s="819" t="s">
        <v>964</v>
      </c>
      <c r="G62" s="819">
        <v>1997</v>
      </c>
      <c r="H62" s="819" t="s">
        <v>966</v>
      </c>
    </row>
    <row r="63" spans="2:8" ht="25" hidden="1" x14ac:dyDescent="0.25">
      <c r="B63" s="823">
        <v>49</v>
      </c>
      <c r="C63" s="821" t="s">
        <v>1008</v>
      </c>
      <c r="F63" s="819" t="s">
        <v>967</v>
      </c>
      <c r="G63" s="819">
        <v>2001</v>
      </c>
      <c r="H63" s="819" t="s">
        <v>968</v>
      </c>
    </row>
    <row r="64" spans="2:8" ht="37.5" hidden="1" x14ac:dyDescent="0.25">
      <c r="B64" s="823">
        <v>49</v>
      </c>
      <c r="C64" s="821" t="s">
        <v>1008</v>
      </c>
      <c r="F64" s="819" t="s">
        <v>969</v>
      </c>
      <c r="G64" s="819">
        <v>2009</v>
      </c>
      <c r="H64" s="819" t="s">
        <v>970</v>
      </c>
    </row>
    <row r="65" spans="2:8" ht="25" hidden="1" x14ac:dyDescent="0.25">
      <c r="B65" s="823">
        <v>49</v>
      </c>
      <c r="C65" s="821" t="s">
        <v>1008</v>
      </c>
      <c r="F65" s="819" t="s">
        <v>971</v>
      </c>
      <c r="G65" s="819">
        <v>2005</v>
      </c>
      <c r="H65" s="819" t="s">
        <v>972</v>
      </c>
    </row>
    <row r="66" spans="2:8" ht="25" hidden="1" x14ac:dyDescent="0.25">
      <c r="B66" s="823">
        <v>49</v>
      </c>
      <c r="C66" s="821" t="s">
        <v>1008</v>
      </c>
      <c r="F66" s="819" t="s">
        <v>973</v>
      </c>
      <c r="G66" s="819">
        <v>2008</v>
      </c>
      <c r="H66" s="819" t="s">
        <v>974</v>
      </c>
    </row>
    <row r="67" spans="2:8" ht="62.5" hidden="1" x14ac:dyDescent="0.25">
      <c r="B67" s="823">
        <v>50</v>
      </c>
      <c r="C67" s="821" t="s">
        <v>1008</v>
      </c>
      <c r="D67" s="819" t="s">
        <v>54</v>
      </c>
      <c r="E67" s="819" t="s">
        <v>975</v>
      </c>
      <c r="F67" s="819" t="s">
        <v>967</v>
      </c>
      <c r="G67" s="819">
        <v>2000</v>
      </c>
      <c r="H67" s="819" t="s">
        <v>962</v>
      </c>
    </row>
    <row r="68" spans="2:8" hidden="1" x14ac:dyDescent="0.25">
      <c r="B68" s="823">
        <v>50</v>
      </c>
      <c r="C68" s="821" t="s">
        <v>1008</v>
      </c>
      <c r="F68" s="819" t="s">
        <v>976</v>
      </c>
      <c r="G68" s="819">
        <v>2006</v>
      </c>
      <c r="H68" s="819" t="s">
        <v>977</v>
      </c>
    </row>
    <row r="69" spans="2:8" ht="50" hidden="1" x14ac:dyDescent="0.25">
      <c r="B69" s="823">
        <v>50</v>
      </c>
      <c r="C69" s="821" t="s">
        <v>1008</v>
      </c>
      <c r="F69" s="819" t="s">
        <v>978</v>
      </c>
      <c r="G69" s="819">
        <v>2007</v>
      </c>
      <c r="H69" s="819" t="s">
        <v>979</v>
      </c>
    </row>
    <row r="70" spans="2:8" ht="25" hidden="1" x14ac:dyDescent="0.25">
      <c r="B70" s="823">
        <v>51</v>
      </c>
      <c r="C70" s="821" t="s">
        <v>1008</v>
      </c>
      <c r="D70" s="819" t="s">
        <v>55</v>
      </c>
      <c r="E70" s="819" t="s">
        <v>980</v>
      </c>
      <c r="F70" s="819" t="s">
        <v>981</v>
      </c>
      <c r="G70" s="819">
        <v>1997</v>
      </c>
      <c r="H70" s="819" t="s">
        <v>982</v>
      </c>
    </row>
    <row r="71" spans="2:8" ht="37.5" hidden="1" x14ac:dyDescent="0.25">
      <c r="B71" s="823">
        <v>52</v>
      </c>
      <c r="C71" s="821" t="s">
        <v>1008</v>
      </c>
      <c r="D71" s="819" t="s">
        <v>56</v>
      </c>
      <c r="E71" s="819" t="s">
        <v>983</v>
      </c>
      <c r="F71" s="819" t="s">
        <v>984</v>
      </c>
      <c r="G71" s="819">
        <v>2007</v>
      </c>
      <c r="H71" s="819" t="s">
        <v>985</v>
      </c>
    </row>
    <row r="72" spans="2:8" hidden="1" x14ac:dyDescent="0.25">
      <c r="B72" s="823">
        <v>52</v>
      </c>
      <c r="C72" s="821" t="s">
        <v>1008</v>
      </c>
      <c r="F72" s="819" t="s">
        <v>986</v>
      </c>
      <c r="G72" s="819">
        <v>2003</v>
      </c>
      <c r="H72" s="819" t="s">
        <v>987</v>
      </c>
    </row>
    <row r="73" spans="2:8" ht="37.5" hidden="1" x14ac:dyDescent="0.25">
      <c r="B73" s="823">
        <v>53</v>
      </c>
      <c r="C73" s="821" t="s">
        <v>1008</v>
      </c>
      <c r="D73" s="819" t="s">
        <v>57</v>
      </c>
      <c r="E73" s="819" t="s">
        <v>988</v>
      </c>
      <c r="F73" s="819" t="s">
        <v>984</v>
      </c>
      <c r="G73" s="819">
        <v>2007</v>
      </c>
      <c r="H73" s="819" t="s">
        <v>985</v>
      </c>
    </row>
    <row r="74" spans="2:8" ht="50" hidden="1" x14ac:dyDescent="0.25">
      <c r="B74" s="823">
        <v>53</v>
      </c>
      <c r="C74" s="821" t="s">
        <v>1008</v>
      </c>
      <c r="F74" s="819" t="s">
        <v>989</v>
      </c>
      <c r="G74" s="819">
        <v>2001</v>
      </c>
      <c r="H74" s="819" t="s">
        <v>990</v>
      </c>
    </row>
    <row r="75" spans="2:8" ht="25" hidden="1" x14ac:dyDescent="0.25">
      <c r="B75" s="823">
        <v>53</v>
      </c>
      <c r="C75" s="821" t="s">
        <v>1008</v>
      </c>
      <c r="F75" s="819" t="s">
        <v>869</v>
      </c>
      <c r="G75" s="819">
        <v>2007</v>
      </c>
      <c r="H75" s="819" t="s">
        <v>991</v>
      </c>
    </row>
    <row r="76" spans="2:8" hidden="1" x14ac:dyDescent="0.25">
      <c r="B76" s="823">
        <v>53</v>
      </c>
      <c r="C76" s="821" t="s">
        <v>1008</v>
      </c>
      <c r="F76" s="819" t="s">
        <v>992</v>
      </c>
      <c r="G76" s="819">
        <v>2008</v>
      </c>
      <c r="H76" s="819" t="s">
        <v>993</v>
      </c>
    </row>
    <row r="77" spans="2:8" ht="37.5" hidden="1" x14ac:dyDescent="0.25">
      <c r="B77" s="823">
        <v>54</v>
      </c>
      <c r="C77" s="821" t="s">
        <v>1008</v>
      </c>
      <c r="D77" s="819" t="s">
        <v>58</v>
      </c>
      <c r="E77" s="819" t="s">
        <v>994</v>
      </c>
      <c r="F77" s="819" t="s">
        <v>995</v>
      </c>
      <c r="G77" s="819">
        <v>2008</v>
      </c>
      <c r="H77" s="819" t="s">
        <v>996</v>
      </c>
    </row>
    <row r="78" spans="2:8" ht="25" hidden="1" x14ac:dyDescent="0.25">
      <c r="B78" s="823">
        <v>54</v>
      </c>
      <c r="C78" s="821" t="s">
        <v>1008</v>
      </c>
      <c r="F78" s="819" t="s">
        <v>997</v>
      </c>
      <c r="G78" s="819">
        <v>2008</v>
      </c>
      <c r="H78" s="819" t="s">
        <v>945</v>
      </c>
    </row>
    <row r="79" spans="2:8" ht="25" hidden="1" x14ac:dyDescent="0.25">
      <c r="B79" s="823">
        <v>54</v>
      </c>
      <c r="C79" s="821" t="s">
        <v>1008</v>
      </c>
      <c r="F79" s="819" t="s">
        <v>998</v>
      </c>
      <c r="G79" s="819">
        <v>2010</v>
      </c>
      <c r="H79" s="819" t="s">
        <v>999</v>
      </c>
    </row>
  </sheetData>
  <autoFilter ref="B2:H79">
    <filterColumn colId="1">
      <filters>
        <filter val="Plastic"/>
      </filters>
    </filterColumn>
    <filterColumn colId="2">
      <customFilters>
        <customFilter operator="notEqual" val=" "/>
      </customFilters>
    </filterColumn>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3:N107"/>
  <sheetViews>
    <sheetView showRowColHeaders="0" zoomScale="70" zoomScaleNormal="70" workbookViewId="0">
      <selection activeCell="G103" sqref="G103"/>
    </sheetView>
  </sheetViews>
  <sheetFormatPr defaultRowHeight="12.5" x14ac:dyDescent="0.25"/>
  <cols>
    <col min="3" max="3" width="29.1796875" bestFit="1" customWidth="1"/>
    <col min="4" max="4" width="20.26953125" customWidth="1"/>
    <col min="5" max="5" width="18.7265625" bestFit="1" customWidth="1"/>
    <col min="6" max="6" width="15.26953125" customWidth="1"/>
    <col min="7" max="7" width="17" bestFit="1" customWidth="1"/>
    <col min="8" max="8" width="17.54296875" bestFit="1" customWidth="1"/>
    <col min="9" max="9" width="16.453125" bestFit="1" customWidth="1"/>
    <col min="10" max="10" width="16.81640625" bestFit="1" customWidth="1"/>
    <col min="11" max="11" width="11.81640625" bestFit="1" customWidth="1"/>
    <col min="12" max="12" width="13.453125" bestFit="1" customWidth="1"/>
    <col min="13" max="13" width="12.7265625" bestFit="1" customWidth="1"/>
  </cols>
  <sheetData>
    <row r="3" spans="3:7" x14ac:dyDescent="0.25">
      <c r="C3" s="21" t="s">
        <v>348</v>
      </c>
    </row>
    <row r="4" spans="3:7" ht="13" thickBot="1" x14ac:dyDescent="0.3"/>
    <row r="5" spans="3:7" x14ac:dyDescent="0.25">
      <c r="C5" s="286"/>
      <c r="D5" s="287" t="s">
        <v>347</v>
      </c>
      <c r="E5" s="288"/>
      <c r="F5" s="289"/>
      <c r="G5" s="290"/>
    </row>
    <row r="6" spans="3:7" ht="20.5" x14ac:dyDescent="0.25">
      <c r="C6" s="291"/>
      <c r="D6" s="292"/>
      <c r="E6" s="293" t="s">
        <v>94</v>
      </c>
      <c r="F6" s="294"/>
      <c r="G6" s="295"/>
    </row>
    <row r="7" spans="3:7" x14ac:dyDescent="0.25">
      <c r="C7" s="296"/>
      <c r="D7" s="120" t="s">
        <v>345</v>
      </c>
      <c r="E7" s="297">
        <f>VLOOKUP(D7,[1]!AvoidedUtilityRatio,2,FALSE)</f>
        <v>0.11090288103745255</v>
      </c>
      <c r="F7" s="298"/>
      <c r="G7" s="299"/>
    </row>
    <row r="8" spans="3:7" x14ac:dyDescent="0.25">
      <c r="C8" s="296"/>
      <c r="D8" s="21" t="s">
        <v>296</v>
      </c>
      <c r="E8" s="297">
        <f>VLOOKUP(D8,[1]!AvoidedUtilityRatio,2,FALSE)</f>
        <v>7.5875281375367018E-2</v>
      </c>
      <c r="F8" s="298"/>
      <c r="G8" s="299"/>
    </row>
    <row r="9" spans="3:7" x14ac:dyDescent="0.25">
      <c r="C9" s="296"/>
      <c r="D9" s="8" t="s">
        <v>355</v>
      </c>
      <c r="E9" s="297">
        <f>VLOOKUP(D9,[1]!AvoidedUtilityRatio,2,FALSE)</f>
        <v>0.11535295101396988</v>
      </c>
      <c r="F9" s="298"/>
      <c r="G9" s="299"/>
    </row>
    <row r="10" spans="3:7" x14ac:dyDescent="0.25">
      <c r="C10" s="296"/>
      <c r="D10" s="21" t="s">
        <v>299</v>
      </c>
      <c r="E10" s="297">
        <f>VLOOKUP(D10,[1]!AvoidedUtilityRatio,2,FALSE)</f>
        <v>0.14751568728252062</v>
      </c>
      <c r="F10" s="298"/>
      <c r="G10" s="299"/>
    </row>
    <row r="11" spans="3:7" x14ac:dyDescent="0.25">
      <c r="C11" s="296"/>
      <c r="D11" s="21" t="s">
        <v>301</v>
      </c>
      <c r="E11" s="297">
        <f>VLOOKUP(D11,[1]!AvoidedUtilityRatio,2,FALSE)</f>
        <v>9.6632068441983035E-2</v>
      </c>
      <c r="F11" s="298"/>
      <c r="G11" s="299"/>
    </row>
    <row r="12" spans="3:7" x14ac:dyDescent="0.25">
      <c r="C12" s="300"/>
      <c r="D12" s="21" t="s">
        <v>297</v>
      </c>
      <c r="E12" s="297">
        <f>VLOOKUP(D12,[1]!AvoidedUtilityRatio,2,FALSE)</f>
        <v>0.13306776455625988</v>
      </c>
      <c r="F12" s="301"/>
      <c r="G12" s="302"/>
    </row>
    <row r="13" spans="3:7" x14ac:dyDescent="0.25">
      <c r="C13" s="296"/>
      <c r="D13" s="21" t="s">
        <v>293</v>
      </c>
      <c r="E13" s="297">
        <f>VLOOKUP(D13,[1]!AvoidedUtilityRatio,2,FALSE)</f>
        <v>0.11898457866498025</v>
      </c>
      <c r="F13" s="298"/>
      <c r="G13" s="299"/>
    </row>
    <row r="14" spans="3:7" x14ac:dyDescent="0.25">
      <c r="C14" s="296"/>
      <c r="D14" t="s">
        <v>356</v>
      </c>
      <c r="E14" s="297">
        <f>VLOOKUP(D14,[1]!AvoidedUtilityRatio,2,FALSE)</f>
        <v>7.8364180248966908E-2</v>
      </c>
      <c r="F14" s="298"/>
      <c r="G14" s="299"/>
    </row>
    <row r="15" spans="3:7" x14ac:dyDescent="0.25">
      <c r="C15" s="296"/>
      <c r="D15" s="21" t="s">
        <v>294</v>
      </c>
      <c r="E15" s="297">
        <f>VLOOKUP(D15,[1]!AvoidedUtilityRatio,2,FALSE)</f>
        <v>0.10173622401482413</v>
      </c>
      <c r="F15" s="298"/>
      <c r="G15" s="299"/>
    </row>
    <row r="16" spans="3:7" x14ac:dyDescent="0.25">
      <c r="C16" s="296"/>
      <c r="D16" t="s">
        <v>357</v>
      </c>
      <c r="E16" s="297">
        <f>VLOOKUP(D16,[1]!AvoidedUtilityRatio,2,FALSE)</f>
        <v>0.11591847352919414</v>
      </c>
      <c r="F16" s="298"/>
      <c r="G16" s="299"/>
    </row>
    <row r="17" spans="2:14" ht="13" thickBot="1" x14ac:dyDescent="0.3">
      <c r="C17" s="303"/>
      <c r="D17" s="304"/>
      <c r="E17" s="304"/>
      <c r="F17" s="304"/>
      <c r="G17" s="305"/>
    </row>
    <row r="21" spans="2:14" x14ac:dyDescent="0.25">
      <c r="C21" s="21" t="s">
        <v>349</v>
      </c>
    </row>
    <row r="22" spans="2:14" ht="13" thickBot="1" x14ac:dyDescent="0.3">
      <c r="C22" s="21"/>
    </row>
    <row r="23" spans="2:14" ht="13" x14ac:dyDescent="0.3">
      <c r="C23" s="306"/>
      <c r="D23" s="307" t="s">
        <v>114</v>
      </c>
      <c r="E23" s="132"/>
      <c r="F23" s="132"/>
      <c r="G23" s="132"/>
      <c r="H23" s="132"/>
      <c r="I23" s="132"/>
      <c r="J23" s="132"/>
      <c r="K23" s="132"/>
      <c r="L23" s="132"/>
      <c r="M23" s="132"/>
      <c r="N23" s="308"/>
    </row>
    <row r="24" spans="2:14" ht="13" x14ac:dyDescent="0.3">
      <c r="C24" s="89"/>
      <c r="D24" s="65"/>
      <c r="E24" s="3"/>
      <c r="F24" s="3"/>
      <c r="G24" s="3"/>
      <c r="H24" s="3"/>
      <c r="I24" s="3"/>
      <c r="J24" s="3"/>
      <c r="K24" s="3"/>
      <c r="L24" s="3"/>
      <c r="M24" s="3"/>
      <c r="N24" s="133"/>
    </row>
    <row r="25" spans="2:14" x14ac:dyDescent="0.25">
      <c r="C25" s="89"/>
      <c r="D25" s="120" t="s">
        <v>345</v>
      </c>
      <c r="E25" s="3" t="s">
        <v>354</v>
      </c>
      <c r="F25" s="25" t="s">
        <v>355</v>
      </c>
      <c r="G25" s="120" t="s">
        <v>299</v>
      </c>
      <c r="H25" s="120" t="s">
        <v>301</v>
      </c>
      <c r="I25" s="120" t="s">
        <v>297</v>
      </c>
      <c r="J25" s="120" t="s">
        <v>293</v>
      </c>
      <c r="K25" s="3" t="s">
        <v>356</v>
      </c>
      <c r="L25" s="120" t="s">
        <v>294</v>
      </c>
      <c r="M25" s="3" t="s">
        <v>357</v>
      </c>
      <c r="N25" s="133"/>
    </row>
    <row r="26" spans="2:14" x14ac:dyDescent="0.25">
      <c r="B26">
        <v>1</v>
      </c>
      <c r="C26" s="89" t="s">
        <v>515</v>
      </c>
      <c r="D26" s="309">
        <f>VLOOKUP($C26,[1]!Avoided_utility_national,8,FALSE)</f>
        <v>-2.6403430314257067E-2</v>
      </c>
      <c r="E26" s="309">
        <f>VLOOKUP($C26,[1]!Avoided_utility_pacific,8,FALSE)</f>
        <v>-1.8064162856982962E-2</v>
      </c>
      <c r="F26" s="309">
        <f>VLOOKUP($C26,[1]!Avoided_utility_mountain,8,FALSE)</f>
        <v>-2.7462889828918941E-2</v>
      </c>
      <c r="G26" s="309">
        <f>VLOOKUP($C26,[1]!Avoided_utility_wncentral,8,FALSE)</f>
        <v>-3.5120099072164172E-2</v>
      </c>
      <c r="H26" s="309">
        <f>VLOOKUP($C26,[1]!Avoided_utility_wscentral,8,FALSE)</f>
        <v>-2.3005877406997121E-2</v>
      </c>
      <c r="I26" s="309">
        <f>VLOOKUP($C26,[1]!Avoided_utility_encentral,8,FALSE)</f>
        <v>-3.1680380308142422E-2</v>
      </c>
      <c r="J26" s="309">
        <f>VLOOKUP($C26,[1]!Avoided_utility_escentral,8,FALSE)</f>
        <v>-2.8327497012373439E-2</v>
      </c>
      <c r="K26" s="309">
        <f>VLOOKUP($C26,[1]!Avoided_utility_newengland,8,FALSE)</f>
        <v>-1.8656712548691463E-2</v>
      </c>
      <c r="L26" s="309">
        <f>VLOOKUP($C26,[1]!Avoided_utility_midatlantic,8,FALSE)</f>
        <v>-2.422105968828632E-2</v>
      </c>
      <c r="M26" s="309">
        <f>VLOOKUP($C26,[1]!Avoided_utility_satlantic,8,FALSE)</f>
        <v>-2.7597527758810275E-2</v>
      </c>
      <c r="N26" s="133"/>
    </row>
    <row r="27" spans="2:14" x14ac:dyDescent="0.25">
      <c r="B27">
        <v>2</v>
      </c>
      <c r="C27" s="89" t="s">
        <v>516</v>
      </c>
      <c r="D27" s="309">
        <f>VLOOKUP($C27,[1]!Avoided_utility_national,8,FALSE)</f>
        <v>-1.6551404077593979E-2</v>
      </c>
      <c r="E27" s="309">
        <f>VLOOKUP($C27,[1]!Avoided_utility_pacific,8,FALSE)</f>
        <v>-1.1323803581989316E-2</v>
      </c>
      <c r="F27" s="309">
        <f>VLOOKUP($C27,[1]!Avoided_utility_mountain,8,FALSE)</f>
        <v>-1.7215542877829781E-2</v>
      </c>
      <c r="G27" s="309">
        <f>VLOOKUP($C27,[1]!Avoided_utility_wncentral,8,FALSE)</f>
        <v>-2.2015584492998435E-2</v>
      </c>
      <c r="H27" s="309">
        <f>VLOOKUP($C27,[1]!Avoided_utility_wscentral,8,FALSE)</f>
        <v>-1.4421594792445954E-2</v>
      </c>
      <c r="I27" s="309">
        <f>VLOOKUP($C27,[1]!Avoided_utility_encentral,8,FALSE)</f>
        <v>-1.9859342879731068E-2</v>
      </c>
      <c r="J27" s="309">
        <f>VLOOKUP($C27,[1]!Avoided_utility_escentral,8,FALSE)</f>
        <v>-1.7757535440592304E-2</v>
      </c>
      <c r="K27" s="309">
        <f>VLOOKUP($C27,[1]!Avoided_utility_newengland,8,FALSE)</f>
        <v>-1.1695252642463303E-2</v>
      </c>
      <c r="L27" s="309">
        <f>VLOOKUP($C27,[1]!Avoided_utility_midatlantic,8,FALSE)</f>
        <v>-1.5183350849373512E-2</v>
      </c>
      <c r="M27" s="309">
        <f>VLOOKUP($C27,[1]!Avoided_utility_satlantic,8,FALSE)</f>
        <v>-1.7299942774179573E-2</v>
      </c>
      <c r="N27" s="133"/>
    </row>
    <row r="28" spans="2:14" x14ac:dyDescent="0.25">
      <c r="B28">
        <v>3</v>
      </c>
      <c r="C28" s="89" t="s">
        <v>438</v>
      </c>
      <c r="D28" s="309">
        <f>VLOOKUP($C28,[1]!Avoided_utility_national,8,FALSE)</f>
        <v>-2.1477417195925524E-2</v>
      </c>
      <c r="E28" s="309">
        <f>VLOOKUP($C28,[1]!Avoided_utility_pacific,8,FALSE)</f>
        <v>-1.469398321948614E-2</v>
      </c>
      <c r="F28" s="309">
        <f>VLOOKUP($C28,[1]!Avoided_utility_mountain,8,FALSE)</f>
        <v>-2.2339216353374363E-2</v>
      </c>
      <c r="G28" s="309">
        <f>VLOOKUP($C28,[1]!Avoided_utility_wncentral,8,FALSE)</f>
        <v>-2.8567841782581305E-2</v>
      </c>
      <c r="H28" s="309">
        <f>VLOOKUP($C28,[1]!Avoided_utility_wscentral,8,FALSE)</f>
        <v>-1.8713736099721538E-2</v>
      </c>
      <c r="I28" s="309">
        <f>VLOOKUP($C28,[1]!Avoided_utility_encentral,8,FALSE)</f>
        <v>-2.5769861593936745E-2</v>
      </c>
      <c r="J28" s="309">
        <f>VLOOKUP($C28,[1]!Avoided_utility_escentral,8,FALSE)</f>
        <v>-2.3042516226482873E-2</v>
      </c>
      <c r="K28" s="309">
        <f>VLOOKUP($C28,[1]!Avoided_utility_newengland,8,FALSE)</f>
        <v>-1.5175982595577384E-2</v>
      </c>
      <c r="L28" s="309">
        <f>VLOOKUP($C28,[1]!Avoided_utility_midatlantic,8,FALSE)</f>
        <v>-1.9702205268829917E-2</v>
      </c>
      <c r="M28" s="309">
        <f>VLOOKUP($C28,[1]!Avoided_utility_satlantic,8,FALSE)</f>
        <v>-2.2448735266494924E-2</v>
      </c>
      <c r="N28" s="133"/>
    </row>
    <row r="29" spans="2:14" x14ac:dyDescent="0.25">
      <c r="B29">
        <v>4</v>
      </c>
      <c r="C29" s="89" t="s">
        <v>517</v>
      </c>
      <c r="D29" s="309">
        <f>VLOOKUP($C29,[1]!Avoided_utility_national,8,FALSE)</f>
        <v>-1.8521809324926596E-2</v>
      </c>
      <c r="E29" s="309">
        <f>VLOOKUP($C29,[1]!Avoided_utility_pacific,8,FALSE)</f>
        <v>-1.2671875436988046E-2</v>
      </c>
      <c r="F29" s="309">
        <f>VLOOKUP($C29,[1]!Avoided_utility_mountain,8,FALSE)</f>
        <v>-1.9265012268047613E-2</v>
      </c>
      <c r="G29" s="309">
        <f>VLOOKUP($C29,[1]!Avoided_utility_wncentral,8,FALSE)</f>
        <v>-2.4636487408831582E-2</v>
      </c>
      <c r="H29" s="309">
        <f>VLOOKUP($C29,[1]!Avoided_utility_wscentral,8,FALSE)</f>
        <v>-1.6138451315356187E-2</v>
      </c>
      <c r="I29" s="309">
        <f>VLOOKUP($C29,[1]!Avoided_utility_encentral,8,FALSE)</f>
        <v>-2.2223550365413337E-2</v>
      </c>
      <c r="J29" s="309">
        <f>VLOOKUP($C29,[1]!Avoided_utility_escentral,8,FALSE)</f>
        <v>-1.9871527754948531E-2</v>
      </c>
      <c r="K29" s="309">
        <f>VLOOKUP($C29,[1]!Avoided_utility_newengland,8,FALSE)</f>
        <v>-1.3087544623708935E-2</v>
      </c>
      <c r="L29" s="309">
        <f>VLOOKUP($C29,[1]!Avoided_utility_midatlantic,8,FALSE)</f>
        <v>-1.6990892617156073E-2</v>
      </c>
      <c r="M29" s="309">
        <f>VLOOKUP($C29,[1]!Avoided_utility_satlantic,8,FALSE)</f>
        <v>-1.9359459771105713E-2</v>
      </c>
      <c r="N29" s="133"/>
    </row>
    <row r="30" spans="2:14" x14ac:dyDescent="0.25">
      <c r="B30">
        <v>5</v>
      </c>
      <c r="C30" s="89" t="s">
        <v>518</v>
      </c>
      <c r="D30" s="309">
        <f>VLOOKUP($C30,[1]!Avoided_utility_national,8,FALSE)</f>
        <v>1.5751419547176937</v>
      </c>
      <c r="E30" s="309">
        <f>VLOOKUP($C30,[1]!Avoided_utility_pacific,8,FALSE)</f>
        <v>1.0776486408859833</v>
      </c>
      <c r="F30" s="309">
        <f>VLOOKUP($C30,[1]!Avoided_utility_mountain,8,FALSE)</f>
        <v>1.6383458305401342</v>
      </c>
      <c r="G30" s="309">
        <f>VLOOKUP($C30,[1]!Avoided_utility_wncentral,8,FALSE)</f>
        <v>2.0951497909170178</v>
      </c>
      <c r="H30" s="309">
        <f>VLOOKUP($C30,[1]!Avoided_utility_wscentral,8,FALSE)</f>
        <v>1.37245510441444</v>
      </c>
      <c r="I30" s="309">
        <f>VLOOKUP($C30,[1]!Avoided_utility_encentral,8,FALSE)</f>
        <v>1.8899474640544067</v>
      </c>
      <c r="J30" s="309">
        <f>VLOOKUP($C30,[1]!Avoided_utility_escentral,8,FALSE)</f>
        <v>1.6899254560963677</v>
      </c>
      <c r="K30" s="309">
        <f>VLOOKUP($C30,[1]!Avoided_utility_newengland,8,FALSE)</f>
        <v>1.1129982098077578</v>
      </c>
      <c r="L30" s="309">
        <f>VLOOKUP($C30,[1]!Avoided_utility_midatlantic,8,FALSE)</f>
        <v>1.4449488891653792</v>
      </c>
      <c r="M30" s="309">
        <f>VLOOKUP($C30,[1]!Avoided_utility_satlantic,8,FALSE)</f>
        <v>1.6463778873427561</v>
      </c>
      <c r="N30" s="133"/>
    </row>
    <row r="31" spans="2:14" x14ac:dyDescent="0.25">
      <c r="B31">
        <v>6</v>
      </c>
      <c r="C31" s="89" t="s">
        <v>519</v>
      </c>
      <c r="D31" s="309">
        <f>VLOOKUP($C31,[1]!Avoided_utility_national,8,FALSE)</f>
        <v>1.566629804049217</v>
      </c>
      <c r="E31" s="309">
        <f>VLOOKUP($C31,[1]!Avoided_utility_pacific,8,FALSE)</f>
        <v>1.071824970472389</v>
      </c>
      <c r="F31" s="309">
        <f>VLOOKUP($C31,[1]!Avoided_utility_mountain,8,FALSE)</f>
        <v>1.6294921227743933</v>
      </c>
      <c r="G31" s="309">
        <f>VLOOKUP($C31,[1]!Avoided_utility_wncentral,8,FALSE)</f>
        <v>2.0838274903206186</v>
      </c>
      <c r="H31" s="309">
        <f>VLOOKUP($C31,[1]!Avoided_utility_wscentral,8,FALSE)</f>
        <v>1.3650382842354678</v>
      </c>
      <c r="I31" s="309">
        <f>VLOOKUP($C31,[1]!Avoided_utility_encentral,8,FALSE)</f>
        <v>1.8797340877162594</v>
      </c>
      <c r="J31" s="309">
        <f>VLOOKUP($C31,[1]!Avoided_utility_escentral,8,FALSE)</f>
        <v>1.6807930092983487</v>
      </c>
      <c r="K31" s="309">
        <f>VLOOKUP($C31,[1]!Avoided_utility_newengland,8,FALSE)</f>
        <v>1.1069835084487767</v>
      </c>
      <c r="L31" s="309">
        <f>VLOOKUP($C31,[1]!Avoided_utility_midatlantic,8,FALSE)</f>
        <v>1.4371403087285588</v>
      </c>
      <c r="M31" s="309">
        <f>VLOOKUP($C31,[1]!Avoided_utility_satlantic,8,FALSE)</f>
        <v>1.6374807739160353</v>
      </c>
      <c r="N31" s="133"/>
    </row>
    <row r="32" spans="2:14" x14ac:dyDescent="0.25">
      <c r="B32">
        <v>7</v>
      </c>
      <c r="C32" s="89" t="s">
        <v>520</v>
      </c>
      <c r="D32" s="309">
        <f>VLOOKUP($C32,[1]!Avoided_utility_national,8,FALSE)</f>
        <v>0.83545182486902958</v>
      </c>
      <c r="E32" s="309">
        <f>VLOOKUP($C32,[1]!Avoided_utility_pacific,8,FALSE)</f>
        <v>0.57158246651946076</v>
      </c>
      <c r="F32" s="309">
        <f>VLOOKUP($C32,[1]!Avoided_utility_mountain,8,FALSE)</f>
        <v>0.8689750214523605</v>
      </c>
      <c r="G32" s="309">
        <f>VLOOKUP($C32,[1]!Avoided_utility_wncentral,8,FALSE)</f>
        <v>1.1112628363132544</v>
      </c>
      <c r="H32" s="309">
        <f>VLOOKUP($C32,[1]!Avoided_utility_wscentral,8,FALSE)</f>
        <v>0.72794716571393869</v>
      </c>
      <c r="I32" s="309">
        <f>VLOOKUP($C32,[1]!Avoided_utility_encentral,8,FALSE)</f>
        <v>1.0024239739292826</v>
      </c>
      <c r="J32" s="309">
        <f>VLOOKUP($C32,[1]!Avoided_utility_escentral,8,FALSE)</f>
        <v>0.89633274128704021</v>
      </c>
      <c r="K32" s="309">
        <f>VLOOKUP($C32,[1]!Avoided_utility_newengland,8,FALSE)</f>
        <v>0.59033180004814778</v>
      </c>
      <c r="L32" s="309">
        <f>VLOOKUP($C32,[1]!Avoided_utility_midatlantic,8,FALSE)</f>
        <v>0.7663977095398059</v>
      </c>
      <c r="M32" s="309">
        <f>VLOOKUP($C32,[1]!Avoided_utility_satlantic,8,FALSE)</f>
        <v>0.87323520669668331</v>
      </c>
      <c r="N32" s="133"/>
    </row>
    <row r="33" spans="2:14" x14ac:dyDescent="0.25">
      <c r="B33">
        <v>8</v>
      </c>
      <c r="C33" s="89" t="s">
        <v>59</v>
      </c>
      <c r="D33" s="309">
        <f>VLOOKUP($C33,[1]!Avoided_utility_national,8,FALSE)</f>
        <v>0.55510256627854482</v>
      </c>
      <c r="E33" s="309">
        <f>VLOOKUP($C33,[1]!Avoided_utility_pacific,8,FALSE)</f>
        <v>0.3797788029902418</v>
      </c>
      <c r="F33" s="309">
        <f>VLOOKUP($C33,[1]!Avoided_utility_mountain,8,FALSE)</f>
        <v>0.57737651661216749</v>
      </c>
      <c r="G33" s="309">
        <f>VLOOKUP($C33,[1]!Avoided_utility_wncentral,8,FALSE)</f>
        <v>0.73836076944851425</v>
      </c>
      <c r="H33" s="309">
        <f>VLOOKUP($C33,[1]!Avoided_utility_wscentral,8,FALSE)</f>
        <v>0.48367281963427083</v>
      </c>
      <c r="I33" s="309">
        <f>VLOOKUP($C33,[1]!Avoided_utility_encentral,8,FALSE)</f>
        <v>0.66604453286640919</v>
      </c>
      <c r="J33" s="309">
        <f>VLOOKUP($C33,[1]!Avoided_utility_escentral,8,FALSE)</f>
        <v>0.59555391480043629</v>
      </c>
      <c r="K33" s="309">
        <f>VLOOKUP($C33,[1]!Avoided_utility_newengland,8,FALSE)</f>
        <v>0.39223649695651935</v>
      </c>
      <c r="L33" s="309">
        <f>VLOOKUP($C33,[1]!Avoided_utility_midatlantic,8,FALSE)</f>
        <v>0.50922066681970324</v>
      </c>
      <c r="M33" s="309">
        <f>VLOOKUP($C33,[1]!Avoided_utility_satlantic,8,FALSE)</f>
        <v>0.58020712837403221</v>
      </c>
      <c r="N33" s="133"/>
    </row>
    <row r="34" spans="2:14" x14ac:dyDescent="0.25">
      <c r="B34">
        <v>9</v>
      </c>
      <c r="C34" s="89" t="s">
        <v>128</v>
      </c>
      <c r="D34" s="309">
        <f>VLOOKUP($C34,[1]!Avoided_utility_national,8,FALSE)</f>
        <v>0.41441563161899597</v>
      </c>
      <c r="E34" s="309">
        <f>VLOOKUP($C34,[1]!Avoided_utility_pacific,8,FALSE)</f>
        <v>0.28352647254333257</v>
      </c>
      <c r="F34" s="309">
        <f>VLOOKUP($C34,[1]!Avoided_utility_mountain,8,FALSE)</f>
        <v>0.43104440215061429</v>
      </c>
      <c r="G34" s="309">
        <f>VLOOKUP($C34,[1]!Avoided_utility_wncentral,8,FALSE)</f>
        <v>0.55122830125802758</v>
      </c>
      <c r="H34" s="309">
        <f>VLOOKUP($C34,[1]!Avoided_utility_wscentral,8,FALSE)</f>
        <v>0.36108926389848017</v>
      </c>
      <c r="I34" s="309">
        <f>VLOOKUP($C34,[1]!Avoided_utility_encentral,8,FALSE)</f>
        <v>0.49724011838869508</v>
      </c>
      <c r="J34" s="309">
        <f>VLOOKUP($C34,[1]!Avoided_utility_escentral,8,FALSE)</f>
        <v>0.44461486355540164</v>
      </c>
      <c r="K34" s="309">
        <f>VLOOKUP($C34,[1]!Avoided_utility_newengland,8,FALSE)</f>
        <v>0.29282684949558124</v>
      </c>
      <c r="L34" s="309">
        <f>VLOOKUP($C34,[1]!Avoided_utility_midatlantic,8,FALSE)</f>
        <v>0.38016218460002826</v>
      </c>
      <c r="M34" s="309">
        <f>VLOOKUP($C34,[1]!Avoided_utility_satlantic,8,FALSE)</f>
        <v>0.43315761479350573</v>
      </c>
      <c r="N34" s="133"/>
    </row>
    <row r="35" spans="2:14" x14ac:dyDescent="0.25">
      <c r="B35">
        <v>10</v>
      </c>
      <c r="C35" s="89" t="s">
        <v>502</v>
      </c>
      <c r="D35" s="361">
        <f>VLOOKUP($C35,[1]!Avoided_utility_national,8,FALSE)</f>
        <v>0.62658886865177221</v>
      </c>
      <c r="E35" s="309">
        <f>VLOOKUP($C35,[1]!Avoided_utility_pacific,8,FALSE)</f>
        <v>0.42868684988959566</v>
      </c>
      <c r="F35" s="309">
        <f>VLOOKUP($C35,[1]!Avoided_utility_mountain,8,FALSE)</f>
        <v>0.65173126608927046</v>
      </c>
      <c r="G35" s="309">
        <f>VLOOKUP($C35,[1]!Avoided_utility_wncentral,8,FALSE)</f>
        <v>0.83344712723494085</v>
      </c>
      <c r="H35" s="309">
        <f>VLOOKUP($C35,[1]!Avoided_utility_wscentral,8,FALSE)</f>
        <v>0.54596037428545408</v>
      </c>
      <c r="I35" s="309">
        <f>VLOOKUP($C35,[1]!Avoided_utility_encentral,8,FALSE)</f>
        <v>0.75181798044696191</v>
      </c>
      <c r="J35" s="309">
        <f>VLOOKUP($C35,[1]!Avoided_utility_escentral,8,FALSE)</f>
        <v>0.67224955596528013</v>
      </c>
      <c r="K35" s="309">
        <f>VLOOKUP($C35,[1]!Avoided_utility_newengland,8,FALSE)</f>
        <v>0.44274885003611086</v>
      </c>
      <c r="L35" s="309">
        <f>VLOOKUP($C35,[1]!Avoided_utility_midatlantic,8,FALSE)</f>
        <v>0.57479828215485451</v>
      </c>
      <c r="M35" s="309">
        <f>VLOOKUP($C35,[1]!Avoided_utility_satlantic,8,FALSE)</f>
        <v>0.65492640502251254</v>
      </c>
      <c r="N35" s="133"/>
    </row>
    <row r="36" spans="2:14" x14ac:dyDescent="0.25">
      <c r="B36">
        <v>11</v>
      </c>
      <c r="C36" s="89" t="s">
        <v>514</v>
      </c>
      <c r="D36" s="361">
        <f>VLOOKUP($C36,[1]!Avoided_utility_national,8,FALSE)</f>
        <v>0.53595022727447172</v>
      </c>
      <c r="E36" s="309">
        <f>VLOOKUP($C36,[1]!Avoided_utility_pacific,8,FALSE)</f>
        <v>0.36667554455965412</v>
      </c>
      <c r="F36" s="309">
        <f>VLOOKUP($C36,[1]!Avoided_utility_mountain,8,FALSE)</f>
        <v>0.55745567413925012</v>
      </c>
      <c r="G36" s="309">
        <f>VLOOKUP($C36,[1]!Avoided_utility_wncentral,8,FALSE)</f>
        <v>0.71288559310661603</v>
      </c>
      <c r="H36" s="309">
        <f>VLOOKUP($C36,[1]!Avoided_utility_wscentral,8,FALSE)</f>
        <v>0.46698497423158331</v>
      </c>
      <c r="I36" s="309">
        <f>VLOOKUP($C36,[1]!Avoided_utility_encentral,8,FALSE)</f>
        <v>0.64306443610557751</v>
      </c>
      <c r="J36" s="309">
        <f>VLOOKUP($C36,[1]!Avoided_utility_escentral,8,FALSE)</f>
        <v>0.57500590950489372</v>
      </c>
      <c r="K36" s="309">
        <f>VLOOKUP($C36,[1]!Avoided_utility_newengland,8,FALSE)</f>
        <v>0.37870341889881176</v>
      </c>
      <c r="L36" s="309">
        <f>VLOOKUP($C36,[1]!Avoided_utility_midatlantic,8,FALSE)</f>
        <v>0.49165136083685662</v>
      </c>
      <c r="M36" s="309">
        <f>VLOOKUP($C36,[1]!Avoided_utility_satlantic,8,FALSE)</f>
        <v>0.56018862316391005</v>
      </c>
      <c r="N36" s="133"/>
    </row>
    <row r="37" spans="2:14" x14ac:dyDescent="0.25">
      <c r="B37">
        <v>12</v>
      </c>
      <c r="C37" s="89" t="s">
        <v>383</v>
      </c>
      <c r="D37" s="361">
        <f>VLOOKUP($C37,[1]!Avoided_utility_national,8,FALSE)</f>
        <v>0.62658886865177221</v>
      </c>
      <c r="E37" s="309">
        <f>VLOOKUP($C37,[1]!Avoided_utility_pacific,8,FALSE)</f>
        <v>0.42868684988959566</v>
      </c>
      <c r="F37" s="309">
        <f>VLOOKUP($C37,[1]!Avoided_utility_mountain,8,FALSE)</f>
        <v>0.65173126608927046</v>
      </c>
      <c r="G37" s="309">
        <f>VLOOKUP($C37,[1]!Avoided_utility_wncentral,8,FALSE)</f>
        <v>0.83344712723494085</v>
      </c>
      <c r="H37" s="309">
        <f>VLOOKUP($C37,[1]!Avoided_utility_wscentral,8,FALSE)</f>
        <v>0.54596037428545408</v>
      </c>
      <c r="I37" s="309">
        <f>VLOOKUP($C37,[1]!Avoided_utility_encentral,8,FALSE)</f>
        <v>0.75181798044696191</v>
      </c>
      <c r="J37" s="309">
        <f>VLOOKUP($C37,[1]!Avoided_utility_escentral,8,FALSE)</f>
        <v>0.67224955596528013</v>
      </c>
      <c r="K37" s="309">
        <f>VLOOKUP($C37,[1]!Avoided_utility_newengland,8,FALSE)</f>
        <v>0.44274885003611086</v>
      </c>
      <c r="L37" s="309">
        <f>VLOOKUP($C37,[1]!Avoided_utility_midatlantic,8,FALSE)</f>
        <v>0.57479828215485451</v>
      </c>
      <c r="M37" s="309">
        <f>VLOOKUP($C37,[1]!Avoided_utility_satlantic,8,FALSE)</f>
        <v>0.65492640502251254</v>
      </c>
      <c r="N37" s="133"/>
    </row>
    <row r="38" spans="2:14" x14ac:dyDescent="0.25">
      <c r="B38">
        <v>13</v>
      </c>
      <c r="C38" s="89" t="s">
        <v>384</v>
      </c>
      <c r="D38" s="361">
        <f>VLOOKUP($C38,[1]!Avoided_utility_national,8,FALSE)</f>
        <v>0.53595022727447172</v>
      </c>
      <c r="E38" s="309">
        <f>VLOOKUP($C38,[1]!Avoided_utility_pacific,8,FALSE)</f>
        <v>0.36667554455965412</v>
      </c>
      <c r="F38" s="309">
        <f>VLOOKUP($C38,[1]!Avoided_utility_mountain,8,FALSE)</f>
        <v>0.55745567413925012</v>
      </c>
      <c r="G38" s="309">
        <f>VLOOKUP($C38,[1]!Avoided_utility_wncentral,8,FALSE)</f>
        <v>0.71288559310661603</v>
      </c>
      <c r="H38" s="309">
        <f>VLOOKUP($C38,[1]!Avoided_utility_wscentral,8,FALSE)</f>
        <v>0.46698497423158331</v>
      </c>
      <c r="I38" s="309">
        <f>VLOOKUP($C38,[1]!Avoided_utility_encentral,8,FALSE)</f>
        <v>0.64306443610557751</v>
      </c>
      <c r="J38" s="309">
        <f>VLOOKUP($C38,[1]!Avoided_utility_escentral,8,FALSE)</f>
        <v>0.57500590950489372</v>
      </c>
      <c r="K38" s="309">
        <f>VLOOKUP($C38,[1]!Avoided_utility_newengland,8,FALSE)</f>
        <v>0.37870341889881176</v>
      </c>
      <c r="L38" s="309">
        <f>VLOOKUP($C38,[1]!Avoided_utility_midatlantic,8,FALSE)</f>
        <v>0.49165136083685662</v>
      </c>
      <c r="M38" s="309">
        <f>VLOOKUP($C38,[1]!Avoided_utility_satlantic,8,FALSE)</f>
        <v>0.56018862316391005</v>
      </c>
      <c r="N38" s="133"/>
    </row>
    <row r="39" spans="2:14" x14ac:dyDescent="0.25">
      <c r="B39">
        <v>14</v>
      </c>
      <c r="C39" s="89" t="s">
        <v>4</v>
      </c>
      <c r="D39" s="361">
        <f>VLOOKUP($C39,[1]!Avoided_utility_national,8,FALSE)</f>
        <v>0.65417454211442894</v>
      </c>
      <c r="E39" s="309">
        <f>VLOOKUP($C39,[1]!Avoided_utility_pacific,8,FALSE)</f>
        <v>0.44755985585957786</v>
      </c>
      <c r="F39" s="309">
        <f>VLOOKUP($C39,[1]!Avoided_utility_mountain,8,FALSE)</f>
        <v>0.68042383755232005</v>
      </c>
      <c r="G39" s="309">
        <f>VLOOKUP($C39,[1]!Avoided_utility_wncentral,8,FALSE)</f>
        <v>0.87013976805660498</v>
      </c>
      <c r="H39" s="309">
        <f>VLOOKUP($C39,[1]!Avoided_utility_wscentral,8,FALSE)</f>
        <v>0.56999636560619737</v>
      </c>
      <c r="I39" s="309">
        <f>VLOOKUP($C39,[1]!Avoided_utility_encentral,8,FALSE)</f>
        <v>0.78491688524651382</v>
      </c>
      <c r="J39" s="309">
        <f>VLOOKUP($C39,[1]!Avoided_utility_escentral,8,FALSE)</f>
        <v>0.70184544836626739</v>
      </c>
      <c r="K39" s="309">
        <f>VLOOKUP($C39,[1]!Avoided_utility_newengland,8,FALSE)</f>
        <v>0.46224093777354974</v>
      </c>
      <c r="L39" s="309">
        <f>VLOOKUP($C39,[1]!Avoided_utility_midatlantic,8,FALSE)</f>
        <v>0.60010386690381035</v>
      </c>
      <c r="M39" s="309">
        <f>VLOOKUP($C39,[1]!Avoided_utility_satlantic,8,FALSE)</f>
        <v>0.68375964297947855</v>
      </c>
      <c r="N39" s="133"/>
    </row>
    <row r="40" spans="2:14" x14ac:dyDescent="0.25">
      <c r="B40">
        <v>15</v>
      </c>
      <c r="C40" s="111" t="s">
        <v>558</v>
      </c>
      <c r="D40" s="361">
        <f>VLOOKUP($C40,[1]!Avoided_utility_national,8,FALSE)</f>
        <v>0.65417454211442894</v>
      </c>
      <c r="E40" s="309">
        <f>VLOOKUP($C40,[1]!Avoided_utility_pacific,8,FALSE)</f>
        <v>0.44755985585957786</v>
      </c>
      <c r="F40" s="309">
        <f>VLOOKUP($C40,[1]!Avoided_utility_mountain,8,FALSE)</f>
        <v>0.68042383755232005</v>
      </c>
      <c r="G40" s="309">
        <f>VLOOKUP($C40,[1]!Avoided_utility_wncentral,8,FALSE)</f>
        <v>0.87013976805660498</v>
      </c>
      <c r="H40" s="309">
        <f>VLOOKUP($C40,[1]!Avoided_utility_wscentral,8,FALSE)</f>
        <v>0.56999636560619737</v>
      </c>
      <c r="I40" s="309">
        <f>VLOOKUP($C40,[1]!Avoided_utility_encentral,8,FALSE)</f>
        <v>0.78491688524651382</v>
      </c>
      <c r="J40" s="309">
        <f>VLOOKUP($C40,[1]!Avoided_utility_escentral,8,FALSE)</f>
        <v>0.70184544836626739</v>
      </c>
      <c r="K40" s="309">
        <f>VLOOKUP($C40,[1]!Avoided_utility_newengland,8,FALSE)</f>
        <v>0.46224093777354974</v>
      </c>
      <c r="L40" s="309">
        <f>VLOOKUP($C40,[1]!Avoided_utility_midatlantic,8,FALSE)</f>
        <v>0.60010386690381035</v>
      </c>
      <c r="M40" s="309">
        <f>VLOOKUP($C40,[1]!Avoided_utility_satlantic,8,FALSE)</f>
        <v>0.68375964297947855</v>
      </c>
      <c r="N40" s="133"/>
    </row>
    <row r="41" spans="2:14" x14ac:dyDescent="0.25">
      <c r="B41">
        <v>16</v>
      </c>
      <c r="C41" s="111" t="s">
        <v>740</v>
      </c>
      <c r="D41" s="361">
        <f>VLOOKUP($C41,[1]!Avoided_utility_national,8,FALSE)</f>
        <v>0.1867944174471321</v>
      </c>
      <c r="E41" s="309">
        <f>VLOOKUP($C41,[1]!Avoided_utility_pacific,8,FALSE)</f>
        <v>0.12779721185387946</v>
      </c>
      <c r="F41" s="309">
        <f>VLOOKUP($C41,[1]!Avoided_utility_mountain,8,FALSE)</f>
        <v>0.19428969819265043</v>
      </c>
      <c r="G41" s="309">
        <f>VLOOKUP($C41,[1]!Avoided_utility_wncentral,8,FALSE)</f>
        <v>0.24846159642098237</v>
      </c>
      <c r="H41" s="309">
        <f>VLOOKUP($C41,[1]!Avoided_utility_wscentral,8,FALSE)</f>
        <v>0.16275799837189009</v>
      </c>
      <c r="I41" s="309">
        <f>VLOOKUP($C41,[1]!Avoided_utility_encentral,8,FALSE)</f>
        <v>0.22412686964267922</v>
      </c>
      <c r="J41" s="309">
        <f>VLOOKUP($C41,[1]!Avoided_utility_escentral,8,FALSE)</f>
        <v>0.20040647140097032</v>
      </c>
      <c r="K41" s="309">
        <f>VLOOKUP($C41,[1]!Avoided_utility_newengland,8,FALSE)</f>
        <v>0.13198927982208589</v>
      </c>
      <c r="L41" s="309">
        <f>VLOOKUP($C41,[1]!Avoided_utility_midatlantic,8,FALSE)</f>
        <v>0.17135495958578681</v>
      </c>
      <c r="M41" s="309">
        <f>VLOOKUP($C41,[1]!Avoided_utility_satlantic,8,FALSE)</f>
        <v>0.19524221130859806</v>
      </c>
      <c r="N41" s="133"/>
    </row>
    <row r="42" spans="2:14" x14ac:dyDescent="0.25">
      <c r="B42">
        <v>17</v>
      </c>
      <c r="C42" s="89" t="s">
        <v>646</v>
      </c>
      <c r="D42" s="361">
        <f>VLOOKUP($C42,[1]!Avoided_utility_national,8,FALSE)</f>
        <v>0.1867944174471321</v>
      </c>
      <c r="E42" s="309">
        <f>VLOOKUP($C42,[1]!Avoided_utility_pacific,8,FALSE)</f>
        <v>0.12779721185387946</v>
      </c>
      <c r="F42" s="309">
        <f>VLOOKUP($C42,[1]!Avoided_utility_mountain,8,FALSE)</f>
        <v>0.19428969819265043</v>
      </c>
      <c r="G42" s="309">
        <f>VLOOKUP($C42,[1]!Avoided_utility_wncentral,8,FALSE)</f>
        <v>0.24846159642098237</v>
      </c>
      <c r="H42" s="309">
        <f>VLOOKUP($C42,[1]!Avoided_utility_wscentral,8,FALSE)</f>
        <v>0.16275799837189009</v>
      </c>
      <c r="I42" s="309">
        <f>VLOOKUP($C42,[1]!Avoided_utility_encentral,8,FALSE)</f>
        <v>0.22412686964267922</v>
      </c>
      <c r="J42" s="309">
        <f>VLOOKUP($C42,[1]!Avoided_utility_escentral,8,FALSE)</f>
        <v>0.20040647140097032</v>
      </c>
      <c r="K42" s="309">
        <f>VLOOKUP($C42,[1]!Avoided_utility_newengland,8,FALSE)</f>
        <v>0.13198927982208589</v>
      </c>
      <c r="L42" s="309">
        <f>VLOOKUP($C42,[1]!Avoided_utility_midatlantic,8,FALSE)</f>
        <v>0.17135495958578681</v>
      </c>
      <c r="M42" s="309">
        <f>VLOOKUP($C42,[1]!Avoided_utility_satlantic,8,FALSE)</f>
        <v>0.19524221130859806</v>
      </c>
      <c r="N42" s="133"/>
    </row>
    <row r="43" spans="2:14" x14ac:dyDescent="0.25">
      <c r="B43">
        <v>18</v>
      </c>
      <c r="C43" s="111" t="s">
        <v>744</v>
      </c>
      <c r="D43" s="361">
        <f>VLOOKUP($C43,[1]!Avoided_utility_national,8,FALSE)</f>
        <v>0.1867944174471321</v>
      </c>
      <c r="E43" s="309">
        <f>VLOOKUP($C43,[1]!Avoided_utility_pacific,8,FALSE)</f>
        <v>0.12779721185387946</v>
      </c>
      <c r="F43" s="309">
        <f>VLOOKUP($C43,[1]!Avoided_utility_mountain,8,FALSE)</f>
        <v>0.19428969819265043</v>
      </c>
      <c r="G43" s="309">
        <f>VLOOKUP($C43,[1]!Avoided_utility_wncentral,8,FALSE)</f>
        <v>0.24846159642098237</v>
      </c>
      <c r="H43" s="309">
        <f>VLOOKUP($C43,[1]!Avoided_utility_wscentral,8,FALSE)</f>
        <v>0.16275799837189009</v>
      </c>
      <c r="I43" s="309">
        <f>VLOOKUP($C43,[1]!Avoided_utility_encentral,8,FALSE)</f>
        <v>0.22412686964267922</v>
      </c>
      <c r="J43" s="309">
        <f>VLOOKUP($C43,[1]!Avoided_utility_escentral,8,FALSE)</f>
        <v>0.20040647140097032</v>
      </c>
      <c r="K43" s="309">
        <f>VLOOKUP($C43,[1]!Avoided_utility_newengland,8,FALSE)</f>
        <v>0.13198927982208589</v>
      </c>
      <c r="L43" s="309">
        <f>VLOOKUP($C43,[1]!Avoided_utility_midatlantic,8,FALSE)</f>
        <v>0.17135495958578681</v>
      </c>
      <c r="M43" s="309">
        <f>VLOOKUP($C43,[1]!Avoided_utility_satlantic,8,FALSE)</f>
        <v>0.19524221130859806</v>
      </c>
      <c r="N43" s="133"/>
    </row>
    <row r="44" spans="2:14" x14ac:dyDescent="0.25">
      <c r="B44">
        <v>19</v>
      </c>
      <c r="C44" s="111" t="s">
        <v>741</v>
      </c>
      <c r="D44" s="361">
        <f>VLOOKUP($C44,[1]!Avoided_utility_national,8,FALSE)</f>
        <v>0.1867944174471321</v>
      </c>
      <c r="E44" s="309">
        <f>VLOOKUP($C44,[1]!Avoided_utility_pacific,8,FALSE)</f>
        <v>0.12779721185387946</v>
      </c>
      <c r="F44" s="309">
        <f>VLOOKUP($C44,[1]!Avoided_utility_mountain,8,FALSE)</f>
        <v>0.19428969819265043</v>
      </c>
      <c r="G44" s="309">
        <f>VLOOKUP($C44,[1]!Avoided_utility_wncentral,8,FALSE)</f>
        <v>0.24846159642098237</v>
      </c>
      <c r="H44" s="309">
        <f>VLOOKUP($C44,[1]!Avoided_utility_wscentral,8,FALSE)</f>
        <v>0.16275799837189009</v>
      </c>
      <c r="I44" s="309">
        <f>VLOOKUP($C44,[1]!Avoided_utility_encentral,8,FALSE)</f>
        <v>0.22412686964267922</v>
      </c>
      <c r="J44" s="309">
        <f>VLOOKUP($C44,[1]!Avoided_utility_escentral,8,FALSE)</f>
        <v>0.20040647140097032</v>
      </c>
      <c r="K44" s="309">
        <f>VLOOKUP($C44,[1]!Avoided_utility_newengland,8,FALSE)</f>
        <v>0.13198927982208589</v>
      </c>
      <c r="L44" s="309">
        <f>VLOOKUP($C44,[1]!Avoided_utility_midatlantic,8,FALSE)</f>
        <v>0.17135495958578681</v>
      </c>
      <c r="M44" s="309">
        <f>VLOOKUP($C44,[1]!Avoided_utility_satlantic,8,FALSE)</f>
        <v>0.19524221130859806</v>
      </c>
      <c r="N44" s="133"/>
    </row>
    <row r="45" spans="2:14" x14ac:dyDescent="0.25">
      <c r="B45">
        <v>20</v>
      </c>
      <c r="C45" s="111" t="s">
        <v>742</v>
      </c>
      <c r="D45" s="361">
        <f>VLOOKUP($C45,[1]!Avoided_utility_national,8,FALSE)</f>
        <v>0.1867944174471321</v>
      </c>
      <c r="E45" s="309">
        <f>VLOOKUP($C45,[1]!Avoided_utility_pacific,8,FALSE)</f>
        <v>0.12779721185387946</v>
      </c>
      <c r="F45" s="309">
        <f>VLOOKUP($C45,[1]!Avoided_utility_mountain,8,FALSE)</f>
        <v>0.19428969819265043</v>
      </c>
      <c r="G45" s="309">
        <f>VLOOKUP($C45,[1]!Avoided_utility_wncentral,8,FALSE)</f>
        <v>0.24846159642098237</v>
      </c>
      <c r="H45" s="309">
        <f>VLOOKUP($C45,[1]!Avoided_utility_wscentral,8,FALSE)</f>
        <v>0.16275799837189009</v>
      </c>
      <c r="I45" s="309">
        <f>VLOOKUP($C45,[1]!Avoided_utility_encentral,8,FALSE)</f>
        <v>0.22412686964267922</v>
      </c>
      <c r="J45" s="309">
        <f>VLOOKUP($C45,[1]!Avoided_utility_escentral,8,FALSE)</f>
        <v>0.20040647140097032</v>
      </c>
      <c r="K45" s="309">
        <f>VLOOKUP($C45,[1]!Avoided_utility_newengland,8,FALSE)</f>
        <v>0.13198927982208589</v>
      </c>
      <c r="L45" s="309">
        <f>VLOOKUP($C45,[1]!Avoided_utility_midatlantic,8,FALSE)</f>
        <v>0.17135495958578681</v>
      </c>
      <c r="M45" s="309">
        <f>VLOOKUP($C45,[1]!Avoided_utility_satlantic,8,FALSE)</f>
        <v>0.19524221130859806</v>
      </c>
      <c r="N45" s="133"/>
    </row>
    <row r="46" spans="2:14" x14ac:dyDescent="0.25">
      <c r="B46">
        <v>21</v>
      </c>
      <c r="C46" s="89" t="s">
        <v>649</v>
      </c>
      <c r="D46" s="361">
        <f>VLOOKUP($C46,[1]!Avoided_utility_national,8,FALSE)</f>
        <v>0.1867944174471321</v>
      </c>
      <c r="E46" s="444">
        <f>VLOOKUP($C46,[1]!Avoided_utility_pacific,8,FALSE)</f>
        <v>0.12779721185387946</v>
      </c>
      <c r="F46" s="444">
        <f>VLOOKUP($C46,[1]!Avoided_utility_mountain,8,FALSE)</f>
        <v>0.19428969819265043</v>
      </c>
      <c r="G46" s="444">
        <f>VLOOKUP($C46,[1]!Avoided_utility_wncentral,8,FALSE)</f>
        <v>0.24846159642098237</v>
      </c>
      <c r="H46" s="444">
        <f>VLOOKUP($C46,[1]!Avoided_utility_wscentral,8,FALSE)</f>
        <v>0.16275799837189009</v>
      </c>
      <c r="I46" s="444">
        <f>VLOOKUP($C46,[1]!Avoided_utility_encentral,8,FALSE)</f>
        <v>0.22412686964267922</v>
      </c>
      <c r="J46" s="444">
        <f>VLOOKUP($C46,[1]!Avoided_utility_escentral,8,FALSE)</f>
        <v>0.20040647140097032</v>
      </c>
      <c r="K46" s="444">
        <f>VLOOKUP($C46,[1]!Avoided_utility_newengland,8,FALSE)</f>
        <v>0.13198927982208589</v>
      </c>
      <c r="L46" s="444">
        <f>VLOOKUP($C46,[1]!Avoided_utility_midatlantic,8,FALSE)</f>
        <v>0.17135495958578681</v>
      </c>
      <c r="M46" s="444">
        <f>VLOOKUP($C46,[1]!Avoided_utility_satlantic,8,FALSE)</f>
        <v>0.19524221130859806</v>
      </c>
      <c r="N46" s="133"/>
    </row>
    <row r="47" spans="2:14" x14ac:dyDescent="0.25">
      <c r="B47">
        <v>22</v>
      </c>
      <c r="C47" s="89" t="s">
        <v>645</v>
      </c>
      <c r="D47" s="361">
        <f>VLOOKUP($C47,[1]!Avoided_utility_national,8,FALSE)</f>
        <v>0.1867944174471321</v>
      </c>
      <c r="E47" s="444">
        <f>VLOOKUP($C47,[1]!Avoided_utility_pacific,8,FALSE)</f>
        <v>0.12779721185387946</v>
      </c>
      <c r="F47" s="444">
        <f>VLOOKUP($C47,[1]!Avoided_utility_mountain,8,FALSE)</f>
        <v>0.19428969819265043</v>
      </c>
      <c r="G47" s="444">
        <f>VLOOKUP($C47,[1]!Avoided_utility_wncentral,8,FALSE)</f>
        <v>0.24846159642098237</v>
      </c>
      <c r="H47" s="444">
        <f>VLOOKUP($C47,[1]!Avoided_utility_wscentral,8,FALSE)</f>
        <v>0.16275799837189009</v>
      </c>
      <c r="I47" s="444">
        <f>VLOOKUP($C47,[1]!Avoided_utility_encentral,8,FALSE)</f>
        <v>0.22412686964267922</v>
      </c>
      <c r="J47" s="444">
        <f>VLOOKUP($C47,[1]!Avoided_utility_escentral,8,FALSE)</f>
        <v>0.20040647140097032</v>
      </c>
      <c r="K47" s="444">
        <f>VLOOKUP($C47,[1]!Avoided_utility_newengland,8,FALSE)</f>
        <v>0.13198927982208589</v>
      </c>
      <c r="L47" s="444">
        <f>VLOOKUP($C47,[1]!Avoided_utility_midatlantic,8,FALSE)</f>
        <v>0.17135495958578681</v>
      </c>
      <c r="M47" s="444">
        <f>VLOOKUP($C47,[1]!Avoided_utility_satlantic,8,FALSE)</f>
        <v>0.19524221130859806</v>
      </c>
      <c r="N47" s="133"/>
    </row>
    <row r="48" spans="2:14" x14ac:dyDescent="0.25">
      <c r="B48">
        <v>23</v>
      </c>
      <c r="C48" s="89" t="s">
        <v>647</v>
      </c>
      <c r="D48" s="361">
        <f>VLOOKUP($C48,[1]!Avoided_utility_national,8,FALSE)</f>
        <v>0.1867944174471321</v>
      </c>
      <c r="E48" s="444">
        <f>VLOOKUP($C48,[1]!Avoided_utility_pacific,8,FALSE)</f>
        <v>0.12779721185387946</v>
      </c>
      <c r="F48" s="444">
        <f>VLOOKUP($C48,[1]!Avoided_utility_mountain,8,FALSE)</f>
        <v>0.19428969819265043</v>
      </c>
      <c r="G48" s="444">
        <f>VLOOKUP($C48,[1]!Avoided_utility_wncentral,8,FALSE)</f>
        <v>0.24846159642098237</v>
      </c>
      <c r="H48" s="444">
        <f>VLOOKUP($C48,[1]!Avoided_utility_wscentral,8,FALSE)</f>
        <v>0.16275799837189009</v>
      </c>
      <c r="I48" s="444">
        <f>VLOOKUP($C48,[1]!Avoided_utility_encentral,8,FALSE)</f>
        <v>0.22412686964267922</v>
      </c>
      <c r="J48" s="444">
        <f>VLOOKUP($C48,[1]!Avoided_utility_escentral,8,FALSE)</f>
        <v>0.20040647140097032</v>
      </c>
      <c r="K48" s="444">
        <f>VLOOKUP($C48,[1]!Avoided_utility_newengland,8,FALSE)</f>
        <v>0.13198927982208589</v>
      </c>
      <c r="L48" s="444">
        <f>VLOOKUP($C48,[1]!Avoided_utility_midatlantic,8,FALSE)</f>
        <v>0.17135495958578681</v>
      </c>
      <c r="M48" s="444">
        <f>VLOOKUP($C48,[1]!Avoided_utility_satlantic,8,FALSE)</f>
        <v>0.19524221130859806</v>
      </c>
      <c r="N48" s="133"/>
    </row>
    <row r="49" spans="2:14" x14ac:dyDescent="0.25">
      <c r="B49">
        <v>24</v>
      </c>
      <c r="C49" s="89" t="s">
        <v>648</v>
      </c>
      <c r="D49" s="361">
        <f>VLOOKUP($C49,[1]!Avoided_utility_national,8,FALSE)</f>
        <v>0.1867944174471321</v>
      </c>
      <c r="E49" s="444">
        <f>VLOOKUP($C49,[1]!Avoided_utility_pacific,8,FALSE)</f>
        <v>0.12779721185387946</v>
      </c>
      <c r="F49" s="444">
        <f>VLOOKUP($C49,[1]!Avoided_utility_mountain,8,FALSE)</f>
        <v>0.19428969819265043</v>
      </c>
      <c r="G49" s="444">
        <f>VLOOKUP($C49,[1]!Avoided_utility_wncentral,8,FALSE)</f>
        <v>0.24846159642098237</v>
      </c>
      <c r="H49" s="444">
        <f>VLOOKUP($C49,[1]!Avoided_utility_wscentral,8,FALSE)</f>
        <v>0.16275799837189009</v>
      </c>
      <c r="I49" s="444">
        <f>VLOOKUP($C49,[1]!Avoided_utility_encentral,8,FALSE)</f>
        <v>0.22412686964267922</v>
      </c>
      <c r="J49" s="444">
        <f>VLOOKUP($C49,[1]!Avoided_utility_escentral,8,FALSE)</f>
        <v>0.20040647140097032</v>
      </c>
      <c r="K49" s="444">
        <f>VLOOKUP($C49,[1]!Avoided_utility_newengland,8,FALSE)</f>
        <v>0.13198927982208589</v>
      </c>
      <c r="L49" s="444">
        <f>VLOOKUP($C49,[1]!Avoided_utility_midatlantic,8,FALSE)</f>
        <v>0.17135495958578681</v>
      </c>
      <c r="M49" s="444">
        <f>VLOOKUP($C49,[1]!Avoided_utility_satlantic,8,FALSE)</f>
        <v>0.19524221130859806</v>
      </c>
      <c r="N49" s="133"/>
    </row>
    <row r="50" spans="2:14" x14ac:dyDescent="0.25">
      <c r="B50">
        <v>25</v>
      </c>
      <c r="C50" s="89" t="s">
        <v>580</v>
      </c>
      <c r="D50" s="361">
        <f>VLOOKUP($C50,[1]!Avoided_utility_national,8,FALSE)</f>
        <v>0.22068538770125307</v>
      </c>
      <c r="E50" s="309">
        <f>VLOOKUP($C50,[1]!Avoided_utility_pacific,8,FALSE)</f>
        <v>0.15098404775985755</v>
      </c>
      <c r="F50" s="309">
        <f>VLOOKUP($C50,[1]!Avoided_utility_mountain,8,FALSE)</f>
        <v>0.2295405717043971</v>
      </c>
      <c r="G50" s="309">
        <f>VLOOKUP($C50,[1]!Avoided_utility_wncentral,8,FALSE)</f>
        <v>0.29354112657331244</v>
      </c>
      <c r="H50" s="309">
        <f>VLOOKUP($C50,[1]!Avoided_utility_wscentral,8,FALSE)</f>
        <v>0.19228793056594604</v>
      </c>
      <c r="I50" s="309">
        <f>VLOOKUP($C50,[1]!Avoided_utility_encentral,8,FALSE)</f>
        <v>0.26479123839641422</v>
      </c>
      <c r="J50" s="309">
        <f>VLOOKUP($C50,[1]!Avoided_utility_escentral,8,FALSE)</f>
        <v>0.23676713920789738</v>
      </c>
      <c r="K50" s="309">
        <f>VLOOKUP($C50,[1]!Avoided_utility_newengland,8,FALSE)</f>
        <v>0.1559367018995107</v>
      </c>
      <c r="L50" s="309">
        <f>VLOOKUP($C50,[1]!Avoided_utility_midatlantic,8,FALSE)</f>
        <v>0.20244467799164684</v>
      </c>
      <c r="M50" s="309">
        <f>VLOOKUP($C50,[1]!Avoided_utility_satlantic,8,FALSE)</f>
        <v>0.23066590365572764</v>
      </c>
      <c r="N50" s="133"/>
    </row>
    <row r="51" spans="2:14" x14ac:dyDescent="0.25">
      <c r="B51">
        <v>26</v>
      </c>
      <c r="C51" s="310" t="s">
        <v>574</v>
      </c>
      <c r="D51" s="361">
        <f>VLOOKUP($C51,[1]!Avoided_utility_national,8,FALSE)</f>
        <v>0.39408104946652339</v>
      </c>
      <c r="E51" s="309">
        <f>VLOOKUP($C51,[1]!Avoided_utility_pacific,8,FALSE)</f>
        <v>0.26961437099974567</v>
      </c>
      <c r="F51" s="309">
        <f>VLOOKUP($C51,[1]!Avoided_utility_mountain,8,FALSE)</f>
        <v>0.40989387804356625</v>
      </c>
      <c r="G51" s="309">
        <f>VLOOKUP($C51,[1]!Avoided_utility_wncentral,8,FALSE)</f>
        <v>0.52418058316662941</v>
      </c>
      <c r="H51" s="309">
        <f>VLOOKUP($C51,[1]!Avoided_utility_wscentral,8,FALSE)</f>
        <v>0.34337130458204657</v>
      </c>
      <c r="I51" s="309">
        <f>VLOOKUP($C51,[1]!Avoided_utility_encentral,8,FALSE)</f>
        <v>0.47284149713645401</v>
      </c>
      <c r="J51" s="309">
        <f>VLOOKUP($C51,[1]!Avoided_utility_escentral,8,FALSE)</f>
        <v>0.42279846287124534</v>
      </c>
      <c r="K51" s="309">
        <f>VLOOKUP($C51,[1]!Avoided_utility_newengland,8,FALSE)</f>
        <v>0.27845839624912627</v>
      </c>
      <c r="L51" s="309">
        <f>VLOOKUP($C51,[1]!Avoided_utility_midatlantic,8,FALSE)</f>
        <v>0.36150835355651223</v>
      </c>
      <c r="M51" s="309">
        <f>VLOOKUP($C51,[1]!Avoided_utility_satlantic,8,FALSE)</f>
        <v>0.41190339938522796</v>
      </c>
      <c r="N51" s="133"/>
    </row>
    <row r="52" spans="2:14" x14ac:dyDescent="0.25">
      <c r="B52">
        <v>27</v>
      </c>
      <c r="C52" s="89" t="s">
        <v>573</v>
      </c>
      <c r="D52" s="361">
        <f>VLOOKUP($C52,[1]!Avoided_utility_national,8,FALSE)</f>
        <v>0.59900319518911549</v>
      </c>
      <c r="E52" s="309">
        <f>VLOOKUP($C52,[1]!Avoided_utility_pacific,8,FALSE)</f>
        <v>0.4098138439196134</v>
      </c>
      <c r="F52" s="309">
        <f>VLOOKUP($C52,[1]!Avoided_utility_mountain,8,FALSE)</f>
        <v>0.62303869462622075</v>
      </c>
      <c r="G52" s="309">
        <f>VLOOKUP($C52,[1]!Avoided_utility_wncentral,8,FALSE)</f>
        <v>0.79675448641327673</v>
      </c>
      <c r="H52" s="309">
        <f>VLOOKUP($C52,[1]!Avoided_utility_wscentral,8,FALSE)</f>
        <v>0.52192438296471078</v>
      </c>
      <c r="I52" s="309">
        <f>VLOOKUP($C52,[1]!Avoided_utility_encentral,8,FALSE)</f>
        <v>0.71871907564741011</v>
      </c>
      <c r="J52" s="309">
        <f>VLOOKUP($C52,[1]!Avoided_utility_escentral,8,FALSE)</f>
        <v>0.64265366356429299</v>
      </c>
      <c r="K52" s="309">
        <f>VLOOKUP($C52,[1]!Avoided_utility_newengland,8,FALSE)</f>
        <v>0.42325676229867198</v>
      </c>
      <c r="L52" s="309">
        <f>VLOOKUP($C52,[1]!Avoided_utility_midatlantic,8,FALSE)</f>
        <v>0.54949269740589857</v>
      </c>
      <c r="M52" s="309">
        <f>VLOOKUP($C52,[1]!Avoided_utility_satlantic,8,FALSE)</f>
        <v>0.62609316706554652</v>
      </c>
      <c r="N52" s="133"/>
    </row>
    <row r="53" spans="2:14" x14ac:dyDescent="0.25">
      <c r="B53">
        <v>28</v>
      </c>
      <c r="C53" s="89" t="s">
        <v>423</v>
      </c>
      <c r="D53" s="361">
        <f>VLOOKUP($C53,[1]!Avoided_utility_national,8,FALSE)</f>
        <v>0.12085152183640052</v>
      </c>
      <c r="E53" s="361">
        <f>VLOOKUP($C53,[1]!Avoided_utility_pacific,8,FALSE)</f>
        <v>8.2681740439922019E-2</v>
      </c>
      <c r="F53" s="361">
        <f>VLOOKUP($C53,[1]!Avoided_utility_mountain,8,FALSE)</f>
        <v>0.12570078926669367</v>
      </c>
      <c r="G53" s="361">
        <f>VLOOKUP($C53,[1]!Avoided_utility_wncentral,8,FALSE)</f>
        <v>0.16074871217109971</v>
      </c>
      <c r="H53" s="361">
        <f>VLOOKUP($C53,[1]!Avoided_utility_wscentral,8,FALSE)</f>
        <v>0.10530053340516096</v>
      </c>
      <c r="I53" s="361">
        <f>VLOOKUP($C53,[1]!Avoided_utility_encentral,8,FALSE)</f>
        <v>0.14500472578851259</v>
      </c>
      <c r="J53" s="361">
        <f>VLOOKUP($C53,[1]!Avoided_utility_escentral,8,FALSE)</f>
        <v>0.12965819528051525</v>
      </c>
      <c r="K53" s="361">
        <f>VLOOKUP($C53,[1]!Avoided_utility_newengland,8,FALSE)</f>
        <v>8.5393908183065415E-2</v>
      </c>
      <c r="L53" s="361">
        <f>VLOOKUP($C53,[1]!Avoided_utility_midatlantic,8,FALSE)</f>
        <v>0.11086256175733043</v>
      </c>
      <c r="M53" s="361">
        <f>VLOOKUP($C53,[1]!Avoided_utility_satlantic,8,FALSE)</f>
        <v>0.1263170424781366</v>
      </c>
      <c r="N53" s="133"/>
    </row>
    <row r="54" spans="2:14" x14ac:dyDescent="0.25">
      <c r="B54">
        <v>29</v>
      </c>
      <c r="C54" s="89" t="s">
        <v>444</v>
      </c>
      <c r="D54" s="361">
        <f>VLOOKUP($C54,[1]!Avoided_utility_national,8,FALSE)</f>
        <v>1.5659939377631629</v>
      </c>
      <c r="E54" s="361">
        <f>VLOOKUP($C54,[1]!Avoided_utility_pacific,8,FALSE)</f>
        <v>1.5659939377631629</v>
      </c>
      <c r="F54" s="361">
        <f>VLOOKUP($C54,[1]!Avoided_utility_mountain,8,FALSE)</f>
        <v>1.5659939377631629</v>
      </c>
      <c r="G54" s="361">
        <f>VLOOKUP($C54,[1]!Avoided_utility_wncentral,8,FALSE)</f>
        <v>1.5659939377631629</v>
      </c>
      <c r="H54" s="361">
        <f>VLOOKUP($C54,[1]!Avoided_utility_wscentral,8,FALSE)</f>
        <v>1.5659939377631629</v>
      </c>
      <c r="I54" s="361">
        <f>VLOOKUP($C54,[1]!Avoided_utility_encentral,8,FALSE)</f>
        <v>1.5659939377631629</v>
      </c>
      <c r="J54" s="361">
        <f>VLOOKUP($C54,[1]!Avoided_utility_escentral,8,FALSE)</f>
        <v>1.5659939377631629</v>
      </c>
      <c r="K54" s="361">
        <f>VLOOKUP($C54,[1]!Avoided_utility_newengland,8,FALSE)</f>
        <v>1.5659939377631629</v>
      </c>
      <c r="L54" s="361">
        <f>VLOOKUP($C54,[1]!Avoided_utility_midatlantic,8,FALSE)</f>
        <v>1.5659939377631629</v>
      </c>
      <c r="M54" s="361">
        <f>VLOOKUP($C54,[1]!Avoided_utility_satlantic,8,FALSE)</f>
        <v>1.5659939377631629</v>
      </c>
      <c r="N54" s="133"/>
    </row>
    <row r="55" spans="2:14" x14ac:dyDescent="0.25">
      <c r="B55">
        <v>30</v>
      </c>
      <c r="C55" s="111" t="s">
        <v>53</v>
      </c>
      <c r="D55" s="361" t="str">
        <f>VLOOKUP($C55,[1]!Avoided_utility_national,8,FALSE)</f>
        <v>NA</v>
      </c>
      <c r="E55" s="361" t="str">
        <f>VLOOKUP($C55,[1]!Avoided_utility_pacific,8,FALSE)</f>
        <v>NA</v>
      </c>
      <c r="F55" s="361" t="str">
        <f>VLOOKUP($C55,[1]!Avoided_utility_mountain,8,FALSE)</f>
        <v>NA</v>
      </c>
      <c r="G55" s="361" t="str">
        <f>VLOOKUP($C55,[1]!Avoided_utility_wncentral,8,FALSE)</f>
        <v>NA</v>
      </c>
      <c r="H55" s="361" t="str">
        <f>VLOOKUP($C55,[1]!Avoided_utility_wscentral,8,FALSE)</f>
        <v>NA</v>
      </c>
      <c r="I55" s="361" t="str">
        <f>VLOOKUP($C55,[1]!Avoided_utility_encentral,8,FALSE)</f>
        <v>NA</v>
      </c>
      <c r="J55" s="361" t="str">
        <f>VLOOKUP($C55,[1]!Avoided_utility_escentral,8,FALSE)</f>
        <v>NA</v>
      </c>
      <c r="K55" s="361" t="str">
        <f>VLOOKUP($C55,[1]!Avoided_utility_newengland,8,FALSE)</f>
        <v>NA</v>
      </c>
      <c r="L55" s="361" t="str">
        <f>VLOOKUP($C55,[1]!Avoided_utility_midatlantic,8,FALSE)</f>
        <v>NA</v>
      </c>
      <c r="M55" s="361" t="str">
        <f>VLOOKUP($C55,[1]!Avoided_utility_satlantic,8,FALSE)</f>
        <v>NA</v>
      </c>
      <c r="N55" s="133"/>
    </row>
    <row r="56" spans="2:14" x14ac:dyDescent="0.25">
      <c r="B56">
        <v>31</v>
      </c>
      <c r="C56" s="111" t="s">
        <v>54</v>
      </c>
      <c r="D56" s="361">
        <f>VLOOKUP($C56,[1]!Avoided_utility_national,8,FALSE)</f>
        <v>1.0533599999999996</v>
      </c>
      <c r="E56" s="361">
        <f>VLOOKUP($C56,[1]!Avoided_utility_pacific,8,FALSE)</f>
        <v>1.0533599999999996</v>
      </c>
      <c r="F56" s="361">
        <f>VLOOKUP($C56,[1]!Avoided_utility_mountain,8,FALSE)</f>
        <v>1.0533599999999996</v>
      </c>
      <c r="G56" s="361">
        <f>VLOOKUP($C56,[1]!Avoided_utility_wncentral,8,FALSE)</f>
        <v>1.0533599999999996</v>
      </c>
      <c r="H56" s="361">
        <f>VLOOKUP($C56,[1]!Avoided_utility_wscentral,8,FALSE)</f>
        <v>1.0533599999999996</v>
      </c>
      <c r="I56" s="361">
        <f>VLOOKUP($C56,[1]!Avoided_utility_encentral,8,FALSE)</f>
        <v>1.0533599999999996</v>
      </c>
      <c r="J56" s="361">
        <f>VLOOKUP($C56,[1]!Avoided_utility_escentral,8,FALSE)</f>
        <v>1.0533599999999996</v>
      </c>
      <c r="K56" s="361">
        <f>VLOOKUP($C56,[1]!Avoided_utility_newengland,8,FALSE)</f>
        <v>1.0533599999999996</v>
      </c>
      <c r="L56" s="361">
        <f>VLOOKUP($C56,[1]!Avoided_utility_midatlantic,8,FALSE)</f>
        <v>1.0533599999999996</v>
      </c>
      <c r="M56" s="361">
        <f>VLOOKUP($C56,[1]!Avoided_utility_satlantic,8,FALSE)</f>
        <v>1.0533599999999996</v>
      </c>
      <c r="N56" s="133"/>
    </row>
    <row r="57" spans="2:14" x14ac:dyDescent="0.25">
      <c r="B57">
        <v>32</v>
      </c>
      <c r="C57" s="111" t="s">
        <v>55</v>
      </c>
      <c r="D57" s="361" t="str">
        <f>VLOOKUP($C57,[1]!Avoided_utility_national,8,FALSE)</f>
        <v>NA</v>
      </c>
      <c r="E57" s="361" t="str">
        <f>VLOOKUP($C57,[1]!Avoided_utility_pacific,8,FALSE)</f>
        <v>NA</v>
      </c>
      <c r="F57" s="361" t="str">
        <f>VLOOKUP($C57,[1]!Avoided_utility_mountain,8,FALSE)</f>
        <v>NA</v>
      </c>
      <c r="G57" s="361" t="str">
        <f>VLOOKUP($C57,[1]!Avoided_utility_wncentral,8,FALSE)</f>
        <v>NA</v>
      </c>
      <c r="H57" s="361" t="str">
        <f>VLOOKUP($C57,[1]!Avoided_utility_wscentral,8,FALSE)</f>
        <v>NA</v>
      </c>
      <c r="I57" s="361" t="str">
        <f>VLOOKUP($C57,[1]!Avoided_utility_encentral,8,FALSE)</f>
        <v>NA</v>
      </c>
      <c r="J57" s="361" t="str">
        <f>VLOOKUP($C57,[1]!Avoided_utility_escentral,8,FALSE)</f>
        <v>NA</v>
      </c>
      <c r="K57" s="361" t="str">
        <f>VLOOKUP($C57,[1]!Avoided_utility_newengland,8,FALSE)</f>
        <v>NA</v>
      </c>
      <c r="L57" s="361" t="str">
        <f>VLOOKUP($C57,[1]!Avoided_utility_midatlantic,8,FALSE)</f>
        <v>NA</v>
      </c>
      <c r="M57" s="361" t="str">
        <f>VLOOKUP($C57,[1]!Avoided_utility_satlantic,8,FALSE)</f>
        <v>NA</v>
      </c>
      <c r="N57" s="133"/>
    </row>
    <row r="58" spans="2:14" x14ac:dyDescent="0.25">
      <c r="B58">
        <v>33</v>
      </c>
      <c r="C58" s="111" t="s">
        <v>56</v>
      </c>
      <c r="D58" s="361" t="str">
        <f>VLOOKUP($C58,[1]!Avoided_utility_national,8,FALSE)</f>
        <v>NA</v>
      </c>
      <c r="E58" s="361" t="str">
        <f>VLOOKUP($C58,[1]!Avoided_utility_pacific,8,FALSE)</f>
        <v>NA</v>
      </c>
      <c r="F58" s="361" t="str">
        <f>VLOOKUP($C58,[1]!Avoided_utility_mountain,8,FALSE)</f>
        <v>NA</v>
      </c>
      <c r="G58" s="361" t="str">
        <f>VLOOKUP($C58,[1]!Avoided_utility_wncentral,8,FALSE)</f>
        <v>NA</v>
      </c>
      <c r="H58" s="361" t="str">
        <f>VLOOKUP($C58,[1]!Avoided_utility_wscentral,8,FALSE)</f>
        <v>NA</v>
      </c>
      <c r="I58" s="361" t="str">
        <f>VLOOKUP($C58,[1]!Avoided_utility_encentral,8,FALSE)</f>
        <v>NA</v>
      </c>
      <c r="J58" s="361" t="str">
        <f>VLOOKUP($C58,[1]!Avoided_utility_escentral,8,FALSE)</f>
        <v>NA</v>
      </c>
      <c r="K58" s="361" t="str">
        <f>VLOOKUP($C58,[1]!Avoided_utility_newengland,8,FALSE)</f>
        <v>NA</v>
      </c>
      <c r="L58" s="361" t="str">
        <f>VLOOKUP($C58,[1]!Avoided_utility_midatlantic,8,FALSE)</f>
        <v>NA</v>
      </c>
      <c r="M58" s="361" t="str">
        <f>VLOOKUP($C58,[1]!Avoided_utility_satlantic,8,FALSE)</f>
        <v>NA</v>
      </c>
      <c r="N58" s="133"/>
    </row>
    <row r="59" spans="2:14" x14ac:dyDescent="0.25">
      <c r="B59">
        <v>34</v>
      </c>
      <c r="C59" s="111" t="s">
        <v>57</v>
      </c>
      <c r="D59" s="361">
        <f>VLOOKUP($C59,[1]!Avoided_utility_national,8,FALSE)</f>
        <v>0.62067765290977428</v>
      </c>
      <c r="E59" s="361">
        <f>VLOOKUP($C59,[1]!Avoided_utility_pacific,8,FALSE)</f>
        <v>0.42464263432459942</v>
      </c>
      <c r="F59" s="361">
        <f>VLOOKUP($C59,[1]!Avoided_utility_mountain,8,FALSE)</f>
        <v>0.64558285791861691</v>
      </c>
      <c r="G59" s="361">
        <f>VLOOKUP($C59,[1]!Avoided_utility_wncentral,8,FALSE)</f>
        <v>0.82558441848744135</v>
      </c>
      <c r="H59" s="361">
        <f>VLOOKUP($C59,[1]!Avoided_utility_wscentral,8,FALSE)</f>
        <v>0.54080980471672335</v>
      </c>
      <c r="I59" s="361">
        <f>VLOOKUP($C59,[1]!Avoided_utility_encentral,8,FALSE)</f>
        <v>0.74472535798991513</v>
      </c>
      <c r="J59" s="361">
        <f>VLOOKUP($C59,[1]!Avoided_utility_escentral,8,FALSE)</f>
        <v>0.66590757902221143</v>
      </c>
      <c r="K59" s="361">
        <f>VLOOKUP($C59,[1]!Avoided_utility_newengland,8,FALSE)</f>
        <v>0.43857197409237392</v>
      </c>
      <c r="L59" s="361">
        <f>VLOOKUP($C59,[1]!Avoided_utility_midatlantic,8,FALSE)</f>
        <v>0.56937565685150682</v>
      </c>
      <c r="M59" s="361">
        <f>VLOOKUP($C59,[1]!Avoided_utility_satlantic,8,FALSE)</f>
        <v>0.64874785403173407</v>
      </c>
      <c r="N59" s="133"/>
    </row>
    <row r="60" spans="2:14" x14ac:dyDescent="0.25">
      <c r="B60">
        <v>35</v>
      </c>
      <c r="C60" s="111" t="s">
        <v>58</v>
      </c>
      <c r="D60" s="361">
        <f>VLOOKUP($C60,[1]!Avoided_utility_national,8,FALSE)</f>
        <v>0.85613434563468405</v>
      </c>
      <c r="E60" s="361">
        <f>VLOOKUP($C60,[1]!Avoided_utility_pacific,8,FALSE)</f>
        <v>0.58573261363886653</v>
      </c>
      <c r="F60" s="361">
        <f>VLOOKUP($C60,[1]!Avoided_utility_mountain,8,FALSE)</f>
        <v>0.89048744549768588</v>
      </c>
      <c r="G60" s="361">
        <f>VLOOKUP($C60,[1]!Avoided_utility_wncentral,8,FALSE)</f>
        <v>1.1387733593667555</v>
      </c>
      <c r="H60" s="361">
        <f>VLOOKUP($C60,[1]!Avoided_utility_wscentral,8,FALSE)</f>
        <v>0.74596829143658361</v>
      </c>
      <c r="I60" s="361">
        <f>VLOOKUP($C60,[1]!Avoided_utility_encentral,8,FALSE)</f>
        <v>1.0272400722842445</v>
      </c>
      <c r="J60" s="361">
        <f>VLOOKUP($C60,[1]!Avoided_utility_escentral,8,FALSE)</f>
        <v>0.91852243551328883</v>
      </c>
      <c r="K60" s="361">
        <f>VLOOKUP($C60,[1]!Avoided_utility_newengland,8,FALSE)</f>
        <v>0.6049461073602852</v>
      </c>
      <c r="L60" s="361">
        <f>VLOOKUP($C60,[1]!Avoided_utility_midatlantic,8,FALSE)</f>
        <v>0.78537072039509015</v>
      </c>
      <c r="M60" s="361">
        <f>VLOOKUP($C60,[1]!Avoided_utility_satlantic,8,FALSE)</f>
        <v>0.89485309627234622</v>
      </c>
      <c r="N60" s="133"/>
    </row>
    <row r="61" spans="2:14" x14ac:dyDescent="0.25">
      <c r="B61">
        <v>36</v>
      </c>
      <c r="C61" s="111" t="s">
        <v>84</v>
      </c>
      <c r="D61" s="361">
        <f>VLOOKUP($C61,[1]!Avoided_utility_national,8,FALSE)</f>
        <v>-2.6403430314257067E-2</v>
      </c>
      <c r="E61" s="361">
        <f>VLOOKUP($C61,[1]!Avoided_utility_pacific,8,FALSE)</f>
        <v>-1.8064162856982962E-2</v>
      </c>
      <c r="F61" s="361">
        <f>VLOOKUP($C61,[1]!Avoided_utility_mountain,8,FALSE)</f>
        <v>-2.7462889828918941E-2</v>
      </c>
      <c r="G61" s="361">
        <f>VLOOKUP($C61,[1]!Avoided_utility_wncentral,8,FALSE)</f>
        <v>-3.5120099072164172E-2</v>
      </c>
      <c r="H61" s="361">
        <f>VLOOKUP($C61,[1]!Avoided_utility_wscentral,8,FALSE)</f>
        <v>-2.3005877406997121E-2</v>
      </c>
      <c r="I61" s="361">
        <f>VLOOKUP($C61,[1]!Avoided_utility_encentral,8,FALSE)</f>
        <v>-3.1680380308142422E-2</v>
      </c>
      <c r="J61" s="361">
        <f>VLOOKUP($C61,[1]!Avoided_utility_escentral,8,FALSE)</f>
        <v>-2.8327497012373439E-2</v>
      </c>
      <c r="K61" s="361">
        <f>VLOOKUP($C61,[1]!Avoided_utility_newengland,8,FALSE)</f>
        <v>-1.8656712548691463E-2</v>
      </c>
      <c r="L61" s="361">
        <f>VLOOKUP($C61,[1]!Avoided_utility_midatlantic,8,FALSE)</f>
        <v>-2.422105968828632E-2</v>
      </c>
      <c r="M61" s="361">
        <f>VLOOKUP($C61,[1]!Avoided_utility_satlantic,8,FALSE)</f>
        <v>-2.7597527758810275E-2</v>
      </c>
      <c r="N61" s="133"/>
    </row>
    <row r="62" spans="2:14" x14ac:dyDescent="0.25">
      <c r="B62">
        <v>37</v>
      </c>
      <c r="C62" s="111" t="s">
        <v>85</v>
      </c>
      <c r="D62" s="361">
        <f>VLOOKUP($C62,[1]!Avoided_utility_national,8,FALSE)</f>
        <v>0.65953404438717356</v>
      </c>
      <c r="E62" s="361">
        <f>VLOOKUP($C62,[1]!Avoided_utility_pacific,8,FALSE)</f>
        <v>0.45122661130517439</v>
      </c>
      <c r="F62" s="361">
        <f>VLOOKUP($C62,[1]!Avoided_utility_mountain,8,FALSE)</f>
        <v>0.68599839429371257</v>
      </c>
      <c r="G62" s="361">
        <f>VLOOKUP($C62,[1]!Avoided_utility_wncentral,8,FALSE)</f>
        <v>0.87726862398767103</v>
      </c>
      <c r="H62" s="361">
        <f>VLOOKUP($C62,[1]!Avoided_utility_wscentral,8,FALSE)</f>
        <v>0.57466621534851314</v>
      </c>
      <c r="I62" s="361">
        <f>VLOOKUP($C62,[1]!Avoided_utility_encentral,8,FALSE)</f>
        <v>0.79134752960756949</v>
      </c>
      <c r="J62" s="361">
        <f>VLOOKUP($C62,[1]!Avoided_utility_escentral,8,FALSE)</f>
        <v>0.70759550746131628</v>
      </c>
      <c r="K62" s="361">
        <f>VLOOKUP($C62,[1]!Avoided_utility_newengland,8,FALSE)</f>
        <v>0.46602797196253781</v>
      </c>
      <c r="L62" s="361">
        <f>VLOOKUP($C62,[1]!Avoided_utility_midatlantic,8,FALSE)</f>
        <v>0.60502038051217888</v>
      </c>
      <c r="M62" s="361">
        <f>VLOOKUP($C62,[1]!Avoided_utility_satlantic,8,FALSE)</f>
        <v>0.6893615292111176</v>
      </c>
      <c r="N62" s="133"/>
    </row>
    <row r="63" spans="2:14" x14ac:dyDescent="0.25">
      <c r="B63">
        <v>38</v>
      </c>
      <c r="C63" s="111" t="s">
        <v>86</v>
      </c>
      <c r="D63" s="361">
        <f>VLOOKUP($C63,[1]!Avoided_utility_national,8,FALSE)</f>
        <v>1.5720681225318551</v>
      </c>
      <c r="E63" s="361">
        <f>VLOOKUP($C63,[1]!Avoided_utility_pacific,8,FALSE)</f>
        <v>1.0755456487921855</v>
      </c>
      <c r="F63" s="361">
        <f>VLOOKUP($C63,[1]!Avoided_utility_mountain,8,FALSE)</f>
        <v>1.6351486582913948</v>
      </c>
      <c r="G63" s="361">
        <f>VLOOKUP($C63,[1]!Avoided_utility_wncentral,8,FALSE)</f>
        <v>2.0910611823683185</v>
      </c>
      <c r="H63" s="361">
        <f>VLOOKUP($C63,[1]!Avoided_utility_wscentral,8,FALSE)</f>
        <v>1.3697768082387003</v>
      </c>
      <c r="I63" s="361">
        <f>VLOOKUP($C63,[1]!Avoided_utility_encentral,8,FALSE)</f>
        <v>1.8862593003767425</v>
      </c>
      <c r="J63" s="361">
        <f>VLOOKUP($C63,[1]!Avoided_utility_escentral,8,FALSE)</f>
        <v>1.6866276280859722</v>
      </c>
      <c r="K63" s="361">
        <f>VLOOKUP($C63,[1]!Avoided_utility_newengland,8,FALSE)</f>
        <v>1.1108262343170148</v>
      </c>
      <c r="L63" s="361">
        <f>VLOOKUP($C63,[1]!Avoided_utility_midatlantic,8,FALSE)</f>
        <v>1.4421291240076388</v>
      </c>
      <c r="M63" s="361">
        <f>VLOOKUP($C63,[1]!Avoided_utility_satlantic,8,FALSE)</f>
        <v>1.6431650408275515</v>
      </c>
      <c r="N63" s="133"/>
    </row>
    <row r="64" spans="2:14" x14ac:dyDescent="0.25">
      <c r="B64">
        <v>39</v>
      </c>
      <c r="C64" s="111" t="s">
        <v>87</v>
      </c>
      <c r="D64" s="361">
        <f>VLOOKUP($C64,[1]!Avoided_utility_national,8,FALSE)</f>
        <v>1.5722257549516416</v>
      </c>
      <c r="E64" s="361">
        <f>VLOOKUP($C64,[1]!Avoided_utility_pacific,8,FALSE)</f>
        <v>1.0756534945405853</v>
      </c>
      <c r="F64" s="361">
        <f>VLOOKUP($C64,[1]!Avoided_utility_mountain,8,FALSE)</f>
        <v>1.6353126158426119</v>
      </c>
      <c r="G64" s="361">
        <f>VLOOKUP($C64,[1]!Avoided_utility_wncentral,8,FALSE)</f>
        <v>2.0912708546015848</v>
      </c>
      <c r="H64" s="361">
        <f>VLOOKUP($C64,[1]!Avoided_utility_wscentral,8,FALSE)</f>
        <v>1.3699141567605329</v>
      </c>
      <c r="I64" s="361">
        <f>VLOOKUP($C64,[1]!Avoided_utility_encentral,8,FALSE)</f>
        <v>1.8864484369755969</v>
      </c>
      <c r="J64" s="361">
        <f>VLOOKUP($C64,[1]!Avoided_utility_escentral,8,FALSE)</f>
        <v>1.6867967474711205</v>
      </c>
      <c r="K64" s="361">
        <f>VLOOKUP($C64,[1]!Avoided_utility_newengland,8,FALSE)</f>
        <v>1.1109376176755144</v>
      </c>
      <c r="L64" s="361">
        <f>VLOOKUP($C64,[1]!Avoided_utility_midatlantic,8,FALSE)</f>
        <v>1.4422737273490611</v>
      </c>
      <c r="M64" s="361">
        <f>VLOOKUP($C64,[1]!Avoided_utility_satlantic,8,FALSE)</f>
        <v>1.6433298021873055</v>
      </c>
      <c r="N64" s="133"/>
    </row>
    <row r="65" spans="2:14" x14ac:dyDescent="0.25">
      <c r="B65">
        <v>40</v>
      </c>
      <c r="C65" s="111" t="s">
        <v>88</v>
      </c>
      <c r="D65" s="361">
        <f>VLOOKUP($C65,[1]!Avoided_utility_national,8,FALSE)</f>
        <v>1.4186917780794841</v>
      </c>
      <c r="E65" s="361">
        <f>VLOOKUP($C65,[1]!Avoided_utility_pacific,8,FALSE)</f>
        <v>0.97061173559908442</v>
      </c>
      <c r="F65" s="361">
        <f>VLOOKUP($C65,[1]!Avoided_utility_mountain,8,FALSE)</f>
        <v>1.4756179609568385</v>
      </c>
      <c r="G65" s="361">
        <f>VLOOKUP($C65,[1]!Avoided_utility_wncentral,8,FALSE)</f>
        <v>1.887050099399866</v>
      </c>
      <c r="H65" s="361">
        <f>VLOOKUP($C65,[1]!Avoided_utility_wscentral,8,FALSE)</f>
        <v>1.2361366964953675</v>
      </c>
      <c r="I65" s="361">
        <f>VLOOKUP($C65,[1]!Avoided_utility_encentral,8,FALSE)</f>
        <v>1.7022293896912344</v>
      </c>
      <c r="J65" s="361">
        <f>VLOOKUP($C65,[1]!Avoided_utility_escentral,8,FALSE)</f>
        <v>1.5220744663364834</v>
      </c>
      <c r="K65" s="361">
        <f>VLOOKUP($C65,[1]!Avoided_utility_newengland,8,FALSE)</f>
        <v>1.0024502264968547</v>
      </c>
      <c r="L65" s="361">
        <f>VLOOKUP($C65,[1]!Avoided_utility_midatlantic,8,FALSE)</f>
        <v>1.301430072803444</v>
      </c>
      <c r="M65" s="361">
        <f>VLOOKUP($C65,[1]!Avoided_utility_satlantic,8,FALSE)</f>
        <v>1.4828522377868207</v>
      </c>
      <c r="N65" s="133"/>
    </row>
    <row r="66" spans="2:14" x14ac:dyDescent="0.25">
      <c r="B66">
        <v>41</v>
      </c>
      <c r="C66" s="111" t="s">
        <v>89</v>
      </c>
      <c r="D66" s="361">
        <f>VLOOKUP($C66,[1]!Avoided_utility_national,8,FALSE)</f>
        <v>0.62067765290977428</v>
      </c>
      <c r="E66" s="361">
        <f>VLOOKUP($C66,[1]!Avoided_utility_pacific,8,FALSE)</f>
        <v>0.42464263432459942</v>
      </c>
      <c r="F66" s="361">
        <f>VLOOKUP($C66,[1]!Avoided_utility_mountain,8,FALSE)</f>
        <v>0.64558285791861691</v>
      </c>
      <c r="G66" s="361">
        <f>VLOOKUP($C66,[1]!Avoided_utility_wncentral,8,FALSE)</f>
        <v>0.82558441848744135</v>
      </c>
      <c r="H66" s="361">
        <f>VLOOKUP($C66,[1]!Avoided_utility_wscentral,8,FALSE)</f>
        <v>0.54080980471672335</v>
      </c>
      <c r="I66" s="361">
        <f>VLOOKUP($C66,[1]!Avoided_utility_encentral,8,FALSE)</f>
        <v>0.74472535798991513</v>
      </c>
      <c r="J66" s="361">
        <f>VLOOKUP($C66,[1]!Avoided_utility_escentral,8,FALSE)</f>
        <v>0.66590757902221143</v>
      </c>
      <c r="K66" s="361">
        <f>VLOOKUP($C66,[1]!Avoided_utility_newengland,8,FALSE)</f>
        <v>0.43857197409237392</v>
      </c>
      <c r="L66" s="361">
        <f>VLOOKUP($C66,[1]!Avoided_utility_midatlantic,8,FALSE)</f>
        <v>0.56937565685150682</v>
      </c>
      <c r="M66" s="361">
        <f>VLOOKUP($C66,[1]!Avoided_utility_satlantic,8,FALSE)</f>
        <v>0.64874785403173407</v>
      </c>
      <c r="N66" s="133"/>
    </row>
    <row r="67" spans="2:14" ht="13" thickBot="1" x14ac:dyDescent="0.3">
      <c r="C67" s="136"/>
      <c r="D67" s="34"/>
      <c r="E67" s="34"/>
      <c r="F67" s="34"/>
      <c r="G67" s="34"/>
      <c r="H67" s="34"/>
      <c r="I67" s="34"/>
      <c r="J67" s="34"/>
      <c r="K67" s="34"/>
      <c r="L67" s="34"/>
      <c r="M67" s="34"/>
      <c r="N67" s="311"/>
    </row>
    <row r="69" spans="2:14" x14ac:dyDescent="0.25">
      <c r="C69" s="21" t="s">
        <v>814</v>
      </c>
    </row>
    <row r="70" spans="2:14" ht="13" thickBot="1" x14ac:dyDescent="0.3"/>
    <row r="71" spans="2:14" ht="25" x14ac:dyDescent="0.25">
      <c r="C71" s="800" t="s">
        <v>350</v>
      </c>
      <c r="D71" s="801" t="s">
        <v>351</v>
      </c>
      <c r="E71" s="801" t="s">
        <v>352</v>
      </c>
      <c r="F71" s="801" t="s">
        <v>353</v>
      </c>
      <c r="G71" s="802" t="s">
        <v>830</v>
      </c>
    </row>
    <row r="72" spans="2:14" x14ac:dyDescent="0.25">
      <c r="C72" s="89">
        <v>1</v>
      </c>
      <c r="D72" s="3">
        <v>2</v>
      </c>
      <c r="E72" s="3">
        <v>3</v>
      </c>
      <c r="F72" s="3">
        <v>4</v>
      </c>
      <c r="G72" s="713">
        <v>5</v>
      </c>
    </row>
    <row r="73" spans="2:14" x14ac:dyDescent="0.25">
      <c r="B73">
        <v>1</v>
      </c>
      <c r="C73" s="89" t="s">
        <v>345</v>
      </c>
      <c r="D73" s="81">
        <f>VLOOKUP($C73,[1]!eGRID_factors,D$72,FALSE)</f>
        <v>0.19247555114409401</v>
      </c>
      <c r="E73" s="81">
        <f>VLOOKUP($C73,[1]!eGRID_factors,E$72,FALSE)</f>
        <v>56.411357310695777</v>
      </c>
      <c r="F73" s="712">
        <f>VLOOKUP($C73,[1]!eGRID_factors,F$72,FALSE)</f>
        <v>9390.4037943280873</v>
      </c>
      <c r="G73" s="133">
        <f>'[1]AD Model Dry '!U19</f>
        <v>0.75422210424214997</v>
      </c>
    </row>
    <row r="74" spans="2:14" x14ac:dyDescent="0.25">
      <c r="B74">
        <v>2</v>
      </c>
      <c r="C74" s="89" t="s">
        <v>296</v>
      </c>
      <c r="D74" s="81">
        <f>VLOOKUP($C74,[1]!eGRID_factors,D$72,FALSE)</f>
        <v>0.13168401455689033</v>
      </c>
      <c r="E74" s="81">
        <f>VLOOKUP($C74,[1]!eGRID_factors,E$72,FALSE)</f>
        <v>38.59437706825625</v>
      </c>
      <c r="F74" s="712">
        <f>VLOOKUP($C74,[1]!eGRID_factors,F$72,FALSE)</f>
        <v>7910.986620304323</v>
      </c>
      <c r="G74" s="133">
        <f>'[1]AD Model Dry '!U20</f>
        <v>0.51600836554975249</v>
      </c>
    </row>
    <row r="75" spans="2:14" x14ac:dyDescent="0.25">
      <c r="B75">
        <v>3</v>
      </c>
      <c r="C75" s="89" t="s">
        <v>355</v>
      </c>
      <c r="D75" s="81">
        <f>VLOOKUP($C75,[1]!eGRID_factors,D$72,FALSE)</f>
        <v>0.20019879208560484</v>
      </c>
      <c r="E75" s="81">
        <f>VLOOKUP($C75,[1]!eGRID_factors,E$72,FALSE)</f>
        <v>58.674909755452767</v>
      </c>
      <c r="F75" s="712">
        <f>VLOOKUP($C75,[1]!eGRID_factors,F$72,FALSE)</f>
        <v>10083.120576137051</v>
      </c>
      <c r="G75" s="133">
        <f>'[1]AD Model Dry '!U21</f>
        <v>0.78448589099247135</v>
      </c>
    </row>
    <row r="76" spans="2:14" x14ac:dyDescent="0.25">
      <c r="B76">
        <v>4</v>
      </c>
      <c r="C76" s="89" t="s">
        <v>299</v>
      </c>
      <c r="D76" s="81">
        <f>VLOOKUP($C76,[1]!eGRID_factors,D$72,FALSE)</f>
        <v>0.25601826522896587</v>
      </c>
      <c r="E76" s="81">
        <f>VLOOKUP($C76,[1]!eGRID_factors,E$72,FALSE)</f>
        <v>75.034661555968896</v>
      </c>
      <c r="F76" s="712">
        <f>VLOOKUP($C76,[1]!eGRID_factors,F$72,FALSE)</f>
        <v>10419.211609535763</v>
      </c>
      <c r="G76" s="133">
        <f>'[1]AD Model Dry '!U22</f>
        <v>1.0032164271131663</v>
      </c>
    </row>
    <row r="77" spans="2:14" x14ac:dyDescent="0.25">
      <c r="B77">
        <v>5</v>
      </c>
      <c r="C77" s="89" t="s">
        <v>301</v>
      </c>
      <c r="D77" s="81">
        <f>VLOOKUP($C77,[1]!eGRID_factors,D$72,FALSE)</f>
        <v>0.16770809250017052</v>
      </c>
      <c r="E77" s="81">
        <f>VLOOKUP($C77,[1]!eGRID_factors,E$72,FALSE)</f>
        <v>49.152430392781511</v>
      </c>
      <c r="F77" s="712">
        <f>VLOOKUP($C77,[1]!eGRID_factors,F$72,FALSE)</f>
        <v>9100.7165059459039</v>
      </c>
      <c r="G77" s="133">
        <f>'[1]AD Model Dry '!U23</f>
        <v>0.65716996092257707</v>
      </c>
    </row>
    <row r="78" spans="2:14" x14ac:dyDescent="0.25">
      <c r="B78">
        <v>6</v>
      </c>
      <c r="C78" s="89" t="s">
        <v>297</v>
      </c>
      <c r="D78" s="81">
        <f>VLOOKUP($C78,[1]!eGRID_factors,D$72,FALSE)</f>
        <v>0.23094342620214922</v>
      </c>
      <c r="E78" s="81">
        <f>VLOOKUP($C78,[1]!eGRID_factors,E$72,FALSE)</f>
        <v>67.685646600864359</v>
      </c>
      <c r="F78" s="712">
        <f>VLOOKUP($C78,[1]!eGRID_factors,F$72,FALSE)</f>
        <v>10117.311464071596</v>
      </c>
      <c r="G78" s="133">
        <f>'[1]AD Model Dry '!U24</f>
        <v>0.90495980313196933</v>
      </c>
    </row>
    <row r="79" spans="2:14" x14ac:dyDescent="0.25">
      <c r="B79">
        <v>7</v>
      </c>
      <c r="C79" s="89" t="s">
        <v>293</v>
      </c>
      <c r="D79" s="81">
        <f>VLOOKUP($C79,[1]!eGRID_factors,D$72,FALSE)</f>
        <v>0.20650159979573363</v>
      </c>
      <c r="E79" s="81">
        <f>VLOOKUP($C79,[1]!eGRID_factors,E$72,FALSE)</f>
        <v>60.522157032747252</v>
      </c>
      <c r="F79" s="712">
        <f>VLOOKUP($C79,[1]!eGRID_factors,F$72,FALSE)</f>
        <v>9571.4141823840528</v>
      </c>
      <c r="G79" s="133">
        <f>'[1]AD Model Dry '!U25</f>
        <v>0.80918366099759864</v>
      </c>
    </row>
    <row r="80" spans="2:14" x14ac:dyDescent="0.25">
      <c r="B80">
        <v>8</v>
      </c>
      <c r="C80" s="89" t="s">
        <v>356</v>
      </c>
      <c r="D80" s="81">
        <f>VLOOKUP($C80,[1]!eGRID_factors,D$72,FALSE)</f>
        <v>0.13600357936852286</v>
      </c>
      <c r="E80" s="81">
        <f>VLOOKUP($C80,[1]!eGRID_factors,E$72,FALSE)</f>
        <v>39.860369099801545</v>
      </c>
      <c r="F80" s="712">
        <f>VLOOKUP($C80,[1]!eGRID_factors,F$72,FALSE)</f>
        <v>7794.5053893735403</v>
      </c>
      <c r="G80" s="133">
        <f>'[1]AD Model Dry '!U26</f>
        <v>0.53293472966339961</v>
      </c>
    </row>
    <row r="81" spans="2:7" x14ac:dyDescent="0.25">
      <c r="B81">
        <v>9</v>
      </c>
      <c r="C81" s="310" t="s">
        <v>294</v>
      </c>
      <c r="D81" s="81">
        <f>VLOOKUP($C81,[1]!eGRID_factors,D$72,FALSE)</f>
        <v>0.17656652023277394</v>
      </c>
      <c r="E81" s="81">
        <f>VLOOKUP($C81,[1]!eGRID_factors,E$72,FALSE)</f>
        <v>51.748687055326478</v>
      </c>
      <c r="F81" s="712">
        <f>VLOOKUP($C81,[1]!eGRID_factors,F$72,FALSE)</f>
        <v>9014.0941054778159</v>
      </c>
      <c r="G81" s="133">
        <f>'[1]AD Model Dry '!U27</f>
        <v>0.69188201637609992</v>
      </c>
    </row>
    <row r="82" spans="2:7" ht="13" thickBot="1" x14ac:dyDescent="0.3">
      <c r="B82">
        <v>10</v>
      </c>
      <c r="C82" s="136" t="s">
        <v>357</v>
      </c>
      <c r="D82" s="312">
        <f>VLOOKUP($C82,[1]!eGRID_factors,D$72,FALSE)</f>
        <v>0.20118027477373651</v>
      </c>
      <c r="E82" s="312">
        <f>VLOOKUP($C82,[1]!eGRID_factors,E$72,FALSE)</f>
        <v>58.962565877413979</v>
      </c>
      <c r="F82" s="714">
        <f>VLOOKUP($C82,[1]!eGRID_factors,F$72,FALSE)</f>
        <v>9151.49928732646</v>
      </c>
      <c r="G82" s="311">
        <f>'[1]AD Model Dry '!U28</f>
        <v>0.78833186485211082</v>
      </c>
    </row>
    <row r="83" spans="2:7" x14ac:dyDescent="0.25">
      <c r="C83" s="422"/>
    </row>
    <row r="84" spans="2:7" x14ac:dyDescent="0.25">
      <c r="C84" s="21"/>
    </row>
    <row r="89" spans="2:7" x14ac:dyDescent="0.25">
      <c r="C89" s="21" t="s">
        <v>845</v>
      </c>
    </row>
    <row r="90" spans="2:7" ht="13" thickBot="1" x14ac:dyDescent="0.3"/>
    <row r="91" spans="2:7" x14ac:dyDescent="0.25">
      <c r="C91" s="803"/>
      <c r="D91" s="804" t="s">
        <v>819</v>
      </c>
      <c r="E91" s="805"/>
      <c r="F91" s="805"/>
      <c r="G91" s="806"/>
    </row>
    <row r="92" spans="2:7" x14ac:dyDescent="0.25">
      <c r="C92" s="807"/>
      <c r="D92" s="808" t="s">
        <v>822</v>
      </c>
      <c r="E92" s="808" t="s">
        <v>822</v>
      </c>
      <c r="F92" s="808" t="s">
        <v>817</v>
      </c>
      <c r="G92" s="809" t="s">
        <v>817</v>
      </c>
    </row>
    <row r="93" spans="2:7" x14ac:dyDescent="0.25">
      <c r="C93" s="807"/>
      <c r="D93" s="808" t="s">
        <v>821</v>
      </c>
      <c r="E93" s="808" t="s">
        <v>818</v>
      </c>
      <c r="F93" s="808" t="s">
        <v>821</v>
      </c>
      <c r="G93" s="809" t="s">
        <v>818</v>
      </c>
    </row>
    <row r="94" spans="2:7" x14ac:dyDescent="0.25">
      <c r="C94" s="310" t="s">
        <v>740</v>
      </c>
      <c r="D94" s="81">
        <f>'[1]AD Model Wet'!$L$156</f>
        <v>-164.47260265905049</v>
      </c>
      <c r="E94" s="81">
        <f>'[1]AD Model Wet'!$F$156</f>
        <v>-165.8125256439568</v>
      </c>
      <c r="F94" s="81">
        <f>'[1]AD Model Dry '!$N$154</f>
        <v>-194.55405486271059</v>
      </c>
      <c r="G94" s="708">
        <f>'[1]AD Model Dry '!$D$154</f>
        <v>-194.77737536019498</v>
      </c>
    </row>
    <row r="95" spans="2:7" x14ac:dyDescent="0.25">
      <c r="C95" s="310" t="s">
        <v>648</v>
      </c>
      <c r="D95" s="81">
        <f>'[1]AD Model Wet'!$L$156</f>
        <v>-164.47260265905049</v>
      </c>
      <c r="E95" s="81">
        <f>'[1]AD Model Wet'!$F$156</f>
        <v>-165.8125256439568</v>
      </c>
      <c r="F95" s="81">
        <f>'[1]AD Model Dry '!$N$154</f>
        <v>-194.55405486271059</v>
      </c>
      <c r="G95" s="708">
        <f>'[1]AD Model Dry '!$D$154</f>
        <v>-194.77737536019498</v>
      </c>
    </row>
    <row r="96" spans="2:7" x14ac:dyDescent="0.25">
      <c r="C96" s="310" t="s">
        <v>649</v>
      </c>
      <c r="D96" s="81">
        <f>'[1]AD Model Wet'!$L$156</f>
        <v>-164.47260265905049</v>
      </c>
      <c r="E96" s="81">
        <f>'[1]AD Model Wet'!$F$156</f>
        <v>-165.8125256439568</v>
      </c>
      <c r="F96" s="81">
        <f>'[1]AD Model Dry '!$N$154</f>
        <v>-194.55405486271059</v>
      </c>
      <c r="G96" s="708">
        <f>'[1]AD Model Dry '!$D$154</f>
        <v>-194.77737536019498</v>
      </c>
    </row>
    <row r="97" spans="3:7" x14ac:dyDescent="0.25">
      <c r="C97" s="310" t="s">
        <v>645</v>
      </c>
      <c r="D97" s="81">
        <f>'[1]AD Model Wet'!$L$156</f>
        <v>-164.47260265905049</v>
      </c>
      <c r="E97" s="81">
        <f>'[1]AD Model Wet'!$F$156</f>
        <v>-165.8125256439568</v>
      </c>
      <c r="F97" s="81">
        <f>'[1]AD Model Dry '!$N$154</f>
        <v>-194.55405486271059</v>
      </c>
      <c r="G97" s="708">
        <f>'[1]AD Model Dry '!$D$154</f>
        <v>-194.77737536019498</v>
      </c>
    </row>
    <row r="98" spans="3:7" x14ac:dyDescent="0.25">
      <c r="C98" s="310" t="s">
        <v>647</v>
      </c>
      <c r="D98" s="81">
        <f>'[1]AD Model Wet'!$L$156</f>
        <v>-164.47260265905049</v>
      </c>
      <c r="E98" s="81">
        <f>'[1]AD Model Wet'!$F$156</f>
        <v>-165.8125256439568</v>
      </c>
      <c r="F98" s="81">
        <f>'[1]AD Model Dry '!$N$154</f>
        <v>-194.55405486271059</v>
      </c>
      <c r="G98" s="708">
        <f>'[1]AD Model Dry '!$D$154</f>
        <v>-194.77737536019498</v>
      </c>
    </row>
    <row r="99" spans="3:7" x14ac:dyDescent="0.25">
      <c r="C99" s="310" t="s">
        <v>741</v>
      </c>
      <c r="D99" s="81">
        <f>'[1]AD Model Wet'!$L$156</f>
        <v>-164.47260265905049</v>
      </c>
      <c r="E99" s="81">
        <f>'[1]AD Model Wet'!$F$156</f>
        <v>-165.8125256439568</v>
      </c>
      <c r="F99" s="81">
        <f>'[1]AD Model Dry '!$N$154</f>
        <v>-194.55405486271059</v>
      </c>
      <c r="G99" s="708">
        <f>'[1]AD Model Dry '!$D$154</f>
        <v>-194.77737536019498</v>
      </c>
    </row>
    <row r="100" spans="3:7" x14ac:dyDescent="0.25">
      <c r="C100" s="310" t="s">
        <v>742</v>
      </c>
      <c r="D100" s="81">
        <f>'[1]AD Model Wet'!$L$156</f>
        <v>-164.47260265905049</v>
      </c>
      <c r="E100" s="81">
        <f>'[1]AD Model Wet'!$F$156</f>
        <v>-165.8125256439568</v>
      </c>
      <c r="F100" s="81">
        <f>'[1]AD Model Dry '!$N$154</f>
        <v>-194.55405486271059</v>
      </c>
      <c r="G100" s="708">
        <f>'[1]AD Model Dry '!$D$154</f>
        <v>-194.77737536019498</v>
      </c>
    </row>
    <row r="101" spans="3:7" x14ac:dyDescent="0.25">
      <c r="C101" s="310" t="s">
        <v>823</v>
      </c>
      <c r="D101" s="81">
        <f>'[1]AD Model Wet'!$L$156</f>
        <v>-164.47260265905049</v>
      </c>
      <c r="E101" s="81">
        <f>'[1]AD Model Wet'!$F$156</f>
        <v>-165.8125256439568</v>
      </c>
      <c r="F101" s="81">
        <f>'[1]AD Model Dry '!$N$154</f>
        <v>-194.55405486271059</v>
      </c>
      <c r="G101" s="708">
        <f>'[1]AD Model Dry '!$D$154</f>
        <v>-194.77737536019498</v>
      </c>
    </row>
    <row r="102" spans="3:7" x14ac:dyDescent="0.25">
      <c r="C102" s="310" t="s">
        <v>646</v>
      </c>
      <c r="D102" s="81">
        <f>'[1]AD Model Wet'!$L$156</f>
        <v>-164.47260265905049</v>
      </c>
      <c r="E102" s="81">
        <f>'[1]AD Model Wet'!$F$156</f>
        <v>-165.8125256439568</v>
      </c>
      <c r="F102" s="81">
        <f>'[1]AD Model Dry '!$N$154</f>
        <v>-194.55405486271059</v>
      </c>
      <c r="G102" s="708">
        <f>'[1]AD Model Dry '!$D$154</f>
        <v>-194.77737536019498</v>
      </c>
    </row>
    <row r="103" spans="3:7" x14ac:dyDescent="0.25">
      <c r="C103" s="310" t="s">
        <v>523</v>
      </c>
      <c r="D103" s="3"/>
      <c r="E103" s="3"/>
      <c r="F103" s="81">
        <f>'[1]AD Model Dry '!$O$154</f>
        <v>-82.689395892598924</v>
      </c>
      <c r="G103" s="708">
        <f>'[1]AD Model Dry '!$E$154</f>
        <v>-84.049278604684915</v>
      </c>
    </row>
    <row r="104" spans="3:7" x14ac:dyDescent="0.25">
      <c r="C104" s="310" t="s">
        <v>521</v>
      </c>
      <c r="D104" s="3"/>
      <c r="E104" s="3"/>
      <c r="F104" s="81">
        <f>'[1]AD Model Dry '!$P$154</f>
        <v>-53.688352859879501</v>
      </c>
      <c r="G104" s="708">
        <f>'[1]AD Model Dry '!$F$154</f>
        <v>-53.868203721925539</v>
      </c>
    </row>
    <row r="105" spans="3:7" x14ac:dyDescent="0.25">
      <c r="C105" s="310" t="s">
        <v>522</v>
      </c>
      <c r="D105" s="3"/>
      <c r="E105" s="3"/>
      <c r="F105" s="81">
        <f>'[1]AD Model Dry '!$Q$154</f>
        <v>-30.922350937915802</v>
      </c>
      <c r="G105" s="708">
        <f>'[1]AD Model Dry '!$G$154</f>
        <v>-32.022322046142413</v>
      </c>
    </row>
    <row r="106" spans="3:7" x14ac:dyDescent="0.25">
      <c r="C106" s="310" t="s">
        <v>580</v>
      </c>
      <c r="D106" s="3"/>
      <c r="E106" s="3"/>
      <c r="F106" s="81">
        <f>'[1]AD Model Dry '!$R$154</f>
        <v>-55.247113137568434</v>
      </c>
      <c r="G106" s="708">
        <f>'[1]AD Model Dry '!$H$154</f>
        <v>-55.9520020236696</v>
      </c>
    </row>
    <row r="107" spans="3:7" ht="13" thickBot="1" x14ac:dyDescent="0.3">
      <c r="C107" s="709" t="s">
        <v>385</v>
      </c>
      <c r="D107" s="34"/>
      <c r="E107" s="34"/>
      <c r="F107" s="312">
        <f>'[1]AD Model Dry '!$S$154</f>
        <v>-127.69610640635551</v>
      </c>
      <c r="G107" s="710">
        <f>'[1]AD Model Dry '!$I$154</f>
        <v>-128.15054729242669</v>
      </c>
    </row>
  </sheetData>
  <sheetProtection password="CDE6" sheet="1" selectLockedCells="1" selectUnlockedCells="1"/>
  <phoneticPr fontId="45"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B2:AB64"/>
  <sheetViews>
    <sheetView topLeftCell="B1" zoomScale="85" zoomScaleNormal="85" workbookViewId="0">
      <selection activeCell="A4" sqref="A4"/>
    </sheetView>
  </sheetViews>
  <sheetFormatPr defaultRowHeight="12.5" x14ac:dyDescent="0.25"/>
  <cols>
    <col min="2" max="2" width="16" customWidth="1"/>
    <col min="3" max="3" width="21" customWidth="1"/>
    <col min="27" max="27" width="10.26953125" customWidth="1"/>
  </cols>
  <sheetData>
    <row r="2" spans="2:28" ht="13" thickBot="1" x14ac:dyDescent="0.3"/>
    <row r="3" spans="2:28" ht="13" x14ac:dyDescent="0.3">
      <c r="B3" s="341" t="s">
        <v>679</v>
      </c>
      <c r="C3" s="465"/>
      <c r="D3" s="465"/>
      <c r="E3" s="465"/>
      <c r="F3" s="465"/>
      <c r="G3" s="465"/>
      <c r="H3" s="465"/>
      <c r="I3" s="465"/>
      <c r="J3" s="466"/>
      <c r="K3" s="467"/>
      <c r="L3" s="467"/>
      <c r="M3" s="467"/>
      <c r="N3" s="467"/>
      <c r="O3" s="468"/>
      <c r="P3" s="468"/>
      <c r="Q3" s="468"/>
      <c r="R3" s="468"/>
      <c r="S3" s="468"/>
      <c r="T3" s="468"/>
      <c r="U3" s="468"/>
      <c r="V3" s="468"/>
      <c r="W3" s="469"/>
      <c r="X3" s="448"/>
    </row>
    <row r="4" spans="2:28" ht="13.5" x14ac:dyDescent="0.25">
      <c r="B4" s="470"/>
      <c r="C4" s="471"/>
      <c r="D4" s="472">
        <v>1</v>
      </c>
      <c r="E4" s="472">
        <v>2</v>
      </c>
      <c r="F4" s="472">
        <v>3</v>
      </c>
      <c r="G4" s="472">
        <v>4</v>
      </c>
      <c r="H4" s="472">
        <v>5</v>
      </c>
      <c r="I4" s="472">
        <v>6</v>
      </c>
      <c r="J4" s="472">
        <v>7</v>
      </c>
      <c r="K4" s="472">
        <v>8</v>
      </c>
      <c r="L4" s="472">
        <v>9</v>
      </c>
      <c r="M4" s="472">
        <v>10</v>
      </c>
      <c r="N4" s="472">
        <v>11</v>
      </c>
      <c r="O4" s="472">
        <v>12</v>
      </c>
      <c r="P4" s="472">
        <v>13</v>
      </c>
      <c r="Q4" s="472">
        <v>14</v>
      </c>
      <c r="R4" s="472">
        <v>15</v>
      </c>
      <c r="S4" s="472">
        <v>16</v>
      </c>
      <c r="T4" s="472">
        <v>17</v>
      </c>
      <c r="U4" s="472">
        <v>18</v>
      </c>
      <c r="V4" s="472">
        <v>19</v>
      </c>
      <c r="W4" s="473">
        <v>20</v>
      </c>
      <c r="X4" s="449"/>
      <c r="Y4" s="330" t="s">
        <v>378</v>
      </c>
    </row>
    <row r="5" spans="2:28" ht="13" x14ac:dyDescent="0.25">
      <c r="B5" s="342" t="s">
        <v>364</v>
      </c>
      <c r="C5" s="336"/>
      <c r="D5" s="459">
        <v>1</v>
      </c>
      <c r="E5" s="460">
        <v>1</v>
      </c>
      <c r="F5" s="460">
        <v>1</v>
      </c>
      <c r="G5" s="460">
        <v>1</v>
      </c>
      <c r="H5" s="451">
        <v>1</v>
      </c>
      <c r="I5" s="459">
        <v>2</v>
      </c>
      <c r="J5" s="460">
        <v>2</v>
      </c>
      <c r="K5" s="460">
        <v>2</v>
      </c>
      <c r="L5" s="460">
        <v>2</v>
      </c>
      <c r="M5" s="451">
        <v>2</v>
      </c>
      <c r="N5" s="459">
        <v>3</v>
      </c>
      <c r="O5" s="460">
        <v>3</v>
      </c>
      <c r="P5" s="460">
        <v>3</v>
      </c>
      <c r="Q5" s="460">
        <v>3</v>
      </c>
      <c r="R5" s="451">
        <v>3</v>
      </c>
      <c r="S5" s="459">
        <v>4</v>
      </c>
      <c r="T5" s="460">
        <v>4</v>
      </c>
      <c r="U5" s="460">
        <v>4</v>
      </c>
      <c r="V5" s="460">
        <v>4</v>
      </c>
      <c r="W5" s="461">
        <v>4</v>
      </c>
      <c r="X5" s="337"/>
    </row>
    <row r="6" spans="2:28" ht="13" x14ac:dyDescent="0.25">
      <c r="B6" s="343" t="s">
        <v>365</v>
      </c>
      <c r="C6" s="338"/>
      <c r="D6" s="458">
        <v>1</v>
      </c>
      <c r="E6" s="452">
        <v>2</v>
      </c>
      <c r="F6" s="452">
        <v>3</v>
      </c>
      <c r="G6" s="452">
        <v>4</v>
      </c>
      <c r="H6" s="453">
        <v>5</v>
      </c>
      <c r="I6" s="458">
        <v>1</v>
      </c>
      <c r="J6" s="452">
        <v>2</v>
      </c>
      <c r="K6" s="452">
        <v>3</v>
      </c>
      <c r="L6" s="452">
        <v>4</v>
      </c>
      <c r="M6" s="453">
        <v>5</v>
      </c>
      <c r="N6" s="458">
        <v>1</v>
      </c>
      <c r="O6" s="452">
        <v>2</v>
      </c>
      <c r="P6" s="452">
        <v>3</v>
      </c>
      <c r="Q6" s="452">
        <v>4</v>
      </c>
      <c r="R6" s="453">
        <v>5</v>
      </c>
      <c r="S6" s="458">
        <v>1</v>
      </c>
      <c r="T6" s="452">
        <v>2</v>
      </c>
      <c r="U6" s="452">
        <v>3</v>
      </c>
      <c r="V6" s="452">
        <v>4</v>
      </c>
      <c r="W6" s="454">
        <v>5</v>
      </c>
      <c r="X6" s="337"/>
      <c r="Y6" s="21" t="s">
        <v>377</v>
      </c>
    </row>
    <row r="7" spans="2:28" ht="13" x14ac:dyDescent="0.25">
      <c r="B7" s="342" t="s">
        <v>496</v>
      </c>
      <c r="C7" s="339" t="s">
        <v>366</v>
      </c>
      <c r="D7" s="934" t="s">
        <v>364</v>
      </c>
      <c r="E7" s="935"/>
      <c r="F7" s="935"/>
      <c r="G7" s="935"/>
      <c r="H7" s="935"/>
      <c r="I7" s="935"/>
      <c r="J7" s="935"/>
      <c r="K7" s="935"/>
      <c r="L7" s="935"/>
      <c r="M7" s="935"/>
      <c r="N7" s="935"/>
      <c r="O7" s="935"/>
      <c r="P7" s="935"/>
      <c r="Q7" s="935"/>
      <c r="R7" s="935"/>
      <c r="S7" s="935"/>
      <c r="T7" s="935"/>
      <c r="U7" s="935"/>
      <c r="V7" s="935"/>
      <c r="W7" s="936"/>
      <c r="X7" s="340"/>
    </row>
    <row r="8" spans="2:28" ht="29.25" customHeight="1" x14ac:dyDescent="0.25">
      <c r="B8" s="342"/>
      <c r="C8" s="339"/>
      <c r="D8" s="937" t="s">
        <v>367</v>
      </c>
      <c r="E8" s="938"/>
      <c r="F8" s="938"/>
      <c r="G8" s="938"/>
      <c r="H8" s="939"/>
      <c r="I8" s="937" t="s">
        <v>368</v>
      </c>
      <c r="J8" s="938"/>
      <c r="K8" s="938"/>
      <c r="L8" s="938"/>
      <c r="M8" s="939"/>
      <c r="N8" s="937" t="s">
        <v>369</v>
      </c>
      <c r="O8" s="938"/>
      <c r="P8" s="938"/>
      <c r="Q8" s="938"/>
      <c r="R8" s="939"/>
      <c r="S8" s="937" t="s">
        <v>690</v>
      </c>
      <c r="T8" s="938"/>
      <c r="U8" s="938"/>
      <c r="V8" s="938"/>
      <c r="W8" s="944"/>
      <c r="X8" s="337"/>
    </row>
    <row r="9" spans="2:28" ht="13" x14ac:dyDescent="0.25">
      <c r="B9" s="342"/>
      <c r="C9" s="339"/>
      <c r="D9" s="940" t="s">
        <v>370</v>
      </c>
      <c r="E9" s="941"/>
      <c r="F9" s="941"/>
      <c r="G9" s="941"/>
      <c r="H9" s="942"/>
      <c r="I9" s="940" t="s">
        <v>370</v>
      </c>
      <c r="J9" s="941"/>
      <c r="K9" s="941"/>
      <c r="L9" s="941"/>
      <c r="M9" s="942"/>
      <c r="N9" s="940" t="s">
        <v>370</v>
      </c>
      <c r="O9" s="941"/>
      <c r="P9" s="941"/>
      <c r="Q9" s="941"/>
      <c r="R9" s="942"/>
      <c r="S9" s="940" t="s">
        <v>370</v>
      </c>
      <c r="T9" s="941"/>
      <c r="U9" s="941"/>
      <c r="V9" s="941"/>
      <c r="W9" s="943"/>
      <c r="X9" s="337"/>
      <c r="Z9" s="21"/>
    </row>
    <row r="10" spans="2:28" ht="37.5" x14ac:dyDescent="0.25">
      <c r="B10" s="343"/>
      <c r="C10" s="338"/>
      <c r="D10" s="462" t="s">
        <v>371</v>
      </c>
      <c r="E10" s="463" t="s">
        <v>372</v>
      </c>
      <c r="F10" s="463" t="s">
        <v>373</v>
      </c>
      <c r="G10" s="463" t="s">
        <v>374</v>
      </c>
      <c r="H10" s="457" t="s">
        <v>688</v>
      </c>
      <c r="I10" s="462" t="s">
        <v>371</v>
      </c>
      <c r="J10" s="463" t="s">
        <v>372</v>
      </c>
      <c r="K10" s="463" t="s">
        <v>373</v>
      </c>
      <c r="L10" s="463" t="s">
        <v>374</v>
      </c>
      <c r="M10" s="457" t="s">
        <v>688</v>
      </c>
      <c r="N10" s="462" t="s">
        <v>371</v>
      </c>
      <c r="O10" s="463" t="s">
        <v>372</v>
      </c>
      <c r="P10" s="463" t="s">
        <v>373</v>
      </c>
      <c r="Q10" s="463" t="s">
        <v>374</v>
      </c>
      <c r="R10" s="457" t="s">
        <v>688</v>
      </c>
      <c r="S10" s="462" t="s">
        <v>371</v>
      </c>
      <c r="T10" s="463" t="s">
        <v>372</v>
      </c>
      <c r="U10" s="463" t="s">
        <v>373</v>
      </c>
      <c r="V10" s="463" t="s">
        <v>374</v>
      </c>
      <c r="W10" s="455" t="s">
        <v>688</v>
      </c>
      <c r="X10" s="450"/>
      <c r="Z10" s="335" t="s">
        <v>376</v>
      </c>
      <c r="AA10" s="329" t="s">
        <v>377</v>
      </c>
    </row>
    <row r="11" spans="2:28" x14ac:dyDescent="0.25">
      <c r="B11" s="344" t="s">
        <v>515</v>
      </c>
      <c r="C11" s="624" t="str">
        <f>B11</f>
        <v>Aluminum Cans</v>
      </c>
      <c r="D11" s="456" t="str">
        <f>VLOOKUP($B11,[1]!LFGEfficiencies,[1]Landfilling!C$977,FALSE)</f>
        <v>--</v>
      </c>
      <c r="E11" s="438" t="str">
        <f>VLOOKUP($B11,[1]!LFGEfficiencies,[1]Landfilling!D$977,FALSE)</f>
        <v>--</v>
      </c>
      <c r="F11" s="438" t="str">
        <f>VLOOKUP($B11,[1]!LFGEfficiencies,[1]Landfilling!E$977,FALSE)</f>
        <v>--</v>
      </c>
      <c r="G11" s="438" t="str">
        <f>VLOOKUP($B11,[1]!LFGEfficiencies,[1]Landfilling!F$977,FALSE)</f>
        <v>--</v>
      </c>
      <c r="H11" s="439" t="str">
        <f>VLOOKUP($B11,[1]!LFGEfficiencies,[1]Landfilling!G$977,FALSE)</f>
        <v>--</v>
      </c>
      <c r="I11" s="456" t="str">
        <f>VLOOKUP($B11,[1]!LFGEfficiencies,[1]Landfilling!H$977,FALSE)</f>
        <v>--</v>
      </c>
      <c r="J11" s="438" t="str">
        <f>VLOOKUP($B11,[1]!LFGEfficiencies,[1]Landfilling!I$977,FALSE)</f>
        <v>--</v>
      </c>
      <c r="K11" s="438" t="str">
        <f>VLOOKUP($B11,[1]!LFGEfficiencies,[1]Landfilling!J$977,FALSE)</f>
        <v>--</v>
      </c>
      <c r="L11" s="438" t="str">
        <f>VLOOKUP($B11,[1]!LFGEfficiencies,[1]Landfilling!K$977,FALSE)</f>
        <v>--</v>
      </c>
      <c r="M11" s="439" t="str">
        <f>VLOOKUP($B11,[1]!LFGEfficiencies,[1]Landfilling!L$977,FALSE)</f>
        <v>--</v>
      </c>
      <c r="N11" s="456" t="str">
        <f>VLOOKUP($B11,[1]!LFGEfficiencies,[1]Landfilling!M$977,FALSE)</f>
        <v>--</v>
      </c>
      <c r="O11" s="438" t="str">
        <f>VLOOKUP($B11,[1]!LFGEfficiencies,[1]Landfilling!N$977,FALSE)</f>
        <v>--</v>
      </c>
      <c r="P11" s="438" t="str">
        <f>VLOOKUP($B11,[1]!LFGEfficiencies,[1]Landfilling!O$977,FALSE)</f>
        <v>--</v>
      </c>
      <c r="Q11" s="438" t="str">
        <f>VLOOKUP($B11,[1]!LFGEfficiencies,[1]Landfilling!P$977,FALSE)</f>
        <v>--</v>
      </c>
      <c r="R11" s="439" t="str">
        <f>VLOOKUP($B11,[1]!LFGEfficiencies,[1]Landfilling!Q$977,FALSE)</f>
        <v>--</v>
      </c>
      <c r="S11" s="456" t="str">
        <f>VLOOKUP($B11,[1]!LFGEfficiencies,[1]Landfilling!R$977,FALSE)</f>
        <v>--</v>
      </c>
      <c r="T11" s="438" t="str">
        <f>VLOOKUP($B11,[1]!LFGEfficiencies,[1]Landfilling!S$977,FALSE)</f>
        <v>--</v>
      </c>
      <c r="U11" s="438" t="str">
        <f>VLOOKUP($B11,[1]!LFGEfficiencies,[1]Landfilling!T$977,FALSE)</f>
        <v>--</v>
      </c>
      <c r="V11" s="438" t="str">
        <f>VLOOKUP($B11,[1]!LFGEfficiencies,[1]Landfilling!U$977,FALSE)</f>
        <v>--</v>
      </c>
      <c r="W11" s="439" t="str">
        <f>VLOOKUP($B11,[1]!LFGEfficiencies,[1]Landfilling!V$977,FALSE)</f>
        <v>--</v>
      </c>
      <c r="X11" s="438"/>
      <c r="Z11">
        <f>CHOOSE('Analysis Inputs'!$N$118,1,6,11,16)</f>
        <v>11</v>
      </c>
      <c r="AA11">
        <f>'Analysis Inputs'!$N$131</f>
        <v>2</v>
      </c>
    </row>
    <row r="12" spans="2:28" x14ac:dyDescent="0.25">
      <c r="B12" s="344" t="s">
        <v>516</v>
      </c>
      <c r="C12" s="625" t="str">
        <f t="shared" ref="C12:C64" si="0">B12</f>
        <v>Steel Cans</v>
      </c>
      <c r="D12" s="438" t="str">
        <f>VLOOKUP($B12,[1]!LFGEfficiencies,[1]Landfilling!C$977,FALSE)</f>
        <v>--</v>
      </c>
      <c r="E12" s="438" t="str">
        <f>VLOOKUP($B12,[1]!LFGEfficiencies,[1]Landfilling!D$977,FALSE)</f>
        <v>--</v>
      </c>
      <c r="F12" s="438" t="str">
        <f>VLOOKUP($B12,[1]!LFGEfficiencies,[1]Landfilling!E$977,FALSE)</f>
        <v>--</v>
      </c>
      <c r="G12" s="438" t="str">
        <f>VLOOKUP($B12,[1]!LFGEfficiencies,[1]Landfilling!F$977,FALSE)</f>
        <v>--</v>
      </c>
      <c r="H12" s="439" t="str">
        <f>VLOOKUP($B12,[1]!LFGEfficiencies,[1]Landfilling!G$977,FALSE)</f>
        <v>--</v>
      </c>
      <c r="I12" s="438" t="str">
        <f>VLOOKUP($B12,[1]!LFGEfficiencies,[1]Landfilling!H$977,FALSE)</f>
        <v>--</v>
      </c>
      <c r="J12" s="438" t="str">
        <f>VLOOKUP($B12,[1]!LFGEfficiencies,[1]Landfilling!I$977,FALSE)</f>
        <v>--</v>
      </c>
      <c r="K12" s="438" t="str">
        <f>VLOOKUP($B12,[1]!LFGEfficiencies,[1]Landfilling!J$977,FALSE)</f>
        <v>--</v>
      </c>
      <c r="L12" s="438" t="str">
        <f>VLOOKUP($B12,[1]!LFGEfficiencies,[1]Landfilling!K$977,FALSE)</f>
        <v>--</v>
      </c>
      <c r="M12" s="439" t="str">
        <f>VLOOKUP($B12,[1]!LFGEfficiencies,[1]Landfilling!L$977,FALSE)</f>
        <v>--</v>
      </c>
      <c r="N12" s="438" t="str">
        <f>VLOOKUP($B12,[1]!LFGEfficiencies,[1]Landfilling!M$977,FALSE)</f>
        <v>--</v>
      </c>
      <c r="O12" s="438" t="str">
        <f>VLOOKUP($B12,[1]!LFGEfficiencies,[1]Landfilling!N$977,FALSE)</f>
        <v>--</v>
      </c>
      <c r="P12" s="438" t="str">
        <f>VLOOKUP($B12,[1]!LFGEfficiencies,[1]Landfilling!O$977,FALSE)</f>
        <v>--</v>
      </c>
      <c r="Q12" s="438" t="str">
        <f>VLOOKUP($B12,[1]!LFGEfficiencies,[1]Landfilling!P$977,FALSE)</f>
        <v>--</v>
      </c>
      <c r="R12" s="439" t="str">
        <f>VLOOKUP($B12,[1]!LFGEfficiencies,[1]Landfilling!Q$977,FALSE)</f>
        <v>--</v>
      </c>
      <c r="S12" s="438" t="str">
        <f>VLOOKUP($B12,[1]!LFGEfficiencies,[1]Landfilling!R$977,FALSE)</f>
        <v>--</v>
      </c>
      <c r="T12" s="438" t="str">
        <f>VLOOKUP($B12,[1]!LFGEfficiencies,[1]Landfilling!S$977,FALSE)</f>
        <v>--</v>
      </c>
      <c r="U12" s="438" t="str">
        <f>VLOOKUP($B12,[1]!LFGEfficiencies,[1]Landfilling!T$977,FALSE)</f>
        <v>--</v>
      </c>
      <c r="V12" s="438" t="str">
        <f>VLOOKUP($B12,[1]!LFGEfficiencies,[1]Landfilling!U$977,FALSE)</f>
        <v>--</v>
      </c>
      <c r="W12" s="439" t="str">
        <f>VLOOKUP($B12,[1]!LFGEfficiencies,[1]Landfilling!V$977,FALSE)</f>
        <v>--</v>
      </c>
      <c r="X12" s="438"/>
      <c r="Z12" s="332" t="s">
        <v>380</v>
      </c>
      <c r="AA12" s="331"/>
      <c r="AB12" s="334" t="s">
        <v>379</v>
      </c>
    </row>
    <row r="13" spans="2:28" x14ac:dyDescent="0.25">
      <c r="B13" s="344" t="s">
        <v>438</v>
      </c>
      <c r="C13" s="625" t="str">
        <f t="shared" si="0"/>
        <v>Copper Wire</v>
      </c>
      <c r="D13" s="438" t="str">
        <f>VLOOKUP($B13,[1]!LFGEfficiencies,[1]Landfilling!C$977,FALSE)</f>
        <v>--</v>
      </c>
      <c r="E13" s="438" t="str">
        <f>VLOOKUP($B13,[1]!LFGEfficiencies,[1]Landfilling!D$977,FALSE)</f>
        <v>--</v>
      </c>
      <c r="F13" s="438" t="str">
        <f>VLOOKUP($B13,[1]!LFGEfficiencies,[1]Landfilling!E$977,FALSE)</f>
        <v>--</v>
      </c>
      <c r="G13" s="438" t="str">
        <f>VLOOKUP($B13,[1]!LFGEfficiencies,[1]Landfilling!F$977,FALSE)</f>
        <v>--</v>
      </c>
      <c r="H13" s="439" t="str">
        <f>VLOOKUP($B13,[1]!LFGEfficiencies,[1]Landfilling!G$977,FALSE)</f>
        <v>--</v>
      </c>
      <c r="I13" s="438" t="str">
        <f>VLOOKUP($B13,[1]!LFGEfficiencies,[1]Landfilling!H$977,FALSE)</f>
        <v>--</v>
      </c>
      <c r="J13" s="438" t="str">
        <f>VLOOKUP($B13,[1]!LFGEfficiencies,[1]Landfilling!I$977,FALSE)</f>
        <v>--</v>
      </c>
      <c r="K13" s="438" t="str">
        <f>VLOOKUP($B13,[1]!LFGEfficiencies,[1]Landfilling!J$977,FALSE)</f>
        <v>--</v>
      </c>
      <c r="L13" s="438" t="str">
        <f>VLOOKUP($B13,[1]!LFGEfficiencies,[1]Landfilling!K$977,FALSE)</f>
        <v>--</v>
      </c>
      <c r="M13" s="439" t="str">
        <f>VLOOKUP($B13,[1]!LFGEfficiencies,[1]Landfilling!L$977,FALSE)</f>
        <v>--</v>
      </c>
      <c r="N13" s="438" t="str">
        <f>VLOOKUP($B13,[1]!LFGEfficiencies,[1]Landfilling!M$977,FALSE)</f>
        <v>--</v>
      </c>
      <c r="O13" s="438" t="str">
        <f>VLOOKUP($B13,[1]!LFGEfficiencies,[1]Landfilling!N$977,FALSE)</f>
        <v>--</v>
      </c>
      <c r="P13" s="438" t="str">
        <f>VLOOKUP($B13,[1]!LFGEfficiencies,[1]Landfilling!O$977,FALSE)</f>
        <v>--</v>
      </c>
      <c r="Q13" s="438" t="str">
        <f>VLOOKUP($B13,[1]!LFGEfficiencies,[1]Landfilling!P$977,FALSE)</f>
        <v>--</v>
      </c>
      <c r="R13" s="439" t="str">
        <f>VLOOKUP($B13,[1]!LFGEfficiencies,[1]Landfilling!Q$977,FALSE)</f>
        <v>--</v>
      </c>
      <c r="S13" s="438" t="str">
        <f>VLOOKUP($B13,[1]!LFGEfficiencies,[1]Landfilling!R$977,FALSE)</f>
        <v>--</v>
      </c>
      <c r="T13" s="438" t="str">
        <f>VLOOKUP($B13,[1]!LFGEfficiencies,[1]Landfilling!S$977,FALSE)</f>
        <v>--</v>
      </c>
      <c r="U13" s="438" t="str">
        <f>VLOOKUP($B13,[1]!LFGEfficiencies,[1]Landfilling!T$977,FALSE)</f>
        <v>--</v>
      </c>
      <c r="V13" s="438" t="str">
        <f>VLOOKUP($B13,[1]!LFGEfficiencies,[1]Landfilling!U$977,FALSE)</f>
        <v>--</v>
      </c>
      <c r="W13" s="439" t="str">
        <f>VLOOKUP($B13,[1]!LFGEfficiencies,[1]Landfilling!V$977,FALSE)</f>
        <v>--</v>
      </c>
      <c r="X13" s="438"/>
      <c r="Z13" s="331">
        <f>Z11+1</f>
        <v>12</v>
      </c>
      <c r="AA13" s="331">
        <f>AA11</f>
        <v>2</v>
      </c>
      <c r="AB13" s="334">
        <f>SUM(Z13:AA13)</f>
        <v>14</v>
      </c>
    </row>
    <row r="14" spans="2:28" x14ac:dyDescent="0.25">
      <c r="B14" s="344" t="s">
        <v>517</v>
      </c>
      <c r="C14" s="625" t="str">
        <f t="shared" si="0"/>
        <v>Glass</v>
      </c>
      <c r="D14" s="438" t="str">
        <f>VLOOKUP($B14,[1]!LFGEfficiencies,[1]Landfilling!C$977,FALSE)</f>
        <v>--</v>
      </c>
      <c r="E14" s="438" t="str">
        <f>VLOOKUP($B14,[1]!LFGEfficiencies,[1]Landfilling!D$977,FALSE)</f>
        <v>--</v>
      </c>
      <c r="F14" s="438" t="str">
        <f>VLOOKUP($B14,[1]!LFGEfficiencies,[1]Landfilling!E$977,FALSE)</f>
        <v>--</v>
      </c>
      <c r="G14" s="438" t="str">
        <f>VLOOKUP($B14,[1]!LFGEfficiencies,[1]Landfilling!F$977,FALSE)</f>
        <v>--</v>
      </c>
      <c r="H14" s="439" t="str">
        <f>VLOOKUP($B14,[1]!LFGEfficiencies,[1]Landfilling!G$977,FALSE)</f>
        <v>--</v>
      </c>
      <c r="I14" s="438" t="str">
        <f>VLOOKUP($B14,[1]!LFGEfficiencies,[1]Landfilling!H$977,FALSE)</f>
        <v>--</v>
      </c>
      <c r="J14" s="438" t="str">
        <f>VLOOKUP($B14,[1]!LFGEfficiencies,[1]Landfilling!I$977,FALSE)</f>
        <v>--</v>
      </c>
      <c r="K14" s="438" t="str">
        <f>VLOOKUP($B14,[1]!LFGEfficiencies,[1]Landfilling!J$977,FALSE)</f>
        <v>--</v>
      </c>
      <c r="L14" s="438" t="str">
        <f>VLOOKUP($B14,[1]!LFGEfficiencies,[1]Landfilling!K$977,FALSE)</f>
        <v>--</v>
      </c>
      <c r="M14" s="439" t="str">
        <f>VLOOKUP($B14,[1]!LFGEfficiencies,[1]Landfilling!L$977,FALSE)</f>
        <v>--</v>
      </c>
      <c r="N14" s="438" t="str">
        <f>VLOOKUP($B14,[1]!LFGEfficiencies,[1]Landfilling!M$977,FALSE)</f>
        <v>--</v>
      </c>
      <c r="O14" s="438" t="str">
        <f>VLOOKUP($B14,[1]!LFGEfficiencies,[1]Landfilling!N$977,FALSE)</f>
        <v>--</v>
      </c>
      <c r="P14" s="438" t="str">
        <f>VLOOKUP($B14,[1]!LFGEfficiencies,[1]Landfilling!O$977,FALSE)</f>
        <v>--</v>
      </c>
      <c r="Q14" s="438" t="str">
        <f>VLOOKUP($B14,[1]!LFGEfficiencies,[1]Landfilling!P$977,FALSE)</f>
        <v>--</v>
      </c>
      <c r="R14" s="439" t="str">
        <f>VLOOKUP($B14,[1]!LFGEfficiencies,[1]Landfilling!Q$977,FALSE)</f>
        <v>--</v>
      </c>
      <c r="S14" s="438" t="str">
        <f>VLOOKUP($B14,[1]!LFGEfficiencies,[1]Landfilling!R$977,FALSE)</f>
        <v>--</v>
      </c>
      <c r="T14" s="438" t="str">
        <f>VLOOKUP($B14,[1]!LFGEfficiencies,[1]Landfilling!S$977,FALSE)</f>
        <v>--</v>
      </c>
      <c r="U14" s="438" t="str">
        <f>VLOOKUP($B14,[1]!LFGEfficiencies,[1]Landfilling!T$977,FALSE)</f>
        <v>--</v>
      </c>
      <c r="V14" s="438" t="str">
        <f>VLOOKUP($B14,[1]!LFGEfficiencies,[1]Landfilling!U$977,FALSE)</f>
        <v>--</v>
      </c>
      <c r="W14" s="439" t="str">
        <f>VLOOKUP($B14,[1]!LFGEfficiencies,[1]Landfilling!V$977,FALSE)</f>
        <v>--</v>
      </c>
      <c r="X14" s="438"/>
    </row>
    <row r="15" spans="2:28" x14ac:dyDescent="0.25">
      <c r="B15" s="344" t="s">
        <v>518</v>
      </c>
      <c r="C15" s="625" t="str">
        <f t="shared" si="0"/>
        <v>HDPE</v>
      </c>
      <c r="D15" s="438" t="str">
        <f>VLOOKUP($B15,[1]!LFGEfficiencies,[1]Landfilling!C$977,FALSE)</f>
        <v>--</v>
      </c>
      <c r="E15" s="438" t="str">
        <f>VLOOKUP($B15,[1]!LFGEfficiencies,[1]Landfilling!D$977,FALSE)</f>
        <v>--</v>
      </c>
      <c r="F15" s="438" t="str">
        <f>VLOOKUP($B15,[1]!LFGEfficiencies,[1]Landfilling!E$977,FALSE)</f>
        <v>--</v>
      </c>
      <c r="G15" s="438" t="str">
        <f>VLOOKUP($B15,[1]!LFGEfficiencies,[1]Landfilling!F$977,FALSE)</f>
        <v>--</v>
      </c>
      <c r="H15" s="439" t="str">
        <f>VLOOKUP($B15,[1]!LFGEfficiencies,[1]Landfilling!G$977,FALSE)</f>
        <v>--</v>
      </c>
      <c r="I15" s="438" t="str">
        <f>VLOOKUP($B15,[1]!LFGEfficiencies,[1]Landfilling!H$977,FALSE)</f>
        <v>--</v>
      </c>
      <c r="J15" s="438" t="str">
        <f>VLOOKUP($B15,[1]!LFGEfficiencies,[1]Landfilling!I$977,FALSE)</f>
        <v>--</v>
      </c>
      <c r="K15" s="438" t="str">
        <f>VLOOKUP($B15,[1]!LFGEfficiencies,[1]Landfilling!J$977,FALSE)</f>
        <v>--</v>
      </c>
      <c r="L15" s="438" t="str">
        <f>VLOOKUP($B15,[1]!LFGEfficiencies,[1]Landfilling!K$977,FALSE)</f>
        <v>--</v>
      </c>
      <c r="M15" s="439" t="str">
        <f>VLOOKUP($B15,[1]!LFGEfficiencies,[1]Landfilling!L$977,FALSE)</f>
        <v>--</v>
      </c>
      <c r="N15" s="438" t="str">
        <f>VLOOKUP($B15,[1]!LFGEfficiencies,[1]Landfilling!M$977,FALSE)</f>
        <v>--</v>
      </c>
      <c r="O15" s="438" t="str">
        <f>VLOOKUP($B15,[1]!LFGEfficiencies,[1]Landfilling!N$977,FALSE)</f>
        <v>--</v>
      </c>
      <c r="P15" s="438" t="str">
        <f>VLOOKUP($B15,[1]!LFGEfficiencies,[1]Landfilling!O$977,FALSE)</f>
        <v>--</v>
      </c>
      <c r="Q15" s="438" t="str">
        <f>VLOOKUP($B15,[1]!LFGEfficiencies,[1]Landfilling!P$977,FALSE)</f>
        <v>--</v>
      </c>
      <c r="R15" s="439" t="str">
        <f>VLOOKUP($B15,[1]!LFGEfficiencies,[1]Landfilling!Q$977,FALSE)</f>
        <v>--</v>
      </c>
      <c r="S15" s="438" t="str">
        <f>VLOOKUP($B15,[1]!LFGEfficiencies,[1]Landfilling!R$977,FALSE)</f>
        <v>--</v>
      </c>
      <c r="T15" s="438" t="str">
        <f>VLOOKUP($B15,[1]!LFGEfficiencies,[1]Landfilling!S$977,FALSE)</f>
        <v>--</v>
      </c>
      <c r="U15" s="438" t="str">
        <f>VLOOKUP($B15,[1]!LFGEfficiencies,[1]Landfilling!T$977,FALSE)</f>
        <v>--</v>
      </c>
      <c r="V15" s="438" t="str">
        <f>VLOOKUP($B15,[1]!LFGEfficiencies,[1]Landfilling!U$977,FALSE)</f>
        <v>--</v>
      </c>
      <c r="W15" s="439" t="str">
        <f>VLOOKUP($B15,[1]!LFGEfficiencies,[1]Landfilling!V$977,FALSE)</f>
        <v>--</v>
      </c>
      <c r="X15" s="438"/>
    </row>
    <row r="16" spans="2:28" x14ac:dyDescent="0.25">
      <c r="B16" s="344" t="s">
        <v>519</v>
      </c>
      <c r="C16" s="625" t="str">
        <f t="shared" si="0"/>
        <v>LDPE</v>
      </c>
      <c r="D16" s="438" t="str">
        <f>VLOOKUP($B16,[1]!LFGEfficiencies,[1]Landfilling!C$977,FALSE)</f>
        <v>--</v>
      </c>
      <c r="E16" s="438" t="str">
        <f>VLOOKUP($B16,[1]!LFGEfficiencies,[1]Landfilling!D$977,FALSE)</f>
        <v>--</v>
      </c>
      <c r="F16" s="438" t="str">
        <f>VLOOKUP($B16,[1]!LFGEfficiencies,[1]Landfilling!E$977,FALSE)</f>
        <v>--</v>
      </c>
      <c r="G16" s="438" t="str">
        <f>VLOOKUP($B16,[1]!LFGEfficiencies,[1]Landfilling!F$977,FALSE)</f>
        <v>--</v>
      </c>
      <c r="H16" s="439" t="str">
        <f>VLOOKUP($B16,[1]!LFGEfficiencies,[1]Landfilling!G$977,FALSE)</f>
        <v>--</v>
      </c>
      <c r="I16" s="438" t="str">
        <f>VLOOKUP($B16,[1]!LFGEfficiencies,[1]Landfilling!H$977,FALSE)</f>
        <v>--</v>
      </c>
      <c r="J16" s="438" t="str">
        <f>VLOOKUP($B16,[1]!LFGEfficiencies,[1]Landfilling!I$977,FALSE)</f>
        <v>--</v>
      </c>
      <c r="K16" s="438" t="str">
        <f>VLOOKUP($B16,[1]!LFGEfficiencies,[1]Landfilling!J$977,FALSE)</f>
        <v>--</v>
      </c>
      <c r="L16" s="438" t="str">
        <f>VLOOKUP($B16,[1]!LFGEfficiencies,[1]Landfilling!K$977,FALSE)</f>
        <v>--</v>
      </c>
      <c r="M16" s="439" t="str">
        <f>VLOOKUP($B16,[1]!LFGEfficiencies,[1]Landfilling!L$977,FALSE)</f>
        <v>--</v>
      </c>
      <c r="N16" s="438" t="str">
        <f>VLOOKUP($B16,[1]!LFGEfficiencies,[1]Landfilling!M$977,FALSE)</f>
        <v>--</v>
      </c>
      <c r="O16" s="438" t="str">
        <f>VLOOKUP($B16,[1]!LFGEfficiencies,[1]Landfilling!N$977,FALSE)</f>
        <v>--</v>
      </c>
      <c r="P16" s="438" t="str">
        <f>VLOOKUP($B16,[1]!LFGEfficiencies,[1]Landfilling!O$977,FALSE)</f>
        <v>--</v>
      </c>
      <c r="Q16" s="438" t="str">
        <f>VLOOKUP($B16,[1]!LFGEfficiencies,[1]Landfilling!P$977,FALSE)</f>
        <v>--</v>
      </c>
      <c r="R16" s="439" t="str">
        <f>VLOOKUP($B16,[1]!LFGEfficiencies,[1]Landfilling!Q$977,FALSE)</f>
        <v>--</v>
      </c>
      <c r="S16" s="438" t="str">
        <f>VLOOKUP($B16,[1]!LFGEfficiencies,[1]Landfilling!R$977,FALSE)</f>
        <v>--</v>
      </c>
      <c r="T16" s="438" t="str">
        <f>VLOOKUP($B16,[1]!LFGEfficiencies,[1]Landfilling!S$977,FALSE)</f>
        <v>--</v>
      </c>
      <c r="U16" s="438" t="str">
        <f>VLOOKUP($B16,[1]!LFGEfficiencies,[1]Landfilling!T$977,FALSE)</f>
        <v>--</v>
      </c>
      <c r="V16" s="438" t="str">
        <f>VLOOKUP($B16,[1]!LFGEfficiencies,[1]Landfilling!U$977,FALSE)</f>
        <v>--</v>
      </c>
      <c r="W16" s="439" t="str">
        <f>VLOOKUP($B16,[1]!LFGEfficiencies,[1]Landfilling!V$977,FALSE)</f>
        <v>--</v>
      </c>
      <c r="X16" s="438"/>
    </row>
    <row r="17" spans="2:25" x14ac:dyDescent="0.25">
      <c r="B17" s="344" t="s">
        <v>520</v>
      </c>
      <c r="C17" s="625" t="str">
        <f t="shared" si="0"/>
        <v>PET</v>
      </c>
      <c r="D17" s="438" t="str">
        <f>VLOOKUP($B17,[1]!LFGEfficiencies,[1]Landfilling!C$977,FALSE)</f>
        <v>--</v>
      </c>
      <c r="E17" s="438" t="str">
        <f>VLOOKUP($B17,[1]!LFGEfficiencies,[1]Landfilling!D$977,FALSE)</f>
        <v>--</v>
      </c>
      <c r="F17" s="438" t="str">
        <f>VLOOKUP($B17,[1]!LFGEfficiencies,[1]Landfilling!E$977,FALSE)</f>
        <v>--</v>
      </c>
      <c r="G17" s="438" t="str">
        <f>VLOOKUP($B17,[1]!LFGEfficiencies,[1]Landfilling!F$977,FALSE)</f>
        <v>--</v>
      </c>
      <c r="H17" s="439" t="str">
        <f>VLOOKUP($B17,[1]!LFGEfficiencies,[1]Landfilling!G$977,FALSE)</f>
        <v>--</v>
      </c>
      <c r="I17" s="438" t="str">
        <f>VLOOKUP($B17,[1]!LFGEfficiencies,[1]Landfilling!H$977,FALSE)</f>
        <v>--</v>
      </c>
      <c r="J17" s="438" t="str">
        <f>VLOOKUP($B17,[1]!LFGEfficiencies,[1]Landfilling!I$977,FALSE)</f>
        <v>--</v>
      </c>
      <c r="K17" s="438" t="str">
        <f>VLOOKUP($B17,[1]!LFGEfficiencies,[1]Landfilling!J$977,FALSE)</f>
        <v>--</v>
      </c>
      <c r="L17" s="438" t="str">
        <f>VLOOKUP($B17,[1]!LFGEfficiencies,[1]Landfilling!K$977,FALSE)</f>
        <v>--</v>
      </c>
      <c r="M17" s="439" t="str">
        <f>VLOOKUP($B17,[1]!LFGEfficiencies,[1]Landfilling!L$977,FALSE)</f>
        <v>--</v>
      </c>
      <c r="N17" s="438" t="str">
        <f>VLOOKUP($B17,[1]!LFGEfficiencies,[1]Landfilling!M$977,FALSE)</f>
        <v>--</v>
      </c>
      <c r="O17" s="438" t="str">
        <f>VLOOKUP($B17,[1]!LFGEfficiencies,[1]Landfilling!N$977,FALSE)</f>
        <v>--</v>
      </c>
      <c r="P17" s="438" t="str">
        <f>VLOOKUP($B17,[1]!LFGEfficiencies,[1]Landfilling!O$977,FALSE)</f>
        <v>--</v>
      </c>
      <c r="Q17" s="438" t="str">
        <f>VLOOKUP($B17,[1]!LFGEfficiencies,[1]Landfilling!P$977,FALSE)</f>
        <v>--</v>
      </c>
      <c r="R17" s="439" t="str">
        <f>VLOOKUP($B17,[1]!LFGEfficiencies,[1]Landfilling!Q$977,FALSE)</f>
        <v>--</v>
      </c>
      <c r="S17" s="438" t="str">
        <f>VLOOKUP($B17,[1]!LFGEfficiencies,[1]Landfilling!R$977,FALSE)</f>
        <v>--</v>
      </c>
      <c r="T17" s="438" t="str">
        <f>VLOOKUP($B17,[1]!LFGEfficiencies,[1]Landfilling!S$977,FALSE)</f>
        <v>--</v>
      </c>
      <c r="U17" s="438" t="str">
        <f>VLOOKUP($B17,[1]!LFGEfficiencies,[1]Landfilling!T$977,FALSE)</f>
        <v>--</v>
      </c>
      <c r="V17" s="438" t="str">
        <f>VLOOKUP($B17,[1]!LFGEfficiencies,[1]Landfilling!U$977,FALSE)</f>
        <v>--</v>
      </c>
      <c r="W17" s="439" t="str">
        <f>VLOOKUP($B17,[1]!LFGEfficiencies,[1]Landfilling!V$977,FALSE)</f>
        <v>--</v>
      </c>
      <c r="X17" s="438"/>
    </row>
    <row r="18" spans="2:25" x14ac:dyDescent="0.25">
      <c r="B18" s="344" t="s">
        <v>59</v>
      </c>
      <c r="C18" s="625" t="str">
        <f t="shared" si="0"/>
        <v>Corrugated Containers</v>
      </c>
      <c r="D18" s="438">
        <f>VLOOKUP($B18,[1]!LFGEfficiencies,[1]Landfilling!C$977,FALSE)</f>
        <v>0.61476345188810322</v>
      </c>
      <c r="E18" s="438">
        <f>VLOOKUP($B18,[1]!LFGEfficiencies,[1]Landfilling!D$977,FALSE)</f>
        <v>0.55331526965423472</v>
      </c>
      <c r="F18" s="438">
        <f>VLOOKUP($B18,[1]!LFGEfficiencies,[1]Landfilling!E$977,FALSE)</f>
        <v>0.54423478422190452</v>
      </c>
      <c r="G18" s="438">
        <f>VLOOKUP($B18,[1]!LFGEfficiencies,[1]Landfilling!F$977,FALSE)</f>
        <v>0.55298120143250762</v>
      </c>
      <c r="H18" s="439">
        <f>VLOOKUP($B18,[1]!LFGEfficiencies,[1]Landfilling!G$977,FALSE)</f>
        <v>0.56183941976614793</v>
      </c>
      <c r="I18" s="438">
        <f>VLOOKUP($B18,[1]!LFGEfficiencies,[1]Landfilling!H$977,FALSE)</f>
        <v>0.60215236857099652</v>
      </c>
      <c r="J18" s="438">
        <f>VLOOKUP($B18,[1]!LFGEfficiencies,[1]Landfilling!I$977,FALSE)</f>
        <v>0.5365728188217157</v>
      </c>
      <c r="K18" s="438">
        <f>VLOOKUP($B18,[1]!LFGEfficiencies,[1]Landfilling!J$977,FALSE)</f>
        <v>0.52790960554367328</v>
      </c>
      <c r="L18" s="438">
        <f>VLOOKUP($B18,[1]!LFGEfficiencies,[1]Landfilling!K$977,FALSE)</f>
        <v>0.5048316511901445</v>
      </c>
      <c r="M18" s="439">
        <f>VLOOKUP($B18,[1]!LFGEfficiencies,[1]Landfilling!L$977,FALSE)</f>
        <v>0.54295403135113929</v>
      </c>
      <c r="N18" s="438">
        <f>VLOOKUP($B18,[1]!LFGEfficiencies,[1]Landfilling!M$977,FALSE)</f>
        <v>0.61340665363397207</v>
      </c>
      <c r="O18" s="438">
        <f>VLOOKUP($B18,[1]!LFGEfficiencies,[1]Landfilling!N$977,FALSE)</f>
        <v>0.55772812167055175</v>
      </c>
      <c r="P18" s="438">
        <f>VLOOKUP($B18,[1]!LFGEfficiencies,[1]Landfilling!O$977,FALSE)</f>
        <v>0.56063024891988056</v>
      </c>
      <c r="Q18" s="438">
        <f>VLOOKUP($B18,[1]!LFGEfficiencies,[1]Landfilling!P$977,FALSE)</f>
        <v>0.5759792782893457</v>
      </c>
      <c r="R18" s="439">
        <f>VLOOKUP($B18,[1]!LFGEfficiencies,[1]Landfilling!Q$977,FALSE)</f>
        <v>0.57188171802458931</v>
      </c>
      <c r="S18" s="438">
        <f>VLOOKUP($B18,[1]!LFGEfficiencies,[1]Landfilling!R$977,FALSE)</f>
        <v>0.65635159957313161</v>
      </c>
      <c r="T18" s="438">
        <f>VLOOKUP($B18,[1]!LFGEfficiencies,[1]Landfilling!S$977,FALSE)</f>
        <v>0.59423010502593754</v>
      </c>
      <c r="U18" s="438">
        <f>VLOOKUP($B18,[1]!LFGEfficiencies,[1]Landfilling!T$977,FALSE)</f>
        <v>0.60088642960595939</v>
      </c>
      <c r="V18" s="438">
        <f>VLOOKUP($B18,[1]!LFGEfficiencies,[1]Landfilling!U$977,FALSE)</f>
        <v>0.62105134190916278</v>
      </c>
      <c r="W18" s="439">
        <f>VLOOKUP($B18,[1]!LFGEfficiencies,[1]Landfilling!V$977,FALSE)</f>
        <v>0.6120722770260878</v>
      </c>
      <c r="X18" s="438"/>
    </row>
    <row r="19" spans="2:25" x14ac:dyDescent="0.25">
      <c r="B19" s="344" t="s">
        <v>128</v>
      </c>
      <c r="C19" s="625" t="str">
        <f t="shared" si="0"/>
        <v>Magazines/Third-class Mail</v>
      </c>
      <c r="D19" s="438">
        <f>VLOOKUP($B19,[1]!LFGEfficiencies,[1]Landfilling!C$977,FALSE)</f>
        <v>0.5948049515921997</v>
      </c>
      <c r="E19" s="438">
        <f>VLOOKUP($B19,[1]!LFGEfficiencies,[1]Landfilling!D$977,FALSE)</f>
        <v>0.54929500083310701</v>
      </c>
      <c r="F19" s="438">
        <f>VLOOKUP($B19,[1]!LFGEfficiencies,[1]Landfilling!E$977,FALSE)</f>
        <v>0.52081469918004963</v>
      </c>
      <c r="G19" s="438">
        <f>VLOOKUP($B19,[1]!LFGEfficiencies,[1]Landfilling!F$977,FALSE)</f>
        <v>0.44786730707241384</v>
      </c>
      <c r="H19" s="439">
        <f>VLOOKUP($B19,[1]!LFGEfficiencies,[1]Landfilling!G$977,FALSE)</f>
        <v>0.53654881762944973</v>
      </c>
      <c r="I19" s="438">
        <f>VLOOKUP($B19,[1]!LFGEfficiencies,[1]Landfilling!H$977,FALSE)</f>
        <v>0.54820499840141235</v>
      </c>
      <c r="J19" s="438">
        <f>VLOOKUP($B19,[1]!LFGEfficiencies,[1]Landfilling!I$977,FALSE)</f>
        <v>0.46285595975240446</v>
      </c>
      <c r="K19" s="438">
        <f>VLOOKUP($B19,[1]!LFGEfficiencies,[1]Landfilling!J$977,FALSE)</f>
        <v>0.40061000398021723</v>
      </c>
      <c r="L19" s="438">
        <f>VLOOKUP($B19,[1]!LFGEfficiencies,[1]Landfilling!K$977,FALSE)</f>
        <v>0.25816187685403502</v>
      </c>
      <c r="M19" s="439">
        <f>VLOOKUP($B19,[1]!LFGEfficiencies,[1]Landfilling!L$977,FALSE)</f>
        <v>0.43387327137000015</v>
      </c>
      <c r="N19" s="438">
        <f>VLOOKUP($B19,[1]!LFGEfficiencies,[1]Landfilling!M$977,FALSE)</f>
        <v>0.60779167370936216</v>
      </c>
      <c r="O19" s="438">
        <f>VLOOKUP($B19,[1]!LFGEfficiencies,[1]Landfilling!N$977,FALSE)</f>
        <v>0.57924684961271344</v>
      </c>
      <c r="P19" s="438">
        <f>VLOOKUP($B19,[1]!LFGEfficiencies,[1]Landfilling!O$977,FALSE)</f>
        <v>0.56539256168303442</v>
      </c>
      <c r="Q19" s="438">
        <f>VLOOKUP($B19,[1]!LFGEfficiencies,[1]Landfilling!P$977,FALSE)</f>
        <v>0.50722146089392273</v>
      </c>
      <c r="R19" s="439">
        <f>VLOOKUP($B19,[1]!LFGEfficiencies,[1]Landfilling!Q$977,FALSE)</f>
        <v>0.57205916322106598</v>
      </c>
      <c r="S19" s="438">
        <f>VLOOKUP($B19,[1]!LFGEfficiencies,[1]Landfilling!R$977,FALSE)</f>
        <v>0.6659614864811132</v>
      </c>
      <c r="T19" s="438">
        <f>VLOOKUP($B19,[1]!LFGEfficiencies,[1]Landfilling!S$977,FALSE)</f>
        <v>0.62815767756627705</v>
      </c>
      <c r="U19" s="438">
        <f>VLOOKUP($B19,[1]!LFGEfficiencies,[1]Landfilling!T$977,FALSE)</f>
        <v>0.61381018464132975</v>
      </c>
      <c r="V19" s="438">
        <f>VLOOKUP($B19,[1]!LFGEfficiencies,[1]Landfilling!U$977,FALSE)</f>
        <v>0.53738505938727965</v>
      </c>
      <c r="W19" s="439">
        <f>VLOOKUP($B19,[1]!LFGEfficiencies,[1]Landfilling!V$977,FALSE)</f>
        <v>0.62074435793919114</v>
      </c>
      <c r="X19" s="438"/>
      <c r="Y19" s="5"/>
    </row>
    <row r="20" spans="2:25" x14ac:dyDescent="0.25">
      <c r="B20" s="344" t="s">
        <v>502</v>
      </c>
      <c r="C20" s="625" t="str">
        <f t="shared" si="0"/>
        <v>Newspaper</v>
      </c>
      <c r="D20" s="438">
        <f>VLOOKUP($B20,[1]!LFGEfficiencies,[1]Landfilling!C$977,FALSE)</f>
        <v>0.62221770682090261</v>
      </c>
      <c r="E20" s="438">
        <f>VLOOKUP($B20,[1]!LFGEfficiencies,[1]Landfilling!D$977,FALSE)</f>
        <v>0.5863075825228492</v>
      </c>
      <c r="F20" s="438">
        <f>VLOOKUP($B20,[1]!LFGEfficiencies,[1]Landfilling!E$977,FALSE)</f>
        <v>0.58708335592510208</v>
      </c>
      <c r="G20" s="438">
        <f>VLOOKUP($B20,[1]!LFGEfficiencies,[1]Landfilling!F$977,FALSE)</f>
        <v>0.57369179778588875</v>
      </c>
      <c r="H20" s="439">
        <f>VLOOKUP($B20,[1]!LFGEfficiencies,[1]Landfilling!G$977,FALSE)</f>
        <v>0.59254687177708976</v>
      </c>
      <c r="I20" s="438">
        <f>VLOOKUP($B20,[1]!LFGEfficiencies,[1]Landfilling!H$977,FALSE)</f>
        <v>0.60597971040024401</v>
      </c>
      <c r="J20" s="438">
        <f>VLOOKUP($B20,[1]!LFGEfficiencies,[1]Landfilling!I$977,FALSE)</f>
        <v>0.56009016872519091</v>
      </c>
      <c r="K20" s="438">
        <f>VLOOKUP($B20,[1]!LFGEfficiencies,[1]Landfilling!J$977,FALSE)</f>
        <v>0.55327285681636429</v>
      </c>
      <c r="L20" s="438">
        <f>VLOOKUP($B20,[1]!LFGEfficiencies,[1]Landfilling!K$977,FALSE)</f>
        <v>0.49436494697539807</v>
      </c>
      <c r="M20" s="439">
        <f>VLOOKUP($B20,[1]!LFGEfficiencies,[1]Landfilling!L$977,FALSE)</f>
        <v>0.55989363969069439</v>
      </c>
      <c r="N20" s="438">
        <f>VLOOKUP($B20,[1]!LFGEfficiencies,[1]Landfilling!M$977,FALSE)</f>
        <v>0.6228977181013855</v>
      </c>
      <c r="O20" s="438">
        <f>VLOOKUP($B20,[1]!LFGEfficiencies,[1]Landfilling!N$977,FALSE)</f>
        <v>0.59457075505055945</v>
      </c>
      <c r="P20" s="438">
        <f>VLOOKUP($B20,[1]!LFGEfficiencies,[1]Landfilling!O$977,FALSE)</f>
        <v>0.60836130644588038</v>
      </c>
      <c r="Q20" s="438">
        <f>VLOOKUP($B20,[1]!LFGEfficiencies,[1]Landfilling!P$977,FALSE)</f>
        <v>0.60473893986303784</v>
      </c>
      <c r="R20" s="439">
        <f>VLOOKUP($B20,[1]!LFGEfficiencies,[1]Landfilling!Q$977,FALSE)</f>
        <v>0.60692088276544931</v>
      </c>
      <c r="S20" s="438">
        <f>VLOOKUP($B20,[1]!LFGEfficiencies,[1]Landfilling!R$977,FALSE)</f>
        <v>0.66873383761308469</v>
      </c>
      <c r="T20" s="438">
        <f>VLOOKUP($B20,[1]!LFGEfficiencies,[1]Landfilling!S$977,FALSE)</f>
        <v>0.63534955775369806</v>
      </c>
      <c r="U20" s="438">
        <f>VLOOKUP($B20,[1]!LFGEfficiencies,[1]Landfilling!T$977,FALSE)</f>
        <v>0.65406834791418378</v>
      </c>
      <c r="V20" s="438">
        <f>VLOOKUP($B20,[1]!LFGEfficiencies,[1]Landfilling!U$977,FALSE)</f>
        <v>0.65492267801119441</v>
      </c>
      <c r="W20" s="439">
        <f>VLOOKUP($B20,[1]!LFGEfficiencies,[1]Landfilling!V$977,FALSE)</f>
        <v>0.65167714850728453</v>
      </c>
      <c r="X20" s="438"/>
    </row>
    <row r="21" spans="2:25" x14ac:dyDescent="0.25">
      <c r="B21" s="344" t="s">
        <v>514</v>
      </c>
      <c r="C21" s="625" t="str">
        <f t="shared" si="0"/>
        <v>Office Paper</v>
      </c>
      <c r="D21" s="438">
        <f>VLOOKUP($B21,[1]!LFGEfficiencies,[1]Landfilling!C$977,FALSE)</f>
        <v>0.62035247655934689</v>
      </c>
      <c r="E21" s="438">
        <f>VLOOKUP($B21,[1]!LFGEfficiencies,[1]Landfilling!D$977,FALSE)</f>
        <v>0.57842975430047994</v>
      </c>
      <c r="F21" s="438">
        <f>VLOOKUP($B21,[1]!LFGEfficiencies,[1]Landfilling!E$977,FALSE)</f>
        <v>0.5783390975235071</v>
      </c>
      <c r="G21" s="438">
        <f>VLOOKUP($B21,[1]!LFGEfficiencies,[1]Landfilling!F$977,FALSE)</f>
        <v>0.57299025000462422</v>
      </c>
      <c r="H21" s="439">
        <f>VLOOKUP($B21,[1]!LFGEfficiencies,[1]Landfilling!G$977,FALSE)</f>
        <v>0.5862330883873319</v>
      </c>
      <c r="I21" s="438">
        <f>VLOOKUP($B21,[1]!LFGEfficiencies,[1]Landfilling!H$977,FALSE)</f>
        <v>0.60528390651715147</v>
      </c>
      <c r="J21" s="438">
        <f>VLOOKUP($B21,[1]!LFGEfficiencies,[1]Landfilling!I$977,FALSE)</f>
        <v>0.55522063869659355</v>
      </c>
      <c r="K21" s="438">
        <f>VLOOKUP($B21,[1]!LFGEfficiencies,[1]Landfilling!J$977,FALSE)</f>
        <v>0.5499129680128011</v>
      </c>
      <c r="L21" s="438">
        <f>VLOOKUP($B21,[1]!LFGEfficiencies,[1]Landfilling!K$977,FALSE)</f>
        <v>0.50266632049861182</v>
      </c>
      <c r="M21" s="439">
        <f>VLOOKUP($B21,[1]!LFGEfficiencies,[1]Landfilling!L$977,FALSE)</f>
        <v>0.55779640778986828</v>
      </c>
      <c r="N21" s="438">
        <f>VLOOKUP($B21,[1]!LFGEfficiencies,[1]Landfilling!M$977,FALSE)</f>
        <v>0.62040087666297772</v>
      </c>
      <c r="O21" s="438">
        <f>VLOOKUP($B21,[1]!LFGEfficiencies,[1]Landfilling!N$977,FALSE)</f>
        <v>0.58546797343619461</v>
      </c>
      <c r="P21" s="438">
        <f>VLOOKUP($B21,[1]!LFGEfficiencies,[1]Landfilling!O$977,FALSE)</f>
        <v>0.59813918919621878</v>
      </c>
      <c r="Q21" s="438">
        <f>VLOOKUP($B21,[1]!LFGEfficiencies,[1]Landfilling!P$977,FALSE)</f>
        <v>0.60165129844063669</v>
      </c>
      <c r="R21" s="439">
        <f>VLOOKUP($B21,[1]!LFGEfficiencies,[1]Landfilling!Q$977,FALSE)</f>
        <v>0.59928075625936539</v>
      </c>
      <c r="S21" s="438">
        <f>VLOOKUP($B21,[1]!LFGEfficiencies,[1]Landfilling!R$977,FALSE)</f>
        <v>0.66536811532029683</v>
      </c>
      <c r="T21" s="438">
        <f>VLOOKUP($B21,[1]!LFGEfficiencies,[1]Landfilling!S$977,FALSE)</f>
        <v>0.62505506351805762</v>
      </c>
      <c r="U21" s="438">
        <f>VLOOKUP($B21,[1]!LFGEfficiencies,[1]Landfilling!T$977,FALSE)</f>
        <v>0.64243123015469716</v>
      </c>
      <c r="V21" s="438">
        <f>VLOOKUP($B21,[1]!LFGEfficiencies,[1]Landfilling!U$977,FALSE)</f>
        <v>0.65103589104380188</v>
      </c>
      <c r="W21" s="439">
        <f>VLOOKUP($B21,[1]!LFGEfficiencies,[1]Landfilling!V$977,FALSE)</f>
        <v>0.6428573611187387</v>
      </c>
      <c r="X21" s="438"/>
    </row>
    <row r="22" spans="2:25" x14ac:dyDescent="0.25">
      <c r="B22" s="344" t="s">
        <v>383</v>
      </c>
      <c r="C22" s="625" t="str">
        <f t="shared" si="0"/>
        <v>Phonebooks</v>
      </c>
      <c r="D22" s="438">
        <f>VLOOKUP($B22,[1]!LFGEfficiencies,[1]Landfilling!C$977,FALSE)</f>
        <v>0.62221770682090261</v>
      </c>
      <c r="E22" s="438">
        <f>VLOOKUP($B22,[1]!LFGEfficiencies,[1]Landfilling!D$977,FALSE)</f>
        <v>0.5863075825228492</v>
      </c>
      <c r="F22" s="438">
        <f>VLOOKUP($B22,[1]!LFGEfficiencies,[1]Landfilling!E$977,FALSE)</f>
        <v>0.58708335592510208</v>
      </c>
      <c r="G22" s="438">
        <f>VLOOKUP($B22,[1]!LFGEfficiencies,[1]Landfilling!F$977,FALSE)</f>
        <v>0.57369179778588875</v>
      </c>
      <c r="H22" s="439">
        <f>VLOOKUP($B22,[1]!LFGEfficiencies,[1]Landfilling!G$977,FALSE)</f>
        <v>0.59254687177708976</v>
      </c>
      <c r="I22" s="438">
        <f>VLOOKUP($B22,[1]!LFGEfficiencies,[1]Landfilling!H$977,FALSE)</f>
        <v>0.60597971040024401</v>
      </c>
      <c r="J22" s="438">
        <f>VLOOKUP($B22,[1]!LFGEfficiencies,[1]Landfilling!I$977,FALSE)</f>
        <v>0.56009016872519091</v>
      </c>
      <c r="K22" s="438">
        <f>VLOOKUP($B22,[1]!LFGEfficiencies,[1]Landfilling!J$977,FALSE)</f>
        <v>0.55327285681636429</v>
      </c>
      <c r="L22" s="438">
        <f>VLOOKUP($B22,[1]!LFGEfficiencies,[1]Landfilling!K$977,FALSE)</f>
        <v>0.49436494697539807</v>
      </c>
      <c r="M22" s="439">
        <f>VLOOKUP($B22,[1]!LFGEfficiencies,[1]Landfilling!L$977,FALSE)</f>
        <v>0.55989363969069439</v>
      </c>
      <c r="N22" s="438">
        <f>VLOOKUP($B22,[1]!LFGEfficiencies,[1]Landfilling!M$977,FALSE)</f>
        <v>0.6228977181013855</v>
      </c>
      <c r="O22" s="438">
        <f>VLOOKUP($B22,[1]!LFGEfficiencies,[1]Landfilling!N$977,FALSE)</f>
        <v>0.59457075505055945</v>
      </c>
      <c r="P22" s="438">
        <f>VLOOKUP($B22,[1]!LFGEfficiencies,[1]Landfilling!O$977,FALSE)</f>
        <v>0.60836130644588038</v>
      </c>
      <c r="Q22" s="438">
        <f>VLOOKUP($B22,[1]!LFGEfficiencies,[1]Landfilling!P$977,FALSE)</f>
        <v>0.60473893986303784</v>
      </c>
      <c r="R22" s="439">
        <f>VLOOKUP($B22,[1]!LFGEfficiencies,[1]Landfilling!Q$977,FALSE)</f>
        <v>0.60692088276544931</v>
      </c>
      <c r="S22" s="438">
        <f>VLOOKUP($B22,[1]!LFGEfficiencies,[1]Landfilling!R$977,FALSE)</f>
        <v>0.66873383761308469</v>
      </c>
      <c r="T22" s="438">
        <f>VLOOKUP($B22,[1]!LFGEfficiencies,[1]Landfilling!S$977,FALSE)</f>
        <v>0.63534955775369806</v>
      </c>
      <c r="U22" s="438">
        <f>VLOOKUP($B22,[1]!LFGEfficiencies,[1]Landfilling!T$977,FALSE)</f>
        <v>0.65406834791418378</v>
      </c>
      <c r="V22" s="438">
        <f>VLOOKUP($B22,[1]!LFGEfficiencies,[1]Landfilling!U$977,FALSE)</f>
        <v>0.65492267801119441</v>
      </c>
      <c r="W22" s="439">
        <f>VLOOKUP($B22,[1]!LFGEfficiencies,[1]Landfilling!V$977,FALSE)</f>
        <v>0.65167714850728453</v>
      </c>
      <c r="X22" s="438"/>
    </row>
    <row r="23" spans="2:25" x14ac:dyDescent="0.25">
      <c r="B23" s="344" t="s">
        <v>384</v>
      </c>
      <c r="C23" s="625" t="str">
        <f t="shared" si="0"/>
        <v>Textbooks</v>
      </c>
      <c r="D23" s="438">
        <f>VLOOKUP($B23,[1]!LFGEfficiencies,[1]Landfilling!C$977,FALSE)</f>
        <v>0.62035247655934689</v>
      </c>
      <c r="E23" s="438">
        <f>VLOOKUP($B23,[1]!LFGEfficiencies,[1]Landfilling!D$977,FALSE)</f>
        <v>0.57842975430047994</v>
      </c>
      <c r="F23" s="438">
        <f>VLOOKUP($B23,[1]!LFGEfficiencies,[1]Landfilling!E$977,FALSE)</f>
        <v>0.5783390975235071</v>
      </c>
      <c r="G23" s="438">
        <f>VLOOKUP($B23,[1]!LFGEfficiencies,[1]Landfilling!F$977,FALSE)</f>
        <v>0.57299025000462422</v>
      </c>
      <c r="H23" s="439">
        <f>VLOOKUP($B23,[1]!LFGEfficiencies,[1]Landfilling!G$977,FALSE)</f>
        <v>0.5862330883873319</v>
      </c>
      <c r="I23" s="438">
        <f>VLOOKUP($B23,[1]!LFGEfficiencies,[1]Landfilling!H$977,FALSE)</f>
        <v>0.60528390651715147</v>
      </c>
      <c r="J23" s="438">
        <f>VLOOKUP($B23,[1]!LFGEfficiencies,[1]Landfilling!I$977,FALSE)</f>
        <v>0.55522063869659355</v>
      </c>
      <c r="K23" s="438">
        <f>VLOOKUP($B23,[1]!LFGEfficiencies,[1]Landfilling!J$977,FALSE)</f>
        <v>0.5499129680128011</v>
      </c>
      <c r="L23" s="438">
        <f>VLOOKUP($B23,[1]!LFGEfficiencies,[1]Landfilling!K$977,FALSE)</f>
        <v>0.50266632049861182</v>
      </c>
      <c r="M23" s="439">
        <f>VLOOKUP($B23,[1]!LFGEfficiencies,[1]Landfilling!L$977,FALSE)</f>
        <v>0.55779640778986828</v>
      </c>
      <c r="N23" s="438">
        <f>VLOOKUP($B23,[1]!LFGEfficiencies,[1]Landfilling!M$977,FALSE)</f>
        <v>0.62040087666297772</v>
      </c>
      <c r="O23" s="438">
        <f>VLOOKUP($B23,[1]!LFGEfficiencies,[1]Landfilling!N$977,FALSE)</f>
        <v>0.58546797343619461</v>
      </c>
      <c r="P23" s="438">
        <f>VLOOKUP($B23,[1]!LFGEfficiencies,[1]Landfilling!O$977,FALSE)</f>
        <v>0.59813918919621878</v>
      </c>
      <c r="Q23" s="438">
        <f>VLOOKUP($B23,[1]!LFGEfficiencies,[1]Landfilling!P$977,FALSE)</f>
        <v>0.60165129844063669</v>
      </c>
      <c r="R23" s="439">
        <f>VLOOKUP($B23,[1]!LFGEfficiencies,[1]Landfilling!Q$977,FALSE)</f>
        <v>0.59928075625936539</v>
      </c>
      <c r="S23" s="438">
        <f>VLOOKUP($B23,[1]!LFGEfficiencies,[1]Landfilling!R$977,FALSE)</f>
        <v>0.66536811532029683</v>
      </c>
      <c r="T23" s="438">
        <f>VLOOKUP($B23,[1]!LFGEfficiencies,[1]Landfilling!S$977,FALSE)</f>
        <v>0.62505506351805762</v>
      </c>
      <c r="U23" s="438">
        <f>VLOOKUP($B23,[1]!LFGEfficiencies,[1]Landfilling!T$977,FALSE)</f>
        <v>0.64243123015469716</v>
      </c>
      <c r="V23" s="438">
        <f>VLOOKUP($B23,[1]!LFGEfficiencies,[1]Landfilling!U$977,FALSE)</f>
        <v>0.65103589104380188</v>
      </c>
      <c r="W23" s="439">
        <f>VLOOKUP($B23,[1]!LFGEfficiencies,[1]Landfilling!V$977,FALSE)</f>
        <v>0.6428573611187387</v>
      </c>
      <c r="X23" s="438"/>
    </row>
    <row r="24" spans="2:25" x14ac:dyDescent="0.25">
      <c r="B24" s="344" t="s">
        <v>4</v>
      </c>
      <c r="C24" s="625" t="str">
        <f t="shared" si="0"/>
        <v>Dimensional Lumber</v>
      </c>
      <c r="D24" s="438">
        <f>VLOOKUP($B24,[1]!LFGEfficiencies,[1]Landfilling!C$977,FALSE)</f>
        <v>0.61865243815919935</v>
      </c>
      <c r="E24" s="438">
        <f>VLOOKUP($B24,[1]!LFGEfficiencies,[1]Landfilling!D$977,FALSE)</f>
        <v>0.58712600026433648</v>
      </c>
      <c r="F24" s="438">
        <f>VLOOKUP($B24,[1]!LFGEfficiencies,[1]Landfilling!E$977,FALSE)</f>
        <v>0.56722546305056409</v>
      </c>
      <c r="G24" s="438">
        <f>VLOOKUP($B24,[1]!LFGEfficiencies,[1]Landfilling!F$977,FALSE)</f>
        <v>0.50249215937381153</v>
      </c>
      <c r="H24" s="439">
        <f>VLOOKUP($B24,[1]!LFGEfficiencies,[1]Landfilling!G$977,FALSE)</f>
        <v>0.57678878295939606</v>
      </c>
      <c r="I24" s="438">
        <f>VLOOKUP($B24,[1]!LFGEfficiencies,[1]Landfilling!H$977,FALSE)</f>
        <v>0.58587961424178547</v>
      </c>
      <c r="J24" s="438">
        <f>VLOOKUP($B24,[1]!LFGEfficiencies,[1]Landfilling!I$977,FALSE)</f>
        <v>0.52485786638547605</v>
      </c>
      <c r="K24" s="438">
        <f>VLOOKUP($B24,[1]!LFGEfficiencies,[1]Landfilling!J$977,FALSE)</f>
        <v>0.47826112893771544</v>
      </c>
      <c r="L24" s="438">
        <f>VLOOKUP($B24,[1]!LFGEfficiencies,[1]Landfilling!K$977,FALSE)</f>
        <v>0.34651519327137137</v>
      </c>
      <c r="M24" s="439">
        <f>VLOOKUP($B24,[1]!LFGEfficiencies,[1]Landfilling!L$977,FALSE)</f>
        <v>0.50007668955429785</v>
      </c>
      <c r="N24" s="438">
        <f>VLOOKUP($B24,[1]!LFGEfficiencies,[1]Landfilling!M$977,FALSE)</f>
        <v>0.62671222636384316</v>
      </c>
      <c r="O24" s="438">
        <f>VLOOKUP($B24,[1]!LFGEfficiencies,[1]Landfilling!N$977,FALSE)</f>
        <v>0.60916054001601705</v>
      </c>
      <c r="P24" s="438">
        <f>VLOOKUP($B24,[1]!LFGEfficiencies,[1]Landfilling!O$977,FALSE)</f>
        <v>0.60339051172462077</v>
      </c>
      <c r="Q24" s="438">
        <f>VLOOKUP($B24,[1]!LFGEfficiencies,[1]Landfilling!P$977,FALSE)</f>
        <v>0.55431147499000244</v>
      </c>
      <c r="R24" s="439">
        <f>VLOOKUP($B24,[1]!LFGEfficiencies,[1]Landfilling!Q$977,FALSE)</f>
        <v>0.60481448915521696</v>
      </c>
      <c r="S24" s="438">
        <f>VLOOKUP($B24,[1]!LFGEfficiencies,[1]Landfilling!R$977,FALSE)</f>
        <v>0.68102325018906906</v>
      </c>
      <c r="T24" s="438">
        <f>VLOOKUP($B24,[1]!LFGEfficiencies,[1]Landfilling!S$977,FALSE)</f>
        <v>0.6574009927760126</v>
      </c>
      <c r="U24" s="438">
        <f>VLOOKUP($B24,[1]!LFGEfficiencies,[1]Landfilling!T$977,FALSE)</f>
        <v>0.65465963100970259</v>
      </c>
      <c r="V24" s="438">
        <f>VLOOKUP($B24,[1]!LFGEfficiencies,[1]Landfilling!U$977,FALSE)</f>
        <v>0.59592903540108222</v>
      </c>
      <c r="W24" s="439">
        <f>VLOOKUP($B24,[1]!LFGEfficiencies,[1]Landfilling!V$977,FALSE)</f>
        <v>0.65485154883517738</v>
      </c>
      <c r="X24" s="438"/>
    </row>
    <row r="25" spans="2:25" x14ac:dyDescent="0.25">
      <c r="B25" s="344" t="s">
        <v>558</v>
      </c>
      <c r="C25" s="625" t="str">
        <f t="shared" si="0"/>
        <v>Medium-density Fiberboard</v>
      </c>
      <c r="D25" s="438">
        <f>VLOOKUP($B25,[1]!LFGEfficiencies,[1]Landfilling!C$977,FALSE)</f>
        <v>0.62470967607808547</v>
      </c>
      <c r="E25" s="438">
        <f>VLOOKUP($B25,[1]!LFGEfficiencies,[1]Landfilling!D$977,FALSE)</f>
        <v>0.59927973384927458</v>
      </c>
      <c r="F25" s="438">
        <f>VLOOKUP($B25,[1]!LFGEfficiencies,[1]Landfilling!E$977,FALSE)</f>
        <v>0.58656894744219246</v>
      </c>
      <c r="G25" s="438">
        <f>VLOOKUP($B25,[1]!LFGEfficiencies,[1]Landfilling!F$977,FALSE)</f>
        <v>0.53137817882377869</v>
      </c>
      <c r="H25" s="439">
        <f>VLOOKUP($B25,[1]!LFGEfficiencies,[1]Landfilling!G$977,FALSE)</f>
        <v>0.59235143357917641</v>
      </c>
      <c r="I25" s="438">
        <f>VLOOKUP($B25,[1]!LFGEfficiencies,[1]Landfilling!H$977,FALSE)</f>
        <v>0.59815117625194902</v>
      </c>
      <c r="J25" s="438">
        <f>VLOOKUP($B25,[1]!LFGEfficiencies,[1]Landfilling!I$977,FALSE)</f>
        <v>0.54929726909166476</v>
      </c>
      <c r="K25" s="438">
        <f>VLOOKUP($B25,[1]!LFGEfficiencies,[1]Landfilling!J$977,FALSE)</f>
        <v>0.5149218109036795</v>
      </c>
      <c r="L25" s="438">
        <f>VLOOKUP($B25,[1]!LFGEfficiencies,[1]Landfilling!K$977,FALSE)</f>
        <v>0.39706472506070428</v>
      </c>
      <c r="M25" s="439">
        <f>VLOOKUP($B25,[1]!LFGEfficiencies,[1]Landfilling!L$977,FALSE)</f>
        <v>0.52971648280536365</v>
      </c>
      <c r="N25" s="438">
        <f>VLOOKUP($B25,[1]!LFGEfficiencies,[1]Landfilling!M$977,FALSE)</f>
        <v>0.63025742627802916</v>
      </c>
      <c r="O25" s="438">
        <f>VLOOKUP($B25,[1]!LFGEfficiencies,[1]Landfilling!N$977,FALSE)</f>
        <v>0.61687470398244726</v>
      </c>
      <c r="P25" s="438">
        <f>VLOOKUP($B25,[1]!LFGEfficiencies,[1]Landfilling!O$977,FALSE)</f>
        <v>0.61805052048236886</v>
      </c>
      <c r="Q25" s="438">
        <f>VLOOKUP($B25,[1]!LFGEfficiencies,[1]Landfilling!P$977,FALSE)</f>
        <v>0.57751596272755112</v>
      </c>
      <c r="R25" s="439">
        <f>VLOOKUP($B25,[1]!LFGEfficiencies,[1]Landfilling!Q$977,FALSE)</f>
        <v>0.6160986348975418</v>
      </c>
      <c r="S25" s="438">
        <f>VLOOKUP($B25,[1]!LFGEfficiencies,[1]Landfilling!R$977,FALSE)</f>
        <v>0.68202640155814565</v>
      </c>
      <c r="T25" s="438">
        <f>VLOOKUP($B25,[1]!LFGEfficiencies,[1]Landfilling!S$977,FALSE)</f>
        <v>0.66363735122268541</v>
      </c>
      <c r="U25" s="438">
        <f>VLOOKUP($B25,[1]!LFGEfficiencies,[1]Landfilling!T$977,FALSE)</f>
        <v>0.6690979366629074</v>
      </c>
      <c r="V25" s="438">
        <f>VLOOKUP($B25,[1]!LFGEfficiencies,[1]Landfilling!U$977,FALSE)</f>
        <v>0.62395305538501711</v>
      </c>
      <c r="W25" s="439">
        <f>VLOOKUP($B25,[1]!LFGEfficiencies,[1]Landfilling!V$977,FALSE)</f>
        <v>0.66559103232194194</v>
      </c>
      <c r="X25" s="438"/>
    </row>
    <row r="26" spans="2:25" x14ac:dyDescent="0.25">
      <c r="B26" s="344" t="s">
        <v>740</v>
      </c>
      <c r="C26" s="625" t="str">
        <f t="shared" si="0"/>
        <v>Food Waste</v>
      </c>
      <c r="D26" s="438">
        <f>VLOOKUP($B26,[1]!LFGEfficiencies,[1]Landfilling!C$977,FALSE)</f>
        <v>0.57934451302605239</v>
      </c>
      <c r="E26" s="438">
        <f>VLOOKUP($B26,[1]!LFGEfficiencies,[1]Landfilling!D$977,FALSE)</f>
        <v>0.52877668866704175</v>
      </c>
      <c r="F26" s="438">
        <f>VLOOKUP($B26,[1]!LFGEfficiencies,[1]Landfilling!E$977,FALSE)</f>
        <v>0.49804740151117877</v>
      </c>
      <c r="G26" s="438">
        <f>VLOOKUP($B26,[1]!LFGEfficiencies,[1]Landfilling!F$977,FALSE)</f>
        <v>0.42402849291705336</v>
      </c>
      <c r="H26" s="439">
        <f>VLOOKUP($B26,[1]!LFGEfficiencies,[1]Landfilling!G$977,FALSE)</f>
        <v>0.51578569694278531</v>
      </c>
      <c r="I26" s="438">
        <f>VLOOKUP($B26,[1]!LFGEfficiencies,[1]Landfilling!H$977,FALSE)</f>
        <v>0.52560702706077667</v>
      </c>
      <c r="J26" s="438">
        <f>VLOOKUP($B26,[1]!LFGEfficiencies,[1]Landfilling!I$977,FALSE)</f>
        <v>0.43096741971074848</v>
      </c>
      <c r="K26" s="438">
        <f>VLOOKUP($B26,[1]!LFGEfficiencies,[1]Landfilling!J$977,FALSE)</f>
        <v>0.36424956405967635</v>
      </c>
      <c r="L26" s="438">
        <f>VLOOKUP($B26,[1]!LFGEfficiencies,[1]Landfilling!K$977,FALSE)</f>
        <v>0.22196693917641336</v>
      </c>
      <c r="M26" s="439">
        <f>VLOOKUP($B26,[1]!LFGEfficiencies,[1]Landfilling!L$977,FALSE)</f>
        <v>0.40157425445472994</v>
      </c>
      <c r="N26" s="438">
        <f>VLOOKUP($B26,[1]!LFGEfficiencies,[1]Landfilling!M$977,FALSE)</f>
        <v>0.59464760806320316</v>
      </c>
      <c r="O26" s="438">
        <f>VLOOKUP($B26,[1]!LFGEfficiencies,[1]Landfilling!N$977,FALSE)</f>
        <v>0.56212173246287489</v>
      </c>
      <c r="P26" s="438">
        <f>VLOOKUP($B26,[1]!LFGEfficiencies,[1]Landfilling!O$977,FALSE)</f>
        <v>0.54617016258961526</v>
      </c>
      <c r="Q26" s="438">
        <f>VLOOKUP($B26,[1]!LFGEfficiencies,[1]Landfilling!P$977,FALSE)</f>
        <v>0.48538391373972373</v>
      </c>
      <c r="R26" s="439">
        <f>VLOOKUP($B26,[1]!LFGEfficiencies,[1]Landfilling!Q$977,FALSE)</f>
        <v>0.55439703049271571</v>
      </c>
      <c r="S26" s="438">
        <f>VLOOKUP($B26,[1]!LFGEfficiencies,[1]Landfilling!R$977,FALSE)</f>
        <v>0.65405248455216192</v>
      </c>
      <c r="T26" s="438">
        <f>VLOOKUP($B26,[1]!LFGEfficiencies,[1]Landfilling!S$977,FALSE)</f>
        <v>0.61043220265739406</v>
      </c>
      <c r="U26" s="438">
        <f>VLOOKUP($B26,[1]!LFGEfficiencies,[1]Landfilling!T$977,FALSE)</f>
        <v>0.59203932880689469</v>
      </c>
      <c r="V26" s="438">
        <f>VLOOKUP($B26,[1]!LFGEfficiencies,[1]Landfilling!U$977,FALSE)</f>
        <v>0.50960136452269433</v>
      </c>
      <c r="W26" s="439">
        <f>VLOOKUP($B26,[1]!LFGEfficiencies,[1]Landfilling!V$977,FALSE)</f>
        <v>0.60151370407032245</v>
      </c>
      <c r="X26" s="438"/>
    </row>
    <row r="27" spans="2:25" x14ac:dyDescent="0.25">
      <c r="B27" s="344" t="s">
        <v>646</v>
      </c>
      <c r="C27" s="625" t="str">
        <f t="shared" si="0"/>
        <v>Food Waste (non-meat)</v>
      </c>
      <c r="D27" s="438">
        <f>VLOOKUP($B27,[1]!LFGEfficiencies,[1]Landfilling!C$977,FALSE)</f>
        <v>0.57934451302605239</v>
      </c>
      <c r="E27" s="438">
        <f>VLOOKUP($B27,[1]!LFGEfficiencies,[1]Landfilling!D$977,FALSE)</f>
        <v>0.52877668866704175</v>
      </c>
      <c r="F27" s="438">
        <f>VLOOKUP($B27,[1]!LFGEfficiencies,[1]Landfilling!E$977,FALSE)</f>
        <v>0.49804740151117877</v>
      </c>
      <c r="G27" s="438">
        <f>VLOOKUP($B27,[1]!LFGEfficiencies,[1]Landfilling!F$977,FALSE)</f>
        <v>0.42402849291705336</v>
      </c>
      <c r="H27" s="439">
        <f>VLOOKUP($B27,[1]!LFGEfficiencies,[1]Landfilling!G$977,FALSE)</f>
        <v>0.51578569694278531</v>
      </c>
      <c r="I27" s="438">
        <f>VLOOKUP($B27,[1]!LFGEfficiencies,[1]Landfilling!H$977,FALSE)</f>
        <v>0.52560702706077667</v>
      </c>
      <c r="J27" s="438">
        <f>VLOOKUP($B27,[1]!LFGEfficiencies,[1]Landfilling!I$977,FALSE)</f>
        <v>0.43096741971074848</v>
      </c>
      <c r="K27" s="438">
        <f>VLOOKUP($B27,[1]!LFGEfficiencies,[1]Landfilling!J$977,FALSE)</f>
        <v>0.36424956405967635</v>
      </c>
      <c r="L27" s="438">
        <f>VLOOKUP($B27,[1]!LFGEfficiencies,[1]Landfilling!K$977,FALSE)</f>
        <v>0.22196693917641336</v>
      </c>
      <c r="M27" s="439">
        <f>VLOOKUP($B27,[1]!LFGEfficiencies,[1]Landfilling!L$977,FALSE)</f>
        <v>0.40157425445472994</v>
      </c>
      <c r="N27" s="438">
        <f>VLOOKUP($B27,[1]!LFGEfficiencies,[1]Landfilling!M$977,FALSE)</f>
        <v>0.59464760806320316</v>
      </c>
      <c r="O27" s="438">
        <f>VLOOKUP($B27,[1]!LFGEfficiencies,[1]Landfilling!N$977,FALSE)</f>
        <v>0.56212173246287489</v>
      </c>
      <c r="P27" s="438">
        <f>VLOOKUP($B27,[1]!LFGEfficiencies,[1]Landfilling!O$977,FALSE)</f>
        <v>0.54617016258961526</v>
      </c>
      <c r="Q27" s="438">
        <f>VLOOKUP($B27,[1]!LFGEfficiencies,[1]Landfilling!P$977,FALSE)</f>
        <v>0.48538391373972373</v>
      </c>
      <c r="R27" s="439">
        <f>VLOOKUP($B27,[1]!LFGEfficiencies,[1]Landfilling!Q$977,FALSE)</f>
        <v>0.55439703049271571</v>
      </c>
      <c r="S27" s="438">
        <f>VLOOKUP($B27,[1]!LFGEfficiencies,[1]Landfilling!R$977,FALSE)</f>
        <v>0.65405248455216192</v>
      </c>
      <c r="T27" s="438">
        <f>VLOOKUP($B27,[1]!LFGEfficiencies,[1]Landfilling!S$977,FALSE)</f>
        <v>0.61043220265739406</v>
      </c>
      <c r="U27" s="438">
        <f>VLOOKUP($B27,[1]!LFGEfficiencies,[1]Landfilling!T$977,FALSE)</f>
        <v>0.59203932880689469</v>
      </c>
      <c r="V27" s="438">
        <f>VLOOKUP($B27,[1]!LFGEfficiencies,[1]Landfilling!U$977,FALSE)</f>
        <v>0.50960136452269433</v>
      </c>
      <c r="W27" s="439">
        <f>VLOOKUP($B27,[1]!LFGEfficiencies,[1]Landfilling!V$977,FALSE)</f>
        <v>0.60151370407032245</v>
      </c>
      <c r="X27" s="438"/>
    </row>
    <row r="28" spans="2:25" x14ac:dyDescent="0.25">
      <c r="B28" s="344" t="s">
        <v>744</v>
      </c>
      <c r="C28" s="625" t="str">
        <f t="shared" si="0"/>
        <v>Food Waste (meat only)</v>
      </c>
      <c r="D28" s="438">
        <f>VLOOKUP($B28,[1]!LFGEfficiencies,[1]Landfilling!C$977,FALSE)</f>
        <v>0.57934451302605239</v>
      </c>
      <c r="E28" s="438">
        <f>VLOOKUP($B28,[1]!LFGEfficiencies,[1]Landfilling!D$977,FALSE)</f>
        <v>0.52877668866704175</v>
      </c>
      <c r="F28" s="438">
        <f>VLOOKUP($B28,[1]!LFGEfficiencies,[1]Landfilling!E$977,FALSE)</f>
        <v>0.49804740151117877</v>
      </c>
      <c r="G28" s="438">
        <f>VLOOKUP($B28,[1]!LFGEfficiencies,[1]Landfilling!F$977,FALSE)</f>
        <v>0.42402849291705336</v>
      </c>
      <c r="H28" s="439">
        <f>VLOOKUP($B28,[1]!LFGEfficiencies,[1]Landfilling!G$977,FALSE)</f>
        <v>0.51578569694278531</v>
      </c>
      <c r="I28" s="438">
        <f>VLOOKUP($B28,[1]!LFGEfficiencies,[1]Landfilling!H$977,FALSE)</f>
        <v>0.52560702706077667</v>
      </c>
      <c r="J28" s="438">
        <f>VLOOKUP($B28,[1]!LFGEfficiencies,[1]Landfilling!I$977,FALSE)</f>
        <v>0.43096741971074848</v>
      </c>
      <c r="K28" s="438">
        <f>VLOOKUP($B28,[1]!LFGEfficiencies,[1]Landfilling!J$977,FALSE)</f>
        <v>0.36424956405967635</v>
      </c>
      <c r="L28" s="438">
        <f>VLOOKUP($B28,[1]!LFGEfficiencies,[1]Landfilling!K$977,FALSE)</f>
        <v>0.22196693917641336</v>
      </c>
      <c r="M28" s="439">
        <f>VLOOKUP($B28,[1]!LFGEfficiencies,[1]Landfilling!L$977,FALSE)</f>
        <v>0.40157425445472994</v>
      </c>
      <c r="N28" s="438">
        <f>VLOOKUP($B28,[1]!LFGEfficiencies,[1]Landfilling!M$977,FALSE)</f>
        <v>0.59464760806320316</v>
      </c>
      <c r="O28" s="438">
        <f>VLOOKUP($B28,[1]!LFGEfficiencies,[1]Landfilling!N$977,FALSE)</f>
        <v>0.56212173246287489</v>
      </c>
      <c r="P28" s="438">
        <f>VLOOKUP($B28,[1]!LFGEfficiencies,[1]Landfilling!O$977,FALSE)</f>
        <v>0.54617016258961526</v>
      </c>
      <c r="Q28" s="438">
        <f>VLOOKUP($B28,[1]!LFGEfficiencies,[1]Landfilling!P$977,FALSE)</f>
        <v>0.48538391373972373</v>
      </c>
      <c r="R28" s="439">
        <f>VLOOKUP($B28,[1]!LFGEfficiencies,[1]Landfilling!Q$977,FALSE)</f>
        <v>0.55439703049271571</v>
      </c>
      <c r="S28" s="438">
        <f>VLOOKUP($B28,[1]!LFGEfficiencies,[1]Landfilling!R$977,FALSE)</f>
        <v>0.65405248455216192</v>
      </c>
      <c r="T28" s="438">
        <f>VLOOKUP($B28,[1]!LFGEfficiencies,[1]Landfilling!S$977,FALSE)</f>
        <v>0.61043220265739406</v>
      </c>
      <c r="U28" s="438">
        <f>VLOOKUP($B28,[1]!LFGEfficiencies,[1]Landfilling!T$977,FALSE)</f>
        <v>0.59203932880689469</v>
      </c>
      <c r="V28" s="438">
        <f>VLOOKUP($B28,[1]!LFGEfficiencies,[1]Landfilling!U$977,FALSE)</f>
        <v>0.50960136452269433</v>
      </c>
      <c r="W28" s="439">
        <f>VLOOKUP($B28,[1]!LFGEfficiencies,[1]Landfilling!V$977,FALSE)</f>
        <v>0.60151370407032245</v>
      </c>
      <c r="X28" s="438"/>
    </row>
    <row r="29" spans="2:25" x14ac:dyDescent="0.25">
      <c r="B29" s="344" t="s">
        <v>741</v>
      </c>
      <c r="C29" s="625" t="str">
        <f t="shared" si="0"/>
        <v>Beef</v>
      </c>
      <c r="D29" s="438">
        <f>VLOOKUP($B29,[1]!LFGEfficiencies,[1]Landfilling!C$977,FALSE)</f>
        <v>0.57934451302605239</v>
      </c>
      <c r="E29" s="438">
        <f>VLOOKUP($B29,[1]!LFGEfficiencies,[1]Landfilling!D$977,FALSE)</f>
        <v>0.52877668866704175</v>
      </c>
      <c r="F29" s="438">
        <f>VLOOKUP($B29,[1]!LFGEfficiencies,[1]Landfilling!E$977,FALSE)</f>
        <v>0.49804740151117877</v>
      </c>
      <c r="G29" s="438">
        <f>VLOOKUP($B29,[1]!LFGEfficiencies,[1]Landfilling!F$977,FALSE)</f>
        <v>0.42402849291705336</v>
      </c>
      <c r="H29" s="439">
        <f>VLOOKUP($B29,[1]!LFGEfficiencies,[1]Landfilling!G$977,FALSE)</f>
        <v>0.51578569694278531</v>
      </c>
      <c r="I29" s="438">
        <f>VLOOKUP($B29,[1]!LFGEfficiencies,[1]Landfilling!H$977,FALSE)</f>
        <v>0.52560702706077667</v>
      </c>
      <c r="J29" s="438">
        <f>VLOOKUP($B29,[1]!LFGEfficiencies,[1]Landfilling!I$977,FALSE)</f>
        <v>0.43096741971074848</v>
      </c>
      <c r="K29" s="438">
        <f>VLOOKUP($B29,[1]!LFGEfficiencies,[1]Landfilling!J$977,FALSE)</f>
        <v>0.36424956405967635</v>
      </c>
      <c r="L29" s="438">
        <f>VLOOKUP($B29,[1]!LFGEfficiencies,[1]Landfilling!K$977,FALSE)</f>
        <v>0.22196693917641336</v>
      </c>
      <c r="M29" s="439">
        <f>VLOOKUP($B29,[1]!LFGEfficiencies,[1]Landfilling!L$977,FALSE)</f>
        <v>0.40157425445472994</v>
      </c>
      <c r="N29" s="438">
        <f>VLOOKUP($B29,[1]!LFGEfficiencies,[1]Landfilling!M$977,FALSE)</f>
        <v>0.59464760806320316</v>
      </c>
      <c r="O29" s="438">
        <f>VLOOKUP($B29,[1]!LFGEfficiencies,[1]Landfilling!N$977,FALSE)</f>
        <v>0.56212173246287489</v>
      </c>
      <c r="P29" s="438">
        <f>VLOOKUP($B29,[1]!LFGEfficiencies,[1]Landfilling!O$977,FALSE)</f>
        <v>0.54617016258961526</v>
      </c>
      <c r="Q29" s="438">
        <f>VLOOKUP($B29,[1]!LFGEfficiencies,[1]Landfilling!P$977,FALSE)</f>
        <v>0.48538391373972373</v>
      </c>
      <c r="R29" s="439">
        <f>VLOOKUP($B29,[1]!LFGEfficiencies,[1]Landfilling!Q$977,FALSE)</f>
        <v>0.55439703049271571</v>
      </c>
      <c r="S29" s="438">
        <f>VLOOKUP($B29,[1]!LFGEfficiencies,[1]Landfilling!R$977,FALSE)</f>
        <v>0.65405248455216192</v>
      </c>
      <c r="T29" s="438">
        <f>VLOOKUP($B29,[1]!LFGEfficiencies,[1]Landfilling!S$977,FALSE)</f>
        <v>0.61043220265739406</v>
      </c>
      <c r="U29" s="438">
        <f>VLOOKUP($B29,[1]!LFGEfficiencies,[1]Landfilling!T$977,FALSE)</f>
        <v>0.59203932880689469</v>
      </c>
      <c r="V29" s="438">
        <f>VLOOKUP($B29,[1]!LFGEfficiencies,[1]Landfilling!U$977,FALSE)</f>
        <v>0.50960136452269433</v>
      </c>
      <c r="W29" s="439">
        <f>VLOOKUP($B29,[1]!LFGEfficiencies,[1]Landfilling!V$977,FALSE)</f>
        <v>0.60151370407032245</v>
      </c>
      <c r="X29" s="438"/>
    </row>
    <row r="30" spans="2:25" x14ac:dyDescent="0.25">
      <c r="B30" s="344" t="s">
        <v>742</v>
      </c>
      <c r="C30" s="625" t="str">
        <f t="shared" si="0"/>
        <v>Poultry</v>
      </c>
      <c r="D30" s="438">
        <f>VLOOKUP($B30,[1]!LFGEfficiencies,[1]Landfilling!C$977,FALSE)</f>
        <v>0.57934451302605239</v>
      </c>
      <c r="E30" s="438">
        <f>VLOOKUP($B30,[1]!LFGEfficiencies,[1]Landfilling!D$977,FALSE)</f>
        <v>0.52877668866704175</v>
      </c>
      <c r="F30" s="438">
        <f>VLOOKUP($B30,[1]!LFGEfficiencies,[1]Landfilling!E$977,FALSE)</f>
        <v>0.49804740151117877</v>
      </c>
      <c r="G30" s="438">
        <f>VLOOKUP($B30,[1]!LFGEfficiencies,[1]Landfilling!F$977,FALSE)</f>
        <v>0.42402849291705336</v>
      </c>
      <c r="H30" s="439">
        <f>VLOOKUP($B30,[1]!LFGEfficiencies,[1]Landfilling!G$977,FALSE)</f>
        <v>0.51578569694278531</v>
      </c>
      <c r="I30" s="438">
        <f>VLOOKUP($B30,[1]!LFGEfficiencies,[1]Landfilling!H$977,FALSE)</f>
        <v>0.52560702706077667</v>
      </c>
      <c r="J30" s="438">
        <f>VLOOKUP($B30,[1]!LFGEfficiencies,[1]Landfilling!I$977,FALSE)</f>
        <v>0.43096741971074848</v>
      </c>
      <c r="K30" s="438">
        <f>VLOOKUP($B30,[1]!LFGEfficiencies,[1]Landfilling!J$977,FALSE)</f>
        <v>0.36424956405967635</v>
      </c>
      <c r="L30" s="438">
        <f>VLOOKUP($B30,[1]!LFGEfficiencies,[1]Landfilling!K$977,FALSE)</f>
        <v>0.22196693917641336</v>
      </c>
      <c r="M30" s="439">
        <f>VLOOKUP($B30,[1]!LFGEfficiencies,[1]Landfilling!L$977,FALSE)</f>
        <v>0.40157425445472994</v>
      </c>
      <c r="N30" s="438">
        <f>VLOOKUP($B30,[1]!LFGEfficiencies,[1]Landfilling!M$977,FALSE)</f>
        <v>0.59464760806320316</v>
      </c>
      <c r="O30" s="438">
        <f>VLOOKUP($B30,[1]!LFGEfficiencies,[1]Landfilling!N$977,FALSE)</f>
        <v>0.56212173246287489</v>
      </c>
      <c r="P30" s="438">
        <f>VLOOKUP($B30,[1]!LFGEfficiencies,[1]Landfilling!O$977,FALSE)</f>
        <v>0.54617016258961526</v>
      </c>
      <c r="Q30" s="438">
        <f>VLOOKUP($B30,[1]!LFGEfficiencies,[1]Landfilling!P$977,FALSE)</f>
        <v>0.48538391373972373</v>
      </c>
      <c r="R30" s="439">
        <f>VLOOKUP($B30,[1]!LFGEfficiencies,[1]Landfilling!Q$977,FALSE)</f>
        <v>0.55439703049271571</v>
      </c>
      <c r="S30" s="438">
        <f>VLOOKUP($B30,[1]!LFGEfficiencies,[1]Landfilling!R$977,FALSE)</f>
        <v>0.65405248455216192</v>
      </c>
      <c r="T30" s="438">
        <f>VLOOKUP($B30,[1]!LFGEfficiencies,[1]Landfilling!S$977,FALSE)</f>
        <v>0.61043220265739406</v>
      </c>
      <c r="U30" s="438">
        <f>VLOOKUP($B30,[1]!LFGEfficiencies,[1]Landfilling!T$977,FALSE)</f>
        <v>0.59203932880689469</v>
      </c>
      <c r="V30" s="438">
        <f>VLOOKUP($B30,[1]!LFGEfficiencies,[1]Landfilling!U$977,FALSE)</f>
        <v>0.50960136452269433</v>
      </c>
      <c r="W30" s="439">
        <f>VLOOKUP($B30,[1]!LFGEfficiencies,[1]Landfilling!V$977,FALSE)</f>
        <v>0.60151370407032245</v>
      </c>
      <c r="X30" s="438"/>
    </row>
    <row r="31" spans="2:25" x14ac:dyDescent="0.25">
      <c r="B31" s="344" t="s">
        <v>649</v>
      </c>
      <c r="C31" s="625" t="str">
        <f t="shared" si="0"/>
        <v>Grains</v>
      </c>
      <c r="D31" s="438">
        <f>VLOOKUP($B31,[1]!LFGEfficiencies,[1]Landfilling!C$977,FALSE)</f>
        <v>0.57934451302605239</v>
      </c>
      <c r="E31" s="438">
        <f>VLOOKUP($B31,[1]!LFGEfficiencies,[1]Landfilling!D$977,FALSE)</f>
        <v>0.52877668866704175</v>
      </c>
      <c r="F31" s="438">
        <f>VLOOKUP($B31,[1]!LFGEfficiencies,[1]Landfilling!E$977,FALSE)</f>
        <v>0.49804740151117877</v>
      </c>
      <c r="G31" s="438">
        <f>VLOOKUP($B31,[1]!LFGEfficiencies,[1]Landfilling!F$977,FALSE)</f>
        <v>0.42402849291705336</v>
      </c>
      <c r="H31" s="439">
        <f>VLOOKUP($B31,[1]!LFGEfficiencies,[1]Landfilling!G$977,FALSE)</f>
        <v>0.51578569694278531</v>
      </c>
      <c r="I31" s="438">
        <f>VLOOKUP($B31,[1]!LFGEfficiencies,[1]Landfilling!H$977,FALSE)</f>
        <v>0.52560702706077667</v>
      </c>
      <c r="J31" s="438">
        <f>VLOOKUP($B31,[1]!LFGEfficiencies,[1]Landfilling!I$977,FALSE)</f>
        <v>0.43096741971074848</v>
      </c>
      <c r="K31" s="438">
        <f>VLOOKUP($B31,[1]!LFGEfficiencies,[1]Landfilling!J$977,FALSE)</f>
        <v>0.36424956405967635</v>
      </c>
      <c r="L31" s="438">
        <f>VLOOKUP($B31,[1]!LFGEfficiencies,[1]Landfilling!K$977,FALSE)</f>
        <v>0.22196693917641336</v>
      </c>
      <c r="M31" s="439">
        <f>VLOOKUP($B31,[1]!LFGEfficiencies,[1]Landfilling!L$977,FALSE)</f>
        <v>0.40157425445472994</v>
      </c>
      <c r="N31" s="438">
        <f>VLOOKUP($B31,[1]!LFGEfficiencies,[1]Landfilling!M$977,FALSE)</f>
        <v>0.59464760806320316</v>
      </c>
      <c r="O31" s="438">
        <f>VLOOKUP($B31,[1]!LFGEfficiencies,[1]Landfilling!N$977,FALSE)</f>
        <v>0.56212173246287489</v>
      </c>
      <c r="P31" s="438">
        <f>VLOOKUP($B31,[1]!LFGEfficiencies,[1]Landfilling!O$977,FALSE)</f>
        <v>0.54617016258961526</v>
      </c>
      <c r="Q31" s="438">
        <f>VLOOKUP($B31,[1]!LFGEfficiencies,[1]Landfilling!P$977,FALSE)</f>
        <v>0.48538391373972373</v>
      </c>
      <c r="R31" s="439">
        <f>VLOOKUP($B31,[1]!LFGEfficiencies,[1]Landfilling!Q$977,FALSE)</f>
        <v>0.55439703049271571</v>
      </c>
      <c r="S31" s="438">
        <f>VLOOKUP($B31,[1]!LFGEfficiencies,[1]Landfilling!R$977,FALSE)</f>
        <v>0.65405248455216192</v>
      </c>
      <c r="T31" s="438">
        <f>VLOOKUP($B31,[1]!LFGEfficiencies,[1]Landfilling!S$977,FALSE)</f>
        <v>0.61043220265739406</v>
      </c>
      <c r="U31" s="438">
        <f>VLOOKUP($B31,[1]!LFGEfficiencies,[1]Landfilling!T$977,FALSE)</f>
        <v>0.59203932880689469</v>
      </c>
      <c r="V31" s="438">
        <f>VLOOKUP($B31,[1]!LFGEfficiencies,[1]Landfilling!U$977,FALSE)</f>
        <v>0.50960136452269433</v>
      </c>
      <c r="W31" s="439">
        <f>VLOOKUP($B31,[1]!LFGEfficiencies,[1]Landfilling!V$977,FALSE)</f>
        <v>0.60151370407032245</v>
      </c>
      <c r="X31" s="438"/>
    </row>
    <row r="32" spans="2:25" x14ac:dyDescent="0.25">
      <c r="B32" s="344" t="s">
        <v>645</v>
      </c>
      <c r="C32" s="625" t="str">
        <f t="shared" si="0"/>
        <v>Bread</v>
      </c>
      <c r="D32" s="438">
        <f>VLOOKUP($B32,[1]!LFGEfficiencies,[1]Landfilling!C$977,FALSE)</f>
        <v>0.57934451302605239</v>
      </c>
      <c r="E32" s="438">
        <f>VLOOKUP($B32,[1]!LFGEfficiencies,[1]Landfilling!D$977,FALSE)</f>
        <v>0.52877668866704175</v>
      </c>
      <c r="F32" s="438">
        <f>VLOOKUP($B32,[1]!LFGEfficiencies,[1]Landfilling!E$977,FALSE)</f>
        <v>0.49804740151117877</v>
      </c>
      <c r="G32" s="438">
        <f>VLOOKUP($B32,[1]!LFGEfficiencies,[1]Landfilling!F$977,FALSE)</f>
        <v>0.42402849291705336</v>
      </c>
      <c r="H32" s="439">
        <f>VLOOKUP($B32,[1]!LFGEfficiencies,[1]Landfilling!G$977,FALSE)</f>
        <v>0.51578569694278531</v>
      </c>
      <c r="I32" s="438">
        <f>VLOOKUP($B32,[1]!LFGEfficiencies,[1]Landfilling!H$977,FALSE)</f>
        <v>0.52560702706077667</v>
      </c>
      <c r="J32" s="438">
        <f>VLOOKUP($B32,[1]!LFGEfficiencies,[1]Landfilling!I$977,FALSE)</f>
        <v>0.43096741971074848</v>
      </c>
      <c r="K32" s="438">
        <f>VLOOKUP($B32,[1]!LFGEfficiencies,[1]Landfilling!J$977,FALSE)</f>
        <v>0.36424956405967635</v>
      </c>
      <c r="L32" s="438">
        <f>VLOOKUP($B32,[1]!LFGEfficiencies,[1]Landfilling!K$977,FALSE)</f>
        <v>0.22196693917641336</v>
      </c>
      <c r="M32" s="439">
        <f>VLOOKUP($B32,[1]!LFGEfficiencies,[1]Landfilling!L$977,FALSE)</f>
        <v>0.40157425445472994</v>
      </c>
      <c r="N32" s="438">
        <f>VLOOKUP($B32,[1]!LFGEfficiencies,[1]Landfilling!M$977,FALSE)</f>
        <v>0.59464760806320316</v>
      </c>
      <c r="O32" s="438">
        <f>VLOOKUP($B32,[1]!LFGEfficiencies,[1]Landfilling!N$977,FALSE)</f>
        <v>0.56212173246287489</v>
      </c>
      <c r="P32" s="438">
        <f>VLOOKUP($B32,[1]!LFGEfficiencies,[1]Landfilling!O$977,FALSE)</f>
        <v>0.54617016258961526</v>
      </c>
      <c r="Q32" s="438">
        <f>VLOOKUP($B32,[1]!LFGEfficiencies,[1]Landfilling!P$977,FALSE)</f>
        <v>0.48538391373972373</v>
      </c>
      <c r="R32" s="439">
        <f>VLOOKUP($B32,[1]!LFGEfficiencies,[1]Landfilling!Q$977,FALSE)</f>
        <v>0.55439703049271571</v>
      </c>
      <c r="S32" s="438">
        <f>VLOOKUP($B32,[1]!LFGEfficiencies,[1]Landfilling!R$977,FALSE)</f>
        <v>0.65405248455216192</v>
      </c>
      <c r="T32" s="438">
        <f>VLOOKUP($B32,[1]!LFGEfficiencies,[1]Landfilling!S$977,FALSE)</f>
        <v>0.61043220265739406</v>
      </c>
      <c r="U32" s="438">
        <f>VLOOKUP($B32,[1]!LFGEfficiencies,[1]Landfilling!T$977,FALSE)</f>
        <v>0.59203932880689469</v>
      </c>
      <c r="V32" s="438">
        <f>VLOOKUP($B32,[1]!LFGEfficiencies,[1]Landfilling!U$977,FALSE)</f>
        <v>0.50960136452269433</v>
      </c>
      <c r="W32" s="439">
        <f>VLOOKUP($B32,[1]!LFGEfficiencies,[1]Landfilling!V$977,FALSE)</f>
        <v>0.60151370407032245</v>
      </c>
      <c r="X32" s="438"/>
    </row>
    <row r="33" spans="2:24" x14ac:dyDescent="0.25">
      <c r="B33" s="344" t="s">
        <v>647</v>
      </c>
      <c r="C33" s="625" t="str">
        <f t="shared" si="0"/>
        <v>Fruits and Vegetables</v>
      </c>
      <c r="D33" s="438">
        <f>VLOOKUP($B33,[1]!LFGEfficiencies,[1]Landfilling!C$977,FALSE)</f>
        <v>0.57934451302605239</v>
      </c>
      <c r="E33" s="438">
        <f>VLOOKUP($B33,[1]!LFGEfficiencies,[1]Landfilling!D$977,FALSE)</f>
        <v>0.52877668866704175</v>
      </c>
      <c r="F33" s="438">
        <f>VLOOKUP($B33,[1]!LFGEfficiencies,[1]Landfilling!E$977,FALSE)</f>
        <v>0.49804740151117877</v>
      </c>
      <c r="G33" s="438">
        <f>VLOOKUP($B33,[1]!LFGEfficiencies,[1]Landfilling!F$977,FALSE)</f>
        <v>0.42402849291705336</v>
      </c>
      <c r="H33" s="439">
        <f>VLOOKUP($B33,[1]!LFGEfficiencies,[1]Landfilling!G$977,FALSE)</f>
        <v>0.51578569694278531</v>
      </c>
      <c r="I33" s="438">
        <f>VLOOKUP($B33,[1]!LFGEfficiencies,[1]Landfilling!H$977,FALSE)</f>
        <v>0.52560702706077667</v>
      </c>
      <c r="J33" s="438">
        <f>VLOOKUP($B33,[1]!LFGEfficiencies,[1]Landfilling!I$977,FALSE)</f>
        <v>0.43096741971074848</v>
      </c>
      <c r="K33" s="438">
        <f>VLOOKUP($B33,[1]!LFGEfficiencies,[1]Landfilling!J$977,FALSE)</f>
        <v>0.36424956405967635</v>
      </c>
      <c r="L33" s="438">
        <f>VLOOKUP($B33,[1]!LFGEfficiencies,[1]Landfilling!K$977,FALSE)</f>
        <v>0.22196693917641336</v>
      </c>
      <c r="M33" s="439">
        <f>VLOOKUP($B33,[1]!LFGEfficiencies,[1]Landfilling!L$977,FALSE)</f>
        <v>0.40157425445472994</v>
      </c>
      <c r="N33" s="438">
        <f>VLOOKUP($B33,[1]!LFGEfficiencies,[1]Landfilling!M$977,FALSE)</f>
        <v>0.59464760806320316</v>
      </c>
      <c r="O33" s="438">
        <f>VLOOKUP($B33,[1]!LFGEfficiencies,[1]Landfilling!N$977,FALSE)</f>
        <v>0.56212173246287489</v>
      </c>
      <c r="P33" s="438">
        <f>VLOOKUP($B33,[1]!LFGEfficiencies,[1]Landfilling!O$977,FALSE)</f>
        <v>0.54617016258961526</v>
      </c>
      <c r="Q33" s="438">
        <f>VLOOKUP($B33,[1]!LFGEfficiencies,[1]Landfilling!P$977,FALSE)</f>
        <v>0.48538391373972373</v>
      </c>
      <c r="R33" s="439">
        <f>VLOOKUP($B33,[1]!LFGEfficiencies,[1]Landfilling!Q$977,FALSE)</f>
        <v>0.55439703049271571</v>
      </c>
      <c r="S33" s="438">
        <f>VLOOKUP($B33,[1]!LFGEfficiencies,[1]Landfilling!R$977,FALSE)</f>
        <v>0.65405248455216192</v>
      </c>
      <c r="T33" s="438">
        <f>VLOOKUP($B33,[1]!LFGEfficiencies,[1]Landfilling!S$977,FALSE)</f>
        <v>0.61043220265739406</v>
      </c>
      <c r="U33" s="438">
        <f>VLOOKUP($B33,[1]!LFGEfficiencies,[1]Landfilling!T$977,FALSE)</f>
        <v>0.59203932880689469</v>
      </c>
      <c r="V33" s="438">
        <f>VLOOKUP($B33,[1]!LFGEfficiencies,[1]Landfilling!U$977,FALSE)</f>
        <v>0.50960136452269433</v>
      </c>
      <c r="W33" s="439">
        <f>VLOOKUP($B33,[1]!LFGEfficiencies,[1]Landfilling!V$977,FALSE)</f>
        <v>0.60151370407032245</v>
      </c>
      <c r="X33" s="438"/>
    </row>
    <row r="34" spans="2:24" x14ac:dyDescent="0.25">
      <c r="B34" s="344" t="s">
        <v>648</v>
      </c>
      <c r="C34" s="625" t="str">
        <f t="shared" si="0"/>
        <v>Dairy Products</v>
      </c>
      <c r="D34" s="438">
        <f>VLOOKUP($B34,[1]!LFGEfficiencies,[1]Landfilling!C$977,FALSE)</f>
        <v>0.57934451302605239</v>
      </c>
      <c r="E34" s="438">
        <f>VLOOKUP($B34,[1]!LFGEfficiencies,[1]Landfilling!D$977,FALSE)</f>
        <v>0.52877668866704175</v>
      </c>
      <c r="F34" s="438">
        <f>VLOOKUP($B34,[1]!LFGEfficiencies,[1]Landfilling!E$977,FALSE)</f>
        <v>0.49804740151117877</v>
      </c>
      <c r="G34" s="438">
        <f>VLOOKUP($B34,[1]!LFGEfficiencies,[1]Landfilling!F$977,FALSE)</f>
        <v>0.42402849291705336</v>
      </c>
      <c r="H34" s="439">
        <f>VLOOKUP($B34,[1]!LFGEfficiencies,[1]Landfilling!G$977,FALSE)</f>
        <v>0.51578569694278531</v>
      </c>
      <c r="I34" s="438">
        <f>VLOOKUP($B34,[1]!LFGEfficiencies,[1]Landfilling!H$977,FALSE)</f>
        <v>0.52560702706077667</v>
      </c>
      <c r="J34" s="438">
        <f>VLOOKUP($B34,[1]!LFGEfficiencies,[1]Landfilling!I$977,FALSE)</f>
        <v>0.43096741971074848</v>
      </c>
      <c r="K34" s="438">
        <f>VLOOKUP($B34,[1]!LFGEfficiencies,[1]Landfilling!J$977,FALSE)</f>
        <v>0.36424956405967635</v>
      </c>
      <c r="L34" s="438">
        <f>VLOOKUP($B34,[1]!LFGEfficiencies,[1]Landfilling!K$977,FALSE)</f>
        <v>0.22196693917641336</v>
      </c>
      <c r="M34" s="439">
        <f>VLOOKUP($B34,[1]!LFGEfficiencies,[1]Landfilling!L$977,FALSE)</f>
        <v>0.40157425445472994</v>
      </c>
      <c r="N34" s="438">
        <f>VLOOKUP($B34,[1]!LFGEfficiencies,[1]Landfilling!M$977,FALSE)</f>
        <v>0.59464760806320316</v>
      </c>
      <c r="O34" s="438">
        <f>VLOOKUP($B34,[1]!LFGEfficiencies,[1]Landfilling!N$977,FALSE)</f>
        <v>0.56212173246287489</v>
      </c>
      <c r="P34" s="438">
        <f>VLOOKUP($B34,[1]!LFGEfficiencies,[1]Landfilling!O$977,FALSE)</f>
        <v>0.54617016258961526</v>
      </c>
      <c r="Q34" s="438">
        <f>VLOOKUP($B34,[1]!LFGEfficiencies,[1]Landfilling!P$977,FALSE)</f>
        <v>0.48538391373972373</v>
      </c>
      <c r="R34" s="439">
        <f>VLOOKUP($B34,[1]!LFGEfficiencies,[1]Landfilling!Q$977,FALSE)</f>
        <v>0.55439703049271571</v>
      </c>
      <c r="S34" s="438">
        <f>VLOOKUP($B34,[1]!LFGEfficiencies,[1]Landfilling!R$977,FALSE)</f>
        <v>0.65405248455216192</v>
      </c>
      <c r="T34" s="438">
        <f>VLOOKUP($B34,[1]!LFGEfficiencies,[1]Landfilling!S$977,FALSE)</f>
        <v>0.61043220265739406</v>
      </c>
      <c r="U34" s="438">
        <f>VLOOKUP($B34,[1]!LFGEfficiencies,[1]Landfilling!T$977,FALSE)</f>
        <v>0.59203932880689469</v>
      </c>
      <c r="V34" s="438">
        <f>VLOOKUP($B34,[1]!LFGEfficiencies,[1]Landfilling!U$977,FALSE)</f>
        <v>0.50960136452269433</v>
      </c>
      <c r="W34" s="439">
        <f>VLOOKUP($B34,[1]!LFGEfficiencies,[1]Landfilling!V$977,FALSE)</f>
        <v>0.60151370407032245</v>
      </c>
      <c r="X34" s="438"/>
    </row>
    <row r="35" spans="2:24" x14ac:dyDescent="0.25">
      <c r="B35" s="344" t="s">
        <v>580</v>
      </c>
      <c r="C35" s="625" t="str">
        <f t="shared" si="0"/>
        <v>Yard Trimmings</v>
      </c>
      <c r="D35" s="438">
        <f>VLOOKUP($B35,[1]!LFGEfficiencies,[1]Landfilling!C$977,FALSE)</f>
        <v>0.5353423141105923</v>
      </c>
      <c r="E35" s="438">
        <f>VLOOKUP($B35,[1]!LFGEfficiencies,[1]Landfilling!D$977,FALSE)</f>
        <v>0.47287391019053338</v>
      </c>
      <c r="F35" s="438">
        <f>VLOOKUP($B35,[1]!LFGEfficiencies,[1]Landfilling!E$977,FALSE)</f>
        <v>0.44303052142409333</v>
      </c>
      <c r="G35" s="438">
        <f>VLOOKUP($B35,[1]!LFGEfficiencies,[1]Landfilling!F$977,FALSE)</f>
        <v>0.39441261497892932</v>
      </c>
      <c r="H35" s="439">
        <f>VLOOKUP($B35,[1]!LFGEfficiencies,[1]Landfilling!G$977,FALSE)</f>
        <v>0.4652558286703779</v>
      </c>
      <c r="I35" s="438">
        <f>VLOOKUP($B35,[1]!LFGEfficiencies,[1]Landfilling!H$977,FALSE)</f>
        <v>0.47047531372077067</v>
      </c>
      <c r="J35" s="438">
        <f>VLOOKUP($B35,[1]!LFGEfficiencies,[1]Landfilling!I$977,FALSE)</f>
        <v>0.36634277498585976</v>
      </c>
      <c r="K35" s="438">
        <f>VLOOKUP($B35,[1]!LFGEfficiencies,[1]Landfilling!J$977,FALSE)</f>
        <v>0.30934185236583722</v>
      </c>
      <c r="L35" s="438">
        <f>VLOOKUP($B35,[1]!LFGEfficiencies,[1]Landfilling!K$977,FALSE)</f>
        <v>0.21452746134718442</v>
      </c>
      <c r="M35" s="439">
        <f>VLOOKUP($B35,[1]!LFGEfficiencies,[1]Landfilling!L$977,FALSE)</f>
        <v>0.34856037217214514</v>
      </c>
      <c r="N35" s="438">
        <f>VLOOKUP($B35,[1]!LFGEfficiencies,[1]Landfilling!M$977,FALSE)</f>
        <v>0.55281047612416367</v>
      </c>
      <c r="O35" s="438">
        <f>VLOOKUP($B35,[1]!LFGEfficiencies,[1]Landfilling!N$977,FALSE)</f>
        <v>0.50620995319531559</v>
      </c>
      <c r="P35" s="438">
        <f>VLOOKUP($B35,[1]!LFGEfficiencies,[1]Landfilling!O$977,FALSE)</f>
        <v>0.48927377551548301</v>
      </c>
      <c r="Q35" s="438">
        <f>VLOOKUP($B35,[1]!LFGEfficiencies,[1]Landfilling!P$977,FALSE)</f>
        <v>0.44463438751289619</v>
      </c>
      <c r="R35" s="439">
        <f>VLOOKUP($B35,[1]!LFGEfficiencies,[1]Landfilling!Q$977,FALSE)</f>
        <v>0.50241173218643209</v>
      </c>
      <c r="S35" s="438">
        <f>VLOOKUP($B35,[1]!LFGEfficiencies,[1]Landfilling!R$977,FALSE)</f>
        <v>0.60793580646923961</v>
      </c>
      <c r="T35" s="438">
        <f>VLOOKUP($B35,[1]!LFGEfficiencies,[1]Landfilling!S$977,FALSE)</f>
        <v>0.54544068762139519</v>
      </c>
      <c r="U35" s="438">
        <f>VLOOKUP($B35,[1]!LFGEfficiencies,[1]Landfilling!T$977,FALSE)</f>
        <v>0.52206550985582845</v>
      </c>
      <c r="V35" s="438">
        <f>VLOOKUP($B35,[1]!LFGEfficiencies,[1]Landfilling!U$977,FALSE)</f>
        <v>0.45458221625879958</v>
      </c>
      <c r="W35" s="439">
        <f>VLOOKUP($B35,[1]!LFGEfficiencies,[1]Landfilling!V$977,FALSE)</f>
        <v>0.53924666619305661</v>
      </c>
      <c r="X35" s="438"/>
    </row>
    <row r="36" spans="2:24" x14ac:dyDescent="0.25">
      <c r="B36" s="344" t="s">
        <v>521</v>
      </c>
      <c r="C36" s="625" t="str">
        <f t="shared" si="0"/>
        <v>Grass</v>
      </c>
      <c r="D36" s="438">
        <f>VLOOKUP($B36,[1]!LFGEfficiencies,[1]Landfilling!C$977,FALSE)</f>
        <v>0.48511417098237852</v>
      </c>
      <c r="E36" s="438">
        <f>VLOOKUP($B36,[1]!LFGEfficiencies,[1]Landfilling!D$977,FALSE)</f>
        <v>0.42553358233373445</v>
      </c>
      <c r="F36" s="438">
        <f>VLOOKUP($B36,[1]!LFGEfficiencies,[1]Landfilling!E$977,FALSE)</f>
        <v>0.39190232757199878</v>
      </c>
      <c r="G36" s="438">
        <f>VLOOKUP($B36,[1]!LFGEfficiencies,[1]Landfilling!F$977,FALSE)</f>
        <v>0.32794478953874612</v>
      </c>
      <c r="H36" s="439">
        <f>VLOOKUP($B36,[1]!LFGEfficiencies,[1]Landfilling!G$977,FALSE)</f>
        <v>0.41386837507689106</v>
      </c>
      <c r="I36" s="438">
        <f>VLOOKUP($B36,[1]!LFGEfficiencies,[1]Landfilling!H$977,FALSE)</f>
        <v>0.39202614030703636</v>
      </c>
      <c r="J36" s="438">
        <f>VLOOKUP($B36,[1]!LFGEfficiencies,[1]Landfilling!I$977,FALSE)</f>
        <v>0.27427576285768035</v>
      </c>
      <c r="K36" s="438">
        <f>VLOOKUP($B36,[1]!LFGEfficiencies,[1]Landfilling!J$977,FALSE)</f>
        <v>0.20340008875651983</v>
      </c>
      <c r="L36" s="438">
        <f>VLOOKUP($B36,[1]!LFGEfficiencies,[1]Landfilling!K$977,FALSE)</f>
        <v>9.2246366836759797E-2</v>
      </c>
      <c r="M36" s="439">
        <f>VLOOKUP($B36,[1]!LFGEfficiencies,[1]Landfilling!L$977,FALSE)</f>
        <v>0.25049299668988251</v>
      </c>
      <c r="N36" s="438">
        <f>VLOOKUP($B36,[1]!LFGEfficiencies,[1]Landfilling!M$977,FALSE)</f>
        <v>0.51218469148186796</v>
      </c>
      <c r="O36" s="438">
        <f>VLOOKUP($B36,[1]!LFGEfficiencies,[1]Landfilling!N$977,FALSE)</f>
        <v>0.47224844794128357</v>
      </c>
      <c r="P36" s="438">
        <f>VLOOKUP($B36,[1]!LFGEfficiencies,[1]Landfilling!O$977,FALSE)</f>
        <v>0.45132593418740646</v>
      </c>
      <c r="Q36" s="438">
        <f>VLOOKUP($B36,[1]!LFGEfficiencies,[1]Landfilling!P$977,FALSE)</f>
        <v>0.38728411425218956</v>
      </c>
      <c r="R36" s="439">
        <f>VLOOKUP($B36,[1]!LFGEfficiencies,[1]Landfilling!Q$977,FALSE)</f>
        <v>0.4631401101276475</v>
      </c>
      <c r="S36" s="438">
        <f>VLOOKUP($B36,[1]!LFGEfficiencies,[1]Landfilling!R$977,FALSE)</f>
        <v>0.57139354072038728</v>
      </c>
      <c r="T36" s="438">
        <f>VLOOKUP($B36,[1]!LFGEfficiencies,[1]Landfilling!S$977,FALSE)</f>
        <v>0.50992065978849266</v>
      </c>
      <c r="U36" s="438">
        <f>VLOOKUP($B36,[1]!LFGEfficiencies,[1]Landfilling!T$977,FALSE)</f>
        <v>0.47698251631481448</v>
      </c>
      <c r="V36" s="438">
        <f>VLOOKUP($B36,[1]!LFGEfficiencies,[1]Landfilling!U$977,FALSE)</f>
        <v>0.37824885274321624</v>
      </c>
      <c r="W36" s="439">
        <f>VLOOKUP($B36,[1]!LFGEfficiencies,[1]Landfilling!V$977,FALSE)</f>
        <v>0.49551047830266221</v>
      </c>
      <c r="X36" s="438"/>
    </row>
    <row r="37" spans="2:24" x14ac:dyDescent="0.25">
      <c r="B37" s="344" t="s">
        <v>522</v>
      </c>
      <c r="C37" s="625" t="str">
        <f t="shared" si="0"/>
        <v>Leaves</v>
      </c>
      <c r="D37" s="438">
        <f>VLOOKUP($B37,[1]!LFGEfficiencies,[1]Landfilling!C$977,FALSE)</f>
        <v>0.56030718692389558</v>
      </c>
      <c r="E37" s="438">
        <f>VLOOKUP($B37,[1]!LFGEfficiencies,[1]Landfilling!D$977,FALSE)</f>
        <v>0.50568423647963634</v>
      </c>
      <c r="F37" s="438">
        <f>VLOOKUP($B37,[1]!LFGEfficiencies,[1]Landfilling!E$977,FALSE)</f>
        <v>0.47333282228169116</v>
      </c>
      <c r="G37" s="438">
        <f>VLOOKUP($B37,[1]!LFGEfficiencies,[1]Landfilling!F$977,FALSE)</f>
        <v>0.39953370419627549</v>
      </c>
      <c r="H37" s="439">
        <f>VLOOKUP($B37,[1]!LFGEfficiencies,[1]Landfilling!G$977,FALSE)</f>
        <v>0.49269734210479671</v>
      </c>
      <c r="I37" s="438">
        <f>VLOOKUP($B37,[1]!LFGEfficiencies,[1]Landfilling!H$977,FALSE)</f>
        <v>0.49837653526545045</v>
      </c>
      <c r="J37" s="438">
        <f>VLOOKUP($B37,[1]!LFGEfficiencies,[1]Landfilling!I$977,FALSE)</f>
        <v>0.39550708532781992</v>
      </c>
      <c r="K37" s="438">
        <f>VLOOKUP($B37,[1]!LFGEfficiencies,[1]Landfilling!J$977,FALSE)</f>
        <v>0.32550400641066313</v>
      </c>
      <c r="L37" s="438">
        <f>VLOOKUP($B37,[1]!LFGEfficiencies,[1]Landfilling!K$977,FALSE)</f>
        <v>0.18630734224518025</v>
      </c>
      <c r="M37" s="439">
        <f>VLOOKUP($B37,[1]!LFGEfficiencies,[1]Landfilling!L$977,FALSE)</f>
        <v>0.36638973557213061</v>
      </c>
      <c r="N37" s="438">
        <f>VLOOKUP($B37,[1]!LFGEfficiencies,[1]Landfilling!M$977,FALSE)</f>
        <v>0.57815915226631265</v>
      </c>
      <c r="O37" s="438">
        <f>VLOOKUP($B37,[1]!LFGEfficiencies,[1]Landfilling!N$977,FALSE)</f>
        <v>0.54250823044109042</v>
      </c>
      <c r="P37" s="438">
        <f>VLOOKUP($B37,[1]!LFGEfficiencies,[1]Landfilling!O$977,FALSE)</f>
        <v>0.52494173648851516</v>
      </c>
      <c r="Q37" s="438">
        <f>VLOOKUP($B37,[1]!LFGEfficiencies,[1]Landfilling!P$977,FALSE)</f>
        <v>0.462034355379495</v>
      </c>
      <c r="R37" s="439">
        <f>VLOOKUP($B37,[1]!LFGEfficiencies,[1]Landfilling!Q$977,FALSE)</f>
        <v>0.53437119828546686</v>
      </c>
      <c r="S37" s="438">
        <f>VLOOKUP($B37,[1]!LFGEfficiencies,[1]Landfilling!R$977,FALSE)</f>
        <v>0.63845196742769816</v>
      </c>
      <c r="T37" s="438">
        <f>VLOOKUP($B37,[1]!LFGEfficiencies,[1]Landfilling!S$977,FALSE)</f>
        <v>0.58952414510609352</v>
      </c>
      <c r="U37" s="438">
        <f>VLOOKUP($B37,[1]!LFGEfficiencies,[1]Landfilling!T$977,FALSE)</f>
        <v>0.5673114596775386</v>
      </c>
      <c r="V37" s="438">
        <f>VLOOKUP($B37,[1]!LFGEfficiencies,[1]Landfilling!U$977,FALSE)</f>
        <v>0.47941246698700196</v>
      </c>
      <c r="W37" s="439">
        <f>VLOOKUP($B37,[1]!LFGEfficiencies,[1]Landfilling!V$977,FALSE)</f>
        <v>0.5791691280473692</v>
      </c>
      <c r="X37" s="438"/>
    </row>
    <row r="38" spans="2:24" x14ac:dyDescent="0.25">
      <c r="B38" s="344" t="s">
        <v>523</v>
      </c>
      <c r="C38" s="625" t="str">
        <f t="shared" si="0"/>
        <v>Branches</v>
      </c>
      <c r="D38" s="438">
        <f>VLOOKUP($B38,[1]!LFGEfficiencies,[1]Landfilling!C$977,FALSE)</f>
        <v>0.61083372755371668</v>
      </c>
      <c r="E38" s="438">
        <f>VLOOKUP($B38,[1]!LFGEfficiencies,[1]Landfilling!D$977,FALSE)</f>
        <v>0.53474423961502826</v>
      </c>
      <c r="F38" s="438">
        <f>VLOOKUP($B38,[1]!LFGEfficiencies,[1]Landfilling!E$977,FALSE)</f>
        <v>0.5149846082706846</v>
      </c>
      <c r="G38" s="438">
        <f>VLOOKUP($B38,[1]!LFGEfficiencies,[1]Landfilling!F$977,FALSE)</f>
        <v>0.5222271766419494</v>
      </c>
      <c r="H38" s="439">
        <f>VLOOKUP($B38,[1]!LFGEfficiencies,[1]Landfilling!G$977,FALSE)</f>
        <v>0.54058922242293272</v>
      </c>
      <c r="I38" s="438">
        <f>VLOOKUP($B38,[1]!LFGEfficiencies,[1]Landfilling!H$977,FALSE)</f>
        <v>0.59947243900355951</v>
      </c>
      <c r="J38" s="438">
        <f>VLOOKUP($B38,[1]!LFGEfficiencies,[1]Landfilling!I$977,FALSE)</f>
        <v>0.52131248890025861</v>
      </c>
      <c r="K38" s="438">
        <f>VLOOKUP($B38,[1]!LFGEfficiencies,[1]Landfilling!J$977,FALSE)</f>
        <v>0.505063225539646</v>
      </c>
      <c r="L38" s="438">
        <f>VLOOKUP($B38,[1]!LFGEfficiencies,[1]Landfilling!K$977,FALSE)</f>
        <v>0.48730976947003785</v>
      </c>
      <c r="M38" s="439">
        <f>VLOOKUP($B38,[1]!LFGEfficiencies,[1]Landfilling!L$977,FALSE)</f>
        <v>0.52686575973668492</v>
      </c>
      <c r="N38" s="438">
        <f>VLOOKUP($B38,[1]!LFGEfficiencies,[1]Landfilling!M$977,FALSE)</f>
        <v>0.6087133692666058</v>
      </c>
      <c r="O38" s="438">
        <f>VLOOKUP($B38,[1]!LFGEfficiencies,[1]Landfilling!N$977,FALSE)</f>
        <v>0.53783468645760479</v>
      </c>
      <c r="P38" s="438">
        <f>VLOOKUP($B38,[1]!LFGEfficiencies,[1]Landfilling!O$977,FALSE)</f>
        <v>0.52950149719860384</v>
      </c>
      <c r="Q38" s="438">
        <f>VLOOKUP($B38,[1]!LFGEfficiencies,[1]Landfilling!P$977,FALSE)</f>
        <v>0.54193496616771064</v>
      </c>
      <c r="R38" s="439">
        <f>VLOOKUP($B38,[1]!LFGEfficiencies,[1]Landfilling!Q$977,FALSE)</f>
        <v>0.54899551020496618</v>
      </c>
      <c r="S38" s="438">
        <f>VLOOKUP($B38,[1]!LFGEfficiencies,[1]Landfilling!R$977,FALSE)</f>
        <v>0.65050417700848584</v>
      </c>
      <c r="T38" s="438">
        <f>VLOOKUP($B38,[1]!LFGEfficiencies,[1]Landfilling!S$977,FALSE)</f>
        <v>0.57239728580250182</v>
      </c>
      <c r="U38" s="438">
        <f>VLOOKUP($B38,[1]!LFGEfficiencies,[1]Landfilling!T$977,FALSE)</f>
        <v>0.56698554711614635</v>
      </c>
      <c r="V38" s="438">
        <f>VLOOKUP($B38,[1]!LFGEfficiencies,[1]Landfilling!U$977,FALSE)</f>
        <v>0.58241869256176371</v>
      </c>
      <c r="W38" s="439">
        <f>VLOOKUP($B38,[1]!LFGEfficiencies,[1]Landfilling!V$977,FALSE)</f>
        <v>0.58679658011953273</v>
      </c>
      <c r="X38" s="438"/>
    </row>
    <row r="39" spans="2:24" x14ac:dyDescent="0.25">
      <c r="B39" s="344" t="s">
        <v>583</v>
      </c>
      <c r="C39" s="625" t="str">
        <f t="shared" si="0"/>
        <v>Mixed Paper (general)</v>
      </c>
      <c r="D39" s="438">
        <f>VLOOKUP($B39,[1]!LFGEfficiencies,[1]Landfilling!C$977,FALSE)</f>
        <v>0.61607359798255157</v>
      </c>
      <c r="E39" s="438">
        <f>VLOOKUP($B39,[1]!LFGEfficiencies,[1]Landfilling!D$977,FALSE)</f>
        <v>0.56593470016626102</v>
      </c>
      <c r="F39" s="438">
        <f>VLOOKUP($B39,[1]!LFGEfficiencies,[1]Landfilling!E$977,FALSE)</f>
        <v>0.55946569728764406</v>
      </c>
      <c r="G39" s="438">
        <f>VLOOKUP($B39,[1]!LFGEfficiencies,[1]Landfilling!F$977,FALSE)</f>
        <v>0.5535444427229349</v>
      </c>
      <c r="H39" s="439">
        <f>VLOOKUP($B39,[1]!LFGEfficiencies,[1]Landfilling!G$977,FALSE)</f>
        <v>0.57206469380207481</v>
      </c>
      <c r="I39" s="438">
        <f>VLOOKUP($B39,[1]!LFGEfficiencies,[1]Landfilling!H$977,FALSE)</f>
        <v>0.59938144858568021</v>
      </c>
      <c r="J39" s="438">
        <f>VLOOKUP($B39,[1]!LFGEfficiencies,[1]Landfilling!I$977,FALSE)</f>
        <v>0.54004919804798046</v>
      </c>
      <c r="K39" s="438">
        <f>VLOOKUP($B39,[1]!LFGEfficiencies,[1]Landfilling!J$977,FALSE)</f>
        <v>0.52821349021786823</v>
      </c>
      <c r="L39" s="438">
        <f>VLOOKUP($B39,[1]!LFGEfficiencies,[1]Landfilling!K$977,FALSE)</f>
        <v>0.48215299409341006</v>
      </c>
      <c r="M39" s="439">
        <f>VLOOKUP($B39,[1]!LFGEfficiencies,[1]Landfilling!L$977,FALSE)</f>
        <v>0.54126155184188718</v>
      </c>
      <c r="N39" s="438">
        <f>VLOOKUP($B39,[1]!LFGEfficiencies,[1]Landfilling!M$977,FALSE)</f>
        <v>0.6166341553179836</v>
      </c>
      <c r="O39" s="438">
        <f>VLOOKUP($B39,[1]!LFGEfficiencies,[1]Landfilling!N$977,FALSE)</f>
        <v>0.5738398222702551</v>
      </c>
      <c r="P39" s="438">
        <f>VLOOKUP($B39,[1]!LFGEfficiencies,[1]Landfilling!O$977,FALSE)</f>
        <v>0.57996847580244049</v>
      </c>
      <c r="Q39" s="438">
        <f>VLOOKUP($B39,[1]!LFGEfficiencies,[1]Landfilling!P$977,FALSE)</f>
        <v>0.58251537570565615</v>
      </c>
      <c r="R39" s="439">
        <f>VLOOKUP($B39,[1]!LFGEfficiencies,[1]Landfilling!Q$977,FALSE)</f>
        <v>0.58578512082506906</v>
      </c>
      <c r="S39" s="438">
        <f>VLOOKUP($B39,[1]!LFGEfficiencies,[1]Landfilling!R$977,FALSE)</f>
        <v>0.66189543080479185</v>
      </c>
      <c r="T39" s="438">
        <f>VLOOKUP($B39,[1]!LFGEfficiencies,[1]Landfilling!S$977,FALSE)</f>
        <v>0.61297797118225117</v>
      </c>
      <c r="U39" s="438">
        <f>VLOOKUP($B39,[1]!LFGEfficiencies,[1]Landfilling!T$977,FALSE)</f>
        <v>0.62299295051251036</v>
      </c>
      <c r="V39" s="438">
        <f>VLOOKUP($B39,[1]!LFGEfficiencies,[1]Landfilling!U$977,FALSE)</f>
        <v>0.62848406979882754</v>
      </c>
      <c r="W39" s="439">
        <f>VLOOKUP($B39,[1]!LFGEfficiencies,[1]Landfilling!V$977,FALSE)</f>
        <v>0.62842822947315347</v>
      </c>
      <c r="X39" s="438"/>
    </row>
    <row r="40" spans="2:24" x14ac:dyDescent="0.25">
      <c r="B40" s="344" t="s">
        <v>584</v>
      </c>
      <c r="C40" s="625" t="str">
        <f t="shared" si="0"/>
        <v>Mixed Paper (primarily residential)</v>
      </c>
      <c r="D40" s="438">
        <f>VLOOKUP($B40,[1]!LFGEfficiencies,[1]Landfilling!C$977,FALSE)</f>
        <v>0.6152645439470309</v>
      </c>
      <c r="E40" s="438">
        <f>VLOOKUP($B40,[1]!LFGEfficiencies,[1]Landfilling!D$977,FALSE)</f>
        <v>0.56401750258237759</v>
      </c>
      <c r="F40" s="438">
        <f>VLOOKUP($B40,[1]!LFGEfficiencies,[1]Landfilling!E$977,FALSE)</f>
        <v>0.55652255107167892</v>
      </c>
      <c r="G40" s="438">
        <f>VLOOKUP($B40,[1]!LFGEfficiencies,[1]Landfilling!F$977,FALSE)</f>
        <v>0.55003451595787223</v>
      </c>
      <c r="H40" s="439">
        <f>VLOOKUP($B40,[1]!LFGEfficiencies,[1]Landfilling!G$977,FALSE)</f>
        <v>0.56978818712196055</v>
      </c>
      <c r="I40" s="438">
        <f>VLOOKUP($B40,[1]!LFGEfficiencies,[1]Landfilling!H$977,FALSE)</f>
        <v>0.59807633548722683</v>
      </c>
      <c r="J40" s="438">
        <f>VLOOKUP($B40,[1]!LFGEfficiencies,[1]Landfilling!I$977,FALSE)</f>
        <v>0.53722081817506684</v>
      </c>
      <c r="K40" s="438">
        <f>VLOOKUP($B40,[1]!LFGEfficiencies,[1]Landfilling!J$977,FALSE)</f>
        <v>0.52409366392572454</v>
      </c>
      <c r="L40" s="438">
        <f>VLOOKUP($B40,[1]!LFGEfficiencies,[1]Landfilling!K$977,FALSE)</f>
        <v>0.47745418549032731</v>
      </c>
      <c r="M40" s="439">
        <f>VLOOKUP($B40,[1]!LFGEfficiencies,[1]Landfilling!L$977,FALSE)</f>
        <v>0.53801999797254518</v>
      </c>
      <c r="N40" s="438">
        <f>VLOOKUP($B40,[1]!LFGEfficiencies,[1]Landfilling!M$977,FALSE)</f>
        <v>0.616007291693077</v>
      </c>
      <c r="O40" s="438">
        <f>VLOOKUP($B40,[1]!LFGEfficiencies,[1]Landfilling!N$977,FALSE)</f>
        <v>0.5722373793893597</v>
      </c>
      <c r="P40" s="438">
        <f>VLOOKUP($B40,[1]!LFGEfficiencies,[1]Landfilling!O$977,FALSE)</f>
        <v>0.57733587506586337</v>
      </c>
      <c r="Q40" s="438">
        <f>VLOOKUP($B40,[1]!LFGEfficiencies,[1]Landfilling!P$977,FALSE)</f>
        <v>0.57931230153293334</v>
      </c>
      <c r="R40" s="439">
        <f>VLOOKUP($B40,[1]!LFGEfficiencies,[1]Landfilling!Q$977,FALSE)</f>
        <v>0.58379433578750339</v>
      </c>
      <c r="S40" s="438">
        <f>VLOOKUP($B40,[1]!LFGEfficiencies,[1]Landfilling!R$977,FALSE)</f>
        <v>0.66142281521772206</v>
      </c>
      <c r="T40" s="438">
        <f>VLOOKUP($B40,[1]!LFGEfficiencies,[1]Landfilling!S$977,FALSE)</f>
        <v>0.61139583059625324</v>
      </c>
      <c r="U40" s="438">
        <f>VLOOKUP($B40,[1]!LFGEfficiencies,[1]Landfilling!T$977,FALSE)</f>
        <v>0.62022691839721145</v>
      </c>
      <c r="V40" s="438">
        <f>VLOOKUP($B40,[1]!LFGEfficiencies,[1]Landfilling!U$977,FALSE)</f>
        <v>0.62467295783929133</v>
      </c>
      <c r="W40" s="439">
        <f>VLOOKUP($B40,[1]!LFGEfficiencies,[1]Landfilling!V$977,FALSE)</f>
        <v>0.62635851733104453</v>
      </c>
      <c r="X40" s="438"/>
    </row>
    <row r="41" spans="2:24" x14ac:dyDescent="0.25">
      <c r="B41" s="344" t="s">
        <v>585</v>
      </c>
      <c r="C41" s="625" t="str">
        <f t="shared" si="0"/>
        <v>Mixed Paper (primarily from offices)</v>
      </c>
      <c r="D41" s="438">
        <f>VLOOKUP($B41,[1]!LFGEfficiencies,[1]Landfilling!C$977,FALSE)</f>
        <v>0.61126761469253843</v>
      </c>
      <c r="E41" s="438">
        <f>VLOOKUP($B41,[1]!LFGEfficiencies,[1]Landfilling!D$977,FALSE)</f>
        <v>0.56833986274661097</v>
      </c>
      <c r="F41" s="438">
        <f>VLOOKUP($B41,[1]!LFGEfficiencies,[1]Landfilling!E$977,FALSE)</f>
        <v>0.55776139271911718</v>
      </c>
      <c r="G41" s="438">
        <f>VLOOKUP($B41,[1]!LFGEfficiencies,[1]Landfilling!F$977,FALSE)</f>
        <v>0.52709286315448822</v>
      </c>
      <c r="H41" s="439">
        <f>VLOOKUP($B41,[1]!LFGEfficiencies,[1]Landfilling!G$977,FALSE)</f>
        <v>0.56845296199528428</v>
      </c>
      <c r="I41" s="438">
        <f>VLOOKUP($B41,[1]!LFGEfficiencies,[1]Landfilling!H$977,FALSE)</f>
        <v>0.58472504151362714</v>
      </c>
      <c r="J41" s="438">
        <f>VLOOKUP($B41,[1]!LFGEfficiencies,[1]Landfilling!I$977,FALSE)</f>
        <v>0.52205956458894698</v>
      </c>
      <c r="K41" s="438">
        <f>VLOOKUP($B41,[1]!LFGEfficiencies,[1]Landfilling!J$977,FALSE)</f>
        <v>0.49576930948636277</v>
      </c>
      <c r="L41" s="438">
        <f>VLOOKUP($B41,[1]!LFGEfficiencies,[1]Landfilling!K$977,FALSE)</f>
        <v>0.41300969888126593</v>
      </c>
      <c r="M41" s="439">
        <f>VLOOKUP($B41,[1]!LFGEfficiencies,[1]Landfilling!L$977,FALSE)</f>
        <v>0.51288237855595287</v>
      </c>
      <c r="N41" s="438">
        <f>VLOOKUP($B41,[1]!LFGEfficiencies,[1]Landfilling!M$977,FALSE)</f>
        <v>0.61603618915029146</v>
      </c>
      <c r="O41" s="438">
        <f>VLOOKUP($B41,[1]!LFGEfficiencies,[1]Landfilling!N$977,FALSE)</f>
        <v>0.58375296041047586</v>
      </c>
      <c r="P41" s="438">
        <f>VLOOKUP($B41,[1]!LFGEfficiencies,[1]Landfilling!O$977,FALSE)</f>
        <v>0.58662160090008442</v>
      </c>
      <c r="Q41" s="438">
        <f>VLOOKUP($B41,[1]!LFGEfficiencies,[1]Landfilling!P$977,FALSE)</f>
        <v>0.56702136061495934</v>
      </c>
      <c r="R41" s="439">
        <f>VLOOKUP($B41,[1]!LFGEfficiencies,[1]Landfilling!Q$977,FALSE)</f>
        <v>0.58971545742011644</v>
      </c>
      <c r="S41" s="438">
        <f>VLOOKUP($B41,[1]!LFGEfficiencies,[1]Landfilling!R$977,FALSE)</f>
        <v>0.66583770483231786</v>
      </c>
      <c r="T41" s="438">
        <f>VLOOKUP($B41,[1]!LFGEfficiencies,[1]Landfilling!S$977,FALSE)</f>
        <v>0.62679260044029506</v>
      </c>
      <c r="U41" s="438">
        <f>VLOOKUP($B41,[1]!LFGEfficiencies,[1]Landfilling!T$977,FALSE)</f>
        <v>0.63249420847194027</v>
      </c>
      <c r="V41" s="438">
        <f>VLOOKUP($B41,[1]!LFGEfficiencies,[1]Landfilling!U$977,FALSE)</f>
        <v>0.6094385894538743</v>
      </c>
      <c r="W41" s="439">
        <f>VLOOKUP($B41,[1]!LFGEfficiencies,[1]Landfilling!V$977,FALSE)</f>
        <v>0.63520958112106363</v>
      </c>
      <c r="X41" s="438"/>
    </row>
    <row r="42" spans="2:24" x14ac:dyDescent="0.25">
      <c r="B42" s="344" t="s">
        <v>633</v>
      </c>
      <c r="C42" s="625" t="str">
        <f t="shared" si="0"/>
        <v>Mixed Metals</v>
      </c>
      <c r="D42" s="438" t="str">
        <f>VLOOKUP($B42,[1]!LFGEfficiencies,[1]Landfilling!C$977,FALSE)</f>
        <v>--</v>
      </c>
      <c r="E42" s="438" t="str">
        <f>VLOOKUP($B42,[1]!LFGEfficiencies,[1]Landfilling!D$977,FALSE)</f>
        <v>--</v>
      </c>
      <c r="F42" s="438" t="str">
        <f>VLOOKUP($B42,[1]!LFGEfficiencies,[1]Landfilling!E$977,FALSE)</f>
        <v>--</v>
      </c>
      <c r="G42" s="438" t="str">
        <f>VLOOKUP($B42,[1]!LFGEfficiencies,[1]Landfilling!F$977,FALSE)</f>
        <v>--</v>
      </c>
      <c r="H42" s="439" t="str">
        <f>VLOOKUP($B42,[1]!LFGEfficiencies,[1]Landfilling!G$977,FALSE)</f>
        <v>--</v>
      </c>
      <c r="I42" s="438" t="str">
        <f>VLOOKUP($B42,[1]!LFGEfficiencies,[1]Landfilling!H$977,FALSE)</f>
        <v>--</v>
      </c>
      <c r="J42" s="438" t="str">
        <f>VLOOKUP($B42,[1]!LFGEfficiencies,[1]Landfilling!I$977,FALSE)</f>
        <v>--</v>
      </c>
      <c r="K42" s="438" t="str">
        <f>VLOOKUP($B42,[1]!LFGEfficiencies,[1]Landfilling!J$977,FALSE)</f>
        <v>--</v>
      </c>
      <c r="L42" s="438" t="str">
        <f>VLOOKUP($B42,[1]!LFGEfficiencies,[1]Landfilling!K$977,FALSE)</f>
        <v>--</v>
      </c>
      <c r="M42" s="439" t="str">
        <f>VLOOKUP($B42,[1]!LFGEfficiencies,[1]Landfilling!L$977,FALSE)</f>
        <v>--</v>
      </c>
      <c r="N42" s="438" t="str">
        <f>VLOOKUP($B42,[1]!LFGEfficiencies,[1]Landfilling!M$977,FALSE)</f>
        <v>--</v>
      </c>
      <c r="O42" s="438" t="str">
        <f>VLOOKUP($B42,[1]!LFGEfficiencies,[1]Landfilling!N$977,FALSE)</f>
        <v>--</v>
      </c>
      <c r="P42" s="438" t="str">
        <f>VLOOKUP($B42,[1]!LFGEfficiencies,[1]Landfilling!O$977,FALSE)</f>
        <v>--</v>
      </c>
      <c r="Q42" s="438" t="str">
        <f>VLOOKUP($B42,[1]!LFGEfficiencies,[1]Landfilling!P$977,FALSE)</f>
        <v>--</v>
      </c>
      <c r="R42" s="439" t="str">
        <f>VLOOKUP($B42,[1]!LFGEfficiencies,[1]Landfilling!Q$977,FALSE)</f>
        <v>--</v>
      </c>
      <c r="S42" s="438" t="str">
        <f>VLOOKUP($B42,[1]!LFGEfficiencies,[1]Landfilling!R$977,FALSE)</f>
        <v>--</v>
      </c>
      <c r="T42" s="438" t="str">
        <f>VLOOKUP($B42,[1]!LFGEfficiencies,[1]Landfilling!S$977,FALSE)</f>
        <v>--</v>
      </c>
      <c r="U42" s="438" t="str">
        <f>VLOOKUP($B42,[1]!LFGEfficiencies,[1]Landfilling!T$977,FALSE)</f>
        <v>--</v>
      </c>
      <c r="V42" s="438" t="str">
        <f>VLOOKUP($B42,[1]!LFGEfficiencies,[1]Landfilling!U$977,FALSE)</f>
        <v>--</v>
      </c>
      <c r="W42" s="439" t="str">
        <f>VLOOKUP($B42,[1]!LFGEfficiencies,[1]Landfilling!V$977,FALSE)</f>
        <v>--</v>
      </c>
      <c r="X42" s="438"/>
    </row>
    <row r="43" spans="2:24" x14ac:dyDescent="0.25">
      <c r="B43" s="344" t="s">
        <v>386</v>
      </c>
      <c r="C43" s="625" t="str">
        <f t="shared" si="0"/>
        <v>Mixed Plastics</v>
      </c>
      <c r="D43" s="438" t="str">
        <f>VLOOKUP($B43,[1]!LFGEfficiencies,[1]Landfilling!C$977,FALSE)</f>
        <v>--</v>
      </c>
      <c r="E43" s="438" t="str">
        <f>VLOOKUP($B43,[1]!LFGEfficiencies,[1]Landfilling!D$977,FALSE)</f>
        <v>--</v>
      </c>
      <c r="F43" s="438" t="str">
        <f>VLOOKUP($B43,[1]!LFGEfficiencies,[1]Landfilling!E$977,FALSE)</f>
        <v>--</v>
      </c>
      <c r="G43" s="438" t="str">
        <f>VLOOKUP($B43,[1]!LFGEfficiencies,[1]Landfilling!F$977,FALSE)</f>
        <v>--</v>
      </c>
      <c r="H43" s="439" t="str">
        <f>VLOOKUP($B43,[1]!LFGEfficiencies,[1]Landfilling!G$977,FALSE)</f>
        <v>--</v>
      </c>
      <c r="I43" s="438" t="str">
        <f>VLOOKUP($B43,[1]!LFGEfficiencies,[1]Landfilling!H$977,FALSE)</f>
        <v>--</v>
      </c>
      <c r="J43" s="438" t="str">
        <f>VLOOKUP($B43,[1]!LFGEfficiencies,[1]Landfilling!I$977,FALSE)</f>
        <v>--</v>
      </c>
      <c r="K43" s="438" t="str">
        <f>VLOOKUP($B43,[1]!LFGEfficiencies,[1]Landfilling!J$977,FALSE)</f>
        <v>--</v>
      </c>
      <c r="L43" s="438" t="str">
        <f>VLOOKUP($B43,[1]!LFGEfficiencies,[1]Landfilling!K$977,FALSE)</f>
        <v>--</v>
      </c>
      <c r="M43" s="439" t="str">
        <f>VLOOKUP($B43,[1]!LFGEfficiencies,[1]Landfilling!L$977,FALSE)</f>
        <v>--</v>
      </c>
      <c r="N43" s="438" t="str">
        <f>VLOOKUP($B43,[1]!LFGEfficiencies,[1]Landfilling!M$977,FALSE)</f>
        <v>--</v>
      </c>
      <c r="O43" s="438" t="str">
        <f>VLOOKUP($B43,[1]!LFGEfficiencies,[1]Landfilling!N$977,FALSE)</f>
        <v>--</v>
      </c>
      <c r="P43" s="438" t="str">
        <f>VLOOKUP($B43,[1]!LFGEfficiencies,[1]Landfilling!O$977,FALSE)</f>
        <v>--</v>
      </c>
      <c r="Q43" s="438" t="str">
        <f>VLOOKUP($B43,[1]!LFGEfficiencies,[1]Landfilling!P$977,FALSE)</f>
        <v>--</v>
      </c>
      <c r="R43" s="439" t="str">
        <f>VLOOKUP($B43,[1]!LFGEfficiencies,[1]Landfilling!Q$977,FALSE)</f>
        <v>--</v>
      </c>
      <c r="S43" s="438" t="str">
        <f>VLOOKUP($B43,[1]!LFGEfficiencies,[1]Landfilling!R$977,FALSE)</f>
        <v>--</v>
      </c>
      <c r="T43" s="438" t="str">
        <f>VLOOKUP($B43,[1]!LFGEfficiencies,[1]Landfilling!S$977,FALSE)</f>
        <v>--</v>
      </c>
      <c r="U43" s="438" t="str">
        <f>VLOOKUP($B43,[1]!LFGEfficiencies,[1]Landfilling!T$977,FALSE)</f>
        <v>--</v>
      </c>
      <c r="V43" s="438" t="str">
        <f>VLOOKUP($B43,[1]!LFGEfficiencies,[1]Landfilling!U$977,FALSE)</f>
        <v>--</v>
      </c>
      <c r="W43" s="439" t="str">
        <f>VLOOKUP($B43,[1]!LFGEfficiencies,[1]Landfilling!V$977,FALSE)</f>
        <v>--</v>
      </c>
      <c r="X43" s="438"/>
    </row>
    <row r="44" spans="2:24" x14ac:dyDescent="0.25">
      <c r="B44" s="344" t="s">
        <v>272</v>
      </c>
      <c r="C44" s="625" t="str">
        <f t="shared" si="0"/>
        <v>Mixed Recyclables</v>
      </c>
      <c r="D44" s="438">
        <f>VLOOKUP($B44,[1]!LFGEfficiencies,[1]Landfilling!C$977,FALSE)</f>
        <v>0.53134106572685602</v>
      </c>
      <c r="E44" s="438">
        <f>VLOOKUP($B44,[1]!LFGEfficiencies,[1]Landfilling!D$977,FALSE)</f>
        <v>0.48545473361879021</v>
      </c>
      <c r="F44" s="438">
        <f>VLOOKUP($B44,[1]!LFGEfficiencies,[1]Landfilling!E$977,FALSE)</f>
        <v>0.47745950839909551</v>
      </c>
      <c r="G44" s="438">
        <f>VLOOKUP($B44,[1]!LFGEfficiencies,[1]Landfilling!F$977,FALSE)</f>
        <v>0.47146577710963516</v>
      </c>
      <c r="H44" s="439">
        <f>VLOOKUP($B44,[1]!LFGEfficiencies,[1]Landfilling!G$977,FALSE)</f>
        <v>0.48994706682419337</v>
      </c>
      <c r="I44" s="438">
        <f>VLOOKUP($B44,[1]!LFGEfficiencies,[1]Landfilling!H$977,FALSE)</f>
        <v>0.5162360261933181</v>
      </c>
      <c r="J44" s="438">
        <f>VLOOKUP($B44,[1]!LFGEfficiencies,[1]Landfilling!I$977,FALSE)</f>
        <v>0.46180247914013656</v>
      </c>
      <c r="K44" s="438">
        <f>VLOOKUP($B44,[1]!LFGEfficiencies,[1]Landfilling!J$977,FALSE)</f>
        <v>0.44883975396875536</v>
      </c>
      <c r="L44" s="438">
        <f>VLOOKUP($B44,[1]!LFGEfficiencies,[1]Landfilling!K$977,FALSE)</f>
        <v>0.40832849549914957</v>
      </c>
      <c r="M44" s="439">
        <f>VLOOKUP($B44,[1]!LFGEfficiencies,[1]Landfilling!L$977,FALSE)</f>
        <v>0.46201411014123644</v>
      </c>
      <c r="N44" s="438">
        <f>VLOOKUP($B44,[1]!LFGEfficiencies,[1]Landfilling!M$977,FALSE)</f>
        <v>0.53207631287969548</v>
      </c>
      <c r="O44" s="438">
        <f>VLOOKUP($B44,[1]!LFGEfficiencies,[1]Landfilling!N$977,FALSE)</f>
        <v>0.49274433224872805</v>
      </c>
      <c r="P44" s="438">
        <f>VLOOKUP($B44,[1]!LFGEfficiencies,[1]Landfilling!O$977,FALSE)</f>
        <v>0.49559590083393318</v>
      </c>
      <c r="Q44" s="438">
        <f>VLOOKUP($B44,[1]!LFGEfficiencies,[1]Landfilling!P$977,FALSE)</f>
        <v>0.49692909650557887</v>
      </c>
      <c r="R44" s="439">
        <f>VLOOKUP($B44,[1]!LFGEfficiencies,[1]Landfilling!Q$977,FALSE)</f>
        <v>0.50220119948912589</v>
      </c>
      <c r="S44" s="438">
        <f>VLOOKUP($B44,[1]!LFGEfficiencies,[1]Landfilling!R$977,FALSE)</f>
        <v>0.57141506848975043</v>
      </c>
      <c r="T44" s="438">
        <f>VLOOKUP($B44,[1]!LFGEfficiencies,[1]Landfilling!S$977,FALSE)</f>
        <v>0.5265644532582161</v>
      </c>
      <c r="U44" s="438">
        <f>VLOOKUP($B44,[1]!LFGEfficiencies,[1]Landfilling!T$977,FALSE)</f>
        <v>0.5325142074400484</v>
      </c>
      <c r="V44" s="438">
        <f>VLOOKUP($B44,[1]!LFGEfficiencies,[1]Landfilling!U$977,FALSE)</f>
        <v>0.53551961137508119</v>
      </c>
      <c r="W44" s="439">
        <f>VLOOKUP($B44,[1]!LFGEfficiencies,[1]Landfilling!V$977,FALSE)</f>
        <v>0.53887544108494245</v>
      </c>
      <c r="X44" s="438"/>
    </row>
    <row r="45" spans="2:24" x14ac:dyDescent="0.25">
      <c r="B45" s="344" t="s">
        <v>385</v>
      </c>
      <c r="C45" s="625" t="str">
        <f t="shared" si="0"/>
        <v>Mixed Organics</v>
      </c>
      <c r="D45" s="438">
        <f>VLOOKUP($B45,[1]!LFGEfficiencies,[1]Landfilling!C$977,FALSE)</f>
        <v>0.55822642148930335</v>
      </c>
      <c r="E45" s="438">
        <f>VLOOKUP($B45,[1]!LFGEfficiencies,[1]Landfilling!D$977,FALSE)</f>
        <v>0.5019471205517374</v>
      </c>
      <c r="F45" s="438">
        <f>VLOOKUP($B45,[1]!LFGEfficiencies,[1]Landfilling!E$977,FALSE)</f>
        <v>0.47164300494959688</v>
      </c>
      <c r="G45" s="438">
        <f>VLOOKUP($B45,[1]!LFGEfficiencies,[1]Landfilling!F$977,FALSE)</f>
        <v>0.40981486640170334</v>
      </c>
      <c r="H45" s="439">
        <f>VLOOKUP($B45,[1]!LFGEfficiencies,[1]Landfilling!G$977,FALSE)</f>
        <v>0.49153476381176742</v>
      </c>
      <c r="I45" s="438">
        <f>VLOOKUP($B45,[1]!LFGEfficiencies,[1]Landfilling!H$977,FALSE)</f>
        <v>0.49914751827284232</v>
      </c>
      <c r="J45" s="438">
        <f>VLOOKUP($B45,[1]!LFGEfficiencies,[1]Landfilling!I$977,FALSE)</f>
        <v>0.3999519432921238</v>
      </c>
      <c r="K45" s="438">
        <f>VLOOKUP($B45,[1]!LFGEfficiencies,[1]Landfilling!J$977,FALSE)</f>
        <v>0.33789756097338253</v>
      </c>
      <c r="L45" s="438">
        <f>VLOOKUP($B45,[1]!LFGEfficiencies,[1]Landfilling!K$977,FALSE)</f>
        <v>0.21839649093392627</v>
      </c>
      <c r="M45" s="439">
        <f>VLOOKUP($B45,[1]!LFGEfficiencies,[1]Landfilling!L$977,FALSE)</f>
        <v>0.37613116191944507</v>
      </c>
      <c r="N45" s="438">
        <f>VLOOKUP($B45,[1]!LFGEfficiencies,[1]Landfilling!M$977,FALSE)</f>
        <v>0.57456860283846067</v>
      </c>
      <c r="O45" s="438">
        <f>VLOOKUP($B45,[1]!LFGEfficiencies,[1]Landfilling!N$977,FALSE)</f>
        <v>0.53528784457415002</v>
      </c>
      <c r="P45" s="438">
        <f>VLOOKUP($B45,[1]!LFGEfficiencies,[1]Landfilling!O$977,FALSE)</f>
        <v>0.51886372927590041</v>
      </c>
      <c r="Q45" s="438">
        <f>VLOOKUP($B45,[1]!LFGEfficiencies,[1]Landfilling!P$977,FALSE)</f>
        <v>0.46582688599684552</v>
      </c>
      <c r="R45" s="439">
        <f>VLOOKUP($B45,[1]!LFGEfficiencies,[1]Landfilling!Q$977,FALSE)</f>
        <v>0.52944758898170119</v>
      </c>
      <c r="S45" s="438">
        <f>VLOOKUP($B45,[1]!LFGEfficiencies,[1]Landfilling!R$977,FALSE)</f>
        <v>0.63191958544416382</v>
      </c>
      <c r="T45" s="438">
        <f>VLOOKUP($B45,[1]!LFGEfficiencies,[1]Landfilling!S$977,FALSE)</f>
        <v>0.5792406532014418</v>
      </c>
      <c r="U45" s="438">
        <f>VLOOKUP($B45,[1]!LFGEfficiencies,[1]Landfilling!T$977,FALSE)</f>
        <v>0.55845660907455585</v>
      </c>
      <c r="V45" s="438">
        <f>VLOOKUP($B45,[1]!LFGEfficiencies,[1]Landfilling!U$977,FALSE)</f>
        <v>0.48319587938902608</v>
      </c>
      <c r="W45" s="439">
        <f>VLOOKUP($B45,[1]!LFGEfficiencies,[1]Landfilling!V$977,FALSE)</f>
        <v>0.57162972013259461</v>
      </c>
      <c r="X45" s="438"/>
    </row>
    <row r="46" spans="2:24" x14ac:dyDescent="0.25">
      <c r="B46" s="344" t="s">
        <v>574</v>
      </c>
      <c r="C46" s="625" t="str">
        <f t="shared" si="0"/>
        <v>Mixed MSW</v>
      </c>
      <c r="D46" s="438">
        <f>VLOOKUP($B46,[1]!LFGEfficiencies,[1]Landfilling!C$977,FALSE)</f>
        <v>0.62458057585072169</v>
      </c>
      <c r="E46" s="438">
        <f>VLOOKUP($B46,[1]!LFGEfficiencies,[1]Landfilling!D$977,FALSE)</f>
        <v>0.59581123408216086</v>
      </c>
      <c r="F46" s="438">
        <f>VLOOKUP($B46,[1]!LFGEfficiencies,[1]Landfilling!E$977,FALSE)</f>
        <v>0.59535015333470209</v>
      </c>
      <c r="G46" s="438">
        <f>VLOOKUP($B46,[1]!LFGEfficiencies,[1]Landfilling!F$977,FALSE)</f>
        <v>0.56884224751836443</v>
      </c>
      <c r="H46" s="439">
        <f>VLOOKUP($B46,[1]!LFGEfficiencies,[1]Landfilling!G$977,FALSE)</f>
        <v>0.59867869959228781</v>
      </c>
      <c r="I46" s="438">
        <f>VLOOKUP($B46,[1]!LFGEfficiencies,[1]Landfilling!H$977,FALSE)</f>
        <v>0.60619749253737931</v>
      </c>
      <c r="J46" s="438">
        <f>VLOOKUP($B46,[1]!LFGEfficiencies,[1]Landfilling!I$977,FALSE)</f>
        <v>0.56423782527549793</v>
      </c>
      <c r="K46" s="438">
        <f>VLOOKUP($B46,[1]!LFGEfficiencies,[1]Landfilling!J$977,FALSE)</f>
        <v>0.55233926226959162</v>
      </c>
      <c r="L46" s="438">
        <f>VLOOKUP($B46,[1]!LFGEfficiencies,[1]Landfilling!K$977,FALSE)</f>
        <v>0.47498898550917984</v>
      </c>
      <c r="M46" s="439">
        <f>VLOOKUP($B46,[1]!LFGEfficiencies,[1]Landfilling!L$977,FALSE)</f>
        <v>0.55881456535581486</v>
      </c>
      <c r="N46" s="438">
        <f>VLOOKUP($B46,[1]!LFGEfficiencies,[1]Landfilling!M$977,FALSE)</f>
        <v>0.62636775340666606</v>
      </c>
      <c r="O46" s="438">
        <f>VLOOKUP($B46,[1]!LFGEfficiencies,[1]Landfilling!N$977,FALSE)</f>
        <v>0.60624294032463566</v>
      </c>
      <c r="P46" s="438">
        <f>VLOOKUP($B46,[1]!LFGEfficiencies,[1]Landfilling!O$977,FALSE)</f>
        <v>0.61912450277889963</v>
      </c>
      <c r="Q46" s="438">
        <f>VLOOKUP($B46,[1]!LFGEfficiencies,[1]Landfilling!P$977,FALSE)</f>
        <v>0.60383130015632613</v>
      </c>
      <c r="R46" s="439">
        <f>VLOOKUP($B46,[1]!LFGEfficiencies,[1]Landfilling!Q$977,FALSE)</f>
        <v>0.61532106109291329</v>
      </c>
      <c r="S46" s="438">
        <f>VLOOKUP($B46,[1]!LFGEfficiencies,[1]Landfilling!R$977,FALSE)</f>
        <v>0.67367023825588612</v>
      </c>
      <c r="T46" s="438">
        <f>VLOOKUP($B46,[1]!LFGEfficiencies,[1]Landfilling!S$977,FALSE)</f>
        <v>0.64884526846053414</v>
      </c>
      <c r="U46" s="438">
        <f>VLOOKUP($B46,[1]!LFGEfficiencies,[1]Landfilling!T$977,FALSE)</f>
        <v>0.66681743584579412</v>
      </c>
      <c r="V46" s="438">
        <f>VLOOKUP($B46,[1]!LFGEfficiencies,[1]Landfilling!U$977,FALSE)</f>
        <v>0.65435729197454917</v>
      </c>
      <c r="W46" s="439">
        <f>VLOOKUP($B46,[1]!LFGEfficiencies,[1]Landfilling!V$977,FALSE)</f>
        <v>0.66174802556634793</v>
      </c>
      <c r="X46" s="438"/>
    </row>
    <row r="47" spans="2:24" x14ac:dyDescent="0.25">
      <c r="B47" s="344" t="s">
        <v>573</v>
      </c>
      <c r="C47" s="625" t="str">
        <f t="shared" si="0"/>
        <v>Carpet</v>
      </c>
      <c r="D47" s="438" t="str">
        <f>VLOOKUP($B47,[1]!LFGEfficiencies,[1]Landfilling!C$977,FALSE)</f>
        <v>--</v>
      </c>
      <c r="E47" s="438" t="str">
        <f>VLOOKUP($B47,[1]!LFGEfficiencies,[1]Landfilling!D$977,FALSE)</f>
        <v>--</v>
      </c>
      <c r="F47" s="438" t="str">
        <f>VLOOKUP($B47,[1]!LFGEfficiencies,[1]Landfilling!E$977,FALSE)</f>
        <v>--</v>
      </c>
      <c r="G47" s="438" t="str">
        <f>VLOOKUP($B47,[1]!LFGEfficiencies,[1]Landfilling!F$977,FALSE)</f>
        <v>--</v>
      </c>
      <c r="H47" s="439" t="str">
        <f>VLOOKUP($B47,[1]!LFGEfficiencies,[1]Landfilling!G$977,FALSE)</f>
        <v>--</v>
      </c>
      <c r="I47" s="438" t="str">
        <f>VLOOKUP($B47,[1]!LFGEfficiencies,[1]Landfilling!H$977,FALSE)</f>
        <v>--</v>
      </c>
      <c r="J47" s="438" t="str">
        <f>VLOOKUP($B47,[1]!LFGEfficiencies,[1]Landfilling!I$977,FALSE)</f>
        <v>--</v>
      </c>
      <c r="K47" s="438" t="str">
        <f>VLOOKUP($B47,[1]!LFGEfficiencies,[1]Landfilling!J$977,FALSE)</f>
        <v>--</v>
      </c>
      <c r="L47" s="438" t="str">
        <f>VLOOKUP($B47,[1]!LFGEfficiencies,[1]Landfilling!K$977,FALSE)</f>
        <v>--</v>
      </c>
      <c r="M47" s="439" t="str">
        <f>VLOOKUP($B47,[1]!LFGEfficiencies,[1]Landfilling!L$977,FALSE)</f>
        <v>--</v>
      </c>
      <c r="N47" s="438" t="str">
        <f>VLOOKUP($B47,[1]!LFGEfficiencies,[1]Landfilling!M$977,FALSE)</f>
        <v>--</v>
      </c>
      <c r="O47" s="438" t="str">
        <f>VLOOKUP($B47,[1]!LFGEfficiencies,[1]Landfilling!N$977,FALSE)</f>
        <v>--</v>
      </c>
      <c r="P47" s="438" t="str">
        <f>VLOOKUP($B47,[1]!LFGEfficiencies,[1]Landfilling!O$977,FALSE)</f>
        <v>--</v>
      </c>
      <c r="Q47" s="438" t="str">
        <f>VLOOKUP($B47,[1]!LFGEfficiencies,[1]Landfilling!P$977,FALSE)</f>
        <v>--</v>
      </c>
      <c r="R47" s="439" t="str">
        <f>VLOOKUP($B47,[1]!LFGEfficiencies,[1]Landfilling!Q$977,FALSE)</f>
        <v>--</v>
      </c>
      <c r="S47" s="438" t="str">
        <f>VLOOKUP($B47,[1]!LFGEfficiencies,[1]Landfilling!R$977,FALSE)</f>
        <v>--</v>
      </c>
      <c r="T47" s="438" t="str">
        <f>VLOOKUP($B47,[1]!LFGEfficiencies,[1]Landfilling!S$977,FALSE)</f>
        <v>--</v>
      </c>
      <c r="U47" s="438" t="str">
        <f>VLOOKUP($B47,[1]!LFGEfficiencies,[1]Landfilling!T$977,FALSE)</f>
        <v>--</v>
      </c>
      <c r="V47" s="438" t="str">
        <f>VLOOKUP($B47,[1]!LFGEfficiencies,[1]Landfilling!U$977,FALSE)</f>
        <v>--</v>
      </c>
      <c r="W47" s="439" t="str">
        <f>VLOOKUP($B47,[1]!LFGEfficiencies,[1]Landfilling!V$977,FALSE)</f>
        <v>--</v>
      </c>
      <c r="X47" s="438"/>
    </row>
    <row r="48" spans="2:24" x14ac:dyDescent="0.25">
      <c r="B48" s="344" t="s">
        <v>423</v>
      </c>
      <c r="C48" s="625" t="str">
        <f t="shared" si="0"/>
        <v>Personal Computers</v>
      </c>
      <c r="D48" s="438" t="str">
        <f>VLOOKUP($B48,[1]!LFGEfficiencies,[1]Landfilling!C$977,FALSE)</f>
        <v>--</v>
      </c>
      <c r="E48" s="438" t="str">
        <f>VLOOKUP($B48,[1]!LFGEfficiencies,[1]Landfilling!D$977,FALSE)</f>
        <v>--</v>
      </c>
      <c r="F48" s="438" t="str">
        <f>VLOOKUP($B48,[1]!LFGEfficiencies,[1]Landfilling!E$977,FALSE)</f>
        <v>--</v>
      </c>
      <c r="G48" s="438" t="str">
        <f>VLOOKUP($B48,[1]!LFGEfficiencies,[1]Landfilling!F$977,FALSE)</f>
        <v>--</v>
      </c>
      <c r="H48" s="439" t="str">
        <f>VLOOKUP($B48,[1]!LFGEfficiencies,[1]Landfilling!G$977,FALSE)</f>
        <v>--</v>
      </c>
      <c r="I48" s="438" t="str">
        <f>VLOOKUP($B48,[1]!LFGEfficiencies,[1]Landfilling!H$977,FALSE)</f>
        <v>--</v>
      </c>
      <c r="J48" s="438" t="str">
        <f>VLOOKUP($B48,[1]!LFGEfficiencies,[1]Landfilling!I$977,FALSE)</f>
        <v>--</v>
      </c>
      <c r="K48" s="438" t="str">
        <f>VLOOKUP($B48,[1]!LFGEfficiencies,[1]Landfilling!J$977,FALSE)</f>
        <v>--</v>
      </c>
      <c r="L48" s="438" t="str">
        <f>VLOOKUP($B48,[1]!LFGEfficiencies,[1]Landfilling!K$977,FALSE)</f>
        <v>--</v>
      </c>
      <c r="M48" s="439" t="str">
        <f>VLOOKUP($B48,[1]!LFGEfficiencies,[1]Landfilling!L$977,FALSE)</f>
        <v>--</v>
      </c>
      <c r="N48" s="438" t="str">
        <f>VLOOKUP($B48,[1]!LFGEfficiencies,[1]Landfilling!M$977,FALSE)</f>
        <v>--</v>
      </c>
      <c r="O48" s="438" t="str">
        <f>VLOOKUP($B48,[1]!LFGEfficiencies,[1]Landfilling!N$977,FALSE)</f>
        <v>--</v>
      </c>
      <c r="P48" s="438" t="str">
        <f>VLOOKUP($B48,[1]!LFGEfficiencies,[1]Landfilling!O$977,FALSE)</f>
        <v>--</v>
      </c>
      <c r="Q48" s="438" t="str">
        <f>VLOOKUP($B48,[1]!LFGEfficiencies,[1]Landfilling!P$977,FALSE)</f>
        <v>--</v>
      </c>
      <c r="R48" s="439" t="str">
        <f>VLOOKUP($B48,[1]!LFGEfficiencies,[1]Landfilling!Q$977,FALSE)</f>
        <v>--</v>
      </c>
      <c r="S48" s="438" t="str">
        <f>VLOOKUP($B48,[1]!LFGEfficiencies,[1]Landfilling!R$977,FALSE)</f>
        <v>--</v>
      </c>
      <c r="T48" s="438" t="str">
        <f>VLOOKUP($B48,[1]!LFGEfficiencies,[1]Landfilling!S$977,FALSE)</f>
        <v>--</v>
      </c>
      <c r="U48" s="438" t="str">
        <f>VLOOKUP($B48,[1]!LFGEfficiencies,[1]Landfilling!T$977,FALSE)</f>
        <v>--</v>
      </c>
      <c r="V48" s="438" t="str">
        <f>VLOOKUP($B48,[1]!LFGEfficiencies,[1]Landfilling!U$977,FALSE)</f>
        <v>--</v>
      </c>
      <c r="W48" s="439" t="str">
        <f>VLOOKUP($B48,[1]!LFGEfficiencies,[1]Landfilling!V$977,FALSE)</f>
        <v>--</v>
      </c>
      <c r="X48" s="438"/>
    </row>
    <row r="49" spans="2:24" x14ac:dyDescent="0.25">
      <c r="B49" s="344" t="s">
        <v>455</v>
      </c>
      <c r="C49" s="625" t="str">
        <f t="shared" si="0"/>
        <v>Clay Bricks</v>
      </c>
      <c r="D49" s="438" t="str">
        <f>VLOOKUP($B49,[1]!LFGEfficiencies,[1]Landfilling!C$977,FALSE)</f>
        <v>--</v>
      </c>
      <c r="E49" s="438" t="str">
        <f>VLOOKUP($B49,[1]!LFGEfficiencies,[1]Landfilling!D$977,FALSE)</f>
        <v>--</v>
      </c>
      <c r="F49" s="438" t="str">
        <f>VLOOKUP($B49,[1]!LFGEfficiencies,[1]Landfilling!E$977,FALSE)</f>
        <v>--</v>
      </c>
      <c r="G49" s="438" t="str">
        <f>VLOOKUP($B49,[1]!LFGEfficiencies,[1]Landfilling!F$977,FALSE)</f>
        <v>--</v>
      </c>
      <c r="H49" s="439" t="str">
        <f>VLOOKUP($B49,[1]!LFGEfficiencies,[1]Landfilling!G$977,FALSE)</f>
        <v>--</v>
      </c>
      <c r="I49" s="438" t="str">
        <f>VLOOKUP($B49,[1]!LFGEfficiencies,[1]Landfilling!H$977,FALSE)</f>
        <v>--</v>
      </c>
      <c r="J49" s="438" t="str">
        <f>VLOOKUP($B49,[1]!LFGEfficiencies,[1]Landfilling!I$977,FALSE)</f>
        <v>--</v>
      </c>
      <c r="K49" s="438" t="str">
        <f>VLOOKUP($B49,[1]!LFGEfficiencies,[1]Landfilling!J$977,FALSE)</f>
        <v>--</v>
      </c>
      <c r="L49" s="438" t="str">
        <f>VLOOKUP($B49,[1]!LFGEfficiencies,[1]Landfilling!K$977,FALSE)</f>
        <v>--</v>
      </c>
      <c r="M49" s="439" t="str">
        <f>VLOOKUP($B49,[1]!LFGEfficiencies,[1]Landfilling!L$977,FALSE)</f>
        <v>--</v>
      </c>
      <c r="N49" s="438" t="str">
        <f>VLOOKUP($B49,[1]!LFGEfficiencies,[1]Landfilling!M$977,FALSE)</f>
        <v>--</v>
      </c>
      <c r="O49" s="438" t="str">
        <f>VLOOKUP($B49,[1]!LFGEfficiencies,[1]Landfilling!N$977,FALSE)</f>
        <v>--</v>
      </c>
      <c r="P49" s="438" t="str">
        <f>VLOOKUP($B49,[1]!LFGEfficiencies,[1]Landfilling!O$977,FALSE)</f>
        <v>--</v>
      </c>
      <c r="Q49" s="438" t="str">
        <f>VLOOKUP($B49,[1]!LFGEfficiencies,[1]Landfilling!P$977,FALSE)</f>
        <v>--</v>
      </c>
      <c r="R49" s="439" t="str">
        <f>VLOOKUP($B49,[1]!LFGEfficiencies,[1]Landfilling!Q$977,FALSE)</f>
        <v>--</v>
      </c>
      <c r="S49" s="438" t="str">
        <f>VLOOKUP($B49,[1]!LFGEfficiencies,[1]Landfilling!R$977,FALSE)</f>
        <v>--</v>
      </c>
      <c r="T49" s="438" t="str">
        <f>VLOOKUP($B49,[1]!LFGEfficiencies,[1]Landfilling!S$977,FALSE)</f>
        <v>--</v>
      </c>
      <c r="U49" s="438" t="str">
        <f>VLOOKUP($B49,[1]!LFGEfficiencies,[1]Landfilling!T$977,FALSE)</f>
        <v>--</v>
      </c>
      <c r="V49" s="438" t="str">
        <f>VLOOKUP($B49,[1]!LFGEfficiencies,[1]Landfilling!U$977,FALSE)</f>
        <v>--</v>
      </c>
      <c r="W49" s="439" t="str">
        <f>VLOOKUP($B49,[1]!LFGEfficiencies,[1]Landfilling!V$977,FALSE)</f>
        <v>--</v>
      </c>
      <c r="X49" s="438"/>
    </row>
    <row r="50" spans="2:24" x14ac:dyDescent="0.25">
      <c r="B50" s="344" t="s">
        <v>476</v>
      </c>
      <c r="C50" s="625" t="str">
        <f t="shared" si="0"/>
        <v>Concrete</v>
      </c>
      <c r="D50" s="438" t="str">
        <f>VLOOKUP($B50,[1]!LFGEfficiencies,[1]Landfilling!C$977,FALSE)</f>
        <v>--</v>
      </c>
      <c r="E50" s="438" t="str">
        <f>VLOOKUP($B50,[1]!LFGEfficiencies,[1]Landfilling!D$977,FALSE)</f>
        <v>--</v>
      </c>
      <c r="F50" s="438" t="str">
        <f>VLOOKUP($B50,[1]!LFGEfficiencies,[1]Landfilling!E$977,FALSE)</f>
        <v>--</v>
      </c>
      <c r="G50" s="438" t="str">
        <f>VLOOKUP($B50,[1]!LFGEfficiencies,[1]Landfilling!F$977,FALSE)</f>
        <v>--</v>
      </c>
      <c r="H50" s="439" t="str">
        <f>VLOOKUP($B50,[1]!LFGEfficiencies,[1]Landfilling!G$977,FALSE)</f>
        <v>--</v>
      </c>
      <c r="I50" s="438" t="str">
        <f>VLOOKUP($B50,[1]!LFGEfficiencies,[1]Landfilling!H$977,FALSE)</f>
        <v>--</v>
      </c>
      <c r="J50" s="438" t="str">
        <f>VLOOKUP($B50,[1]!LFGEfficiencies,[1]Landfilling!I$977,FALSE)</f>
        <v>--</v>
      </c>
      <c r="K50" s="438" t="str">
        <f>VLOOKUP($B50,[1]!LFGEfficiencies,[1]Landfilling!J$977,FALSE)</f>
        <v>--</v>
      </c>
      <c r="L50" s="438" t="str">
        <f>VLOOKUP($B50,[1]!LFGEfficiencies,[1]Landfilling!K$977,FALSE)</f>
        <v>--</v>
      </c>
      <c r="M50" s="439" t="str">
        <f>VLOOKUP($B50,[1]!LFGEfficiencies,[1]Landfilling!L$977,FALSE)</f>
        <v>--</v>
      </c>
      <c r="N50" s="438" t="str">
        <f>VLOOKUP($B50,[1]!LFGEfficiencies,[1]Landfilling!M$977,FALSE)</f>
        <v>--</v>
      </c>
      <c r="O50" s="438" t="str">
        <f>VLOOKUP($B50,[1]!LFGEfficiencies,[1]Landfilling!N$977,FALSE)</f>
        <v>--</v>
      </c>
      <c r="P50" s="438" t="str">
        <f>VLOOKUP($B50,[1]!LFGEfficiencies,[1]Landfilling!O$977,FALSE)</f>
        <v>--</v>
      </c>
      <c r="Q50" s="438" t="str">
        <f>VLOOKUP($B50,[1]!LFGEfficiencies,[1]Landfilling!P$977,FALSE)</f>
        <v>--</v>
      </c>
      <c r="R50" s="439" t="str">
        <f>VLOOKUP($B50,[1]!LFGEfficiencies,[1]Landfilling!Q$977,FALSE)</f>
        <v>--</v>
      </c>
      <c r="S50" s="438" t="str">
        <f>VLOOKUP($B50,[1]!LFGEfficiencies,[1]Landfilling!R$977,FALSE)</f>
        <v>--</v>
      </c>
      <c r="T50" s="438" t="str">
        <f>VLOOKUP($B50,[1]!LFGEfficiencies,[1]Landfilling!S$977,FALSE)</f>
        <v>--</v>
      </c>
      <c r="U50" s="438" t="str">
        <f>VLOOKUP($B50,[1]!LFGEfficiencies,[1]Landfilling!T$977,FALSE)</f>
        <v>--</v>
      </c>
      <c r="V50" s="438" t="str">
        <f>VLOOKUP($B50,[1]!LFGEfficiencies,[1]Landfilling!U$977,FALSE)</f>
        <v>--</v>
      </c>
      <c r="W50" s="439" t="str">
        <f>VLOOKUP($B50,[1]!LFGEfficiencies,[1]Landfilling!V$977,FALSE)</f>
        <v>--</v>
      </c>
      <c r="X50" s="438"/>
    </row>
    <row r="51" spans="2:24" x14ac:dyDescent="0.25">
      <c r="B51" s="344" t="s">
        <v>131</v>
      </c>
      <c r="C51" s="625" t="str">
        <f t="shared" si="0"/>
        <v>Fly Ash</v>
      </c>
      <c r="D51" s="438" t="str">
        <f>VLOOKUP($B51,[1]!LFGEfficiencies,[1]Landfilling!C$977,FALSE)</f>
        <v>--</v>
      </c>
      <c r="E51" s="438" t="str">
        <f>VLOOKUP($B51,[1]!LFGEfficiencies,[1]Landfilling!D$977,FALSE)</f>
        <v>--</v>
      </c>
      <c r="F51" s="438" t="str">
        <f>VLOOKUP($B51,[1]!LFGEfficiencies,[1]Landfilling!E$977,FALSE)</f>
        <v>--</v>
      </c>
      <c r="G51" s="438" t="str">
        <f>VLOOKUP($B51,[1]!LFGEfficiencies,[1]Landfilling!F$977,FALSE)</f>
        <v>--</v>
      </c>
      <c r="H51" s="439" t="str">
        <f>VLOOKUP($B51,[1]!LFGEfficiencies,[1]Landfilling!G$977,FALSE)</f>
        <v>--</v>
      </c>
      <c r="I51" s="438" t="str">
        <f>VLOOKUP($B51,[1]!LFGEfficiencies,[1]Landfilling!H$977,FALSE)</f>
        <v>--</v>
      </c>
      <c r="J51" s="438" t="str">
        <f>VLOOKUP($B51,[1]!LFGEfficiencies,[1]Landfilling!I$977,FALSE)</f>
        <v>--</v>
      </c>
      <c r="K51" s="438" t="str">
        <f>VLOOKUP($B51,[1]!LFGEfficiencies,[1]Landfilling!J$977,FALSE)</f>
        <v>--</v>
      </c>
      <c r="L51" s="438" t="str">
        <f>VLOOKUP($B51,[1]!LFGEfficiencies,[1]Landfilling!K$977,FALSE)</f>
        <v>--</v>
      </c>
      <c r="M51" s="439" t="str">
        <f>VLOOKUP($B51,[1]!LFGEfficiencies,[1]Landfilling!L$977,FALSE)</f>
        <v>--</v>
      </c>
      <c r="N51" s="438" t="str">
        <f>VLOOKUP($B51,[1]!LFGEfficiencies,[1]Landfilling!M$977,FALSE)</f>
        <v>--</v>
      </c>
      <c r="O51" s="438" t="str">
        <f>VLOOKUP($B51,[1]!LFGEfficiencies,[1]Landfilling!N$977,FALSE)</f>
        <v>--</v>
      </c>
      <c r="P51" s="438" t="str">
        <f>VLOOKUP($B51,[1]!LFGEfficiencies,[1]Landfilling!O$977,FALSE)</f>
        <v>--</v>
      </c>
      <c r="Q51" s="438" t="str">
        <f>VLOOKUP($B51,[1]!LFGEfficiencies,[1]Landfilling!P$977,FALSE)</f>
        <v>--</v>
      </c>
      <c r="R51" s="439" t="str">
        <f>VLOOKUP($B51,[1]!LFGEfficiencies,[1]Landfilling!Q$977,FALSE)</f>
        <v>--</v>
      </c>
      <c r="S51" s="438" t="str">
        <f>VLOOKUP($B51,[1]!LFGEfficiencies,[1]Landfilling!R$977,FALSE)</f>
        <v>--</v>
      </c>
      <c r="T51" s="438" t="str">
        <f>VLOOKUP($B51,[1]!LFGEfficiencies,[1]Landfilling!S$977,FALSE)</f>
        <v>--</v>
      </c>
      <c r="U51" s="438" t="str">
        <f>VLOOKUP($B51,[1]!LFGEfficiencies,[1]Landfilling!T$977,FALSE)</f>
        <v>--</v>
      </c>
      <c r="V51" s="438" t="str">
        <f>VLOOKUP($B51,[1]!LFGEfficiencies,[1]Landfilling!U$977,FALSE)</f>
        <v>--</v>
      </c>
      <c r="W51" s="439" t="str">
        <f>VLOOKUP($B51,[1]!LFGEfficiencies,[1]Landfilling!V$977,FALSE)</f>
        <v>--</v>
      </c>
      <c r="X51" s="438"/>
    </row>
    <row r="52" spans="2:24" x14ac:dyDescent="0.25">
      <c r="B52" s="344" t="s">
        <v>444</v>
      </c>
      <c r="C52" s="625" t="str">
        <f t="shared" si="0"/>
        <v>Tires</v>
      </c>
      <c r="D52" s="438" t="str">
        <f>VLOOKUP($B52,[1]!LFGEfficiencies,[1]Landfilling!C$977,FALSE)</f>
        <v>--</v>
      </c>
      <c r="E52" s="438" t="str">
        <f>VLOOKUP($B52,[1]!LFGEfficiencies,[1]Landfilling!D$977,FALSE)</f>
        <v>--</v>
      </c>
      <c r="F52" s="438" t="str">
        <f>VLOOKUP($B52,[1]!LFGEfficiencies,[1]Landfilling!E$977,FALSE)</f>
        <v>--</v>
      </c>
      <c r="G52" s="438" t="str">
        <f>VLOOKUP($B52,[1]!LFGEfficiencies,[1]Landfilling!F$977,FALSE)</f>
        <v>--</v>
      </c>
      <c r="H52" s="439" t="str">
        <f>VLOOKUP($B52,[1]!LFGEfficiencies,[1]Landfilling!G$977,FALSE)</f>
        <v>--</v>
      </c>
      <c r="I52" s="438" t="str">
        <f>VLOOKUP($B52,[1]!LFGEfficiencies,[1]Landfilling!H$977,FALSE)</f>
        <v>--</v>
      </c>
      <c r="J52" s="438" t="str">
        <f>VLOOKUP($B52,[1]!LFGEfficiencies,[1]Landfilling!I$977,FALSE)</f>
        <v>--</v>
      </c>
      <c r="K52" s="438" t="str">
        <f>VLOOKUP($B52,[1]!LFGEfficiencies,[1]Landfilling!J$977,FALSE)</f>
        <v>--</v>
      </c>
      <c r="L52" s="438" t="str">
        <f>VLOOKUP($B52,[1]!LFGEfficiencies,[1]Landfilling!K$977,FALSE)</f>
        <v>--</v>
      </c>
      <c r="M52" s="439" t="str">
        <f>VLOOKUP($B52,[1]!LFGEfficiencies,[1]Landfilling!L$977,FALSE)</f>
        <v>--</v>
      </c>
      <c r="N52" s="438" t="str">
        <f>VLOOKUP($B52,[1]!LFGEfficiencies,[1]Landfilling!M$977,FALSE)</f>
        <v>--</v>
      </c>
      <c r="O52" s="438" t="str">
        <f>VLOOKUP($B52,[1]!LFGEfficiencies,[1]Landfilling!N$977,FALSE)</f>
        <v>--</v>
      </c>
      <c r="P52" s="438" t="str">
        <f>VLOOKUP($B52,[1]!LFGEfficiencies,[1]Landfilling!O$977,FALSE)</f>
        <v>--</v>
      </c>
      <c r="Q52" s="438" t="str">
        <f>VLOOKUP($B52,[1]!LFGEfficiencies,[1]Landfilling!P$977,FALSE)</f>
        <v>--</v>
      </c>
      <c r="R52" s="439" t="str">
        <f>VLOOKUP($B52,[1]!LFGEfficiencies,[1]Landfilling!Q$977,FALSE)</f>
        <v>--</v>
      </c>
      <c r="S52" s="438" t="str">
        <f>VLOOKUP($B52,[1]!LFGEfficiencies,[1]Landfilling!R$977,FALSE)</f>
        <v>--</v>
      </c>
      <c r="T52" s="438" t="str">
        <f>VLOOKUP($B52,[1]!LFGEfficiencies,[1]Landfilling!S$977,FALSE)</f>
        <v>--</v>
      </c>
      <c r="U52" s="438" t="str">
        <f>VLOOKUP($B52,[1]!LFGEfficiencies,[1]Landfilling!T$977,FALSE)</f>
        <v>--</v>
      </c>
      <c r="V52" s="438" t="str">
        <f>VLOOKUP($B52,[1]!LFGEfficiencies,[1]Landfilling!U$977,FALSE)</f>
        <v>--</v>
      </c>
      <c r="W52" s="439" t="str">
        <f>VLOOKUP($B52,[1]!LFGEfficiencies,[1]Landfilling!V$977,FALSE)</f>
        <v>--</v>
      </c>
      <c r="X52" s="438"/>
    </row>
    <row r="53" spans="2:24" x14ac:dyDescent="0.25">
      <c r="B53" s="344" t="s">
        <v>53</v>
      </c>
      <c r="C53" s="625" t="str">
        <f t="shared" si="0"/>
        <v>Asphalt Concrete</v>
      </c>
      <c r="D53" s="438" t="str">
        <f>VLOOKUP($B53,[1]!LFGEfficiencies,[1]Landfilling!C$977,FALSE)</f>
        <v>--</v>
      </c>
      <c r="E53" s="438" t="str">
        <f>VLOOKUP($B53,[1]!LFGEfficiencies,[1]Landfilling!D$977,FALSE)</f>
        <v>--</v>
      </c>
      <c r="F53" s="438" t="str">
        <f>VLOOKUP($B53,[1]!LFGEfficiencies,[1]Landfilling!E$977,FALSE)</f>
        <v>--</v>
      </c>
      <c r="G53" s="438" t="str">
        <f>VLOOKUP($B53,[1]!LFGEfficiencies,[1]Landfilling!F$977,FALSE)</f>
        <v>--</v>
      </c>
      <c r="H53" s="439" t="str">
        <f>VLOOKUP($B53,[1]!LFGEfficiencies,[1]Landfilling!G$977,FALSE)</f>
        <v>--</v>
      </c>
      <c r="I53" s="438" t="str">
        <f>VLOOKUP($B53,[1]!LFGEfficiencies,[1]Landfilling!H$977,FALSE)</f>
        <v>--</v>
      </c>
      <c r="J53" s="438" t="str">
        <f>VLOOKUP($B53,[1]!LFGEfficiencies,[1]Landfilling!I$977,FALSE)</f>
        <v>--</v>
      </c>
      <c r="K53" s="438" t="str">
        <f>VLOOKUP($B53,[1]!LFGEfficiencies,[1]Landfilling!J$977,FALSE)</f>
        <v>--</v>
      </c>
      <c r="L53" s="438" t="str">
        <f>VLOOKUP($B53,[1]!LFGEfficiencies,[1]Landfilling!K$977,FALSE)</f>
        <v>--</v>
      </c>
      <c r="M53" s="439" t="str">
        <f>VLOOKUP($B53,[1]!LFGEfficiencies,[1]Landfilling!L$977,FALSE)</f>
        <v>--</v>
      </c>
      <c r="N53" s="438" t="str">
        <f>VLOOKUP($B53,[1]!LFGEfficiencies,[1]Landfilling!M$977,FALSE)</f>
        <v>--</v>
      </c>
      <c r="O53" s="438" t="str">
        <f>VLOOKUP($B53,[1]!LFGEfficiencies,[1]Landfilling!N$977,FALSE)</f>
        <v>--</v>
      </c>
      <c r="P53" s="438" t="str">
        <f>VLOOKUP($B53,[1]!LFGEfficiencies,[1]Landfilling!O$977,FALSE)</f>
        <v>--</v>
      </c>
      <c r="Q53" s="438" t="str">
        <f>VLOOKUP($B53,[1]!LFGEfficiencies,[1]Landfilling!P$977,FALSE)</f>
        <v>--</v>
      </c>
      <c r="R53" s="439" t="str">
        <f>VLOOKUP($B53,[1]!LFGEfficiencies,[1]Landfilling!Q$977,FALSE)</f>
        <v>--</v>
      </c>
      <c r="S53" s="438" t="str">
        <f>VLOOKUP($B53,[1]!LFGEfficiencies,[1]Landfilling!R$977,FALSE)</f>
        <v>--</v>
      </c>
      <c r="T53" s="438" t="str">
        <f>VLOOKUP($B53,[1]!LFGEfficiencies,[1]Landfilling!S$977,FALSE)</f>
        <v>--</v>
      </c>
      <c r="U53" s="438" t="str">
        <f>VLOOKUP($B53,[1]!LFGEfficiencies,[1]Landfilling!T$977,FALSE)</f>
        <v>--</v>
      </c>
      <c r="V53" s="438" t="str">
        <f>VLOOKUP($B53,[1]!LFGEfficiencies,[1]Landfilling!U$977,FALSE)</f>
        <v>--</v>
      </c>
      <c r="W53" s="439" t="str">
        <f>VLOOKUP($B53,[1]!LFGEfficiencies,[1]Landfilling!V$977,FALSE)</f>
        <v>--</v>
      </c>
      <c r="X53" s="438"/>
    </row>
    <row r="54" spans="2:24" x14ac:dyDescent="0.25">
      <c r="B54" s="344" t="s">
        <v>54</v>
      </c>
      <c r="C54" s="625" t="str">
        <f t="shared" si="0"/>
        <v>Asphalt Shingles</v>
      </c>
      <c r="D54" s="438" t="str">
        <f>VLOOKUP($B54,[1]!LFGEfficiencies,[1]Landfilling!C$977,FALSE)</f>
        <v>--</v>
      </c>
      <c r="E54" s="438" t="str">
        <f>VLOOKUP($B54,[1]!LFGEfficiencies,[1]Landfilling!D$977,FALSE)</f>
        <v>--</v>
      </c>
      <c r="F54" s="438" t="str">
        <f>VLOOKUP($B54,[1]!LFGEfficiencies,[1]Landfilling!E$977,FALSE)</f>
        <v>--</v>
      </c>
      <c r="G54" s="438" t="str">
        <f>VLOOKUP($B54,[1]!LFGEfficiencies,[1]Landfilling!F$977,FALSE)</f>
        <v>--</v>
      </c>
      <c r="H54" s="439" t="str">
        <f>VLOOKUP($B54,[1]!LFGEfficiencies,[1]Landfilling!G$977,FALSE)</f>
        <v>--</v>
      </c>
      <c r="I54" s="438" t="str">
        <f>VLOOKUP($B54,[1]!LFGEfficiencies,[1]Landfilling!H$977,FALSE)</f>
        <v>--</v>
      </c>
      <c r="J54" s="438" t="str">
        <f>VLOOKUP($B54,[1]!LFGEfficiencies,[1]Landfilling!I$977,FALSE)</f>
        <v>--</v>
      </c>
      <c r="K54" s="438" t="str">
        <f>VLOOKUP($B54,[1]!LFGEfficiencies,[1]Landfilling!J$977,FALSE)</f>
        <v>--</v>
      </c>
      <c r="L54" s="438" t="str">
        <f>VLOOKUP($B54,[1]!LFGEfficiencies,[1]Landfilling!K$977,FALSE)</f>
        <v>--</v>
      </c>
      <c r="M54" s="439" t="str">
        <f>VLOOKUP($B54,[1]!LFGEfficiencies,[1]Landfilling!L$977,FALSE)</f>
        <v>--</v>
      </c>
      <c r="N54" s="438" t="str">
        <f>VLOOKUP($B54,[1]!LFGEfficiencies,[1]Landfilling!M$977,FALSE)</f>
        <v>--</v>
      </c>
      <c r="O54" s="438" t="str">
        <f>VLOOKUP($B54,[1]!LFGEfficiencies,[1]Landfilling!N$977,FALSE)</f>
        <v>--</v>
      </c>
      <c r="P54" s="438" t="str">
        <f>VLOOKUP($B54,[1]!LFGEfficiencies,[1]Landfilling!O$977,FALSE)</f>
        <v>--</v>
      </c>
      <c r="Q54" s="438" t="str">
        <f>VLOOKUP($B54,[1]!LFGEfficiencies,[1]Landfilling!P$977,FALSE)</f>
        <v>--</v>
      </c>
      <c r="R54" s="439" t="str">
        <f>VLOOKUP($B54,[1]!LFGEfficiencies,[1]Landfilling!Q$977,FALSE)</f>
        <v>--</v>
      </c>
      <c r="S54" s="438" t="str">
        <f>VLOOKUP($B54,[1]!LFGEfficiencies,[1]Landfilling!R$977,FALSE)</f>
        <v>--</v>
      </c>
      <c r="T54" s="438" t="str">
        <f>VLOOKUP($B54,[1]!LFGEfficiencies,[1]Landfilling!S$977,FALSE)</f>
        <v>--</v>
      </c>
      <c r="U54" s="438" t="str">
        <f>VLOOKUP($B54,[1]!LFGEfficiencies,[1]Landfilling!T$977,FALSE)</f>
        <v>--</v>
      </c>
      <c r="V54" s="438" t="str">
        <f>VLOOKUP($B54,[1]!LFGEfficiencies,[1]Landfilling!U$977,FALSE)</f>
        <v>--</v>
      </c>
      <c r="W54" s="439" t="str">
        <f>VLOOKUP($B54,[1]!LFGEfficiencies,[1]Landfilling!V$977,FALSE)</f>
        <v>--</v>
      </c>
      <c r="X54" s="438"/>
    </row>
    <row r="55" spans="2:24" x14ac:dyDescent="0.25">
      <c r="B55" s="344" t="s">
        <v>55</v>
      </c>
      <c r="C55" s="625" t="str">
        <f t="shared" si="0"/>
        <v>Drywall</v>
      </c>
      <c r="D55" s="438" t="str">
        <f>VLOOKUP($B55,[1]!LFGEfficiencies,[1]Landfilling!C$977,FALSE)</f>
        <v>--</v>
      </c>
      <c r="E55" s="438" t="str">
        <f>VLOOKUP($B55,[1]!LFGEfficiencies,[1]Landfilling!D$977,FALSE)</f>
        <v>--</v>
      </c>
      <c r="F55" s="438" t="str">
        <f>VLOOKUP($B55,[1]!LFGEfficiencies,[1]Landfilling!E$977,FALSE)</f>
        <v>--</v>
      </c>
      <c r="G55" s="438" t="str">
        <f>VLOOKUP($B55,[1]!LFGEfficiencies,[1]Landfilling!F$977,FALSE)</f>
        <v>--</v>
      </c>
      <c r="H55" s="439" t="str">
        <f>VLOOKUP($B55,[1]!LFGEfficiencies,[1]Landfilling!G$977,FALSE)</f>
        <v>--</v>
      </c>
      <c r="I55" s="438" t="str">
        <f>VLOOKUP($B55,[1]!LFGEfficiencies,[1]Landfilling!H$977,FALSE)</f>
        <v>--</v>
      </c>
      <c r="J55" s="438" t="str">
        <f>VLOOKUP($B55,[1]!LFGEfficiencies,[1]Landfilling!I$977,FALSE)</f>
        <v>--</v>
      </c>
      <c r="K55" s="438" t="str">
        <f>VLOOKUP($B55,[1]!LFGEfficiencies,[1]Landfilling!J$977,FALSE)</f>
        <v>--</v>
      </c>
      <c r="L55" s="438" t="str">
        <f>VLOOKUP($B55,[1]!LFGEfficiencies,[1]Landfilling!K$977,FALSE)</f>
        <v>--</v>
      </c>
      <c r="M55" s="439" t="str">
        <f>VLOOKUP($B55,[1]!LFGEfficiencies,[1]Landfilling!L$977,FALSE)</f>
        <v>--</v>
      </c>
      <c r="N55" s="438" t="str">
        <f>VLOOKUP($B55,[1]!LFGEfficiencies,[1]Landfilling!M$977,FALSE)</f>
        <v>--</v>
      </c>
      <c r="O55" s="438" t="str">
        <f>VLOOKUP($B55,[1]!LFGEfficiencies,[1]Landfilling!N$977,FALSE)</f>
        <v>--</v>
      </c>
      <c r="P55" s="438" t="str">
        <f>VLOOKUP($B55,[1]!LFGEfficiencies,[1]Landfilling!O$977,FALSE)</f>
        <v>--</v>
      </c>
      <c r="Q55" s="438" t="str">
        <f>VLOOKUP($B55,[1]!LFGEfficiencies,[1]Landfilling!P$977,FALSE)</f>
        <v>--</v>
      </c>
      <c r="R55" s="439" t="str">
        <f>VLOOKUP($B55,[1]!LFGEfficiencies,[1]Landfilling!Q$977,FALSE)</f>
        <v>--</v>
      </c>
      <c r="S55" s="438" t="str">
        <f>VLOOKUP($B55,[1]!LFGEfficiencies,[1]Landfilling!R$977,FALSE)</f>
        <v>--</v>
      </c>
      <c r="T55" s="438" t="str">
        <f>VLOOKUP($B55,[1]!LFGEfficiencies,[1]Landfilling!S$977,FALSE)</f>
        <v>--</v>
      </c>
      <c r="U55" s="438" t="str">
        <f>VLOOKUP($B55,[1]!LFGEfficiencies,[1]Landfilling!T$977,FALSE)</f>
        <v>--</v>
      </c>
      <c r="V55" s="438" t="str">
        <f>VLOOKUP($B55,[1]!LFGEfficiencies,[1]Landfilling!U$977,FALSE)</f>
        <v>--</v>
      </c>
      <c r="W55" s="439" t="str">
        <f>VLOOKUP($B55,[1]!LFGEfficiencies,[1]Landfilling!V$977,FALSE)</f>
        <v>--</v>
      </c>
      <c r="X55" s="438"/>
    </row>
    <row r="56" spans="2:24" x14ac:dyDescent="0.25">
      <c r="B56" s="344" t="s">
        <v>56</v>
      </c>
      <c r="C56" s="625" t="str">
        <f t="shared" si="0"/>
        <v>Fiberglass Insulation</v>
      </c>
      <c r="D56" s="438" t="str">
        <f>VLOOKUP($B56,[1]!LFGEfficiencies,[1]Landfilling!C$977,FALSE)</f>
        <v>--</v>
      </c>
      <c r="E56" s="438" t="str">
        <f>VLOOKUP($B56,[1]!LFGEfficiencies,[1]Landfilling!D$977,FALSE)</f>
        <v>--</v>
      </c>
      <c r="F56" s="438" t="str">
        <f>VLOOKUP($B56,[1]!LFGEfficiencies,[1]Landfilling!E$977,FALSE)</f>
        <v>--</v>
      </c>
      <c r="G56" s="438" t="str">
        <f>VLOOKUP($B56,[1]!LFGEfficiencies,[1]Landfilling!F$977,FALSE)</f>
        <v>--</v>
      </c>
      <c r="H56" s="439" t="str">
        <f>VLOOKUP($B56,[1]!LFGEfficiencies,[1]Landfilling!G$977,FALSE)</f>
        <v>--</v>
      </c>
      <c r="I56" s="438" t="str">
        <f>VLOOKUP($B56,[1]!LFGEfficiencies,[1]Landfilling!H$977,FALSE)</f>
        <v>--</v>
      </c>
      <c r="J56" s="438" t="str">
        <f>VLOOKUP($B56,[1]!LFGEfficiencies,[1]Landfilling!I$977,FALSE)</f>
        <v>--</v>
      </c>
      <c r="K56" s="438" t="str">
        <f>VLOOKUP($B56,[1]!LFGEfficiencies,[1]Landfilling!J$977,FALSE)</f>
        <v>--</v>
      </c>
      <c r="L56" s="438" t="str">
        <f>VLOOKUP($B56,[1]!LFGEfficiencies,[1]Landfilling!K$977,FALSE)</f>
        <v>--</v>
      </c>
      <c r="M56" s="439" t="str">
        <f>VLOOKUP($B56,[1]!LFGEfficiencies,[1]Landfilling!L$977,FALSE)</f>
        <v>--</v>
      </c>
      <c r="N56" s="438" t="str">
        <f>VLOOKUP($B56,[1]!LFGEfficiencies,[1]Landfilling!M$977,FALSE)</f>
        <v>--</v>
      </c>
      <c r="O56" s="438" t="str">
        <f>VLOOKUP($B56,[1]!LFGEfficiencies,[1]Landfilling!N$977,FALSE)</f>
        <v>--</v>
      </c>
      <c r="P56" s="438" t="str">
        <f>VLOOKUP($B56,[1]!LFGEfficiencies,[1]Landfilling!O$977,FALSE)</f>
        <v>--</v>
      </c>
      <c r="Q56" s="438" t="str">
        <f>VLOOKUP($B56,[1]!LFGEfficiencies,[1]Landfilling!P$977,FALSE)</f>
        <v>--</v>
      </c>
      <c r="R56" s="439" t="str">
        <f>VLOOKUP($B56,[1]!LFGEfficiencies,[1]Landfilling!Q$977,FALSE)</f>
        <v>--</v>
      </c>
      <c r="S56" s="438" t="str">
        <f>VLOOKUP($B56,[1]!LFGEfficiencies,[1]Landfilling!R$977,FALSE)</f>
        <v>--</v>
      </c>
      <c r="T56" s="438" t="str">
        <f>VLOOKUP($B56,[1]!LFGEfficiencies,[1]Landfilling!S$977,FALSE)</f>
        <v>--</v>
      </c>
      <c r="U56" s="438" t="str">
        <f>VLOOKUP($B56,[1]!LFGEfficiencies,[1]Landfilling!T$977,FALSE)</f>
        <v>--</v>
      </c>
      <c r="V56" s="438" t="str">
        <f>VLOOKUP($B56,[1]!LFGEfficiencies,[1]Landfilling!U$977,FALSE)</f>
        <v>--</v>
      </c>
      <c r="W56" s="439" t="str">
        <f>VLOOKUP($B56,[1]!LFGEfficiencies,[1]Landfilling!V$977,FALSE)</f>
        <v>--</v>
      </c>
      <c r="X56" s="438"/>
    </row>
    <row r="57" spans="2:24" x14ac:dyDescent="0.25">
      <c r="B57" s="344" t="s">
        <v>57</v>
      </c>
      <c r="C57" s="625" t="str">
        <f t="shared" si="0"/>
        <v>Vinyl Flooring</v>
      </c>
      <c r="D57" s="438" t="str">
        <f>VLOOKUP($B57,[1]!LFGEfficiencies,[1]Landfilling!C$977,FALSE)</f>
        <v>--</v>
      </c>
      <c r="E57" s="438" t="str">
        <f>VLOOKUP($B57,[1]!LFGEfficiencies,[1]Landfilling!D$977,FALSE)</f>
        <v>--</v>
      </c>
      <c r="F57" s="438" t="str">
        <f>VLOOKUP($B57,[1]!LFGEfficiencies,[1]Landfilling!E$977,FALSE)</f>
        <v>--</v>
      </c>
      <c r="G57" s="438" t="str">
        <f>VLOOKUP($B57,[1]!LFGEfficiencies,[1]Landfilling!F$977,FALSE)</f>
        <v>--</v>
      </c>
      <c r="H57" s="439" t="str">
        <f>VLOOKUP($B57,[1]!LFGEfficiencies,[1]Landfilling!G$977,FALSE)</f>
        <v>--</v>
      </c>
      <c r="I57" s="438" t="str">
        <f>VLOOKUP($B57,[1]!LFGEfficiencies,[1]Landfilling!H$977,FALSE)</f>
        <v>--</v>
      </c>
      <c r="J57" s="438" t="str">
        <f>VLOOKUP($B57,[1]!LFGEfficiencies,[1]Landfilling!I$977,FALSE)</f>
        <v>--</v>
      </c>
      <c r="K57" s="438" t="str">
        <f>VLOOKUP($B57,[1]!LFGEfficiencies,[1]Landfilling!J$977,FALSE)</f>
        <v>--</v>
      </c>
      <c r="L57" s="438" t="str">
        <f>VLOOKUP($B57,[1]!LFGEfficiencies,[1]Landfilling!K$977,FALSE)</f>
        <v>--</v>
      </c>
      <c r="M57" s="439" t="str">
        <f>VLOOKUP($B57,[1]!LFGEfficiencies,[1]Landfilling!L$977,FALSE)</f>
        <v>--</v>
      </c>
      <c r="N57" s="438" t="str">
        <f>VLOOKUP($B57,[1]!LFGEfficiencies,[1]Landfilling!M$977,FALSE)</f>
        <v>--</v>
      </c>
      <c r="O57" s="438" t="str">
        <f>VLOOKUP($B57,[1]!LFGEfficiencies,[1]Landfilling!N$977,FALSE)</f>
        <v>--</v>
      </c>
      <c r="P57" s="438" t="str">
        <f>VLOOKUP($B57,[1]!LFGEfficiencies,[1]Landfilling!O$977,FALSE)</f>
        <v>--</v>
      </c>
      <c r="Q57" s="438" t="str">
        <f>VLOOKUP($B57,[1]!LFGEfficiencies,[1]Landfilling!P$977,FALSE)</f>
        <v>--</v>
      </c>
      <c r="R57" s="439" t="str">
        <f>VLOOKUP($B57,[1]!LFGEfficiencies,[1]Landfilling!Q$977,FALSE)</f>
        <v>--</v>
      </c>
      <c r="S57" s="438" t="str">
        <f>VLOOKUP($B57,[1]!LFGEfficiencies,[1]Landfilling!R$977,FALSE)</f>
        <v>--</v>
      </c>
      <c r="T57" s="438" t="str">
        <f>VLOOKUP($B57,[1]!LFGEfficiencies,[1]Landfilling!S$977,FALSE)</f>
        <v>--</v>
      </c>
      <c r="U57" s="438" t="str">
        <f>VLOOKUP($B57,[1]!LFGEfficiencies,[1]Landfilling!T$977,FALSE)</f>
        <v>--</v>
      </c>
      <c r="V57" s="438" t="str">
        <f>VLOOKUP($B57,[1]!LFGEfficiencies,[1]Landfilling!U$977,FALSE)</f>
        <v>--</v>
      </c>
      <c r="W57" s="439" t="str">
        <f>VLOOKUP($B57,[1]!LFGEfficiencies,[1]Landfilling!V$977,FALSE)</f>
        <v>--</v>
      </c>
      <c r="X57" s="438"/>
    </row>
    <row r="58" spans="2:24" x14ac:dyDescent="0.25">
      <c r="B58" s="344" t="s">
        <v>58</v>
      </c>
      <c r="C58" s="625" t="str">
        <f t="shared" si="0"/>
        <v>Wood Flooring</v>
      </c>
      <c r="D58" s="438" t="str">
        <f>VLOOKUP($B58,[1]!LFGEfficiencies,[1]Landfilling!C$977,FALSE)</f>
        <v>--</v>
      </c>
      <c r="E58" s="438" t="str">
        <f>VLOOKUP($B58,[1]!LFGEfficiencies,[1]Landfilling!D$977,FALSE)</f>
        <v>--</v>
      </c>
      <c r="F58" s="438" t="str">
        <f>VLOOKUP($B58,[1]!LFGEfficiencies,[1]Landfilling!E$977,FALSE)</f>
        <v>--</v>
      </c>
      <c r="G58" s="438" t="str">
        <f>VLOOKUP($B58,[1]!LFGEfficiencies,[1]Landfilling!F$977,FALSE)</f>
        <v>--</v>
      </c>
      <c r="H58" s="439" t="str">
        <f>VLOOKUP($B58,[1]!LFGEfficiencies,[1]Landfilling!G$977,FALSE)</f>
        <v>--</v>
      </c>
      <c r="I58" s="438" t="str">
        <f>VLOOKUP($B58,[1]!LFGEfficiencies,[1]Landfilling!H$977,FALSE)</f>
        <v>--</v>
      </c>
      <c r="J58" s="438" t="str">
        <f>VLOOKUP($B58,[1]!LFGEfficiencies,[1]Landfilling!I$977,FALSE)</f>
        <v>--</v>
      </c>
      <c r="K58" s="438" t="str">
        <f>VLOOKUP($B58,[1]!LFGEfficiencies,[1]Landfilling!J$977,FALSE)</f>
        <v>--</v>
      </c>
      <c r="L58" s="438" t="str">
        <f>VLOOKUP($B58,[1]!LFGEfficiencies,[1]Landfilling!K$977,FALSE)</f>
        <v>--</v>
      </c>
      <c r="M58" s="439" t="str">
        <f>VLOOKUP($B58,[1]!LFGEfficiencies,[1]Landfilling!L$977,FALSE)</f>
        <v>--</v>
      </c>
      <c r="N58" s="438" t="str">
        <f>VLOOKUP($B58,[1]!LFGEfficiencies,[1]Landfilling!M$977,FALSE)</f>
        <v>--</v>
      </c>
      <c r="O58" s="438" t="str">
        <f>VLOOKUP($B58,[1]!LFGEfficiencies,[1]Landfilling!N$977,FALSE)</f>
        <v>--</v>
      </c>
      <c r="P58" s="438" t="str">
        <f>VLOOKUP($B58,[1]!LFGEfficiencies,[1]Landfilling!O$977,FALSE)</f>
        <v>--</v>
      </c>
      <c r="Q58" s="438" t="str">
        <f>VLOOKUP($B58,[1]!LFGEfficiencies,[1]Landfilling!P$977,FALSE)</f>
        <v>--</v>
      </c>
      <c r="R58" s="439" t="str">
        <f>VLOOKUP($B58,[1]!LFGEfficiencies,[1]Landfilling!Q$977,FALSE)</f>
        <v>--</v>
      </c>
      <c r="S58" s="438" t="str">
        <f>VLOOKUP($B58,[1]!LFGEfficiencies,[1]Landfilling!R$977,FALSE)</f>
        <v>--</v>
      </c>
      <c r="T58" s="438" t="str">
        <f>VLOOKUP($B58,[1]!LFGEfficiencies,[1]Landfilling!S$977,FALSE)</f>
        <v>--</v>
      </c>
      <c r="U58" s="438" t="str">
        <f>VLOOKUP($B58,[1]!LFGEfficiencies,[1]Landfilling!T$977,FALSE)</f>
        <v>--</v>
      </c>
      <c r="V58" s="438" t="str">
        <f>VLOOKUP($B58,[1]!LFGEfficiencies,[1]Landfilling!U$977,FALSE)</f>
        <v>--</v>
      </c>
      <c r="W58" s="439" t="str">
        <f>VLOOKUP($B58,[1]!LFGEfficiencies,[1]Landfilling!V$977,FALSE)</f>
        <v>--</v>
      </c>
      <c r="X58" s="438"/>
    </row>
    <row r="59" spans="2:24" x14ac:dyDescent="0.25">
      <c r="B59" s="344" t="s">
        <v>84</v>
      </c>
      <c r="C59" s="625" t="str">
        <f t="shared" si="0"/>
        <v>Aluminum Ingot</v>
      </c>
      <c r="D59" s="438" t="str">
        <f>VLOOKUP($B59,[1]!LFGEfficiencies,[1]Landfilling!C$977,FALSE)</f>
        <v>--</v>
      </c>
      <c r="E59" s="438" t="str">
        <f>VLOOKUP($B59,[1]!LFGEfficiencies,[1]Landfilling!D$977,FALSE)</f>
        <v>--</v>
      </c>
      <c r="F59" s="438" t="str">
        <f>VLOOKUP($B59,[1]!LFGEfficiencies,[1]Landfilling!E$977,FALSE)</f>
        <v>--</v>
      </c>
      <c r="G59" s="438" t="str">
        <f>VLOOKUP($B59,[1]!LFGEfficiencies,[1]Landfilling!F$977,FALSE)</f>
        <v>--</v>
      </c>
      <c r="H59" s="439" t="str">
        <f>VLOOKUP($B59,[1]!LFGEfficiencies,[1]Landfilling!G$977,FALSE)</f>
        <v>--</v>
      </c>
      <c r="I59" s="438" t="str">
        <f>VLOOKUP($B59,[1]!LFGEfficiencies,[1]Landfilling!H$977,FALSE)</f>
        <v>--</v>
      </c>
      <c r="J59" s="438" t="str">
        <f>VLOOKUP($B59,[1]!LFGEfficiencies,[1]Landfilling!I$977,FALSE)</f>
        <v>--</v>
      </c>
      <c r="K59" s="438" t="str">
        <f>VLOOKUP($B59,[1]!LFGEfficiencies,[1]Landfilling!J$977,FALSE)</f>
        <v>--</v>
      </c>
      <c r="L59" s="438" t="str">
        <f>VLOOKUP($B59,[1]!LFGEfficiencies,[1]Landfilling!K$977,FALSE)</f>
        <v>--</v>
      </c>
      <c r="M59" s="439" t="str">
        <f>VLOOKUP($B59,[1]!LFGEfficiencies,[1]Landfilling!L$977,FALSE)</f>
        <v>--</v>
      </c>
      <c r="N59" s="438" t="str">
        <f>VLOOKUP($B59,[1]!LFGEfficiencies,[1]Landfilling!M$977,FALSE)</f>
        <v>--</v>
      </c>
      <c r="O59" s="438" t="str">
        <f>VLOOKUP($B59,[1]!LFGEfficiencies,[1]Landfilling!N$977,FALSE)</f>
        <v>--</v>
      </c>
      <c r="P59" s="438" t="str">
        <f>VLOOKUP($B59,[1]!LFGEfficiencies,[1]Landfilling!O$977,FALSE)</f>
        <v>--</v>
      </c>
      <c r="Q59" s="438" t="str">
        <f>VLOOKUP($B59,[1]!LFGEfficiencies,[1]Landfilling!P$977,FALSE)</f>
        <v>--</v>
      </c>
      <c r="R59" s="439" t="str">
        <f>VLOOKUP($B59,[1]!LFGEfficiencies,[1]Landfilling!Q$977,FALSE)</f>
        <v>--</v>
      </c>
      <c r="S59" s="438" t="str">
        <f>VLOOKUP($B59,[1]!LFGEfficiencies,[1]Landfilling!R$977,FALSE)</f>
        <v>--</v>
      </c>
      <c r="T59" s="438" t="str">
        <f>VLOOKUP($B59,[1]!LFGEfficiencies,[1]Landfilling!S$977,FALSE)</f>
        <v>--</v>
      </c>
      <c r="U59" s="438" t="str">
        <f>VLOOKUP($B59,[1]!LFGEfficiencies,[1]Landfilling!T$977,FALSE)</f>
        <v>--</v>
      </c>
      <c r="V59" s="438" t="str">
        <f>VLOOKUP($B59,[1]!LFGEfficiencies,[1]Landfilling!U$977,FALSE)</f>
        <v>--</v>
      </c>
      <c r="W59" s="439" t="str">
        <f>VLOOKUP($B59,[1]!LFGEfficiencies,[1]Landfilling!V$977,FALSE)</f>
        <v>--</v>
      </c>
      <c r="X59" s="438"/>
    </row>
    <row r="60" spans="2:24" x14ac:dyDescent="0.25">
      <c r="B60" s="344" t="s">
        <v>85</v>
      </c>
      <c r="C60" s="625" t="str">
        <f t="shared" si="0"/>
        <v>PLA</v>
      </c>
      <c r="D60" s="438" t="str">
        <f>VLOOKUP($B60,[1]!LFGEfficiencies,[1]Landfilling!C$977,FALSE)</f>
        <v>--</v>
      </c>
      <c r="E60" s="438" t="str">
        <f>VLOOKUP($B60,[1]!LFGEfficiencies,[1]Landfilling!D$977,FALSE)</f>
        <v>--</v>
      </c>
      <c r="F60" s="438" t="str">
        <f>VLOOKUP($B60,[1]!LFGEfficiencies,[1]Landfilling!E$977,FALSE)</f>
        <v>--</v>
      </c>
      <c r="G60" s="438" t="str">
        <f>VLOOKUP($B60,[1]!LFGEfficiencies,[1]Landfilling!F$977,FALSE)</f>
        <v>--</v>
      </c>
      <c r="H60" s="439" t="str">
        <f>VLOOKUP($B60,[1]!LFGEfficiencies,[1]Landfilling!G$977,FALSE)</f>
        <v>--</v>
      </c>
      <c r="I60" s="438" t="str">
        <f>VLOOKUP($B60,[1]!LFGEfficiencies,[1]Landfilling!H$977,FALSE)</f>
        <v>--</v>
      </c>
      <c r="J60" s="438" t="str">
        <f>VLOOKUP($B60,[1]!LFGEfficiencies,[1]Landfilling!I$977,FALSE)</f>
        <v>--</v>
      </c>
      <c r="K60" s="438" t="str">
        <f>VLOOKUP($B60,[1]!LFGEfficiencies,[1]Landfilling!J$977,FALSE)</f>
        <v>--</v>
      </c>
      <c r="L60" s="438" t="str">
        <f>VLOOKUP($B60,[1]!LFGEfficiencies,[1]Landfilling!K$977,FALSE)</f>
        <v>--</v>
      </c>
      <c r="M60" s="439" t="str">
        <f>VLOOKUP($B60,[1]!LFGEfficiencies,[1]Landfilling!L$977,FALSE)</f>
        <v>--</v>
      </c>
      <c r="N60" s="438" t="str">
        <f>VLOOKUP($B60,[1]!LFGEfficiencies,[1]Landfilling!M$977,FALSE)</f>
        <v>--</v>
      </c>
      <c r="O60" s="438" t="str">
        <f>VLOOKUP($B60,[1]!LFGEfficiencies,[1]Landfilling!N$977,FALSE)</f>
        <v>--</v>
      </c>
      <c r="P60" s="438" t="str">
        <f>VLOOKUP($B60,[1]!LFGEfficiencies,[1]Landfilling!O$977,FALSE)</f>
        <v>--</v>
      </c>
      <c r="Q60" s="438" t="str">
        <f>VLOOKUP($B60,[1]!LFGEfficiencies,[1]Landfilling!P$977,FALSE)</f>
        <v>--</v>
      </c>
      <c r="R60" s="439" t="str">
        <f>VLOOKUP($B60,[1]!LFGEfficiencies,[1]Landfilling!Q$977,FALSE)</f>
        <v>--</v>
      </c>
      <c r="S60" s="438" t="str">
        <f>VLOOKUP($B60,[1]!LFGEfficiencies,[1]Landfilling!R$977,FALSE)</f>
        <v>--</v>
      </c>
      <c r="T60" s="438" t="str">
        <f>VLOOKUP($B60,[1]!LFGEfficiencies,[1]Landfilling!S$977,FALSE)</f>
        <v>--</v>
      </c>
      <c r="U60" s="438" t="str">
        <f>VLOOKUP($B60,[1]!LFGEfficiencies,[1]Landfilling!T$977,FALSE)</f>
        <v>--</v>
      </c>
      <c r="V60" s="438" t="str">
        <f>VLOOKUP($B60,[1]!LFGEfficiencies,[1]Landfilling!U$977,FALSE)</f>
        <v>--</v>
      </c>
      <c r="W60" s="439" t="str">
        <f>VLOOKUP($B60,[1]!LFGEfficiencies,[1]Landfilling!V$977,FALSE)</f>
        <v>--</v>
      </c>
      <c r="X60" s="438"/>
    </row>
    <row r="61" spans="2:24" x14ac:dyDescent="0.25">
      <c r="B61" s="344" t="s">
        <v>86</v>
      </c>
      <c r="C61" s="625" t="str">
        <f t="shared" si="0"/>
        <v>LLDPE</v>
      </c>
      <c r="D61" s="438" t="str">
        <f>VLOOKUP($B61,[1]!LFGEfficiencies,[1]Landfilling!C$977,FALSE)</f>
        <v>--</v>
      </c>
      <c r="E61" s="438" t="str">
        <f>VLOOKUP($B61,[1]!LFGEfficiencies,[1]Landfilling!D$977,FALSE)</f>
        <v>--</v>
      </c>
      <c r="F61" s="438" t="str">
        <f>VLOOKUP($B61,[1]!LFGEfficiencies,[1]Landfilling!E$977,FALSE)</f>
        <v>--</v>
      </c>
      <c r="G61" s="438" t="str">
        <f>VLOOKUP($B61,[1]!LFGEfficiencies,[1]Landfilling!F$977,FALSE)</f>
        <v>--</v>
      </c>
      <c r="H61" s="439" t="str">
        <f>VLOOKUP($B61,[1]!LFGEfficiencies,[1]Landfilling!G$977,FALSE)</f>
        <v>--</v>
      </c>
      <c r="I61" s="438" t="str">
        <f>VLOOKUP($B61,[1]!LFGEfficiencies,[1]Landfilling!H$977,FALSE)</f>
        <v>--</v>
      </c>
      <c r="J61" s="438" t="str">
        <f>VLOOKUP($B61,[1]!LFGEfficiencies,[1]Landfilling!I$977,FALSE)</f>
        <v>--</v>
      </c>
      <c r="K61" s="438" t="str">
        <f>VLOOKUP($B61,[1]!LFGEfficiencies,[1]Landfilling!J$977,FALSE)</f>
        <v>--</v>
      </c>
      <c r="L61" s="438" t="str">
        <f>VLOOKUP($B61,[1]!LFGEfficiencies,[1]Landfilling!K$977,FALSE)</f>
        <v>--</v>
      </c>
      <c r="M61" s="439" t="str">
        <f>VLOOKUP($B61,[1]!LFGEfficiencies,[1]Landfilling!L$977,FALSE)</f>
        <v>--</v>
      </c>
      <c r="N61" s="438" t="str">
        <f>VLOOKUP($B61,[1]!LFGEfficiencies,[1]Landfilling!M$977,FALSE)</f>
        <v>--</v>
      </c>
      <c r="O61" s="438" t="str">
        <f>VLOOKUP($B61,[1]!LFGEfficiencies,[1]Landfilling!N$977,FALSE)</f>
        <v>--</v>
      </c>
      <c r="P61" s="438" t="str">
        <f>VLOOKUP($B61,[1]!LFGEfficiencies,[1]Landfilling!O$977,FALSE)</f>
        <v>--</v>
      </c>
      <c r="Q61" s="438" t="str">
        <f>VLOOKUP($B61,[1]!LFGEfficiencies,[1]Landfilling!P$977,FALSE)</f>
        <v>--</v>
      </c>
      <c r="R61" s="439" t="str">
        <f>VLOOKUP($B61,[1]!LFGEfficiencies,[1]Landfilling!Q$977,FALSE)</f>
        <v>--</v>
      </c>
      <c r="S61" s="438" t="str">
        <f>VLOOKUP($B61,[1]!LFGEfficiencies,[1]Landfilling!R$977,FALSE)</f>
        <v>--</v>
      </c>
      <c r="T61" s="438" t="str">
        <f>VLOOKUP($B61,[1]!LFGEfficiencies,[1]Landfilling!S$977,FALSE)</f>
        <v>--</v>
      </c>
      <c r="U61" s="438" t="str">
        <f>VLOOKUP($B61,[1]!LFGEfficiencies,[1]Landfilling!T$977,FALSE)</f>
        <v>--</v>
      </c>
      <c r="V61" s="438" t="str">
        <f>VLOOKUP($B61,[1]!LFGEfficiencies,[1]Landfilling!U$977,FALSE)</f>
        <v>--</v>
      </c>
      <c r="W61" s="439" t="str">
        <f>VLOOKUP($B61,[1]!LFGEfficiencies,[1]Landfilling!V$977,FALSE)</f>
        <v>--</v>
      </c>
      <c r="X61" s="438"/>
    </row>
    <row r="62" spans="2:24" x14ac:dyDescent="0.25">
      <c r="B62" s="344" t="s">
        <v>87</v>
      </c>
      <c r="C62" s="625" t="str">
        <f t="shared" si="0"/>
        <v>PP</v>
      </c>
      <c r="D62" s="438" t="str">
        <f>VLOOKUP($B62,[1]!LFGEfficiencies,[1]Landfilling!C$977,FALSE)</f>
        <v>--</v>
      </c>
      <c r="E62" s="438" t="str">
        <f>VLOOKUP($B62,[1]!LFGEfficiencies,[1]Landfilling!D$977,FALSE)</f>
        <v>--</v>
      </c>
      <c r="F62" s="438" t="str">
        <f>VLOOKUP($B62,[1]!LFGEfficiencies,[1]Landfilling!E$977,FALSE)</f>
        <v>--</v>
      </c>
      <c r="G62" s="438" t="str">
        <f>VLOOKUP($B62,[1]!LFGEfficiencies,[1]Landfilling!F$977,FALSE)</f>
        <v>--</v>
      </c>
      <c r="H62" s="439" t="str">
        <f>VLOOKUP($B62,[1]!LFGEfficiencies,[1]Landfilling!G$977,FALSE)</f>
        <v>--</v>
      </c>
      <c r="I62" s="438" t="str">
        <f>VLOOKUP($B62,[1]!LFGEfficiencies,[1]Landfilling!H$977,FALSE)</f>
        <v>--</v>
      </c>
      <c r="J62" s="438" t="str">
        <f>VLOOKUP($B62,[1]!LFGEfficiencies,[1]Landfilling!I$977,FALSE)</f>
        <v>--</v>
      </c>
      <c r="K62" s="438" t="str">
        <f>VLOOKUP($B62,[1]!LFGEfficiencies,[1]Landfilling!J$977,FALSE)</f>
        <v>--</v>
      </c>
      <c r="L62" s="438" t="str">
        <f>VLOOKUP($B62,[1]!LFGEfficiencies,[1]Landfilling!K$977,FALSE)</f>
        <v>--</v>
      </c>
      <c r="M62" s="439" t="str">
        <f>VLOOKUP($B62,[1]!LFGEfficiencies,[1]Landfilling!L$977,FALSE)</f>
        <v>--</v>
      </c>
      <c r="N62" s="438" t="str">
        <f>VLOOKUP($B62,[1]!LFGEfficiencies,[1]Landfilling!M$977,FALSE)</f>
        <v>--</v>
      </c>
      <c r="O62" s="438" t="str">
        <f>VLOOKUP($B62,[1]!LFGEfficiencies,[1]Landfilling!N$977,FALSE)</f>
        <v>--</v>
      </c>
      <c r="P62" s="438" t="str">
        <f>VLOOKUP($B62,[1]!LFGEfficiencies,[1]Landfilling!O$977,FALSE)</f>
        <v>--</v>
      </c>
      <c r="Q62" s="438" t="str">
        <f>VLOOKUP($B62,[1]!LFGEfficiencies,[1]Landfilling!P$977,FALSE)</f>
        <v>--</v>
      </c>
      <c r="R62" s="439" t="str">
        <f>VLOOKUP($B62,[1]!LFGEfficiencies,[1]Landfilling!Q$977,FALSE)</f>
        <v>--</v>
      </c>
      <c r="S62" s="438" t="str">
        <f>VLOOKUP($B62,[1]!LFGEfficiencies,[1]Landfilling!R$977,FALSE)</f>
        <v>--</v>
      </c>
      <c r="T62" s="438" t="str">
        <f>VLOOKUP($B62,[1]!LFGEfficiencies,[1]Landfilling!S$977,FALSE)</f>
        <v>--</v>
      </c>
      <c r="U62" s="438" t="str">
        <f>VLOOKUP($B62,[1]!LFGEfficiencies,[1]Landfilling!T$977,FALSE)</f>
        <v>--</v>
      </c>
      <c r="V62" s="438" t="str">
        <f>VLOOKUP($B62,[1]!LFGEfficiencies,[1]Landfilling!U$977,FALSE)</f>
        <v>--</v>
      </c>
      <c r="W62" s="439" t="str">
        <f>VLOOKUP($B62,[1]!LFGEfficiencies,[1]Landfilling!V$977,FALSE)</f>
        <v>--</v>
      </c>
      <c r="X62" s="438"/>
    </row>
    <row r="63" spans="2:24" x14ac:dyDescent="0.25">
      <c r="B63" s="344" t="s">
        <v>88</v>
      </c>
      <c r="C63" s="625" t="str">
        <f t="shared" si="0"/>
        <v>PS</v>
      </c>
      <c r="D63" s="438" t="str">
        <f>VLOOKUP($B63,[1]!LFGEfficiencies,[1]Landfilling!C$977,FALSE)</f>
        <v>--</v>
      </c>
      <c r="E63" s="438" t="str">
        <f>VLOOKUP($B63,[1]!LFGEfficiencies,[1]Landfilling!D$977,FALSE)</f>
        <v>--</v>
      </c>
      <c r="F63" s="438" t="str">
        <f>VLOOKUP($B63,[1]!LFGEfficiencies,[1]Landfilling!E$977,FALSE)</f>
        <v>--</v>
      </c>
      <c r="G63" s="438" t="str">
        <f>VLOOKUP($B63,[1]!LFGEfficiencies,[1]Landfilling!F$977,FALSE)</f>
        <v>--</v>
      </c>
      <c r="H63" s="439" t="str">
        <f>VLOOKUP($B63,[1]!LFGEfficiencies,[1]Landfilling!G$977,FALSE)</f>
        <v>--</v>
      </c>
      <c r="I63" s="438" t="str">
        <f>VLOOKUP($B63,[1]!LFGEfficiencies,[1]Landfilling!H$977,FALSE)</f>
        <v>--</v>
      </c>
      <c r="J63" s="438" t="str">
        <f>VLOOKUP($B63,[1]!LFGEfficiencies,[1]Landfilling!I$977,FALSE)</f>
        <v>--</v>
      </c>
      <c r="K63" s="438" t="str">
        <f>VLOOKUP($B63,[1]!LFGEfficiencies,[1]Landfilling!J$977,FALSE)</f>
        <v>--</v>
      </c>
      <c r="L63" s="438" t="str">
        <f>VLOOKUP($B63,[1]!LFGEfficiencies,[1]Landfilling!K$977,FALSE)</f>
        <v>--</v>
      </c>
      <c r="M63" s="439" t="str">
        <f>VLOOKUP($B63,[1]!LFGEfficiencies,[1]Landfilling!L$977,FALSE)</f>
        <v>--</v>
      </c>
      <c r="N63" s="438" t="str">
        <f>VLOOKUP($B63,[1]!LFGEfficiencies,[1]Landfilling!M$977,FALSE)</f>
        <v>--</v>
      </c>
      <c r="O63" s="438" t="str">
        <f>VLOOKUP($B63,[1]!LFGEfficiencies,[1]Landfilling!N$977,FALSE)</f>
        <v>--</v>
      </c>
      <c r="P63" s="438" t="str">
        <f>VLOOKUP($B63,[1]!LFGEfficiencies,[1]Landfilling!O$977,FALSE)</f>
        <v>--</v>
      </c>
      <c r="Q63" s="438" t="str">
        <f>VLOOKUP($B63,[1]!LFGEfficiencies,[1]Landfilling!P$977,FALSE)</f>
        <v>--</v>
      </c>
      <c r="R63" s="439" t="str">
        <f>VLOOKUP($B63,[1]!LFGEfficiencies,[1]Landfilling!Q$977,FALSE)</f>
        <v>--</v>
      </c>
      <c r="S63" s="438" t="str">
        <f>VLOOKUP($B63,[1]!LFGEfficiencies,[1]Landfilling!R$977,FALSE)</f>
        <v>--</v>
      </c>
      <c r="T63" s="438" t="str">
        <f>VLOOKUP($B63,[1]!LFGEfficiencies,[1]Landfilling!S$977,FALSE)</f>
        <v>--</v>
      </c>
      <c r="U63" s="438" t="str">
        <f>VLOOKUP($B63,[1]!LFGEfficiencies,[1]Landfilling!T$977,FALSE)</f>
        <v>--</v>
      </c>
      <c r="V63" s="438" t="str">
        <f>VLOOKUP($B63,[1]!LFGEfficiencies,[1]Landfilling!U$977,FALSE)</f>
        <v>--</v>
      </c>
      <c r="W63" s="439" t="str">
        <f>VLOOKUP($B63,[1]!LFGEfficiencies,[1]Landfilling!V$977,FALSE)</f>
        <v>--</v>
      </c>
      <c r="X63" s="438"/>
    </row>
    <row r="64" spans="2:24" ht="13" thickBot="1" x14ac:dyDescent="0.3">
      <c r="B64" s="464" t="s">
        <v>89</v>
      </c>
      <c r="C64" s="626" t="str">
        <f t="shared" si="0"/>
        <v>PVC</v>
      </c>
      <c r="D64" s="440" t="str">
        <f>VLOOKUP($B64,[1]!LFGEfficiencies,[1]Landfilling!C$977,FALSE)</f>
        <v>--</v>
      </c>
      <c r="E64" s="440" t="str">
        <f>VLOOKUP($B64,[1]!LFGEfficiencies,[1]Landfilling!D$977,FALSE)</f>
        <v>--</v>
      </c>
      <c r="F64" s="440" t="str">
        <f>VLOOKUP($B64,[1]!LFGEfficiencies,[1]Landfilling!E$977,FALSE)</f>
        <v>--</v>
      </c>
      <c r="G64" s="440" t="str">
        <f>VLOOKUP($B64,[1]!LFGEfficiencies,[1]Landfilling!F$977,FALSE)</f>
        <v>--</v>
      </c>
      <c r="H64" s="441" t="str">
        <f>VLOOKUP($B64,[1]!LFGEfficiencies,[1]Landfilling!G$977,FALSE)</f>
        <v>--</v>
      </c>
      <c r="I64" s="440" t="str">
        <f>VLOOKUP($B64,[1]!LFGEfficiencies,[1]Landfilling!H$977,FALSE)</f>
        <v>--</v>
      </c>
      <c r="J64" s="440" t="str">
        <f>VLOOKUP($B64,[1]!LFGEfficiencies,[1]Landfilling!I$977,FALSE)</f>
        <v>--</v>
      </c>
      <c r="K64" s="440" t="str">
        <f>VLOOKUP($B64,[1]!LFGEfficiencies,[1]Landfilling!J$977,FALSE)</f>
        <v>--</v>
      </c>
      <c r="L64" s="440" t="str">
        <f>VLOOKUP($B64,[1]!LFGEfficiencies,[1]Landfilling!K$977,FALSE)</f>
        <v>--</v>
      </c>
      <c r="M64" s="441" t="str">
        <f>VLOOKUP($B64,[1]!LFGEfficiencies,[1]Landfilling!L$977,FALSE)</f>
        <v>--</v>
      </c>
      <c r="N64" s="440" t="str">
        <f>VLOOKUP($B64,[1]!LFGEfficiencies,[1]Landfilling!M$977,FALSE)</f>
        <v>--</v>
      </c>
      <c r="O64" s="440" t="str">
        <f>VLOOKUP($B64,[1]!LFGEfficiencies,[1]Landfilling!N$977,FALSE)</f>
        <v>--</v>
      </c>
      <c r="P64" s="440" t="str">
        <f>VLOOKUP($B64,[1]!LFGEfficiencies,[1]Landfilling!O$977,FALSE)</f>
        <v>--</v>
      </c>
      <c r="Q64" s="440" t="str">
        <f>VLOOKUP($B64,[1]!LFGEfficiencies,[1]Landfilling!P$977,FALSE)</f>
        <v>--</v>
      </c>
      <c r="R64" s="441" t="str">
        <f>VLOOKUP($B64,[1]!LFGEfficiencies,[1]Landfilling!Q$977,FALSE)</f>
        <v>--</v>
      </c>
      <c r="S64" s="440" t="str">
        <f>VLOOKUP($B64,[1]!LFGEfficiencies,[1]Landfilling!R$977,FALSE)</f>
        <v>--</v>
      </c>
      <c r="T64" s="440" t="str">
        <f>VLOOKUP($B64,[1]!LFGEfficiencies,[1]Landfilling!S$977,FALSE)</f>
        <v>--</v>
      </c>
      <c r="U64" s="440" t="str">
        <f>VLOOKUP($B64,[1]!LFGEfficiencies,[1]Landfilling!T$977,FALSE)</f>
        <v>--</v>
      </c>
      <c r="V64" s="440" t="str">
        <f>VLOOKUP($B64,[1]!LFGEfficiencies,[1]Landfilling!U$977,FALSE)</f>
        <v>--</v>
      </c>
      <c r="W64" s="441" t="str">
        <f>VLOOKUP($B64,[1]!LFGEfficiencies,[1]Landfilling!V$977,FALSE)</f>
        <v>--</v>
      </c>
      <c r="X64" s="438"/>
    </row>
  </sheetData>
  <sheetProtection password="CDE6" sheet="1" selectLockedCells="1" selectUnlockedCells="1"/>
  <mergeCells count="9">
    <mergeCell ref="D7:W7"/>
    <mergeCell ref="D8:H8"/>
    <mergeCell ref="D9:H9"/>
    <mergeCell ref="I9:M9"/>
    <mergeCell ref="N9:R9"/>
    <mergeCell ref="S9:W9"/>
    <mergeCell ref="I8:M8"/>
    <mergeCell ref="N8:R8"/>
    <mergeCell ref="S8:W8"/>
  </mergeCells>
  <phoneticPr fontId="45" type="noConversion"/>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GW70"/>
  <sheetViews>
    <sheetView tabSelected="1" topLeftCell="A7" zoomScale="85" zoomScaleNormal="85" workbookViewId="0">
      <pane xSplit="1" topLeftCell="AY1" activePane="topRight" state="frozen"/>
      <selection activeCell="A7" sqref="A7"/>
      <selection pane="topRight" activeCell="BC19" sqref="BC19"/>
    </sheetView>
  </sheetViews>
  <sheetFormatPr defaultColWidth="9.1796875" defaultRowHeight="12.5" x14ac:dyDescent="0.25"/>
  <cols>
    <col min="1" max="1" width="30.81640625" style="486" bestFit="1" customWidth="1"/>
    <col min="2" max="2" width="31.81640625" style="486" customWidth="1"/>
    <col min="3" max="3" width="20.26953125" style="486" customWidth="1"/>
    <col min="4" max="4" width="10.81640625" style="486" bestFit="1" customWidth="1"/>
    <col min="5" max="5" width="12.81640625" style="486" bestFit="1" customWidth="1"/>
    <col min="6" max="6" width="13.7265625" style="486" customWidth="1"/>
    <col min="7" max="7" width="14.81640625" style="486" customWidth="1"/>
    <col min="8" max="8" width="15.453125" style="486" bestFit="1" customWidth="1"/>
    <col min="9" max="9" width="11" style="486" customWidth="1"/>
    <col min="10" max="13" width="9.1796875" style="486"/>
    <col min="14" max="14" width="10.81640625" style="486" bestFit="1" customWidth="1"/>
    <col min="15" max="63" width="9.1796875" style="486"/>
    <col min="64" max="73" width="9.1796875" style="847"/>
    <col min="74" max="16384" width="9.1796875" style="486"/>
  </cols>
  <sheetData>
    <row r="2" spans="1:205" ht="52" x14ac:dyDescent="0.3">
      <c r="B2" s="446" t="s">
        <v>650</v>
      </c>
      <c r="C2" s="447" t="s">
        <v>345</v>
      </c>
      <c r="D2" s="447" t="s">
        <v>660</v>
      </c>
      <c r="E2" s="447" t="s">
        <v>661</v>
      </c>
      <c r="F2" s="447" t="s">
        <v>664</v>
      </c>
      <c r="G2" s="447" t="s">
        <v>662</v>
      </c>
      <c r="H2" s="447" t="s">
        <v>663</v>
      </c>
      <c r="I2" s="487"/>
      <c r="J2" s="487"/>
    </row>
    <row r="3" spans="1:205" x14ac:dyDescent="0.25">
      <c r="B3" s="488" t="s">
        <v>651</v>
      </c>
      <c r="C3" s="489">
        <v>1</v>
      </c>
      <c r="D3" s="489">
        <v>1</v>
      </c>
      <c r="E3" s="489">
        <f>CHOOSE('Analysis Inputs'!$N$118,$B$8,$CZ$8,$BA$8,$EY$8)</f>
        <v>52</v>
      </c>
      <c r="F3" s="489">
        <f>CHOOSE('Analysis Inputs'!$N$118,$B$8,$CZ$8,$BA$8,$EY$8)</f>
        <v>52</v>
      </c>
      <c r="G3" s="489">
        <f>CHOOSE('Analysis Inputs'!$N$118,$B$8,$CZ$8,$BA$8,$EY$8)</f>
        <v>52</v>
      </c>
      <c r="H3" s="489">
        <f>CHOOSE('Analysis Inputs'!$N$118,$B$8,$CZ$8,$BA$8,$EY$8)</f>
        <v>52</v>
      </c>
    </row>
    <row r="4" spans="1:205" x14ac:dyDescent="0.25">
      <c r="B4" s="488" t="s">
        <v>652</v>
      </c>
      <c r="C4" s="489">
        <f>CHOOSE('Analysis Inputs'!$N$131,$L$9,$V$9,$AF$9,$AP$9,$AZ$9)</f>
        <v>20</v>
      </c>
      <c r="D4" s="489">
        <f>CHOOSE('Analysis Inputs'!$N$131,$I$9,$S$9,$AC$9,$AM$9,$AW$9)</f>
        <v>17</v>
      </c>
      <c r="E4" s="489">
        <f>CHOOSE('Analysis Inputs'!$N$131,$I$8,$S$8,$AC$8,$AM$8,$AW$8)</f>
        <v>18</v>
      </c>
      <c r="F4" s="489">
        <f>CHOOSE('Analysis Inputs'!$N$131,$J$8,$T$8,$AD$8,$AN$8,$AX$8)</f>
        <v>19</v>
      </c>
      <c r="G4" s="489">
        <f>CHOOSE('Analysis Inputs'!$N$131,$F$8,$P$8,$Z$8,$AJ$8,$AT$8)</f>
        <v>15</v>
      </c>
      <c r="H4" s="489">
        <f>CHOOSE('Analysis Inputs'!$N$131,$G$8,$Q$8,$AA$8,$AK$8,$AU$8)</f>
        <v>16</v>
      </c>
    </row>
    <row r="5" spans="1:205" x14ac:dyDescent="0.25">
      <c r="B5" s="490" t="s">
        <v>653</v>
      </c>
      <c r="C5" s="491">
        <f t="shared" ref="C5:H5" si="0">SUM(C3:C4)</f>
        <v>21</v>
      </c>
      <c r="D5" s="491">
        <f t="shared" si="0"/>
        <v>18</v>
      </c>
      <c r="E5" s="491">
        <f t="shared" si="0"/>
        <v>70</v>
      </c>
      <c r="F5" s="491">
        <f t="shared" si="0"/>
        <v>71</v>
      </c>
      <c r="G5" s="491">
        <f t="shared" si="0"/>
        <v>67</v>
      </c>
      <c r="H5" s="491">
        <f t="shared" si="0"/>
        <v>68</v>
      </c>
    </row>
    <row r="7" spans="1:205" s="497" customFormat="1" x14ac:dyDescent="0.25">
      <c r="A7" s="619"/>
      <c r="B7" s="620"/>
      <c r="C7" s="620">
        <v>4</v>
      </c>
      <c r="D7" s="620">
        <v>7</v>
      </c>
      <c r="E7" s="620">
        <v>12</v>
      </c>
      <c r="F7" s="620">
        <v>19</v>
      </c>
      <c r="G7" s="620"/>
      <c r="H7" s="619"/>
      <c r="I7" s="619"/>
      <c r="J7" s="619"/>
      <c r="K7" s="619"/>
      <c r="M7" s="620">
        <v>4</v>
      </c>
      <c r="N7" s="620">
        <v>7</v>
      </c>
      <c r="O7" s="620">
        <v>12</v>
      </c>
      <c r="P7" s="620">
        <v>19</v>
      </c>
      <c r="W7" s="620">
        <v>4</v>
      </c>
      <c r="X7" s="620">
        <v>7</v>
      </c>
      <c r="Y7" s="620">
        <v>12</v>
      </c>
      <c r="Z7" s="620">
        <v>19</v>
      </c>
      <c r="AG7" s="620">
        <v>4</v>
      </c>
      <c r="AH7" s="620">
        <v>7</v>
      </c>
      <c r="AI7" s="620">
        <v>12</v>
      </c>
      <c r="AJ7" s="620">
        <v>19</v>
      </c>
      <c r="AQ7" s="620">
        <v>4</v>
      </c>
      <c r="AR7" s="620">
        <v>7</v>
      </c>
      <c r="AS7" s="620">
        <v>12</v>
      </c>
      <c r="AT7" s="620">
        <v>19</v>
      </c>
      <c r="BB7" s="620">
        <v>4</v>
      </c>
      <c r="BC7" s="620">
        <v>7</v>
      </c>
      <c r="BD7" s="620">
        <v>12</v>
      </c>
      <c r="BE7" s="620">
        <v>19</v>
      </c>
      <c r="BF7" s="620"/>
      <c r="BG7" s="619"/>
      <c r="BH7" s="619"/>
      <c r="BI7" s="619"/>
      <c r="BJ7" s="619"/>
      <c r="BL7" s="848">
        <v>4</v>
      </c>
      <c r="BM7" s="848">
        <v>7</v>
      </c>
      <c r="BN7" s="848">
        <v>12</v>
      </c>
      <c r="BO7" s="848">
        <v>19</v>
      </c>
      <c r="BP7" s="847"/>
      <c r="BQ7" s="847"/>
      <c r="BR7" s="847"/>
      <c r="BS7" s="847"/>
      <c r="BT7" s="847"/>
      <c r="BU7" s="847"/>
      <c r="BV7" s="620">
        <v>4</v>
      </c>
      <c r="BW7" s="620">
        <v>7</v>
      </c>
      <c r="BX7" s="620">
        <v>12</v>
      </c>
      <c r="BY7" s="620">
        <v>19</v>
      </c>
      <c r="CF7" s="620">
        <v>4</v>
      </c>
      <c r="CG7" s="620">
        <v>7</v>
      </c>
      <c r="CH7" s="620">
        <v>12</v>
      </c>
      <c r="CI7" s="620">
        <v>19</v>
      </c>
      <c r="CP7" s="620">
        <v>4</v>
      </c>
      <c r="CQ7" s="620">
        <v>7</v>
      </c>
      <c r="CR7" s="620">
        <v>12</v>
      </c>
      <c r="CS7" s="620">
        <v>19</v>
      </c>
      <c r="DA7" s="620">
        <v>4</v>
      </c>
      <c r="DB7" s="620">
        <v>7</v>
      </c>
      <c r="DC7" s="620">
        <v>12</v>
      </c>
      <c r="DD7" s="620">
        <v>19</v>
      </c>
      <c r="DE7" s="620"/>
      <c r="DF7" s="619"/>
      <c r="DG7" s="619"/>
      <c r="DH7" s="619"/>
      <c r="DI7" s="619"/>
      <c r="DK7" s="620">
        <v>4</v>
      </c>
      <c r="DL7" s="620">
        <v>7</v>
      </c>
      <c r="DM7" s="620">
        <v>12</v>
      </c>
      <c r="DN7" s="620">
        <v>19</v>
      </c>
      <c r="DU7" s="620">
        <v>4</v>
      </c>
      <c r="DV7" s="620">
        <v>7</v>
      </c>
      <c r="DW7" s="620">
        <v>12</v>
      </c>
      <c r="DX7" s="620">
        <v>19</v>
      </c>
      <c r="EE7" s="620">
        <v>4</v>
      </c>
      <c r="EF7" s="620">
        <v>7</v>
      </c>
      <c r="EG7" s="620">
        <v>12</v>
      </c>
      <c r="EH7" s="620">
        <v>19</v>
      </c>
      <c r="EO7" s="620">
        <v>4</v>
      </c>
      <c r="EP7" s="620">
        <v>7</v>
      </c>
      <c r="EQ7" s="620">
        <v>12</v>
      </c>
      <c r="ER7" s="620">
        <v>19</v>
      </c>
      <c r="EZ7" s="620">
        <v>4</v>
      </c>
      <c r="FA7" s="620">
        <v>7</v>
      </c>
      <c r="FB7" s="620">
        <v>12</v>
      </c>
      <c r="FC7" s="620">
        <v>19</v>
      </c>
      <c r="FD7" s="620"/>
      <c r="FE7" s="619"/>
      <c r="FF7" s="619"/>
      <c r="FG7" s="619"/>
      <c r="FH7" s="619"/>
      <c r="FJ7" s="620">
        <v>4</v>
      </c>
      <c r="FK7" s="620">
        <v>7</v>
      </c>
      <c r="FL7" s="620">
        <v>12</v>
      </c>
      <c r="FM7" s="620">
        <v>19</v>
      </c>
      <c r="FT7" s="620">
        <v>4</v>
      </c>
      <c r="FU7" s="620">
        <v>7</v>
      </c>
      <c r="FV7" s="620">
        <v>12</v>
      </c>
      <c r="FW7" s="620">
        <v>19</v>
      </c>
      <c r="GD7" s="620">
        <v>4</v>
      </c>
      <c r="GE7" s="620">
        <v>7</v>
      </c>
      <c r="GF7" s="620">
        <v>12</v>
      </c>
      <c r="GG7" s="620">
        <v>19</v>
      </c>
      <c r="GN7" s="620">
        <v>4</v>
      </c>
      <c r="GO7" s="620">
        <v>7</v>
      </c>
      <c r="GP7" s="620">
        <v>12</v>
      </c>
      <c r="GQ7" s="620">
        <v>19</v>
      </c>
    </row>
    <row r="8" spans="1:205" x14ac:dyDescent="0.25">
      <c r="B8" s="486">
        <v>1</v>
      </c>
      <c r="C8" s="486">
        <f>B8+1</f>
        <v>2</v>
      </c>
      <c r="D8" s="486">
        <f t="shared" ref="D8:BO8" si="1">C8+1</f>
        <v>3</v>
      </c>
      <c r="E8" s="486">
        <f t="shared" si="1"/>
        <v>4</v>
      </c>
      <c r="F8" s="486">
        <f t="shared" si="1"/>
        <v>5</v>
      </c>
      <c r="G8" s="486">
        <f t="shared" si="1"/>
        <v>6</v>
      </c>
      <c r="H8" s="486">
        <f t="shared" si="1"/>
        <v>7</v>
      </c>
      <c r="I8" s="486">
        <f t="shared" si="1"/>
        <v>8</v>
      </c>
      <c r="J8" s="486">
        <f t="shared" si="1"/>
        <v>9</v>
      </c>
      <c r="K8" s="486">
        <f t="shared" si="1"/>
        <v>10</v>
      </c>
      <c r="L8" s="486">
        <f t="shared" si="1"/>
        <v>11</v>
      </c>
      <c r="M8" s="486">
        <f t="shared" si="1"/>
        <v>12</v>
      </c>
      <c r="N8" s="486">
        <f t="shared" si="1"/>
        <v>13</v>
      </c>
      <c r="O8" s="486">
        <f t="shared" si="1"/>
        <v>14</v>
      </c>
      <c r="P8" s="486">
        <f t="shared" si="1"/>
        <v>15</v>
      </c>
      <c r="Q8" s="486">
        <f t="shared" si="1"/>
        <v>16</v>
      </c>
      <c r="R8" s="486">
        <f t="shared" si="1"/>
        <v>17</v>
      </c>
      <c r="S8" s="486">
        <f t="shared" si="1"/>
        <v>18</v>
      </c>
      <c r="T8" s="486">
        <f t="shared" si="1"/>
        <v>19</v>
      </c>
      <c r="U8" s="486">
        <f t="shared" si="1"/>
        <v>20</v>
      </c>
      <c r="V8" s="486">
        <f t="shared" si="1"/>
        <v>21</v>
      </c>
      <c r="W8" s="486">
        <f t="shared" si="1"/>
        <v>22</v>
      </c>
      <c r="X8" s="486">
        <f t="shared" si="1"/>
        <v>23</v>
      </c>
      <c r="Y8" s="486">
        <f t="shared" si="1"/>
        <v>24</v>
      </c>
      <c r="Z8" s="486">
        <f t="shared" si="1"/>
        <v>25</v>
      </c>
      <c r="AA8" s="486">
        <f t="shared" si="1"/>
        <v>26</v>
      </c>
      <c r="AB8" s="486">
        <f t="shared" si="1"/>
        <v>27</v>
      </c>
      <c r="AC8" s="486">
        <f t="shared" si="1"/>
        <v>28</v>
      </c>
      <c r="AD8" s="486">
        <f t="shared" si="1"/>
        <v>29</v>
      </c>
      <c r="AE8" s="486">
        <f t="shared" si="1"/>
        <v>30</v>
      </c>
      <c r="AF8" s="486">
        <f t="shared" si="1"/>
        <v>31</v>
      </c>
      <c r="AG8" s="486">
        <f t="shared" si="1"/>
        <v>32</v>
      </c>
      <c r="AH8" s="486">
        <f t="shared" si="1"/>
        <v>33</v>
      </c>
      <c r="AI8" s="486">
        <f t="shared" si="1"/>
        <v>34</v>
      </c>
      <c r="AJ8" s="486">
        <f t="shared" si="1"/>
        <v>35</v>
      </c>
      <c r="AK8" s="486">
        <f t="shared" si="1"/>
        <v>36</v>
      </c>
      <c r="AL8" s="486">
        <f t="shared" si="1"/>
        <v>37</v>
      </c>
      <c r="AM8" s="486">
        <f t="shared" si="1"/>
        <v>38</v>
      </c>
      <c r="AN8" s="486">
        <f t="shared" si="1"/>
        <v>39</v>
      </c>
      <c r="AO8" s="486">
        <f t="shared" si="1"/>
        <v>40</v>
      </c>
      <c r="AP8" s="486">
        <f t="shared" si="1"/>
        <v>41</v>
      </c>
      <c r="AQ8" s="486">
        <f t="shared" si="1"/>
        <v>42</v>
      </c>
      <c r="AR8" s="486">
        <f t="shared" si="1"/>
        <v>43</v>
      </c>
      <c r="AS8" s="486">
        <f t="shared" si="1"/>
        <v>44</v>
      </c>
      <c r="AT8" s="486">
        <f t="shared" si="1"/>
        <v>45</v>
      </c>
      <c r="AU8" s="486">
        <f t="shared" si="1"/>
        <v>46</v>
      </c>
      <c r="AV8" s="486">
        <f t="shared" si="1"/>
        <v>47</v>
      </c>
      <c r="AW8" s="486">
        <f t="shared" si="1"/>
        <v>48</v>
      </c>
      <c r="AX8" s="486">
        <f t="shared" si="1"/>
        <v>49</v>
      </c>
      <c r="AY8" s="486">
        <f t="shared" si="1"/>
        <v>50</v>
      </c>
      <c r="AZ8" s="486">
        <f t="shared" si="1"/>
        <v>51</v>
      </c>
      <c r="BA8" s="486">
        <f t="shared" si="1"/>
        <v>52</v>
      </c>
      <c r="BB8" s="486">
        <f t="shared" si="1"/>
        <v>53</v>
      </c>
      <c r="BC8" s="486">
        <f t="shared" si="1"/>
        <v>54</v>
      </c>
      <c r="BD8" s="486">
        <f t="shared" si="1"/>
        <v>55</v>
      </c>
      <c r="BE8" s="486">
        <f t="shared" si="1"/>
        <v>56</v>
      </c>
      <c r="BF8" s="486">
        <f t="shared" si="1"/>
        <v>57</v>
      </c>
      <c r="BG8" s="486">
        <f t="shared" si="1"/>
        <v>58</v>
      </c>
      <c r="BH8" s="486">
        <f t="shared" si="1"/>
        <v>59</v>
      </c>
      <c r="BI8" s="486">
        <f t="shared" si="1"/>
        <v>60</v>
      </c>
      <c r="BJ8" s="486">
        <f t="shared" si="1"/>
        <v>61</v>
      </c>
      <c r="BK8" s="486">
        <f t="shared" si="1"/>
        <v>62</v>
      </c>
      <c r="BL8" s="847">
        <f t="shared" si="1"/>
        <v>63</v>
      </c>
      <c r="BM8" s="847">
        <f t="shared" si="1"/>
        <v>64</v>
      </c>
      <c r="BN8" s="847">
        <f t="shared" si="1"/>
        <v>65</v>
      </c>
      <c r="BO8" s="847">
        <f t="shared" si="1"/>
        <v>66</v>
      </c>
      <c r="BP8" s="847">
        <f t="shared" ref="BP8:EA8" si="2">BO8+1</f>
        <v>67</v>
      </c>
      <c r="BQ8" s="847">
        <f t="shared" si="2"/>
        <v>68</v>
      </c>
      <c r="BR8" s="847">
        <f t="shared" si="2"/>
        <v>69</v>
      </c>
      <c r="BS8" s="847">
        <f t="shared" si="2"/>
        <v>70</v>
      </c>
      <c r="BT8" s="847">
        <f t="shared" si="2"/>
        <v>71</v>
      </c>
      <c r="BU8" s="847">
        <f t="shared" si="2"/>
        <v>72</v>
      </c>
      <c r="BV8" s="486">
        <f t="shared" si="2"/>
        <v>73</v>
      </c>
      <c r="BW8" s="486">
        <f t="shared" si="2"/>
        <v>74</v>
      </c>
      <c r="BX8" s="486">
        <f t="shared" si="2"/>
        <v>75</v>
      </c>
      <c r="BY8" s="486">
        <f t="shared" si="2"/>
        <v>76</v>
      </c>
      <c r="BZ8" s="486">
        <f t="shared" si="2"/>
        <v>77</v>
      </c>
      <c r="CA8" s="486">
        <f t="shared" si="2"/>
        <v>78</v>
      </c>
      <c r="CB8" s="486">
        <f t="shared" si="2"/>
        <v>79</v>
      </c>
      <c r="CC8" s="486">
        <f t="shared" si="2"/>
        <v>80</v>
      </c>
      <c r="CD8" s="486">
        <f t="shared" si="2"/>
        <v>81</v>
      </c>
      <c r="CE8" s="486">
        <f t="shared" si="2"/>
        <v>82</v>
      </c>
      <c r="CF8" s="486">
        <f t="shared" si="2"/>
        <v>83</v>
      </c>
      <c r="CG8" s="486">
        <f t="shared" si="2"/>
        <v>84</v>
      </c>
      <c r="CH8" s="486">
        <f t="shared" si="2"/>
        <v>85</v>
      </c>
      <c r="CI8" s="486">
        <f t="shared" si="2"/>
        <v>86</v>
      </c>
      <c r="CJ8" s="486">
        <f t="shared" si="2"/>
        <v>87</v>
      </c>
      <c r="CK8" s="486">
        <f t="shared" si="2"/>
        <v>88</v>
      </c>
      <c r="CL8" s="486">
        <f t="shared" si="2"/>
        <v>89</v>
      </c>
      <c r="CM8" s="486">
        <f t="shared" si="2"/>
        <v>90</v>
      </c>
      <c r="CN8" s="486">
        <f t="shared" si="2"/>
        <v>91</v>
      </c>
      <c r="CO8" s="486">
        <f t="shared" si="2"/>
        <v>92</v>
      </c>
      <c r="CP8" s="486">
        <f t="shared" si="2"/>
        <v>93</v>
      </c>
      <c r="CQ8" s="486">
        <f t="shared" si="2"/>
        <v>94</v>
      </c>
      <c r="CR8" s="486">
        <f t="shared" si="2"/>
        <v>95</v>
      </c>
      <c r="CS8" s="486">
        <f t="shared" si="2"/>
        <v>96</v>
      </c>
      <c r="CT8" s="486">
        <f t="shared" si="2"/>
        <v>97</v>
      </c>
      <c r="CU8" s="486">
        <f t="shared" si="2"/>
        <v>98</v>
      </c>
      <c r="CV8" s="486">
        <f t="shared" si="2"/>
        <v>99</v>
      </c>
      <c r="CW8" s="486">
        <f t="shared" si="2"/>
        <v>100</v>
      </c>
      <c r="CX8" s="486">
        <f t="shared" si="2"/>
        <v>101</v>
      </c>
      <c r="CY8" s="486">
        <f t="shared" si="2"/>
        <v>102</v>
      </c>
      <c r="CZ8" s="486">
        <f t="shared" si="2"/>
        <v>103</v>
      </c>
      <c r="DA8" s="486">
        <f t="shared" si="2"/>
        <v>104</v>
      </c>
      <c r="DB8" s="486">
        <f t="shared" si="2"/>
        <v>105</v>
      </c>
      <c r="DC8" s="486">
        <f t="shared" si="2"/>
        <v>106</v>
      </c>
      <c r="DD8" s="486">
        <f t="shared" si="2"/>
        <v>107</v>
      </c>
      <c r="DE8" s="486">
        <f t="shared" si="2"/>
        <v>108</v>
      </c>
      <c r="DF8" s="486">
        <f t="shared" si="2"/>
        <v>109</v>
      </c>
      <c r="DG8" s="486">
        <f t="shared" si="2"/>
        <v>110</v>
      </c>
      <c r="DH8" s="486">
        <f t="shared" si="2"/>
        <v>111</v>
      </c>
      <c r="DI8" s="486">
        <f t="shared" si="2"/>
        <v>112</v>
      </c>
      <c r="DJ8" s="486">
        <f t="shared" si="2"/>
        <v>113</v>
      </c>
      <c r="DK8" s="486">
        <f t="shared" si="2"/>
        <v>114</v>
      </c>
      <c r="DL8" s="486">
        <f t="shared" si="2"/>
        <v>115</v>
      </c>
      <c r="DM8" s="486">
        <f t="shared" si="2"/>
        <v>116</v>
      </c>
      <c r="DN8" s="486">
        <f t="shared" si="2"/>
        <v>117</v>
      </c>
      <c r="DO8" s="486">
        <f t="shared" si="2"/>
        <v>118</v>
      </c>
      <c r="DP8" s="486">
        <f t="shared" si="2"/>
        <v>119</v>
      </c>
      <c r="DQ8" s="486">
        <f t="shared" si="2"/>
        <v>120</v>
      </c>
      <c r="DR8" s="486">
        <f t="shared" si="2"/>
        <v>121</v>
      </c>
      <c r="DS8" s="486">
        <f t="shared" si="2"/>
        <v>122</v>
      </c>
      <c r="DT8" s="486">
        <f t="shared" si="2"/>
        <v>123</v>
      </c>
      <c r="DU8" s="486">
        <f t="shared" si="2"/>
        <v>124</v>
      </c>
      <c r="DV8" s="486">
        <f t="shared" si="2"/>
        <v>125</v>
      </c>
      <c r="DW8" s="486">
        <f t="shared" si="2"/>
        <v>126</v>
      </c>
      <c r="DX8" s="486">
        <f t="shared" si="2"/>
        <v>127</v>
      </c>
      <c r="DY8" s="486">
        <f t="shared" si="2"/>
        <v>128</v>
      </c>
      <c r="DZ8" s="486">
        <f t="shared" si="2"/>
        <v>129</v>
      </c>
      <c r="EA8" s="486">
        <f t="shared" si="2"/>
        <v>130</v>
      </c>
      <c r="EB8" s="486">
        <f t="shared" ref="EB8:GM8" si="3">EA8+1</f>
        <v>131</v>
      </c>
      <c r="EC8" s="486">
        <f t="shared" si="3"/>
        <v>132</v>
      </c>
      <c r="ED8" s="486">
        <f t="shared" si="3"/>
        <v>133</v>
      </c>
      <c r="EE8" s="486">
        <f t="shared" si="3"/>
        <v>134</v>
      </c>
      <c r="EF8" s="486">
        <f t="shared" si="3"/>
        <v>135</v>
      </c>
      <c r="EG8" s="486">
        <f t="shared" si="3"/>
        <v>136</v>
      </c>
      <c r="EH8" s="486">
        <f t="shared" si="3"/>
        <v>137</v>
      </c>
      <c r="EI8" s="486">
        <f t="shared" si="3"/>
        <v>138</v>
      </c>
      <c r="EJ8" s="486">
        <f t="shared" si="3"/>
        <v>139</v>
      </c>
      <c r="EK8" s="486">
        <f t="shared" si="3"/>
        <v>140</v>
      </c>
      <c r="EL8" s="486">
        <f t="shared" si="3"/>
        <v>141</v>
      </c>
      <c r="EM8" s="486">
        <f t="shared" si="3"/>
        <v>142</v>
      </c>
      <c r="EN8" s="486">
        <f t="shared" si="3"/>
        <v>143</v>
      </c>
      <c r="EO8" s="486">
        <f t="shared" si="3"/>
        <v>144</v>
      </c>
      <c r="EP8" s="486">
        <f t="shared" si="3"/>
        <v>145</v>
      </c>
      <c r="EQ8" s="486">
        <f t="shared" si="3"/>
        <v>146</v>
      </c>
      <c r="ER8" s="486">
        <f t="shared" si="3"/>
        <v>147</v>
      </c>
      <c r="ES8" s="486">
        <f t="shared" si="3"/>
        <v>148</v>
      </c>
      <c r="ET8" s="486">
        <f t="shared" si="3"/>
        <v>149</v>
      </c>
      <c r="EU8" s="486">
        <f t="shared" si="3"/>
        <v>150</v>
      </c>
      <c r="EV8" s="486">
        <f t="shared" si="3"/>
        <v>151</v>
      </c>
      <c r="EW8" s="486">
        <f t="shared" si="3"/>
        <v>152</v>
      </c>
      <c r="EX8" s="486">
        <f t="shared" si="3"/>
        <v>153</v>
      </c>
      <c r="EY8" s="486">
        <f t="shared" si="3"/>
        <v>154</v>
      </c>
      <c r="EZ8" s="486">
        <f t="shared" si="3"/>
        <v>155</v>
      </c>
      <c r="FA8" s="486">
        <f t="shared" si="3"/>
        <v>156</v>
      </c>
      <c r="FB8" s="486">
        <f t="shared" si="3"/>
        <v>157</v>
      </c>
      <c r="FC8" s="486">
        <f t="shared" si="3"/>
        <v>158</v>
      </c>
      <c r="FD8" s="486">
        <f t="shared" si="3"/>
        <v>159</v>
      </c>
      <c r="FE8" s="486">
        <f t="shared" si="3"/>
        <v>160</v>
      </c>
      <c r="FF8" s="486">
        <f t="shared" si="3"/>
        <v>161</v>
      </c>
      <c r="FG8" s="486">
        <f t="shared" si="3"/>
        <v>162</v>
      </c>
      <c r="FH8" s="486">
        <f t="shared" si="3"/>
        <v>163</v>
      </c>
      <c r="FI8" s="486">
        <f t="shared" si="3"/>
        <v>164</v>
      </c>
      <c r="FJ8" s="486">
        <f t="shared" si="3"/>
        <v>165</v>
      </c>
      <c r="FK8" s="486">
        <f t="shared" si="3"/>
        <v>166</v>
      </c>
      <c r="FL8" s="486">
        <f t="shared" si="3"/>
        <v>167</v>
      </c>
      <c r="FM8" s="486">
        <f t="shared" si="3"/>
        <v>168</v>
      </c>
      <c r="FN8" s="486">
        <f t="shared" si="3"/>
        <v>169</v>
      </c>
      <c r="FO8" s="486">
        <f t="shared" si="3"/>
        <v>170</v>
      </c>
      <c r="FP8" s="486">
        <f t="shared" si="3"/>
        <v>171</v>
      </c>
      <c r="FQ8" s="486">
        <f t="shared" si="3"/>
        <v>172</v>
      </c>
      <c r="FR8" s="486">
        <f t="shared" si="3"/>
        <v>173</v>
      </c>
      <c r="FS8" s="486">
        <f t="shared" si="3"/>
        <v>174</v>
      </c>
      <c r="FT8" s="486">
        <f t="shared" si="3"/>
        <v>175</v>
      </c>
      <c r="FU8" s="486">
        <f t="shared" si="3"/>
        <v>176</v>
      </c>
      <c r="FV8" s="486">
        <f t="shared" si="3"/>
        <v>177</v>
      </c>
      <c r="FW8" s="486">
        <f t="shared" si="3"/>
        <v>178</v>
      </c>
      <c r="FX8" s="486">
        <f t="shared" si="3"/>
        <v>179</v>
      </c>
      <c r="FY8" s="486">
        <f t="shared" si="3"/>
        <v>180</v>
      </c>
      <c r="FZ8" s="486">
        <f t="shared" si="3"/>
        <v>181</v>
      </c>
      <c r="GA8" s="486">
        <f t="shared" si="3"/>
        <v>182</v>
      </c>
      <c r="GB8" s="486">
        <f t="shared" si="3"/>
        <v>183</v>
      </c>
      <c r="GC8" s="486">
        <f t="shared" si="3"/>
        <v>184</v>
      </c>
      <c r="GD8" s="486">
        <f t="shared" si="3"/>
        <v>185</v>
      </c>
      <c r="GE8" s="486">
        <f t="shared" si="3"/>
        <v>186</v>
      </c>
      <c r="GF8" s="486">
        <f t="shared" si="3"/>
        <v>187</v>
      </c>
      <c r="GG8" s="486">
        <f t="shared" si="3"/>
        <v>188</v>
      </c>
      <c r="GH8" s="486">
        <f t="shared" si="3"/>
        <v>189</v>
      </c>
      <c r="GI8" s="486">
        <f t="shared" si="3"/>
        <v>190</v>
      </c>
      <c r="GJ8" s="486">
        <f t="shared" si="3"/>
        <v>191</v>
      </c>
      <c r="GK8" s="486">
        <f t="shared" si="3"/>
        <v>192</v>
      </c>
      <c r="GL8" s="486">
        <f t="shared" si="3"/>
        <v>193</v>
      </c>
      <c r="GM8" s="486">
        <f t="shared" si="3"/>
        <v>194</v>
      </c>
      <c r="GN8" s="486">
        <f t="shared" ref="GN8:GW8" si="4">GM8+1</f>
        <v>195</v>
      </c>
      <c r="GO8" s="486">
        <f t="shared" si="4"/>
        <v>196</v>
      </c>
      <c r="GP8" s="486">
        <f t="shared" si="4"/>
        <v>197</v>
      </c>
      <c r="GQ8" s="486">
        <f t="shared" si="4"/>
        <v>198</v>
      </c>
      <c r="GR8" s="486">
        <f t="shared" si="4"/>
        <v>199</v>
      </c>
      <c r="GS8" s="486">
        <f t="shared" si="4"/>
        <v>200</v>
      </c>
      <c r="GT8" s="486">
        <f t="shared" si="4"/>
        <v>201</v>
      </c>
      <c r="GU8" s="486">
        <f t="shared" si="4"/>
        <v>202</v>
      </c>
      <c r="GV8" s="486">
        <f t="shared" si="4"/>
        <v>203</v>
      </c>
      <c r="GW8" s="486">
        <f t="shared" si="4"/>
        <v>204</v>
      </c>
    </row>
    <row r="9" spans="1:205" ht="13" thickBot="1" x14ac:dyDescent="0.3">
      <c r="C9" s="486">
        <v>1</v>
      </c>
      <c r="D9" s="486">
        <f t="shared" ref="D9:AI9" si="5">C9+1</f>
        <v>2</v>
      </c>
      <c r="E9" s="486">
        <f t="shared" si="5"/>
        <v>3</v>
      </c>
      <c r="F9" s="486">
        <f t="shared" si="5"/>
        <v>4</v>
      </c>
      <c r="G9" s="486">
        <f t="shared" si="5"/>
        <v>5</v>
      </c>
      <c r="H9" s="486">
        <f t="shared" si="5"/>
        <v>6</v>
      </c>
      <c r="I9" s="486">
        <f t="shared" si="5"/>
        <v>7</v>
      </c>
      <c r="J9" s="486">
        <f t="shared" si="5"/>
        <v>8</v>
      </c>
      <c r="K9" s="486">
        <f t="shared" si="5"/>
        <v>9</v>
      </c>
      <c r="L9" s="486">
        <f t="shared" si="5"/>
        <v>10</v>
      </c>
      <c r="M9" s="486">
        <f t="shared" si="5"/>
        <v>11</v>
      </c>
      <c r="N9" s="486">
        <f t="shared" si="5"/>
        <v>12</v>
      </c>
      <c r="O9" s="486">
        <f t="shared" si="5"/>
        <v>13</v>
      </c>
      <c r="P9" s="486">
        <f t="shared" si="5"/>
        <v>14</v>
      </c>
      <c r="Q9" s="486">
        <f t="shared" si="5"/>
        <v>15</v>
      </c>
      <c r="R9" s="486">
        <f t="shared" si="5"/>
        <v>16</v>
      </c>
      <c r="S9" s="486">
        <f t="shared" si="5"/>
        <v>17</v>
      </c>
      <c r="T9" s="486">
        <f t="shared" si="5"/>
        <v>18</v>
      </c>
      <c r="U9" s="486">
        <f t="shared" si="5"/>
        <v>19</v>
      </c>
      <c r="V9" s="486">
        <f t="shared" si="5"/>
        <v>20</v>
      </c>
      <c r="W9" s="486">
        <f t="shared" si="5"/>
        <v>21</v>
      </c>
      <c r="X9" s="486">
        <f t="shared" si="5"/>
        <v>22</v>
      </c>
      <c r="Y9" s="486">
        <f t="shared" si="5"/>
        <v>23</v>
      </c>
      <c r="Z9" s="486">
        <f t="shared" si="5"/>
        <v>24</v>
      </c>
      <c r="AA9" s="486">
        <f t="shared" si="5"/>
        <v>25</v>
      </c>
      <c r="AB9" s="486">
        <f t="shared" si="5"/>
        <v>26</v>
      </c>
      <c r="AC9" s="486">
        <f t="shared" si="5"/>
        <v>27</v>
      </c>
      <c r="AD9" s="486">
        <f t="shared" si="5"/>
        <v>28</v>
      </c>
      <c r="AE9" s="486">
        <f t="shared" si="5"/>
        <v>29</v>
      </c>
      <c r="AF9" s="486">
        <f t="shared" si="5"/>
        <v>30</v>
      </c>
      <c r="AG9" s="486">
        <f t="shared" si="5"/>
        <v>31</v>
      </c>
      <c r="AH9" s="486">
        <f t="shared" si="5"/>
        <v>32</v>
      </c>
      <c r="AI9" s="486">
        <f t="shared" si="5"/>
        <v>33</v>
      </c>
      <c r="AJ9" s="486">
        <f t="shared" ref="AJ9:AZ9" si="6">AI9+1</f>
        <v>34</v>
      </c>
      <c r="AK9" s="486">
        <f t="shared" si="6"/>
        <v>35</v>
      </c>
      <c r="AL9" s="486">
        <f t="shared" si="6"/>
        <v>36</v>
      </c>
      <c r="AM9" s="486">
        <f t="shared" si="6"/>
        <v>37</v>
      </c>
      <c r="AN9" s="486">
        <f t="shared" si="6"/>
        <v>38</v>
      </c>
      <c r="AO9" s="486">
        <f t="shared" si="6"/>
        <v>39</v>
      </c>
      <c r="AP9" s="486">
        <f t="shared" si="6"/>
        <v>40</v>
      </c>
      <c r="AQ9" s="486">
        <f t="shared" si="6"/>
        <v>41</v>
      </c>
      <c r="AR9" s="486">
        <f t="shared" si="6"/>
        <v>42</v>
      </c>
      <c r="AS9" s="486">
        <f t="shared" si="6"/>
        <v>43</v>
      </c>
      <c r="AT9" s="486">
        <f t="shared" si="6"/>
        <v>44</v>
      </c>
      <c r="AU9" s="486">
        <f t="shared" si="6"/>
        <v>45</v>
      </c>
      <c r="AV9" s="486">
        <f t="shared" si="6"/>
        <v>46</v>
      </c>
      <c r="AW9" s="486">
        <f t="shared" si="6"/>
        <v>47</v>
      </c>
      <c r="AX9" s="486">
        <f t="shared" si="6"/>
        <v>48</v>
      </c>
      <c r="AY9" s="486">
        <f t="shared" si="6"/>
        <v>49</v>
      </c>
      <c r="AZ9" s="486">
        <f t="shared" si="6"/>
        <v>50</v>
      </c>
      <c r="BB9" s="486">
        <v>1</v>
      </c>
      <c r="BC9" s="486">
        <f t="shared" ref="BC9:BX9" si="7">BB9+1</f>
        <v>2</v>
      </c>
      <c r="BD9" s="486">
        <f t="shared" si="7"/>
        <v>3</v>
      </c>
      <c r="BE9" s="486">
        <f t="shared" si="7"/>
        <v>4</v>
      </c>
      <c r="BF9" s="486">
        <f t="shared" si="7"/>
        <v>5</v>
      </c>
      <c r="BG9" s="486">
        <f t="shared" si="7"/>
        <v>6</v>
      </c>
      <c r="BH9" s="486">
        <f t="shared" si="7"/>
        <v>7</v>
      </c>
      <c r="BI9" s="486">
        <f t="shared" si="7"/>
        <v>8</v>
      </c>
      <c r="BJ9" s="486">
        <f t="shared" si="7"/>
        <v>9</v>
      </c>
      <c r="BK9" s="486">
        <f t="shared" si="7"/>
        <v>10</v>
      </c>
      <c r="BL9" s="847">
        <f t="shared" si="7"/>
        <v>11</v>
      </c>
      <c r="BM9" s="847">
        <f t="shared" si="7"/>
        <v>12</v>
      </c>
      <c r="BN9" s="847">
        <f t="shared" si="7"/>
        <v>13</v>
      </c>
      <c r="BO9" s="847">
        <f t="shared" si="7"/>
        <v>14</v>
      </c>
      <c r="BP9" s="847">
        <f t="shared" si="7"/>
        <v>15</v>
      </c>
      <c r="BQ9" s="847">
        <f t="shared" si="7"/>
        <v>16</v>
      </c>
      <c r="BR9" s="847">
        <f t="shared" si="7"/>
        <v>17</v>
      </c>
      <c r="BS9" s="847">
        <f t="shared" si="7"/>
        <v>18</v>
      </c>
      <c r="BT9" s="847">
        <f t="shared" si="7"/>
        <v>19</v>
      </c>
      <c r="BU9" s="847">
        <f t="shared" si="7"/>
        <v>20</v>
      </c>
      <c r="BV9" s="486">
        <f t="shared" si="7"/>
        <v>21</v>
      </c>
      <c r="BW9" s="486">
        <f t="shared" si="7"/>
        <v>22</v>
      </c>
      <c r="BX9" s="486">
        <f t="shared" si="7"/>
        <v>23</v>
      </c>
      <c r="BY9" s="486">
        <f t="shared" ref="BY9:CN9" si="8">BX9+1</f>
        <v>24</v>
      </c>
      <c r="BZ9" s="486">
        <f t="shared" si="8"/>
        <v>25</v>
      </c>
      <c r="CA9" s="486">
        <f t="shared" si="8"/>
        <v>26</v>
      </c>
      <c r="CB9" s="486">
        <f t="shared" si="8"/>
        <v>27</v>
      </c>
      <c r="CC9" s="486">
        <f t="shared" si="8"/>
        <v>28</v>
      </c>
      <c r="CD9" s="486">
        <f t="shared" si="8"/>
        <v>29</v>
      </c>
      <c r="CE9" s="486">
        <f t="shared" si="8"/>
        <v>30</v>
      </c>
      <c r="CF9" s="486">
        <f t="shared" si="8"/>
        <v>31</v>
      </c>
      <c r="CG9" s="486">
        <f t="shared" si="8"/>
        <v>32</v>
      </c>
      <c r="CH9" s="486">
        <f t="shared" si="8"/>
        <v>33</v>
      </c>
      <c r="CI9" s="486">
        <f t="shared" si="8"/>
        <v>34</v>
      </c>
      <c r="CJ9" s="486">
        <f t="shared" si="8"/>
        <v>35</v>
      </c>
      <c r="CK9" s="486">
        <f t="shared" si="8"/>
        <v>36</v>
      </c>
      <c r="CL9" s="486">
        <f t="shared" si="8"/>
        <v>37</v>
      </c>
      <c r="CM9" s="486">
        <f t="shared" si="8"/>
        <v>38</v>
      </c>
      <c r="CN9" s="486">
        <f t="shared" si="8"/>
        <v>39</v>
      </c>
      <c r="CO9" s="486">
        <f t="shared" ref="CO9:CY9" si="9">CN9+1</f>
        <v>40</v>
      </c>
      <c r="CP9" s="486">
        <f t="shared" si="9"/>
        <v>41</v>
      </c>
      <c r="CQ9" s="486">
        <f t="shared" si="9"/>
        <v>42</v>
      </c>
      <c r="CR9" s="486">
        <f t="shared" si="9"/>
        <v>43</v>
      </c>
      <c r="CS9" s="486">
        <f t="shared" si="9"/>
        <v>44</v>
      </c>
      <c r="CT9" s="486">
        <f t="shared" si="9"/>
        <v>45</v>
      </c>
      <c r="CU9" s="486">
        <f t="shared" si="9"/>
        <v>46</v>
      </c>
      <c r="CV9" s="486">
        <f t="shared" si="9"/>
        <v>47</v>
      </c>
      <c r="CW9" s="486">
        <f t="shared" si="9"/>
        <v>48</v>
      </c>
      <c r="CX9" s="486">
        <f t="shared" si="9"/>
        <v>49</v>
      </c>
      <c r="CY9" s="486">
        <f t="shared" si="9"/>
        <v>50</v>
      </c>
      <c r="DA9" s="486">
        <v>1</v>
      </c>
      <c r="DB9" s="486">
        <f t="shared" ref="DB9:DL9" si="10">DA9+1</f>
        <v>2</v>
      </c>
      <c r="DC9" s="486">
        <f t="shared" si="10"/>
        <v>3</v>
      </c>
      <c r="DD9" s="486">
        <f t="shared" si="10"/>
        <v>4</v>
      </c>
      <c r="DE9" s="486">
        <f t="shared" si="10"/>
        <v>5</v>
      </c>
      <c r="DF9" s="486">
        <f t="shared" si="10"/>
        <v>6</v>
      </c>
      <c r="DG9" s="486">
        <f t="shared" si="10"/>
        <v>7</v>
      </c>
      <c r="DH9" s="486">
        <f t="shared" si="10"/>
        <v>8</v>
      </c>
      <c r="DI9" s="486">
        <f t="shared" si="10"/>
        <v>9</v>
      </c>
      <c r="DJ9" s="486">
        <f t="shared" si="10"/>
        <v>10</v>
      </c>
      <c r="DK9" s="486">
        <f t="shared" si="10"/>
        <v>11</v>
      </c>
      <c r="DL9" s="486">
        <f t="shared" si="10"/>
        <v>12</v>
      </c>
      <c r="DM9" s="486">
        <f t="shared" ref="DM9:EB9" si="11">DL9+1</f>
        <v>13</v>
      </c>
      <c r="DN9" s="486">
        <f t="shared" si="11"/>
        <v>14</v>
      </c>
      <c r="DO9" s="486">
        <f t="shared" si="11"/>
        <v>15</v>
      </c>
      <c r="DP9" s="486">
        <f t="shared" si="11"/>
        <v>16</v>
      </c>
      <c r="DQ9" s="486">
        <f t="shared" si="11"/>
        <v>17</v>
      </c>
      <c r="DR9" s="486">
        <f t="shared" si="11"/>
        <v>18</v>
      </c>
      <c r="DS9" s="486">
        <f t="shared" si="11"/>
        <v>19</v>
      </c>
      <c r="DT9" s="486">
        <f t="shared" si="11"/>
        <v>20</v>
      </c>
      <c r="DU9" s="486">
        <f t="shared" si="11"/>
        <v>21</v>
      </c>
      <c r="DV9" s="486">
        <f t="shared" si="11"/>
        <v>22</v>
      </c>
      <c r="DW9" s="486">
        <f t="shared" si="11"/>
        <v>23</v>
      </c>
      <c r="DX9" s="486">
        <f t="shared" si="11"/>
        <v>24</v>
      </c>
      <c r="DY9" s="486">
        <f t="shared" si="11"/>
        <v>25</v>
      </c>
      <c r="DZ9" s="486">
        <f t="shared" si="11"/>
        <v>26</v>
      </c>
      <c r="EA9" s="486">
        <f t="shared" si="11"/>
        <v>27</v>
      </c>
      <c r="EB9" s="486">
        <f t="shared" si="11"/>
        <v>28</v>
      </c>
      <c r="EC9" s="486">
        <f t="shared" ref="EC9:EN9" si="12">EB9+1</f>
        <v>29</v>
      </c>
      <c r="ED9" s="486">
        <f t="shared" si="12"/>
        <v>30</v>
      </c>
      <c r="EE9" s="486">
        <f t="shared" si="12"/>
        <v>31</v>
      </c>
      <c r="EF9" s="486">
        <f t="shared" si="12"/>
        <v>32</v>
      </c>
      <c r="EG9" s="486">
        <f t="shared" si="12"/>
        <v>33</v>
      </c>
      <c r="EH9" s="486">
        <f t="shared" si="12"/>
        <v>34</v>
      </c>
      <c r="EI9" s="486">
        <f t="shared" si="12"/>
        <v>35</v>
      </c>
      <c r="EJ9" s="486">
        <f t="shared" si="12"/>
        <v>36</v>
      </c>
      <c r="EK9" s="486">
        <f t="shared" si="12"/>
        <v>37</v>
      </c>
      <c r="EL9" s="486">
        <f t="shared" si="12"/>
        <v>38</v>
      </c>
      <c r="EM9" s="486">
        <f t="shared" si="12"/>
        <v>39</v>
      </c>
      <c r="EN9" s="486">
        <f t="shared" si="12"/>
        <v>40</v>
      </c>
      <c r="EO9" s="486">
        <f t="shared" ref="EO9:EX9" si="13">EN9+1</f>
        <v>41</v>
      </c>
      <c r="EP9" s="486">
        <f t="shared" si="13"/>
        <v>42</v>
      </c>
      <c r="EQ9" s="486">
        <f t="shared" si="13"/>
        <v>43</v>
      </c>
      <c r="ER9" s="486">
        <f t="shared" si="13"/>
        <v>44</v>
      </c>
      <c r="ES9" s="486">
        <f t="shared" si="13"/>
        <v>45</v>
      </c>
      <c r="ET9" s="486">
        <f t="shared" si="13"/>
        <v>46</v>
      </c>
      <c r="EU9" s="486">
        <f t="shared" si="13"/>
        <v>47</v>
      </c>
      <c r="EV9" s="486">
        <f t="shared" si="13"/>
        <v>48</v>
      </c>
      <c r="EW9" s="486">
        <f t="shared" si="13"/>
        <v>49</v>
      </c>
      <c r="EX9" s="486">
        <f t="shared" si="13"/>
        <v>50</v>
      </c>
      <c r="EZ9" s="486">
        <v>1</v>
      </c>
      <c r="FA9" s="486">
        <f t="shared" ref="FA9:GF9" si="14">EZ9+1</f>
        <v>2</v>
      </c>
      <c r="FB9" s="486">
        <f t="shared" si="14"/>
        <v>3</v>
      </c>
      <c r="FC9" s="486">
        <f t="shared" si="14"/>
        <v>4</v>
      </c>
      <c r="FD9" s="486">
        <f t="shared" si="14"/>
        <v>5</v>
      </c>
      <c r="FE9" s="486">
        <f t="shared" si="14"/>
        <v>6</v>
      </c>
      <c r="FF9" s="486">
        <f t="shared" si="14"/>
        <v>7</v>
      </c>
      <c r="FG9" s="486">
        <f t="shared" si="14"/>
        <v>8</v>
      </c>
      <c r="FH9" s="486">
        <f t="shared" si="14"/>
        <v>9</v>
      </c>
      <c r="FI9" s="486">
        <f t="shared" si="14"/>
        <v>10</v>
      </c>
      <c r="FJ9" s="486">
        <f t="shared" si="14"/>
        <v>11</v>
      </c>
      <c r="FK9" s="486">
        <f t="shared" si="14"/>
        <v>12</v>
      </c>
      <c r="FL9" s="486">
        <f t="shared" si="14"/>
        <v>13</v>
      </c>
      <c r="FM9" s="486">
        <f t="shared" si="14"/>
        <v>14</v>
      </c>
      <c r="FN9" s="486">
        <f t="shared" si="14"/>
        <v>15</v>
      </c>
      <c r="FO9" s="486">
        <f t="shared" si="14"/>
        <v>16</v>
      </c>
      <c r="FP9" s="486">
        <f t="shared" si="14"/>
        <v>17</v>
      </c>
      <c r="FQ9" s="486">
        <f t="shared" si="14"/>
        <v>18</v>
      </c>
      <c r="FR9" s="486">
        <f t="shared" si="14"/>
        <v>19</v>
      </c>
      <c r="FS9" s="486">
        <f t="shared" si="14"/>
        <v>20</v>
      </c>
      <c r="FT9" s="486">
        <f t="shared" si="14"/>
        <v>21</v>
      </c>
      <c r="FU9" s="486">
        <f t="shared" si="14"/>
        <v>22</v>
      </c>
      <c r="FV9" s="486">
        <f t="shared" si="14"/>
        <v>23</v>
      </c>
      <c r="FW9" s="486">
        <f t="shared" si="14"/>
        <v>24</v>
      </c>
      <c r="FX9" s="486">
        <f t="shared" si="14"/>
        <v>25</v>
      </c>
      <c r="FY9" s="486">
        <f t="shared" si="14"/>
        <v>26</v>
      </c>
      <c r="FZ9" s="486">
        <f t="shared" si="14"/>
        <v>27</v>
      </c>
      <c r="GA9" s="486">
        <f t="shared" si="14"/>
        <v>28</v>
      </c>
      <c r="GB9" s="486">
        <f t="shared" si="14"/>
        <v>29</v>
      </c>
      <c r="GC9" s="486">
        <f t="shared" si="14"/>
        <v>30</v>
      </c>
      <c r="GD9" s="486">
        <f t="shared" si="14"/>
        <v>31</v>
      </c>
      <c r="GE9" s="486">
        <f t="shared" si="14"/>
        <v>32</v>
      </c>
      <c r="GF9" s="486">
        <f t="shared" si="14"/>
        <v>33</v>
      </c>
      <c r="GG9" s="486">
        <f t="shared" ref="GG9:GW9" si="15">GF9+1</f>
        <v>34</v>
      </c>
      <c r="GH9" s="486">
        <f t="shared" si="15"/>
        <v>35</v>
      </c>
      <c r="GI9" s="486">
        <f t="shared" si="15"/>
        <v>36</v>
      </c>
      <c r="GJ9" s="486">
        <f t="shared" si="15"/>
        <v>37</v>
      </c>
      <c r="GK9" s="486">
        <f t="shared" si="15"/>
        <v>38</v>
      </c>
      <c r="GL9" s="486">
        <f t="shared" si="15"/>
        <v>39</v>
      </c>
      <c r="GM9" s="486">
        <f t="shared" si="15"/>
        <v>40</v>
      </c>
      <c r="GN9" s="486">
        <f t="shared" si="15"/>
        <v>41</v>
      </c>
      <c r="GO9" s="486">
        <f t="shared" si="15"/>
        <v>42</v>
      </c>
      <c r="GP9" s="486">
        <f t="shared" si="15"/>
        <v>43</v>
      </c>
      <c r="GQ9" s="486">
        <f t="shared" si="15"/>
        <v>44</v>
      </c>
      <c r="GR9" s="486">
        <f t="shared" si="15"/>
        <v>45</v>
      </c>
      <c r="GS9" s="486">
        <f t="shared" si="15"/>
        <v>46</v>
      </c>
      <c r="GT9" s="486">
        <f t="shared" si="15"/>
        <v>47</v>
      </c>
      <c r="GU9" s="486">
        <f t="shared" si="15"/>
        <v>48</v>
      </c>
      <c r="GV9" s="486">
        <f t="shared" si="15"/>
        <v>49</v>
      </c>
      <c r="GW9" s="486">
        <f t="shared" si="15"/>
        <v>50</v>
      </c>
    </row>
    <row r="10" spans="1:205" ht="13" thickBot="1" x14ac:dyDescent="0.3">
      <c r="A10" s="500"/>
      <c r="B10" s="501"/>
      <c r="C10" s="502" t="s">
        <v>654</v>
      </c>
      <c r="D10" s="503"/>
      <c r="E10" s="503"/>
      <c r="F10" s="503"/>
      <c r="G10" s="503"/>
      <c r="H10" s="504"/>
      <c r="I10" s="505"/>
      <c r="J10" s="505"/>
      <c r="K10" s="505"/>
      <c r="L10" s="492"/>
      <c r="M10" s="492"/>
      <c r="N10" s="492"/>
      <c r="O10" s="492"/>
      <c r="P10" s="492"/>
      <c r="Q10" s="492"/>
      <c r="R10" s="492"/>
      <c r="S10" s="492"/>
      <c r="T10" s="492"/>
      <c r="U10" s="492"/>
      <c r="V10" s="492"/>
      <c r="W10" s="492"/>
      <c r="X10" s="492"/>
      <c r="Y10" s="492"/>
      <c r="Z10" s="492"/>
      <c r="AA10" s="492"/>
      <c r="AB10" s="492"/>
      <c r="AC10" s="492"/>
      <c r="AD10" s="492"/>
      <c r="AE10" s="492"/>
      <c r="AF10" s="492"/>
      <c r="AG10" s="492"/>
      <c r="AH10" s="492"/>
      <c r="AI10" s="492"/>
      <c r="AJ10" s="492"/>
      <c r="AK10" s="492"/>
      <c r="AL10" s="492"/>
      <c r="AM10" s="492"/>
      <c r="AN10" s="492"/>
      <c r="AO10" s="492"/>
      <c r="AP10" s="492"/>
      <c r="AQ10" s="492"/>
      <c r="AR10" s="492"/>
      <c r="AS10" s="492"/>
      <c r="AT10" s="492"/>
      <c r="AU10" s="492"/>
      <c r="AV10" s="492"/>
      <c r="AW10" s="492"/>
      <c r="AX10" s="492"/>
      <c r="AY10" s="492"/>
      <c r="AZ10" s="493"/>
      <c r="BB10" s="502" t="s">
        <v>655</v>
      </c>
      <c r="BC10" s="503"/>
      <c r="BD10" s="503"/>
      <c r="BE10" s="503"/>
      <c r="BF10" s="503"/>
      <c r="BG10" s="504"/>
      <c r="BH10" s="505"/>
      <c r="BI10" s="505"/>
      <c r="BJ10" s="505"/>
      <c r="BK10" s="492"/>
      <c r="BL10" s="849"/>
      <c r="BM10" s="849"/>
      <c r="BN10" s="849"/>
      <c r="BO10" s="849"/>
      <c r="BP10" s="849"/>
      <c r="BQ10" s="849"/>
      <c r="BR10" s="849"/>
      <c r="BS10" s="849"/>
      <c r="BT10" s="849"/>
      <c r="BU10" s="849"/>
      <c r="BV10" s="492"/>
      <c r="BW10" s="492"/>
      <c r="BX10" s="492"/>
      <c r="BY10" s="492"/>
      <c r="BZ10" s="492"/>
      <c r="CA10" s="492"/>
      <c r="CB10" s="492"/>
      <c r="CC10" s="492"/>
      <c r="CD10" s="492"/>
      <c r="CE10" s="492"/>
      <c r="CF10" s="492"/>
      <c r="CG10" s="492"/>
      <c r="CH10" s="492"/>
      <c r="CI10" s="492"/>
      <c r="CJ10" s="492"/>
      <c r="CK10" s="492"/>
      <c r="CL10" s="492"/>
      <c r="CM10" s="492"/>
      <c r="CN10" s="492"/>
      <c r="CO10" s="492"/>
      <c r="CP10" s="492"/>
      <c r="CQ10" s="492"/>
      <c r="CR10" s="492"/>
      <c r="CS10" s="492"/>
      <c r="CT10" s="492"/>
      <c r="CU10" s="492"/>
      <c r="CV10" s="492"/>
      <c r="CW10" s="492"/>
      <c r="CX10" s="492"/>
      <c r="CY10" s="493"/>
      <c r="DA10" s="502" t="s">
        <v>665</v>
      </c>
      <c r="DB10" s="503"/>
      <c r="DC10" s="503"/>
      <c r="DD10" s="503"/>
      <c r="DE10" s="503"/>
      <c r="DF10" s="504"/>
      <c r="DG10" s="505"/>
      <c r="DH10" s="505"/>
      <c r="DI10" s="505"/>
      <c r="DJ10" s="492"/>
      <c r="DK10" s="492"/>
      <c r="DL10" s="492"/>
      <c r="DM10" s="492"/>
      <c r="DN10" s="492"/>
      <c r="DO10" s="492"/>
      <c r="DP10" s="492"/>
      <c r="DQ10" s="492"/>
      <c r="DR10" s="492"/>
      <c r="DS10" s="492"/>
      <c r="DT10" s="492"/>
      <c r="DU10" s="492"/>
      <c r="DV10" s="492"/>
      <c r="DW10" s="492"/>
      <c r="DX10" s="492"/>
      <c r="DY10" s="492"/>
      <c r="DZ10" s="492"/>
      <c r="EA10" s="492"/>
      <c r="EB10" s="492"/>
      <c r="EC10" s="492"/>
      <c r="ED10" s="492"/>
      <c r="EE10" s="492"/>
      <c r="EF10" s="492"/>
      <c r="EG10" s="492"/>
      <c r="EH10" s="492"/>
      <c r="EI10" s="492"/>
      <c r="EJ10" s="492"/>
      <c r="EK10" s="492"/>
      <c r="EL10" s="492"/>
      <c r="EM10" s="492"/>
      <c r="EN10" s="492"/>
      <c r="EO10" s="492"/>
      <c r="EP10" s="492"/>
      <c r="EQ10" s="492"/>
      <c r="ER10" s="492"/>
      <c r="ES10" s="492"/>
      <c r="ET10" s="492"/>
      <c r="EU10" s="492"/>
      <c r="EV10" s="492"/>
      <c r="EW10" s="492"/>
      <c r="EX10" s="493"/>
      <c r="EZ10" s="502" t="s">
        <v>681</v>
      </c>
      <c r="FA10" s="503"/>
      <c r="FB10" s="503"/>
      <c r="FC10" s="503"/>
      <c r="FD10" s="503"/>
      <c r="FE10" s="504"/>
      <c r="FF10" s="505"/>
      <c r="FG10" s="505"/>
      <c r="FH10" s="505"/>
      <c r="FI10" s="492"/>
      <c r="FJ10" s="492"/>
      <c r="FK10" s="492"/>
      <c r="FL10" s="492"/>
      <c r="FM10" s="492"/>
      <c r="FN10" s="492"/>
      <c r="FO10" s="492"/>
      <c r="FP10" s="492"/>
      <c r="FQ10" s="492"/>
      <c r="FR10" s="492"/>
      <c r="FS10" s="492"/>
      <c r="FT10" s="492"/>
      <c r="FU10" s="492"/>
      <c r="FV10" s="492"/>
      <c r="FW10" s="492"/>
      <c r="FX10" s="492"/>
      <c r="FY10" s="492"/>
      <c r="FZ10" s="492"/>
      <c r="GA10" s="492"/>
      <c r="GB10" s="492"/>
      <c r="GC10" s="492"/>
      <c r="GD10" s="492"/>
      <c r="GE10" s="492"/>
      <c r="GF10" s="492"/>
      <c r="GG10" s="492"/>
      <c r="GH10" s="492"/>
      <c r="GI10" s="492"/>
      <c r="GJ10" s="492"/>
      <c r="GK10" s="492"/>
      <c r="GL10" s="492"/>
      <c r="GM10" s="492"/>
      <c r="GN10" s="492"/>
      <c r="GO10" s="492"/>
      <c r="GP10" s="492"/>
      <c r="GQ10" s="492"/>
      <c r="GR10" s="492"/>
      <c r="GS10" s="492"/>
      <c r="GT10" s="492"/>
      <c r="GU10" s="492"/>
      <c r="GV10" s="492"/>
      <c r="GW10" s="493"/>
    </row>
    <row r="11" spans="1:205" ht="13" thickBot="1" x14ac:dyDescent="0.3">
      <c r="A11" s="500"/>
      <c r="B11" s="501"/>
      <c r="C11" s="502" t="s">
        <v>656</v>
      </c>
      <c r="D11" s="503"/>
      <c r="E11" s="503"/>
      <c r="F11" s="503"/>
      <c r="G11" s="503"/>
      <c r="H11" s="504"/>
      <c r="I11" s="505"/>
      <c r="J11" s="505"/>
      <c r="K11" s="505"/>
      <c r="L11" s="493"/>
      <c r="M11" s="502" t="s">
        <v>657</v>
      </c>
      <c r="N11" s="503"/>
      <c r="O11" s="503"/>
      <c r="P11" s="503"/>
      <c r="Q11" s="503"/>
      <c r="R11" s="504"/>
      <c r="S11" s="505"/>
      <c r="T11" s="505"/>
      <c r="U11" s="505"/>
      <c r="V11" s="493"/>
      <c r="W11" s="502" t="s">
        <v>658</v>
      </c>
      <c r="X11" s="503"/>
      <c r="Y11" s="503"/>
      <c r="Z11" s="503"/>
      <c r="AA11" s="503"/>
      <c r="AB11" s="504"/>
      <c r="AC11" s="505"/>
      <c r="AD11" s="505"/>
      <c r="AE11" s="505"/>
      <c r="AF11" s="493"/>
      <c r="AG11" s="502" t="s">
        <v>659</v>
      </c>
      <c r="AH11" s="503"/>
      <c r="AI11" s="503"/>
      <c r="AJ11" s="503"/>
      <c r="AK11" s="503"/>
      <c r="AL11" s="504"/>
      <c r="AM11" s="505"/>
      <c r="AN11" s="505"/>
      <c r="AO11" s="505"/>
      <c r="AP11" s="493"/>
      <c r="AQ11" s="502" t="s">
        <v>680</v>
      </c>
      <c r="AR11" s="503"/>
      <c r="AS11" s="503"/>
      <c r="AT11" s="503"/>
      <c r="AU11" s="503"/>
      <c r="AV11" s="504"/>
      <c r="AW11" s="505"/>
      <c r="AX11" s="505"/>
      <c r="AY11" s="505"/>
      <c r="AZ11" s="493"/>
      <c r="BB11" s="502" t="s">
        <v>656</v>
      </c>
      <c r="BC11" s="503"/>
      <c r="BD11" s="503"/>
      <c r="BE11" s="503"/>
      <c r="BF11" s="503"/>
      <c r="BG11" s="504"/>
      <c r="BH11" s="505"/>
      <c r="BI11" s="505"/>
      <c r="BJ11" s="505"/>
      <c r="BK11" s="493"/>
      <c r="BL11" s="850" t="s">
        <v>657</v>
      </c>
      <c r="BM11" s="851"/>
      <c r="BN11" s="851"/>
      <c r="BO11" s="851"/>
      <c r="BP11" s="851"/>
      <c r="BQ11" s="852"/>
      <c r="BR11" s="853"/>
      <c r="BS11" s="853"/>
      <c r="BT11" s="853"/>
      <c r="BU11" s="854"/>
      <c r="BV11" s="502" t="s">
        <v>658</v>
      </c>
      <c r="BW11" s="503"/>
      <c r="BX11" s="503"/>
      <c r="BY11" s="503"/>
      <c r="BZ11" s="503"/>
      <c r="CA11" s="504"/>
      <c r="CB11" s="505"/>
      <c r="CC11" s="505"/>
      <c r="CD11" s="505"/>
      <c r="CE11" s="493"/>
      <c r="CF11" s="502" t="s">
        <v>659</v>
      </c>
      <c r="CG11" s="503"/>
      <c r="CH11" s="503"/>
      <c r="CI11" s="503"/>
      <c r="CJ11" s="503"/>
      <c r="CK11" s="504"/>
      <c r="CL11" s="505"/>
      <c r="CM11" s="505"/>
      <c r="CN11" s="505"/>
      <c r="CO11" s="493"/>
      <c r="CP11" s="502" t="s">
        <v>680</v>
      </c>
      <c r="CQ11" s="503"/>
      <c r="CR11" s="503"/>
      <c r="CS11" s="503"/>
      <c r="CT11" s="503"/>
      <c r="CU11" s="504"/>
      <c r="CV11" s="505"/>
      <c r="CW11" s="505"/>
      <c r="CX11" s="505"/>
      <c r="CY11" s="493"/>
      <c r="DA11" s="502" t="s">
        <v>656</v>
      </c>
      <c r="DB11" s="503"/>
      <c r="DC11" s="503"/>
      <c r="DD11" s="503"/>
      <c r="DE11" s="503"/>
      <c r="DF11" s="504"/>
      <c r="DG11" s="505"/>
      <c r="DH11" s="505"/>
      <c r="DI11" s="505"/>
      <c r="DJ11" s="493"/>
      <c r="DK11" s="502" t="s">
        <v>657</v>
      </c>
      <c r="DL11" s="503"/>
      <c r="DM11" s="503"/>
      <c r="DN11" s="503"/>
      <c r="DO11" s="503"/>
      <c r="DP11" s="504"/>
      <c r="DQ11" s="505"/>
      <c r="DR11" s="505"/>
      <c r="DS11" s="505"/>
      <c r="DT11" s="493"/>
      <c r="DU11" s="502" t="s">
        <v>658</v>
      </c>
      <c r="DV11" s="503"/>
      <c r="DW11" s="503"/>
      <c r="DX11" s="503"/>
      <c r="DY11" s="503"/>
      <c r="DZ11" s="504"/>
      <c r="EA11" s="505"/>
      <c r="EB11" s="505"/>
      <c r="EC11" s="505"/>
      <c r="ED11" s="493"/>
      <c r="EE11" s="502" t="s">
        <v>659</v>
      </c>
      <c r="EF11" s="503"/>
      <c r="EG11" s="503"/>
      <c r="EH11" s="503"/>
      <c r="EI11" s="503"/>
      <c r="EJ11" s="504"/>
      <c r="EK11" s="505"/>
      <c r="EL11" s="505"/>
      <c r="EM11" s="505"/>
      <c r="EN11" s="493"/>
      <c r="EO11" s="502" t="s">
        <v>680</v>
      </c>
      <c r="EP11" s="503"/>
      <c r="EQ11" s="503"/>
      <c r="ER11" s="503"/>
      <c r="ES11" s="503"/>
      <c r="ET11" s="504"/>
      <c r="EU11" s="505"/>
      <c r="EV11" s="505"/>
      <c r="EW11" s="505"/>
      <c r="EX11" s="493"/>
      <c r="EZ11" s="502" t="s">
        <v>656</v>
      </c>
      <c r="FA11" s="503"/>
      <c r="FB11" s="503"/>
      <c r="FC11" s="503"/>
      <c r="FD11" s="503"/>
      <c r="FE11" s="504"/>
      <c r="FF11" s="505"/>
      <c r="FG11" s="505"/>
      <c r="FH11" s="505"/>
      <c r="FI11" s="493"/>
      <c r="FJ11" s="502" t="s">
        <v>657</v>
      </c>
      <c r="FK11" s="503"/>
      <c r="FL11" s="503"/>
      <c r="FM11" s="503"/>
      <c r="FN11" s="503"/>
      <c r="FO11" s="504"/>
      <c r="FP11" s="505"/>
      <c r="FQ11" s="505"/>
      <c r="FR11" s="505"/>
      <c r="FS11" s="493"/>
      <c r="FT11" s="502" t="s">
        <v>658</v>
      </c>
      <c r="FU11" s="503"/>
      <c r="FV11" s="503"/>
      <c r="FW11" s="503"/>
      <c r="FX11" s="503"/>
      <c r="FY11" s="504"/>
      <c r="FZ11" s="505"/>
      <c r="GA11" s="505"/>
      <c r="GB11" s="505"/>
      <c r="GC11" s="493"/>
      <c r="GD11" s="502" t="s">
        <v>659</v>
      </c>
      <c r="GE11" s="503"/>
      <c r="GF11" s="503"/>
      <c r="GG11" s="503"/>
      <c r="GH11" s="503"/>
      <c r="GI11" s="504"/>
      <c r="GJ11" s="505"/>
      <c r="GK11" s="505"/>
      <c r="GL11" s="505"/>
      <c r="GM11" s="493"/>
      <c r="GN11" s="502" t="s">
        <v>680</v>
      </c>
      <c r="GO11" s="503"/>
      <c r="GP11" s="503"/>
      <c r="GQ11" s="503"/>
      <c r="GR11" s="503"/>
      <c r="GS11" s="504"/>
      <c r="GT11" s="505"/>
      <c r="GU11" s="505"/>
      <c r="GV11" s="505"/>
      <c r="GW11" s="493"/>
    </row>
    <row r="12" spans="1:205" ht="13" x14ac:dyDescent="0.3">
      <c r="A12" s="486" t="s">
        <v>366</v>
      </c>
      <c r="B12" s="506" t="s">
        <v>666</v>
      </c>
      <c r="C12" s="507" t="s">
        <v>667</v>
      </c>
      <c r="D12" s="508"/>
      <c r="E12" s="508"/>
      <c r="F12" s="509"/>
      <c r="G12" s="510" t="s">
        <v>668</v>
      </c>
      <c r="H12" s="510" t="s">
        <v>669</v>
      </c>
      <c r="I12" s="508" t="s">
        <v>670</v>
      </c>
      <c r="J12" s="511"/>
      <c r="K12" s="512"/>
      <c r="L12" s="513"/>
      <c r="M12" s="507" t="s">
        <v>667</v>
      </c>
      <c r="N12" s="508"/>
      <c r="O12" s="508"/>
      <c r="P12" s="509"/>
      <c r="Q12" s="510" t="s">
        <v>668</v>
      </c>
      <c r="R12" s="510" t="s">
        <v>669</v>
      </c>
      <c r="S12" s="508" t="s">
        <v>670</v>
      </c>
      <c r="T12" s="511"/>
      <c r="U12" s="512"/>
      <c r="V12" s="513"/>
      <c r="W12" s="507" t="s">
        <v>667</v>
      </c>
      <c r="X12" s="508"/>
      <c r="Y12" s="508"/>
      <c r="Z12" s="509"/>
      <c r="AA12" s="510" t="s">
        <v>668</v>
      </c>
      <c r="AB12" s="510" t="s">
        <v>669</v>
      </c>
      <c r="AC12" s="508" t="s">
        <v>670</v>
      </c>
      <c r="AD12" s="511"/>
      <c r="AE12" s="512"/>
      <c r="AF12" s="513"/>
      <c r="AG12" s="507" t="s">
        <v>667</v>
      </c>
      <c r="AH12" s="508"/>
      <c r="AI12" s="508"/>
      <c r="AJ12" s="509"/>
      <c r="AK12" s="510" t="s">
        <v>668</v>
      </c>
      <c r="AL12" s="510" t="s">
        <v>669</v>
      </c>
      <c r="AM12" s="508" t="s">
        <v>670</v>
      </c>
      <c r="AN12" s="511"/>
      <c r="AO12" s="512"/>
      <c r="AP12" s="513"/>
      <c r="AQ12" s="507" t="s">
        <v>667</v>
      </c>
      <c r="AR12" s="508"/>
      <c r="AS12" s="508"/>
      <c r="AT12" s="509"/>
      <c r="AU12" s="510" t="s">
        <v>668</v>
      </c>
      <c r="AV12" s="510" t="s">
        <v>669</v>
      </c>
      <c r="AW12" s="508" t="s">
        <v>670</v>
      </c>
      <c r="AX12" s="511"/>
      <c r="AY12" s="512"/>
      <c r="AZ12" s="513"/>
      <c r="BB12" s="507" t="s">
        <v>667</v>
      </c>
      <c r="BC12" s="508"/>
      <c r="BD12" s="508"/>
      <c r="BE12" s="509"/>
      <c r="BF12" s="510" t="s">
        <v>668</v>
      </c>
      <c r="BG12" s="510" t="s">
        <v>669</v>
      </c>
      <c r="BH12" s="508" t="s">
        <v>670</v>
      </c>
      <c r="BI12" s="511"/>
      <c r="BJ12" s="512"/>
      <c r="BK12" s="513"/>
      <c r="BL12" s="855" t="s">
        <v>667</v>
      </c>
      <c r="BM12" s="856"/>
      <c r="BN12" s="856"/>
      <c r="BO12" s="857"/>
      <c r="BP12" s="858" t="s">
        <v>668</v>
      </c>
      <c r="BQ12" s="858" t="s">
        <v>669</v>
      </c>
      <c r="BR12" s="856" t="s">
        <v>670</v>
      </c>
      <c r="BS12" s="859"/>
      <c r="BT12" s="860"/>
      <c r="BU12" s="861"/>
      <c r="BV12" s="507" t="s">
        <v>667</v>
      </c>
      <c r="BW12" s="508"/>
      <c r="BX12" s="508"/>
      <c r="BY12" s="509"/>
      <c r="BZ12" s="510" t="s">
        <v>668</v>
      </c>
      <c r="CA12" s="510" t="s">
        <v>669</v>
      </c>
      <c r="CB12" s="508" t="s">
        <v>670</v>
      </c>
      <c r="CC12" s="511"/>
      <c r="CD12" s="512"/>
      <c r="CE12" s="513"/>
      <c r="CF12" s="507" t="s">
        <v>667</v>
      </c>
      <c r="CG12" s="508"/>
      <c r="CH12" s="508"/>
      <c r="CI12" s="509"/>
      <c r="CJ12" s="510" t="s">
        <v>668</v>
      </c>
      <c r="CK12" s="510" t="s">
        <v>669</v>
      </c>
      <c r="CL12" s="508" t="s">
        <v>670</v>
      </c>
      <c r="CM12" s="511"/>
      <c r="CN12" s="512"/>
      <c r="CO12" s="513"/>
      <c r="CP12" s="507" t="s">
        <v>667</v>
      </c>
      <c r="CQ12" s="508"/>
      <c r="CR12" s="508"/>
      <c r="CS12" s="509"/>
      <c r="CT12" s="510" t="s">
        <v>668</v>
      </c>
      <c r="CU12" s="510" t="s">
        <v>669</v>
      </c>
      <c r="CV12" s="508" t="s">
        <v>670</v>
      </c>
      <c r="CW12" s="511"/>
      <c r="CX12" s="512"/>
      <c r="CY12" s="513"/>
      <c r="DA12" s="507" t="s">
        <v>667</v>
      </c>
      <c r="DB12" s="508"/>
      <c r="DC12" s="508"/>
      <c r="DD12" s="509"/>
      <c r="DE12" s="510" t="s">
        <v>668</v>
      </c>
      <c r="DF12" s="510" t="s">
        <v>669</v>
      </c>
      <c r="DG12" s="508" t="s">
        <v>670</v>
      </c>
      <c r="DH12" s="511"/>
      <c r="DI12" s="512"/>
      <c r="DJ12" s="513"/>
      <c r="DK12" s="507" t="s">
        <v>667</v>
      </c>
      <c r="DL12" s="508"/>
      <c r="DM12" s="508"/>
      <c r="DN12" s="509"/>
      <c r="DO12" s="510" t="s">
        <v>668</v>
      </c>
      <c r="DP12" s="510" t="s">
        <v>669</v>
      </c>
      <c r="DQ12" s="508" t="s">
        <v>670</v>
      </c>
      <c r="DR12" s="511"/>
      <c r="DS12" s="512"/>
      <c r="DT12" s="513"/>
      <c r="DU12" s="507" t="s">
        <v>667</v>
      </c>
      <c r="DV12" s="508"/>
      <c r="DW12" s="508"/>
      <c r="DX12" s="509"/>
      <c r="DY12" s="510" t="s">
        <v>668</v>
      </c>
      <c r="DZ12" s="510" t="s">
        <v>669</v>
      </c>
      <c r="EA12" s="508" t="s">
        <v>670</v>
      </c>
      <c r="EB12" s="511"/>
      <c r="EC12" s="512"/>
      <c r="ED12" s="513"/>
      <c r="EE12" s="507" t="s">
        <v>667</v>
      </c>
      <c r="EF12" s="508"/>
      <c r="EG12" s="508"/>
      <c r="EH12" s="509"/>
      <c r="EI12" s="510" t="s">
        <v>668</v>
      </c>
      <c r="EJ12" s="510" t="s">
        <v>669</v>
      </c>
      <c r="EK12" s="508" t="s">
        <v>670</v>
      </c>
      <c r="EL12" s="511"/>
      <c r="EM12" s="512"/>
      <c r="EN12" s="513"/>
      <c r="EO12" s="507" t="s">
        <v>667</v>
      </c>
      <c r="EP12" s="508"/>
      <c r="EQ12" s="508"/>
      <c r="ER12" s="509"/>
      <c r="ES12" s="510" t="s">
        <v>668</v>
      </c>
      <c r="ET12" s="510" t="s">
        <v>669</v>
      </c>
      <c r="EU12" s="508" t="s">
        <v>670</v>
      </c>
      <c r="EV12" s="511"/>
      <c r="EW12" s="512"/>
      <c r="EX12" s="513"/>
      <c r="EZ12" s="507" t="s">
        <v>667</v>
      </c>
      <c r="FA12" s="508"/>
      <c r="FB12" s="508"/>
      <c r="FC12" s="509"/>
      <c r="FD12" s="510" t="s">
        <v>668</v>
      </c>
      <c r="FE12" s="510" t="s">
        <v>669</v>
      </c>
      <c r="FF12" s="508" t="s">
        <v>670</v>
      </c>
      <c r="FG12" s="511"/>
      <c r="FH12" s="512"/>
      <c r="FI12" s="513"/>
      <c r="FJ12" s="507" t="s">
        <v>667</v>
      </c>
      <c r="FK12" s="508"/>
      <c r="FL12" s="508"/>
      <c r="FM12" s="509"/>
      <c r="FN12" s="510" t="s">
        <v>668</v>
      </c>
      <c r="FO12" s="510" t="s">
        <v>669</v>
      </c>
      <c r="FP12" s="508" t="s">
        <v>670</v>
      </c>
      <c r="FQ12" s="511"/>
      <c r="FR12" s="512"/>
      <c r="FS12" s="513"/>
      <c r="FT12" s="507" t="s">
        <v>667</v>
      </c>
      <c r="FU12" s="508"/>
      <c r="FV12" s="508"/>
      <c r="FW12" s="509"/>
      <c r="FX12" s="510" t="s">
        <v>668</v>
      </c>
      <c r="FY12" s="510" t="s">
        <v>669</v>
      </c>
      <c r="FZ12" s="508" t="s">
        <v>670</v>
      </c>
      <c r="GA12" s="511"/>
      <c r="GB12" s="512"/>
      <c r="GC12" s="513"/>
      <c r="GD12" s="507" t="s">
        <v>667</v>
      </c>
      <c r="GE12" s="508"/>
      <c r="GF12" s="508"/>
      <c r="GG12" s="509"/>
      <c r="GH12" s="510" t="s">
        <v>668</v>
      </c>
      <c r="GI12" s="510" t="s">
        <v>669</v>
      </c>
      <c r="GJ12" s="508" t="s">
        <v>670</v>
      </c>
      <c r="GK12" s="511"/>
      <c r="GL12" s="512"/>
      <c r="GM12" s="513"/>
      <c r="GN12" s="507" t="s">
        <v>667</v>
      </c>
      <c r="GO12" s="508"/>
      <c r="GP12" s="508"/>
      <c r="GQ12" s="509"/>
      <c r="GR12" s="510" t="s">
        <v>668</v>
      </c>
      <c r="GS12" s="510" t="s">
        <v>669</v>
      </c>
      <c r="GT12" s="508" t="s">
        <v>670</v>
      </c>
      <c r="GU12" s="511"/>
      <c r="GV12" s="512"/>
      <c r="GW12" s="513"/>
    </row>
    <row r="13" spans="1:205" ht="15" x14ac:dyDescent="0.4">
      <c r="B13" s="514"/>
      <c r="C13" s="515" t="s">
        <v>720</v>
      </c>
      <c r="D13" s="516"/>
      <c r="E13" s="516"/>
      <c r="F13" s="517"/>
      <c r="G13" s="518"/>
      <c r="H13" s="519"/>
      <c r="I13" s="516" t="s">
        <v>671</v>
      </c>
      <c r="J13" s="520"/>
      <c r="K13" s="520"/>
      <c r="L13" s="521"/>
      <c r="M13" s="515" t="s">
        <v>720</v>
      </c>
      <c r="N13" s="516"/>
      <c r="O13" s="516"/>
      <c r="P13" s="517"/>
      <c r="Q13" s="518"/>
      <c r="R13" s="519"/>
      <c r="S13" s="516" t="s">
        <v>671</v>
      </c>
      <c r="T13" s="520"/>
      <c r="U13" s="520"/>
      <c r="V13" s="521"/>
      <c r="W13" s="515" t="s">
        <v>720</v>
      </c>
      <c r="X13" s="516"/>
      <c r="Y13" s="516"/>
      <c r="Z13" s="517"/>
      <c r="AA13" s="518"/>
      <c r="AB13" s="519"/>
      <c r="AC13" s="516" t="s">
        <v>671</v>
      </c>
      <c r="AD13" s="520"/>
      <c r="AE13" s="520"/>
      <c r="AF13" s="521"/>
      <c r="AG13" s="515" t="s">
        <v>720</v>
      </c>
      <c r="AH13" s="516"/>
      <c r="AI13" s="516"/>
      <c r="AJ13" s="517"/>
      <c r="AK13" s="518"/>
      <c r="AL13" s="519"/>
      <c r="AM13" s="516" t="s">
        <v>671</v>
      </c>
      <c r="AN13" s="520"/>
      <c r="AO13" s="520"/>
      <c r="AP13" s="521"/>
      <c r="AQ13" s="515" t="s">
        <v>720</v>
      </c>
      <c r="AR13" s="516"/>
      <c r="AS13" s="516"/>
      <c r="AT13" s="517"/>
      <c r="AU13" s="518"/>
      <c r="AV13" s="519"/>
      <c r="AW13" s="516" t="s">
        <v>671</v>
      </c>
      <c r="AX13" s="520"/>
      <c r="AY13" s="520"/>
      <c r="AZ13" s="521"/>
      <c r="BB13" s="515" t="s">
        <v>720</v>
      </c>
      <c r="BC13" s="516"/>
      <c r="BD13" s="516"/>
      <c r="BE13" s="517"/>
      <c r="BF13" s="518"/>
      <c r="BG13" s="519"/>
      <c r="BH13" s="516" t="s">
        <v>671</v>
      </c>
      <c r="BI13" s="520"/>
      <c r="BJ13" s="520"/>
      <c r="BK13" s="521"/>
      <c r="BL13" s="862" t="s">
        <v>720</v>
      </c>
      <c r="BM13" s="863"/>
      <c r="BN13" s="863"/>
      <c r="BO13" s="864"/>
      <c r="BP13" s="865"/>
      <c r="BQ13" s="866"/>
      <c r="BR13" s="863" t="s">
        <v>671</v>
      </c>
      <c r="BS13" s="867"/>
      <c r="BT13" s="867"/>
      <c r="BU13" s="868"/>
      <c r="BV13" s="515" t="s">
        <v>720</v>
      </c>
      <c r="BW13" s="516"/>
      <c r="BX13" s="516"/>
      <c r="BY13" s="517"/>
      <c r="BZ13" s="518"/>
      <c r="CA13" s="519"/>
      <c r="CB13" s="516" t="s">
        <v>671</v>
      </c>
      <c r="CC13" s="520"/>
      <c r="CD13" s="520"/>
      <c r="CE13" s="521"/>
      <c r="CF13" s="515" t="s">
        <v>720</v>
      </c>
      <c r="CG13" s="516"/>
      <c r="CH13" s="516"/>
      <c r="CI13" s="517"/>
      <c r="CJ13" s="518"/>
      <c r="CK13" s="519"/>
      <c r="CL13" s="516" t="s">
        <v>671</v>
      </c>
      <c r="CM13" s="520"/>
      <c r="CN13" s="520"/>
      <c r="CO13" s="521"/>
      <c r="CP13" s="515" t="s">
        <v>720</v>
      </c>
      <c r="CQ13" s="516"/>
      <c r="CR13" s="516"/>
      <c r="CS13" s="517"/>
      <c r="CT13" s="518"/>
      <c r="CU13" s="519"/>
      <c r="CV13" s="516" t="s">
        <v>671</v>
      </c>
      <c r="CW13" s="520"/>
      <c r="CX13" s="520"/>
      <c r="CY13" s="521"/>
      <c r="DA13" s="515" t="s">
        <v>720</v>
      </c>
      <c r="DB13" s="516"/>
      <c r="DC13" s="516"/>
      <c r="DD13" s="517"/>
      <c r="DE13" s="518"/>
      <c r="DF13" s="519"/>
      <c r="DG13" s="516" t="s">
        <v>671</v>
      </c>
      <c r="DH13" s="520"/>
      <c r="DI13" s="520"/>
      <c r="DJ13" s="521"/>
      <c r="DK13" s="515" t="s">
        <v>720</v>
      </c>
      <c r="DL13" s="516"/>
      <c r="DM13" s="516"/>
      <c r="DN13" s="517"/>
      <c r="DO13" s="518"/>
      <c r="DP13" s="519"/>
      <c r="DQ13" s="516" t="s">
        <v>671</v>
      </c>
      <c r="DR13" s="520"/>
      <c r="DS13" s="520"/>
      <c r="DT13" s="521"/>
      <c r="DU13" s="515" t="s">
        <v>720</v>
      </c>
      <c r="DV13" s="516"/>
      <c r="DW13" s="516"/>
      <c r="DX13" s="517"/>
      <c r="DY13" s="518"/>
      <c r="DZ13" s="519"/>
      <c r="EA13" s="516" t="s">
        <v>671</v>
      </c>
      <c r="EB13" s="520"/>
      <c r="EC13" s="520"/>
      <c r="ED13" s="521"/>
      <c r="EE13" s="515" t="s">
        <v>720</v>
      </c>
      <c r="EF13" s="516"/>
      <c r="EG13" s="516"/>
      <c r="EH13" s="517"/>
      <c r="EI13" s="518"/>
      <c r="EJ13" s="519"/>
      <c r="EK13" s="516" t="s">
        <v>671</v>
      </c>
      <c r="EL13" s="520"/>
      <c r="EM13" s="520"/>
      <c r="EN13" s="521"/>
      <c r="EO13" s="515" t="s">
        <v>720</v>
      </c>
      <c r="EP13" s="516"/>
      <c r="EQ13" s="516"/>
      <c r="ER13" s="517"/>
      <c r="ES13" s="518"/>
      <c r="ET13" s="519"/>
      <c r="EU13" s="516" t="s">
        <v>671</v>
      </c>
      <c r="EV13" s="520"/>
      <c r="EW13" s="520"/>
      <c r="EX13" s="521"/>
      <c r="EZ13" s="515" t="s">
        <v>720</v>
      </c>
      <c r="FA13" s="516"/>
      <c r="FB13" s="516"/>
      <c r="FC13" s="517"/>
      <c r="FD13" s="518"/>
      <c r="FE13" s="519"/>
      <c r="FF13" s="516" t="s">
        <v>671</v>
      </c>
      <c r="FG13" s="520"/>
      <c r="FH13" s="520"/>
      <c r="FI13" s="521"/>
      <c r="FJ13" s="515" t="s">
        <v>720</v>
      </c>
      <c r="FK13" s="516"/>
      <c r="FL13" s="516"/>
      <c r="FM13" s="517"/>
      <c r="FN13" s="518"/>
      <c r="FO13" s="519"/>
      <c r="FP13" s="516" t="s">
        <v>671</v>
      </c>
      <c r="FQ13" s="520"/>
      <c r="FR13" s="520"/>
      <c r="FS13" s="521"/>
      <c r="FT13" s="515" t="s">
        <v>720</v>
      </c>
      <c r="FU13" s="516"/>
      <c r="FV13" s="516"/>
      <c r="FW13" s="517"/>
      <c r="FX13" s="518"/>
      <c r="FY13" s="519"/>
      <c r="FZ13" s="516" t="s">
        <v>671</v>
      </c>
      <c r="GA13" s="520"/>
      <c r="GB13" s="520"/>
      <c r="GC13" s="521"/>
      <c r="GD13" s="515" t="s">
        <v>720</v>
      </c>
      <c r="GE13" s="516"/>
      <c r="GF13" s="516"/>
      <c r="GG13" s="517"/>
      <c r="GH13" s="518"/>
      <c r="GI13" s="519"/>
      <c r="GJ13" s="516" t="s">
        <v>671</v>
      </c>
      <c r="GK13" s="520"/>
      <c r="GL13" s="520"/>
      <c r="GM13" s="521"/>
      <c r="GN13" s="515" t="s">
        <v>720</v>
      </c>
      <c r="GO13" s="516"/>
      <c r="GP13" s="516"/>
      <c r="GQ13" s="517"/>
      <c r="GR13" s="518"/>
      <c r="GS13" s="519"/>
      <c r="GT13" s="516" t="s">
        <v>671</v>
      </c>
      <c r="GU13" s="520"/>
      <c r="GV13" s="520"/>
      <c r="GW13" s="521"/>
    </row>
    <row r="14" spans="1:205" ht="13" x14ac:dyDescent="0.3">
      <c r="B14" s="522"/>
      <c r="C14" s="523" t="s">
        <v>672</v>
      </c>
      <c r="D14" s="524"/>
      <c r="E14" s="524"/>
      <c r="F14" s="525"/>
      <c r="G14" s="519"/>
      <c r="H14" s="526"/>
      <c r="I14" s="524" t="s">
        <v>672</v>
      </c>
      <c r="J14" s="527"/>
      <c r="K14" s="527"/>
      <c r="L14" s="528"/>
      <c r="M14" s="523" t="s">
        <v>672</v>
      </c>
      <c r="N14" s="524"/>
      <c r="O14" s="524"/>
      <c r="P14" s="525"/>
      <c r="Q14" s="519"/>
      <c r="R14" s="526"/>
      <c r="S14" s="524" t="s">
        <v>672</v>
      </c>
      <c r="T14" s="527"/>
      <c r="U14" s="527"/>
      <c r="V14" s="528"/>
      <c r="W14" s="523" t="s">
        <v>672</v>
      </c>
      <c r="X14" s="524"/>
      <c r="Y14" s="524"/>
      <c r="Z14" s="525"/>
      <c r="AA14" s="519"/>
      <c r="AB14" s="526"/>
      <c r="AC14" s="524" t="s">
        <v>672</v>
      </c>
      <c r="AD14" s="527"/>
      <c r="AE14" s="527"/>
      <c r="AF14" s="528"/>
      <c r="AG14" s="523" t="s">
        <v>672</v>
      </c>
      <c r="AH14" s="524"/>
      <c r="AI14" s="524"/>
      <c r="AJ14" s="525"/>
      <c r="AK14" s="519"/>
      <c r="AL14" s="526"/>
      <c r="AM14" s="524" t="s">
        <v>672</v>
      </c>
      <c r="AN14" s="527"/>
      <c r="AO14" s="527"/>
      <c r="AP14" s="528"/>
      <c r="AQ14" s="523" t="s">
        <v>672</v>
      </c>
      <c r="AR14" s="524"/>
      <c r="AS14" s="524"/>
      <c r="AT14" s="525"/>
      <c r="AU14" s="519"/>
      <c r="AV14" s="526"/>
      <c r="AW14" s="524" t="s">
        <v>672</v>
      </c>
      <c r="AX14" s="527"/>
      <c r="AY14" s="527"/>
      <c r="AZ14" s="528"/>
      <c r="BB14" s="523" t="s">
        <v>672</v>
      </c>
      <c r="BC14" s="524"/>
      <c r="BD14" s="524"/>
      <c r="BE14" s="525"/>
      <c r="BF14" s="519"/>
      <c r="BG14" s="526"/>
      <c r="BH14" s="524" t="s">
        <v>672</v>
      </c>
      <c r="BI14" s="527"/>
      <c r="BJ14" s="527"/>
      <c r="BK14" s="528"/>
      <c r="BL14" s="869" t="s">
        <v>672</v>
      </c>
      <c r="BM14" s="870"/>
      <c r="BN14" s="870"/>
      <c r="BO14" s="871"/>
      <c r="BP14" s="866"/>
      <c r="BQ14" s="872"/>
      <c r="BR14" s="870" t="s">
        <v>672</v>
      </c>
      <c r="BS14" s="873"/>
      <c r="BT14" s="873"/>
      <c r="BU14" s="874"/>
      <c r="BV14" s="523" t="s">
        <v>672</v>
      </c>
      <c r="BW14" s="524"/>
      <c r="BX14" s="524"/>
      <c r="BY14" s="525"/>
      <c r="BZ14" s="519"/>
      <c r="CA14" s="526"/>
      <c r="CB14" s="524" t="s">
        <v>672</v>
      </c>
      <c r="CC14" s="527"/>
      <c r="CD14" s="527"/>
      <c r="CE14" s="528"/>
      <c r="CF14" s="523" t="s">
        <v>672</v>
      </c>
      <c r="CG14" s="524"/>
      <c r="CH14" s="524"/>
      <c r="CI14" s="525"/>
      <c r="CJ14" s="519"/>
      <c r="CK14" s="526"/>
      <c r="CL14" s="524" t="s">
        <v>672</v>
      </c>
      <c r="CM14" s="527"/>
      <c r="CN14" s="527"/>
      <c r="CO14" s="528"/>
      <c r="CP14" s="523" t="s">
        <v>672</v>
      </c>
      <c r="CQ14" s="524"/>
      <c r="CR14" s="524"/>
      <c r="CS14" s="525"/>
      <c r="CT14" s="519"/>
      <c r="CU14" s="526"/>
      <c r="CV14" s="524" t="s">
        <v>672</v>
      </c>
      <c r="CW14" s="527"/>
      <c r="CX14" s="527"/>
      <c r="CY14" s="528"/>
      <c r="DA14" s="523" t="s">
        <v>672</v>
      </c>
      <c r="DB14" s="524"/>
      <c r="DC14" s="524"/>
      <c r="DD14" s="525"/>
      <c r="DE14" s="519"/>
      <c r="DF14" s="526"/>
      <c r="DG14" s="524" t="s">
        <v>672</v>
      </c>
      <c r="DH14" s="527"/>
      <c r="DI14" s="527"/>
      <c r="DJ14" s="528"/>
      <c r="DK14" s="523" t="s">
        <v>672</v>
      </c>
      <c r="DL14" s="524"/>
      <c r="DM14" s="524"/>
      <c r="DN14" s="525"/>
      <c r="DO14" s="519"/>
      <c r="DP14" s="526"/>
      <c r="DQ14" s="524" t="s">
        <v>672</v>
      </c>
      <c r="DR14" s="527"/>
      <c r="DS14" s="527"/>
      <c r="DT14" s="528"/>
      <c r="DU14" s="523" t="s">
        <v>672</v>
      </c>
      <c r="DV14" s="524"/>
      <c r="DW14" s="524"/>
      <c r="DX14" s="525"/>
      <c r="DY14" s="519"/>
      <c r="DZ14" s="526"/>
      <c r="EA14" s="524" t="s">
        <v>672</v>
      </c>
      <c r="EB14" s="527"/>
      <c r="EC14" s="527"/>
      <c r="ED14" s="528"/>
      <c r="EE14" s="523" t="s">
        <v>672</v>
      </c>
      <c r="EF14" s="524"/>
      <c r="EG14" s="524"/>
      <c r="EH14" s="525"/>
      <c r="EI14" s="519"/>
      <c r="EJ14" s="526"/>
      <c r="EK14" s="524" t="s">
        <v>672</v>
      </c>
      <c r="EL14" s="527"/>
      <c r="EM14" s="527"/>
      <c r="EN14" s="528"/>
      <c r="EO14" s="523" t="s">
        <v>672</v>
      </c>
      <c r="EP14" s="524"/>
      <c r="EQ14" s="524"/>
      <c r="ER14" s="525"/>
      <c r="ES14" s="519"/>
      <c r="ET14" s="526"/>
      <c r="EU14" s="524" t="s">
        <v>672</v>
      </c>
      <c r="EV14" s="527"/>
      <c r="EW14" s="527"/>
      <c r="EX14" s="528"/>
      <c r="EZ14" s="523" t="s">
        <v>672</v>
      </c>
      <c r="FA14" s="524"/>
      <c r="FB14" s="524"/>
      <c r="FC14" s="525"/>
      <c r="FD14" s="519"/>
      <c r="FE14" s="526"/>
      <c r="FF14" s="524" t="s">
        <v>672</v>
      </c>
      <c r="FG14" s="527"/>
      <c r="FH14" s="527"/>
      <c r="FI14" s="528"/>
      <c r="FJ14" s="523" t="s">
        <v>672</v>
      </c>
      <c r="FK14" s="524"/>
      <c r="FL14" s="524"/>
      <c r="FM14" s="525"/>
      <c r="FN14" s="519"/>
      <c r="FO14" s="526"/>
      <c r="FP14" s="524" t="s">
        <v>672</v>
      </c>
      <c r="FQ14" s="527"/>
      <c r="FR14" s="527"/>
      <c r="FS14" s="528"/>
      <c r="FT14" s="523" t="s">
        <v>672</v>
      </c>
      <c r="FU14" s="524"/>
      <c r="FV14" s="524"/>
      <c r="FW14" s="525"/>
      <c r="FX14" s="519"/>
      <c r="FY14" s="526"/>
      <c r="FZ14" s="524" t="s">
        <v>672</v>
      </c>
      <c r="GA14" s="527"/>
      <c r="GB14" s="527"/>
      <c r="GC14" s="528"/>
      <c r="GD14" s="523" t="s">
        <v>672</v>
      </c>
      <c r="GE14" s="524"/>
      <c r="GF14" s="524"/>
      <c r="GG14" s="525"/>
      <c r="GH14" s="519"/>
      <c r="GI14" s="526"/>
      <c r="GJ14" s="524" t="s">
        <v>672</v>
      </c>
      <c r="GK14" s="527"/>
      <c r="GL14" s="527"/>
      <c r="GM14" s="528"/>
      <c r="GN14" s="523" t="s">
        <v>672</v>
      </c>
      <c r="GO14" s="524"/>
      <c r="GP14" s="524"/>
      <c r="GQ14" s="525"/>
      <c r="GR14" s="519"/>
      <c r="GS14" s="526"/>
      <c r="GT14" s="524" t="s">
        <v>672</v>
      </c>
      <c r="GU14" s="527"/>
      <c r="GV14" s="527"/>
      <c r="GW14" s="528"/>
    </row>
    <row r="15" spans="1:205" ht="104" x14ac:dyDescent="0.3">
      <c r="B15" s="529" t="s">
        <v>496</v>
      </c>
      <c r="C15" s="530" t="s">
        <v>660</v>
      </c>
      <c r="D15" s="531" t="s">
        <v>673</v>
      </c>
      <c r="E15" s="531" t="s">
        <v>674</v>
      </c>
      <c r="F15" s="532" t="s">
        <v>345</v>
      </c>
      <c r="G15" s="533" t="s">
        <v>675</v>
      </c>
      <c r="H15" s="533" t="s">
        <v>676</v>
      </c>
      <c r="I15" s="531" t="s">
        <v>660</v>
      </c>
      <c r="J15" s="534" t="s">
        <v>677</v>
      </c>
      <c r="K15" s="534" t="s">
        <v>664</v>
      </c>
      <c r="L15" s="535" t="s">
        <v>345</v>
      </c>
      <c r="M15" s="530" t="s">
        <v>660</v>
      </c>
      <c r="N15" s="531" t="s">
        <v>673</v>
      </c>
      <c r="O15" s="531" t="s">
        <v>674</v>
      </c>
      <c r="P15" s="532" t="s">
        <v>345</v>
      </c>
      <c r="Q15" s="533" t="s">
        <v>675</v>
      </c>
      <c r="R15" s="533" t="s">
        <v>676</v>
      </c>
      <c r="S15" s="531" t="s">
        <v>660</v>
      </c>
      <c r="T15" s="534" t="s">
        <v>677</v>
      </c>
      <c r="U15" s="534" t="s">
        <v>664</v>
      </c>
      <c r="V15" s="535" t="s">
        <v>345</v>
      </c>
      <c r="W15" s="530" t="s">
        <v>660</v>
      </c>
      <c r="X15" s="531" t="s">
        <v>673</v>
      </c>
      <c r="Y15" s="531" t="s">
        <v>674</v>
      </c>
      <c r="Z15" s="532" t="s">
        <v>345</v>
      </c>
      <c r="AA15" s="533" t="s">
        <v>675</v>
      </c>
      <c r="AB15" s="533" t="s">
        <v>676</v>
      </c>
      <c r="AC15" s="531" t="s">
        <v>660</v>
      </c>
      <c r="AD15" s="534" t="s">
        <v>677</v>
      </c>
      <c r="AE15" s="534" t="s">
        <v>664</v>
      </c>
      <c r="AF15" s="535" t="s">
        <v>345</v>
      </c>
      <c r="AG15" s="530" t="s">
        <v>660</v>
      </c>
      <c r="AH15" s="531" t="s">
        <v>673</v>
      </c>
      <c r="AI15" s="531" t="s">
        <v>674</v>
      </c>
      <c r="AJ15" s="532" t="s">
        <v>345</v>
      </c>
      <c r="AK15" s="533" t="s">
        <v>675</v>
      </c>
      <c r="AL15" s="533" t="s">
        <v>676</v>
      </c>
      <c r="AM15" s="531" t="s">
        <v>660</v>
      </c>
      <c r="AN15" s="534" t="s">
        <v>677</v>
      </c>
      <c r="AO15" s="534" t="s">
        <v>664</v>
      </c>
      <c r="AP15" s="535" t="s">
        <v>345</v>
      </c>
      <c r="AQ15" s="530" t="s">
        <v>660</v>
      </c>
      <c r="AR15" s="531" t="s">
        <v>673</v>
      </c>
      <c r="AS15" s="531" t="s">
        <v>674</v>
      </c>
      <c r="AT15" s="532" t="s">
        <v>345</v>
      </c>
      <c r="AU15" s="533" t="s">
        <v>675</v>
      </c>
      <c r="AV15" s="533" t="s">
        <v>676</v>
      </c>
      <c r="AW15" s="531" t="s">
        <v>660</v>
      </c>
      <c r="AX15" s="534" t="s">
        <v>677</v>
      </c>
      <c r="AY15" s="534" t="s">
        <v>664</v>
      </c>
      <c r="AZ15" s="535" t="s">
        <v>345</v>
      </c>
      <c r="BB15" s="530" t="s">
        <v>660</v>
      </c>
      <c r="BC15" s="531" t="s">
        <v>673</v>
      </c>
      <c r="BD15" s="531" t="s">
        <v>674</v>
      </c>
      <c r="BE15" s="532" t="s">
        <v>345</v>
      </c>
      <c r="BF15" s="533" t="s">
        <v>675</v>
      </c>
      <c r="BG15" s="533" t="s">
        <v>676</v>
      </c>
      <c r="BH15" s="531" t="s">
        <v>660</v>
      </c>
      <c r="BI15" s="534" t="s">
        <v>677</v>
      </c>
      <c r="BJ15" s="534" t="s">
        <v>664</v>
      </c>
      <c r="BK15" s="535" t="s">
        <v>345</v>
      </c>
      <c r="BL15" s="875" t="s">
        <v>660</v>
      </c>
      <c r="BM15" s="876" t="s">
        <v>673</v>
      </c>
      <c r="BN15" s="876" t="s">
        <v>674</v>
      </c>
      <c r="BO15" s="877" t="s">
        <v>345</v>
      </c>
      <c r="BP15" s="878" t="s">
        <v>675</v>
      </c>
      <c r="BQ15" s="878" t="s">
        <v>676</v>
      </c>
      <c r="BR15" s="876" t="s">
        <v>660</v>
      </c>
      <c r="BS15" s="879" t="s">
        <v>677</v>
      </c>
      <c r="BT15" s="879" t="s">
        <v>664</v>
      </c>
      <c r="BU15" s="880" t="s">
        <v>345</v>
      </c>
      <c r="BV15" s="530" t="s">
        <v>660</v>
      </c>
      <c r="BW15" s="531" t="s">
        <v>673</v>
      </c>
      <c r="BX15" s="531" t="s">
        <v>674</v>
      </c>
      <c r="BY15" s="532" t="s">
        <v>345</v>
      </c>
      <c r="BZ15" s="533" t="s">
        <v>675</v>
      </c>
      <c r="CA15" s="533" t="s">
        <v>676</v>
      </c>
      <c r="CB15" s="531" t="s">
        <v>660</v>
      </c>
      <c r="CC15" s="534" t="s">
        <v>677</v>
      </c>
      <c r="CD15" s="534" t="s">
        <v>664</v>
      </c>
      <c r="CE15" s="535" t="s">
        <v>345</v>
      </c>
      <c r="CF15" s="530" t="s">
        <v>660</v>
      </c>
      <c r="CG15" s="531" t="s">
        <v>673</v>
      </c>
      <c r="CH15" s="531" t="s">
        <v>674</v>
      </c>
      <c r="CI15" s="532" t="s">
        <v>345</v>
      </c>
      <c r="CJ15" s="533" t="s">
        <v>675</v>
      </c>
      <c r="CK15" s="533" t="s">
        <v>676</v>
      </c>
      <c r="CL15" s="531" t="s">
        <v>660</v>
      </c>
      <c r="CM15" s="534" t="s">
        <v>677</v>
      </c>
      <c r="CN15" s="534" t="s">
        <v>664</v>
      </c>
      <c r="CO15" s="535" t="s">
        <v>345</v>
      </c>
      <c r="CP15" s="530" t="s">
        <v>660</v>
      </c>
      <c r="CQ15" s="531" t="s">
        <v>673</v>
      </c>
      <c r="CR15" s="531" t="s">
        <v>674</v>
      </c>
      <c r="CS15" s="532" t="s">
        <v>345</v>
      </c>
      <c r="CT15" s="533" t="s">
        <v>675</v>
      </c>
      <c r="CU15" s="533" t="s">
        <v>676</v>
      </c>
      <c r="CV15" s="531" t="s">
        <v>660</v>
      </c>
      <c r="CW15" s="534" t="s">
        <v>677</v>
      </c>
      <c r="CX15" s="534" t="s">
        <v>664</v>
      </c>
      <c r="CY15" s="535" t="s">
        <v>345</v>
      </c>
      <c r="DA15" s="530" t="s">
        <v>660</v>
      </c>
      <c r="DB15" s="531" t="s">
        <v>673</v>
      </c>
      <c r="DC15" s="531" t="s">
        <v>674</v>
      </c>
      <c r="DD15" s="532" t="s">
        <v>345</v>
      </c>
      <c r="DE15" s="533" t="s">
        <v>675</v>
      </c>
      <c r="DF15" s="533" t="s">
        <v>676</v>
      </c>
      <c r="DG15" s="531" t="s">
        <v>660</v>
      </c>
      <c r="DH15" s="534" t="s">
        <v>677</v>
      </c>
      <c r="DI15" s="534" t="s">
        <v>664</v>
      </c>
      <c r="DJ15" s="535" t="s">
        <v>345</v>
      </c>
      <c r="DK15" s="530" t="s">
        <v>660</v>
      </c>
      <c r="DL15" s="531" t="s">
        <v>673</v>
      </c>
      <c r="DM15" s="531" t="s">
        <v>674</v>
      </c>
      <c r="DN15" s="532" t="s">
        <v>345</v>
      </c>
      <c r="DO15" s="533" t="s">
        <v>675</v>
      </c>
      <c r="DP15" s="533" t="s">
        <v>676</v>
      </c>
      <c r="DQ15" s="531" t="s">
        <v>660</v>
      </c>
      <c r="DR15" s="534" t="s">
        <v>677</v>
      </c>
      <c r="DS15" s="534" t="s">
        <v>664</v>
      </c>
      <c r="DT15" s="535" t="s">
        <v>345</v>
      </c>
      <c r="DU15" s="530" t="s">
        <v>660</v>
      </c>
      <c r="DV15" s="531" t="s">
        <v>673</v>
      </c>
      <c r="DW15" s="531" t="s">
        <v>674</v>
      </c>
      <c r="DX15" s="532" t="s">
        <v>345</v>
      </c>
      <c r="DY15" s="533" t="s">
        <v>675</v>
      </c>
      <c r="DZ15" s="533" t="s">
        <v>676</v>
      </c>
      <c r="EA15" s="531" t="s">
        <v>660</v>
      </c>
      <c r="EB15" s="534" t="s">
        <v>677</v>
      </c>
      <c r="EC15" s="534" t="s">
        <v>664</v>
      </c>
      <c r="ED15" s="535" t="s">
        <v>345</v>
      </c>
      <c r="EE15" s="530" t="s">
        <v>660</v>
      </c>
      <c r="EF15" s="531" t="s">
        <v>673</v>
      </c>
      <c r="EG15" s="531" t="s">
        <v>674</v>
      </c>
      <c r="EH15" s="532" t="s">
        <v>345</v>
      </c>
      <c r="EI15" s="533" t="s">
        <v>675</v>
      </c>
      <c r="EJ15" s="533" t="s">
        <v>676</v>
      </c>
      <c r="EK15" s="531" t="s">
        <v>660</v>
      </c>
      <c r="EL15" s="534" t="s">
        <v>677</v>
      </c>
      <c r="EM15" s="534" t="s">
        <v>664</v>
      </c>
      <c r="EN15" s="535" t="s">
        <v>345</v>
      </c>
      <c r="EO15" s="530" t="s">
        <v>660</v>
      </c>
      <c r="EP15" s="531" t="s">
        <v>673</v>
      </c>
      <c r="EQ15" s="531" t="s">
        <v>674</v>
      </c>
      <c r="ER15" s="532" t="s">
        <v>345</v>
      </c>
      <c r="ES15" s="533" t="s">
        <v>675</v>
      </c>
      <c r="ET15" s="533" t="s">
        <v>676</v>
      </c>
      <c r="EU15" s="531" t="s">
        <v>660</v>
      </c>
      <c r="EV15" s="534" t="s">
        <v>677</v>
      </c>
      <c r="EW15" s="534" t="s">
        <v>664</v>
      </c>
      <c r="EX15" s="535" t="s">
        <v>345</v>
      </c>
      <c r="EZ15" s="530" t="s">
        <v>660</v>
      </c>
      <c r="FA15" s="531" t="s">
        <v>673</v>
      </c>
      <c r="FB15" s="531" t="s">
        <v>674</v>
      </c>
      <c r="FC15" s="532" t="s">
        <v>345</v>
      </c>
      <c r="FD15" s="533" t="s">
        <v>675</v>
      </c>
      <c r="FE15" s="533" t="s">
        <v>676</v>
      </c>
      <c r="FF15" s="531" t="s">
        <v>660</v>
      </c>
      <c r="FG15" s="534" t="s">
        <v>677</v>
      </c>
      <c r="FH15" s="534" t="s">
        <v>664</v>
      </c>
      <c r="FI15" s="535" t="s">
        <v>345</v>
      </c>
      <c r="FJ15" s="530" t="s">
        <v>660</v>
      </c>
      <c r="FK15" s="531" t="s">
        <v>673</v>
      </c>
      <c r="FL15" s="531" t="s">
        <v>674</v>
      </c>
      <c r="FM15" s="532" t="s">
        <v>345</v>
      </c>
      <c r="FN15" s="533" t="s">
        <v>675</v>
      </c>
      <c r="FO15" s="533" t="s">
        <v>676</v>
      </c>
      <c r="FP15" s="531" t="s">
        <v>660</v>
      </c>
      <c r="FQ15" s="534" t="s">
        <v>677</v>
      </c>
      <c r="FR15" s="534" t="s">
        <v>664</v>
      </c>
      <c r="FS15" s="535" t="s">
        <v>345</v>
      </c>
      <c r="FT15" s="530" t="s">
        <v>660</v>
      </c>
      <c r="FU15" s="531" t="s">
        <v>673</v>
      </c>
      <c r="FV15" s="531" t="s">
        <v>674</v>
      </c>
      <c r="FW15" s="532" t="s">
        <v>345</v>
      </c>
      <c r="FX15" s="533" t="s">
        <v>675</v>
      </c>
      <c r="FY15" s="533" t="s">
        <v>676</v>
      </c>
      <c r="FZ15" s="531" t="s">
        <v>660</v>
      </c>
      <c r="GA15" s="534" t="s">
        <v>677</v>
      </c>
      <c r="GB15" s="534" t="s">
        <v>664</v>
      </c>
      <c r="GC15" s="535" t="s">
        <v>345</v>
      </c>
      <c r="GD15" s="530" t="s">
        <v>660</v>
      </c>
      <c r="GE15" s="531" t="s">
        <v>673</v>
      </c>
      <c r="GF15" s="531" t="s">
        <v>674</v>
      </c>
      <c r="GG15" s="532" t="s">
        <v>345</v>
      </c>
      <c r="GH15" s="533" t="s">
        <v>675</v>
      </c>
      <c r="GI15" s="533" t="s">
        <v>676</v>
      </c>
      <c r="GJ15" s="531" t="s">
        <v>660</v>
      </c>
      <c r="GK15" s="534" t="s">
        <v>677</v>
      </c>
      <c r="GL15" s="534" t="s">
        <v>664</v>
      </c>
      <c r="GM15" s="535" t="s">
        <v>345</v>
      </c>
      <c r="GN15" s="530" t="s">
        <v>660</v>
      </c>
      <c r="GO15" s="531" t="s">
        <v>673</v>
      </c>
      <c r="GP15" s="531" t="s">
        <v>674</v>
      </c>
      <c r="GQ15" s="532" t="s">
        <v>345</v>
      </c>
      <c r="GR15" s="533" t="s">
        <v>675</v>
      </c>
      <c r="GS15" s="533" t="s">
        <v>676</v>
      </c>
      <c r="GT15" s="531" t="s">
        <v>660</v>
      </c>
      <c r="GU15" s="534" t="s">
        <v>677</v>
      </c>
      <c r="GV15" s="534" t="s">
        <v>664</v>
      </c>
      <c r="GW15" s="535" t="s">
        <v>345</v>
      </c>
    </row>
    <row r="16" spans="1:205" s="499" customFormat="1" x14ac:dyDescent="0.25">
      <c r="A16" s="498" t="str">
        <f>B16</f>
        <v>Aluminum Cans</v>
      </c>
      <c r="B16" s="547" t="s">
        <v>515</v>
      </c>
      <c r="C16" s="548">
        <v>0</v>
      </c>
      <c r="D16" s="549">
        <v>0</v>
      </c>
      <c r="E16" s="549">
        <v>0</v>
      </c>
      <c r="F16" s="550">
        <v>0</v>
      </c>
      <c r="G16" s="551">
        <v>0</v>
      </c>
      <c r="H16" s="552">
        <f>VLOOKUP($A16,'[1]Post-Consumer Transport'!$C$33:$K$88,3,FALSE)+VLOOKUP($A16,'[1]Post-Consumer Transport'!$C$33:$K$88,4,FALSE)</f>
        <v>2.0254519141196047E-2</v>
      </c>
      <c r="I16" s="553">
        <f>C16+$G16+$H16</f>
        <v>2.0254519141196047E-2</v>
      </c>
      <c r="J16" s="549">
        <f>D16+$G16+$H16</f>
        <v>2.0254519141196047E-2</v>
      </c>
      <c r="K16" s="549">
        <f>E16+$G16+$H16</f>
        <v>2.0254519141196047E-2</v>
      </c>
      <c r="L16" s="550">
        <f>F16+$G16+$H16</f>
        <v>2.0254519141196047E-2</v>
      </c>
      <c r="M16" s="548">
        <v>0</v>
      </c>
      <c r="N16" s="549">
        <v>0</v>
      </c>
      <c r="O16" s="549">
        <v>0</v>
      </c>
      <c r="P16" s="550">
        <v>0</v>
      </c>
      <c r="Q16" s="551">
        <v>0</v>
      </c>
      <c r="R16" s="552">
        <f>VLOOKUP($A16,'[1]Post-Consumer Transport'!$C$33:$K$88,3,FALSE)+VLOOKUP($A16,'[1]Post-Consumer Transport'!$C$33:$K$88,4,FALSE)</f>
        <v>2.0254519141196047E-2</v>
      </c>
      <c r="S16" s="553">
        <f>M16+$G16+$H16</f>
        <v>2.0254519141196047E-2</v>
      </c>
      <c r="T16" s="549">
        <f>N16+$G16+$H16</f>
        <v>2.0254519141196047E-2</v>
      </c>
      <c r="U16" s="549">
        <f>O16+$G16+$H16</f>
        <v>2.0254519141196047E-2</v>
      </c>
      <c r="V16" s="550">
        <f>P16+$G16+$H16</f>
        <v>2.0254519141196047E-2</v>
      </c>
      <c r="W16" s="548">
        <v>0</v>
      </c>
      <c r="X16" s="549">
        <v>0</v>
      </c>
      <c r="Y16" s="549">
        <v>0</v>
      </c>
      <c r="Z16" s="550">
        <v>0</v>
      </c>
      <c r="AA16" s="551">
        <v>0</v>
      </c>
      <c r="AB16" s="552">
        <f>VLOOKUP($A16,'[1]Post-Consumer Transport'!$C$33:$K$88,3,FALSE)+VLOOKUP($A16,'[1]Post-Consumer Transport'!$C$33:$K$88,4,FALSE)</f>
        <v>2.0254519141196047E-2</v>
      </c>
      <c r="AC16" s="553">
        <f>W16+$G16+$H16</f>
        <v>2.0254519141196047E-2</v>
      </c>
      <c r="AD16" s="549">
        <f>X16+$G16+$H16</f>
        <v>2.0254519141196047E-2</v>
      </c>
      <c r="AE16" s="549">
        <f>Y16+$G16+$H16</f>
        <v>2.0254519141196047E-2</v>
      </c>
      <c r="AF16" s="550">
        <f>Z16+$G16+$H16</f>
        <v>2.0254519141196047E-2</v>
      </c>
      <c r="AG16" s="548">
        <v>0</v>
      </c>
      <c r="AH16" s="549">
        <v>0</v>
      </c>
      <c r="AI16" s="549">
        <v>0</v>
      </c>
      <c r="AJ16" s="550">
        <v>0</v>
      </c>
      <c r="AK16" s="551">
        <v>0</v>
      </c>
      <c r="AL16" s="552">
        <f>VLOOKUP($A16,'[1]Post-Consumer Transport'!$C$33:$K$88,3,FALSE)+VLOOKUP($A16,'[1]Post-Consumer Transport'!$C$33:$K$88,4,FALSE)</f>
        <v>2.0254519141196047E-2</v>
      </c>
      <c r="AM16" s="553">
        <f>AG16+$G16+$H16</f>
        <v>2.0254519141196047E-2</v>
      </c>
      <c r="AN16" s="549">
        <f>AH16+$G16+$H16</f>
        <v>2.0254519141196047E-2</v>
      </c>
      <c r="AO16" s="549">
        <f>AI16+$G16+$H16</f>
        <v>2.0254519141196047E-2</v>
      </c>
      <c r="AP16" s="550">
        <f>AJ16+$G16+$H16</f>
        <v>2.0254519141196047E-2</v>
      </c>
      <c r="AQ16" s="548">
        <v>0</v>
      </c>
      <c r="AR16" s="549">
        <v>0</v>
      </c>
      <c r="AS16" s="549">
        <v>0</v>
      </c>
      <c r="AT16" s="550">
        <v>0</v>
      </c>
      <c r="AU16" s="551">
        <v>0</v>
      </c>
      <c r="AV16" s="552">
        <f>VLOOKUP($A16,'[1]Post-Consumer Transport'!$C$33:$K$88,3,FALSE)+VLOOKUP($A16,'[1]Post-Consumer Transport'!$C$33:$K$88,4,FALSE)</f>
        <v>2.0254519141196047E-2</v>
      </c>
      <c r="AW16" s="553">
        <f>AQ16+$G16+$H16</f>
        <v>2.0254519141196047E-2</v>
      </c>
      <c r="AX16" s="549">
        <f>AR16+$G16+$H16</f>
        <v>2.0254519141196047E-2</v>
      </c>
      <c r="AY16" s="549">
        <f>AS16+$G16+$H16</f>
        <v>2.0254519141196047E-2</v>
      </c>
      <c r="AZ16" s="550">
        <f>AT16+$G16+$H16</f>
        <v>2.0254519141196047E-2</v>
      </c>
      <c r="BB16" s="548">
        <v>0</v>
      </c>
      <c r="BC16" s="549">
        <v>0</v>
      </c>
      <c r="BD16" s="549">
        <v>0</v>
      </c>
      <c r="BE16" s="550">
        <v>0</v>
      </c>
      <c r="BF16" s="551">
        <v>0</v>
      </c>
      <c r="BG16" s="552">
        <f>VLOOKUP($A16,'[1]Post-Consumer Transport'!$C$33:$K$88,3,FALSE)+VLOOKUP($A16,'[1]Post-Consumer Transport'!$C$33:$K$88,4,FALSE)</f>
        <v>2.0254519141196047E-2</v>
      </c>
      <c r="BH16" s="553">
        <f>BB16+$G16+$H16</f>
        <v>2.0254519141196047E-2</v>
      </c>
      <c r="BI16" s="549">
        <f>BC16+$G16+$H16</f>
        <v>2.0254519141196047E-2</v>
      </c>
      <c r="BJ16" s="549">
        <f>BD16+$G16+$H16</f>
        <v>2.0254519141196047E-2</v>
      </c>
      <c r="BK16" s="550">
        <f>BE16+$G16+$H16</f>
        <v>2.0254519141196047E-2</v>
      </c>
      <c r="BL16" s="881">
        <v>0</v>
      </c>
      <c r="BM16" s="882">
        <v>0</v>
      </c>
      <c r="BN16" s="882">
        <v>0</v>
      </c>
      <c r="BO16" s="883">
        <v>0</v>
      </c>
      <c r="BP16" s="884">
        <v>0</v>
      </c>
      <c r="BQ16" s="885">
        <f>VLOOKUP($A16,'[1]Post-Consumer Transport'!$C$33:$K$88,3,FALSE)+VLOOKUP($A16,'[1]Post-Consumer Transport'!$C$33:$K$88,4,FALSE)</f>
        <v>2.0254519141196047E-2</v>
      </c>
      <c r="BR16" s="886">
        <f>BL16+$G16+$H16</f>
        <v>2.0254519141196047E-2</v>
      </c>
      <c r="BS16" s="882">
        <f>BM16+$G16+$H16</f>
        <v>2.0254519141196047E-2</v>
      </c>
      <c r="BT16" s="882">
        <f>BN16+$G16+$H16</f>
        <v>2.0254519141196047E-2</v>
      </c>
      <c r="BU16" s="883">
        <f>BO16+$G16+$H16</f>
        <v>2.0254519141196047E-2</v>
      </c>
      <c r="BV16" s="548">
        <v>0</v>
      </c>
      <c r="BW16" s="549">
        <v>0</v>
      </c>
      <c r="BX16" s="549">
        <v>0</v>
      </c>
      <c r="BY16" s="550">
        <v>0</v>
      </c>
      <c r="BZ16" s="551">
        <v>0</v>
      </c>
      <c r="CA16" s="552">
        <f>VLOOKUP($A16,'[1]Post-Consumer Transport'!$C$33:$K$88,3,FALSE)+VLOOKUP($A16,'[1]Post-Consumer Transport'!$C$33:$K$88,4,FALSE)</f>
        <v>2.0254519141196047E-2</v>
      </c>
      <c r="CB16" s="553">
        <f>BV16+$G16+$H16</f>
        <v>2.0254519141196047E-2</v>
      </c>
      <c r="CC16" s="549">
        <f>BW16+$G16+$H16</f>
        <v>2.0254519141196047E-2</v>
      </c>
      <c r="CD16" s="549">
        <f>BX16+$G16+$H16</f>
        <v>2.0254519141196047E-2</v>
      </c>
      <c r="CE16" s="550">
        <f>BY16+$G16+$H16</f>
        <v>2.0254519141196047E-2</v>
      </c>
      <c r="CF16" s="548">
        <v>0</v>
      </c>
      <c r="CG16" s="549">
        <v>0</v>
      </c>
      <c r="CH16" s="549">
        <v>0</v>
      </c>
      <c r="CI16" s="550">
        <v>0</v>
      </c>
      <c r="CJ16" s="551">
        <v>0</v>
      </c>
      <c r="CK16" s="552">
        <f>VLOOKUP($A16,'[1]Post-Consumer Transport'!$C$33:$K$88,3,FALSE)+VLOOKUP($A16,'[1]Post-Consumer Transport'!$C$33:$K$88,4,FALSE)</f>
        <v>2.0254519141196047E-2</v>
      </c>
      <c r="CL16" s="553">
        <f>CF16+$G16+$H16</f>
        <v>2.0254519141196047E-2</v>
      </c>
      <c r="CM16" s="549">
        <f>CG16+$G16+$H16</f>
        <v>2.0254519141196047E-2</v>
      </c>
      <c r="CN16" s="549">
        <f>CH16+$G16+$H16</f>
        <v>2.0254519141196047E-2</v>
      </c>
      <c r="CO16" s="550">
        <f>CI16+$G16+$H16</f>
        <v>2.0254519141196047E-2</v>
      </c>
      <c r="CP16" s="548">
        <v>0</v>
      </c>
      <c r="CQ16" s="549">
        <v>0</v>
      </c>
      <c r="CR16" s="549">
        <v>0</v>
      </c>
      <c r="CS16" s="550">
        <v>0</v>
      </c>
      <c r="CT16" s="551">
        <v>0</v>
      </c>
      <c r="CU16" s="552">
        <f>VLOOKUP($A16,'[1]Post-Consumer Transport'!$C$33:$K$88,3,FALSE)+VLOOKUP($A16,'[1]Post-Consumer Transport'!$C$33:$K$88,4,FALSE)</f>
        <v>2.0254519141196047E-2</v>
      </c>
      <c r="CV16" s="553">
        <f>CP16+$G16+$H16</f>
        <v>2.0254519141196047E-2</v>
      </c>
      <c r="CW16" s="549">
        <f>CQ16+$G16+$H16</f>
        <v>2.0254519141196047E-2</v>
      </c>
      <c r="CX16" s="549">
        <f>CR16+$G16+$H16</f>
        <v>2.0254519141196047E-2</v>
      </c>
      <c r="CY16" s="550">
        <f>CS16+$G16+$H16</f>
        <v>2.0254519141196047E-2</v>
      </c>
      <c r="DA16" s="548">
        <v>0</v>
      </c>
      <c r="DB16" s="549">
        <v>0</v>
      </c>
      <c r="DC16" s="549">
        <v>0</v>
      </c>
      <c r="DD16" s="550">
        <v>0</v>
      </c>
      <c r="DE16" s="551">
        <v>0</v>
      </c>
      <c r="DF16" s="552">
        <f>VLOOKUP($A16,'[1]Post-Consumer Transport'!$C$33:$K$88,3,FALSE)+VLOOKUP($A16,'[1]Post-Consumer Transport'!$C$33:$K$88,4,FALSE)</f>
        <v>2.0254519141196047E-2</v>
      </c>
      <c r="DG16" s="553">
        <f>DA16+$G16+$H16</f>
        <v>2.0254519141196047E-2</v>
      </c>
      <c r="DH16" s="549">
        <f>DB16+$G16+$H16</f>
        <v>2.0254519141196047E-2</v>
      </c>
      <c r="DI16" s="549">
        <f>DC16+$G16+$H16</f>
        <v>2.0254519141196047E-2</v>
      </c>
      <c r="DJ16" s="550">
        <f>DD16+$G16+$H16</f>
        <v>2.0254519141196047E-2</v>
      </c>
      <c r="DK16" s="548">
        <v>0</v>
      </c>
      <c r="DL16" s="549">
        <v>0</v>
      </c>
      <c r="DM16" s="549">
        <v>0</v>
      </c>
      <c r="DN16" s="550">
        <v>0</v>
      </c>
      <c r="DO16" s="551">
        <v>0</v>
      </c>
      <c r="DP16" s="552">
        <f>VLOOKUP($A16,'[1]Post-Consumer Transport'!$C$33:$K$88,3,FALSE)+VLOOKUP($A16,'[1]Post-Consumer Transport'!$C$33:$K$88,4,FALSE)</f>
        <v>2.0254519141196047E-2</v>
      </c>
      <c r="DQ16" s="553">
        <f>DK16+$G16+$H16</f>
        <v>2.0254519141196047E-2</v>
      </c>
      <c r="DR16" s="549">
        <f>DL16+$G16+$H16</f>
        <v>2.0254519141196047E-2</v>
      </c>
      <c r="DS16" s="549">
        <f>DM16+$G16+$H16</f>
        <v>2.0254519141196047E-2</v>
      </c>
      <c r="DT16" s="550">
        <f>DN16+$G16+$H16</f>
        <v>2.0254519141196047E-2</v>
      </c>
      <c r="DU16" s="548">
        <v>0</v>
      </c>
      <c r="DV16" s="549">
        <v>0</v>
      </c>
      <c r="DW16" s="549">
        <v>0</v>
      </c>
      <c r="DX16" s="550">
        <v>0</v>
      </c>
      <c r="DY16" s="551">
        <v>0</v>
      </c>
      <c r="DZ16" s="552">
        <f>VLOOKUP($A16,'[1]Post-Consumer Transport'!$C$33:$K$88,3,FALSE)+VLOOKUP($A16,'[1]Post-Consumer Transport'!$C$33:$K$88,4,FALSE)</f>
        <v>2.0254519141196047E-2</v>
      </c>
      <c r="EA16" s="553">
        <f>DU16+$G16+$H16</f>
        <v>2.0254519141196047E-2</v>
      </c>
      <c r="EB16" s="549">
        <f>DV16+$G16+$H16</f>
        <v>2.0254519141196047E-2</v>
      </c>
      <c r="EC16" s="549">
        <f>DW16+$G16+$H16</f>
        <v>2.0254519141196047E-2</v>
      </c>
      <c r="ED16" s="550">
        <f>DX16+$G16+$H16</f>
        <v>2.0254519141196047E-2</v>
      </c>
      <c r="EE16" s="548">
        <v>0</v>
      </c>
      <c r="EF16" s="549">
        <v>0</v>
      </c>
      <c r="EG16" s="549">
        <v>0</v>
      </c>
      <c r="EH16" s="550">
        <v>0</v>
      </c>
      <c r="EI16" s="551">
        <v>0</v>
      </c>
      <c r="EJ16" s="552">
        <f>VLOOKUP($A16,'[1]Post-Consumer Transport'!$C$33:$K$88,3,FALSE)+VLOOKUP($A16,'[1]Post-Consumer Transport'!$C$33:$K$88,4,FALSE)</f>
        <v>2.0254519141196047E-2</v>
      </c>
      <c r="EK16" s="553">
        <f>EE16+$G16+$H16</f>
        <v>2.0254519141196047E-2</v>
      </c>
      <c r="EL16" s="549">
        <f>EF16+$G16+$H16</f>
        <v>2.0254519141196047E-2</v>
      </c>
      <c r="EM16" s="549">
        <f>EG16+$G16+$H16</f>
        <v>2.0254519141196047E-2</v>
      </c>
      <c r="EN16" s="550">
        <f>EH16+$G16+$H16</f>
        <v>2.0254519141196047E-2</v>
      </c>
      <c r="EO16" s="548">
        <v>0</v>
      </c>
      <c r="EP16" s="549">
        <v>0</v>
      </c>
      <c r="EQ16" s="549">
        <v>0</v>
      </c>
      <c r="ER16" s="550">
        <v>0</v>
      </c>
      <c r="ES16" s="551">
        <v>0</v>
      </c>
      <c r="ET16" s="552">
        <f>VLOOKUP($A16,'[1]Post-Consumer Transport'!$C$33:$K$88,3,FALSE)+VLOOKUP($A16,'[1]Post-Consumer Transport'!$C$33:$K$88,4,FALSE)</f>
        <v>2.0254519141196047E-2</v>
      </c>
      <c r="EU16" s="553">
        <f>EO16+$G16+$H16</f>
        <v>2.0254519141196047E-2</v>
      </c>
      <c r="EV16" s="549">
        <f>EP16+$G16+$H16</f>
        <v>2.0254519141196047E-2</v>
      </c>
      <c r="EW16" s="549">
        <f>EQ16+$G16+$H16</f>
        <v>2.0254519141196047E-2</v>
      </c>
      <c r="EX16" s="550">
        <f>ER16+$G16+$H16</f>
        <v>2.0254519141196047E-2</v>
      </c>
      <c r="EZ16" s="548">
        <v>0</v>
      </c>
      <c r="FA16" s="549">
        <v>0</v>
      </c>
      <c r="FB16" s="549">
        <v>0</v>
      </c>
      <c r="FC16" s="550">
        <v>0</v>
      </c>
      <c r="FD16" s="551">
        <v>0</v>
      </c>
      <c r="FE16" s="552">
        <f>VLOOKUP($A16,'[1]Post-Consumer Transport'!$C$33:$K$88,3,FALSE)+VLOOKUP($A16,'[1]Post-Consumer Transport'!$C$33:$K$88,4,FALSE)</f>
        <v>2.0254519141196047E-2</v>
      </c>
      <c r="FF16" s="553">
        <f>EZ16+$G16+$H16</f>
        <v>2.0254519141196047E-2</v>
      </c>
      <c r="FG16" s="549">
        <f>FA16+$G16+$H16</f>
        <v>2.0254519141196047E-2</v>
      </c>
      <c r="FH16" s="549">
        <f>FB16+$G16+$H16</f>
        <v>2.0254519141196047E-2</v>
      </c>
      <c r="FI16" s="550">
        <f>FC16+$G16+$H16</f>
        <v>2.0254519141196047E-2</v>
      </c>
      <c r="FJ16" s="548">
        <v>0</v>
      </c>
      <c r="FK16" s="549">
        <v>0</v>
      </c>
      <c r="FL16" s="549">
        <v>0</v>
      </c>
      <c r="FM16" s="550">
        <v>0</v>
      </c>
      <c r="FN16" s="551">
        <v>0</v>
      </c>
      <c r="FO16" s="552">
        <f>VLOOKUP($A16,'[1]Post-Consumer Transport'!$C$33:$K$88,3,FALSE)+VLOOKUP($A16,'[1]Post-Consumer Transport'!$C$33:$K$88,4,FALSE)</f>
        <v>2.0254519141196047E-2</v>
      </c>
      <c r="FP16" s="553">
        <f>FJ16+$G16+$H16</f>
        <v>2.0254519141196047E-2</v>
      </c>
      <c r="FQ16" s="549">
        <f>FK16+$G16+$H16</f>
        <v>2.0254519141196047E-2</v>
      </c>
      <c r="FR16" s="549">
        <f>FL16+$G16+$H16</f>
        <v>2.0254519141196047E-2</v>
      </c>
      <c r="FS16" s="550">
        <f>FM16+$G16+$H16</f>
        <v>2.0254519141196047E-2</v>
      </c>
      <c r="FT16" s="548">
        <v>0</v>
      </c>
      <c r="FU16" s="549">
        <v>0</v>
      </c>
      <c r="FV16" s="549">
        <v>0</v>
      </c>
      <c r="FW16" s="550">
        <v>0</v>
      </c>
      <c r="FX16" s="551">
        <v>0</v>
      </c>
      <c r="FY16" s="552">
        <f>VLOOKUP($A16,'[1]Post-Consumer Transport'!$C$33:$K$88,3,FALSE)+VLOOKUP($A16,'[1]Post-Consumer Transport'!$C$33:$K$88,4,FALSE)</f>
        <v>2.0254519141196047E-2</v>
      </c>
      <c r="FZ16" s="553">
        <f>FT16+$G16+$H16</f>
        <v>2.0254519141196047E-2</v>
      </c>
      <c r="GA16" s="549">
        <f>FU16+$G16+$H16</f>
        <v>2.0254519141196047E-2</v>
      </c>
      <c r="GB16" s="549">
        <f>FV16+$G16+$H16</f>
        <v>2.0254519141196047E-2</v>
      </c>
      <c r="GC16" s="550">
        <f>FW16+$G16+$H16</f>
        <v>2.0254519141196047E-2</v>
      </c>
      <c r="GD16" s="548">
        <v>0</v>
      </c>
      <c r="GE16" s="549">
        <v>0</v>
      </c>
      <c r="GF16" s="549">
        <v>0</v>
      </c>
      <c r="GG16" s="550">
        <v>0</v>
      </c>
      <c r="GH16" s="551">
        <v>0</v>
      </c>
      <c r="GI16" s="552">
        <f>VLOOKUP($A16,'[1]Post-Consumer Transport'!$C$33:$K$88,3,FALSE)+VLOOKUP($A16,'[1]Post-Consumer Transport'!$C$33:$K$88,4,FALSE)</f>
        <v>2.0254519141196047E-2</v>
      </c>
      <c r="GJ16" s="553">
        <f>GD16+$G16+$H16</f>
        <v>2.0254519141196047E-2</v>
      </c>
      <c r="GK16" s="549">
        <f>GE16+$G16+$H16</f>
        <v>2.0254519141196047E-2</v>
      </c>
      <c r="GL16" s="549">
        <f>GF16+$G16+$H16</f>
        <v>2.0254519141196047E-2</v>
      </c>
      <c r="GM16" s="550">
        <f>GG16+$G16+$H16</f>
        <v>2.0254519141196047E-2</v>
      </c>
      <c r="GN16" s="548">
        <v>0</v>
      </c>
      <c r="GO16" s="549">
        <v>0</v>
      </c>
      <c r="GP16" s="549">
        <v>0</v>
      </c>
      <c r="GQ16" s="550">
        <v>0</v>
      </c>
      <c r="GR16" s="551">
        <v>0</v>
      </c>
      <c r="GS16" s="552">
        <f>VLOOKUP($A16,'[1]Post-Consumer Transport'!$C$33:$K$88,3,FALSE)+VLOOKUP($A16,'[1]Post-Consumer Transport'!$C$33:$K$88,4,FALSE)</f>
        <v>2.0254519141196047E-2</v>
      </c>
      <c r="GT16" s="553">
        <f>GN16+$G16+$H16</f>
        <v>2.0254519141196047E-2</v>
      </c>
      <c r="GU16" s="549">
        <f>GO16+$G16+$H16</f>
        <v>2.0254519141196047E-2</v>
      </c>
      <c r="GV16" s="549">
        <f>GP16+$G16+$H16</f>
        <v>2.0254519141196047E-2</v>
      </c>
      <c r="GW16" s="550">
        <f>GQ16+$G16+$H16</f>
        <v>2.0254519141196047E-2</v>
      </c>
    </row>
    <row r="17" spans="1:205" s="499" customFormat="1" x14ac:dyDescent="0.25">
      <c r="A17" s="498" t="str">
        <f t="shared" ref="A17:A69" si="16">B17</f>
        <v>Steel Cans</v>
      </c>
      <c r="B17" s="547" t="s">
        <v>516</v>
      </c>
      <c r="C17" s="548">
        <v>0</v>
      </c>
      <c r="D17" s="549">
        <v>0</v>
      </c>
      <c r="E17" s="549">
        <v>0</v>
      </c>
      <c r="F17" s="550">
        <v>0</v>
      </c>
      <c r="G17" s="551">
        <v>0</v>
      </c>
      <c r="H17" s="552">
        <f>VLOOKUP($A17,'[1]Post-Consumer Transport'!$C$33:$K$88,3,FALSE)+VLOOKUP($A17,'[1]Post-Consumer Transport'!$C$33:$K$88,4,FALSE)</f>
        <v>2.0254519141196047E-2</v>
      </c>
      <c r="I17" s="553">
        <f t="shared" ref="I17:I69" si="17">C17+G17+H17</f>
        <v>2.0254519141196047E-2</v>
      </c>
      <c r="J17" s="549">
        <f t="shared" ref="J17:L69" si="18">D17+$G17+$H17</f>
        <v>2.0254519141196047E-2</v>
      </c>
      <c r="K17" s="549">
        <f t="shared" si="18"/>
        <v>2.0254519141196047E-2</v>
      </c>
      <c r="L17" s="550">
        <f t="shared" si="18"/>
        <v>2.0254519141196047E-2</v>
      </c>
      <c r="M17" s="548">
        <v>0</v>
      </c>
      <c r="N17" s="549">
        <v>0</v>
      </c>
      <c r="O17" s="549">
        <v>0</v>
      </c>
      <c r="P17" s="550">
        <v>0</v>
      </c>
      <c r="Q17" s="551">
        <v>0</v>
      </c>
      <c r="R17" s="552">
        <f>VLOOKUP($A17,'[1]Post-Consumer Transport'!$C$33:$K$88,3,FALSE)+VLOOKUP($A17,'[1]Post-Consumer Transport'!$C$33:$K$88,4,FALSE)</f>
        <v>2.0254519141196047E-2</v>
      </c>
      <c r="S17" s="553">
        <f t="shared" ref="S17:S23" si="19">M17+Q17+R17</f>
        <v>2.0254519141196047E-2</v>
      </c>
      <c r="T17" s="549">
        <f t="shared" ref="T17:T69" si="20">N17+$G17+$H17</f>
        <v>2.0254519141196047E-2</v>
      </c>
      <c r="U17" s="549">
        <f t="shared" ref="U17:U69" si="21">O17+$G17+$H17</f>
        <v>2.0254519141196047E-2</v>
      </c>
      <c r="V17" s="550">
        <f t="shared" ref="V17:V69" si="22">P17+$G17+$H17</f>
        <v>2.0254519141196047E-2</v>
      </c>
      <c r="W17" s="548">
        <v>0</v>
      </c>
      <c r="X17" s="549">
        <v>0</v>
      </c>
      <c r="Y17" s="549">
        <v>0</v>
      </c>
      <c r="Z17" s="550">
        <v>0</v>
      </c>
      <c r="AA17" s="551">
        <v>0</v>
      </c>
      <c r="AB17" s="552">
        <f>VLOOKUP($A17,'[1]Post-Consumer Transport'!$C$33:$K$88,3,FALSE)+VLOOKUP($A17,'[1]Post-Consumer Transport'!$C$33:$K$88,4,FALSE)</f>
        <v>2.0254519141196047E-2</v>
      </c>
      <c r="AC17" s="553">
        <f t="shared" ref="AC17:AC23" si="23">W17+AA17+AB17</f>
        <v>2.0254519141196047E-2</v>
      </c>
      <c r="AD17" s="549">
        <f t="shared" ref="AD17:AD69" si="24">X17+$G17+$H17</f>
        <v>2.0254519141196047E-2</v>
      </c>
      <c r="AE17" s="549">
        <f t="shared" ref="AE17:AE69" si="25">Y17+$G17+$H17</f>
        <v>2.0254519141196047E-2</v>
      </c>
      <c r="AF17" s="550">
        <f t="shared" ref="AF17:AF69" si="26">Z17+$G17+$H17</f>
        <v>2.0254519141196047E-2</v>
      </c>
      <c r="AG17" s="548">
        <v>0</v>
      </c>
      <c r="AH17" s="549">
        <v>0</v>
      </c>
      <c r="AI17" s="549">
        <v>0</v>
      </c>
      <c r="AJ17" s="550">
        <v>0</v>
      </c>
      <c r="AK17" s="551">
        <v>0</v>
      </c>
      <c r="AL17" s="552">
        <f>VLOOKUP($A17,'[1]Post-Consumer Transport'!$C$33:$K$88,3,FALSE)+VLOOKUP($A17,'[1]Post-Consumer Transport'!$C$33:$K$88,4,FALSE)</f>
        <v>2.0254519141196047E-2</v>
      </c>
      <c r="AM17" s="553">
        <f t="shared" ref="AM17:AM23" si="27">AG17+AK17+AL17</f>
        <v>2.0254519141196047E-2</v>
      </c>
      <c r="AN17" s="549">
        <f t="shared" ref="AN17:AN69" si="28">AH17+$G17+$H17</f>
        <v>2.0254519141196047E-2</v>
      </c>
      <c r="AO17" s="549">
        <f t="shared" ref="AO17:AO69" si="29">AI17+$G17+$H17</f>
        <v>2.0254519141196047E-2</v>
      </c>
      <c r="AP17" s="550">
        <f t="shared" ref="AP17:AP69" si="30">AJ17+$G17+$H17</f>
        <v>2.0254519141196047E-2</v>
      </c>
      <c r="AQ17" s="548">
        <v>0</v>
      </c>
      <c r="AR17" s="549">
        <v>0</v>
      </c>
      <c r="AS17" s="549">
        <v>0</v>
      </c>
      <c r="AT17" s="550">
        <v>0</v>
      </c>
      <c r="AU17" s="551">
        <v>0</v>
      </c>
      <c r="AV17" s="552">
        <f>VLOOKUP($A17,'[1]Post-Consumer Transport'!$C$33:$K$88,3,FALSE)+VLOOKUP($A17,'[1]Post-Consumer Transport'!$C$33:$K$88,4,FALSE)</f>
        <v>2.0254519141196047E-2</v>
      </c>
      <c r="AW17" s="553">
        <f t="shared" ref="AW17:AW23" si="31">AQ17+AU17+AV17</f>
        <v>2.0254519141196047E-2</v>
      </c>
      <c r="AX17" s="549">
        <f t="shared" ref="AX17:AX69" si="32">AR17+$G17+$H17</f>
        <v>2.0254519141196047E-2</v>
      </c>
      <c r="AY17" s="549">
        <f t="shared" ref="AY17:AY69" si="33">AS17+$G17+$H17</f>
        <v>2.0254519141196047E-2</v>
      </c>
      <c r="AZ17" s="550">
        <f t="shared" ref="AZ17:AZ69" si="34">AT17+$G17+$H17</f>
        <v>2.0254519141196047E-2</v>
      </c>
      <c r="BB17" s="548">
        <v>0</v>
      </c>
      <c r="BC17" s="549">
        <v>0</v>
      </c>
      <c r="BD17" s="549">
        <v>0</v>
      </c>
      <c r="BE17" s="550">
        <v>0</v>
      </c>
      <c r="BF17" s="551">
        <v>0</v>
      </c>
      <c r="BG17" s="552">
        <f>VLOOKUP($A17,'[1]Post-Consumer Transport'!$C$33:$K$88,3,FALSE)+VLOOKUP($A17,'[1]Post-Consumer Transport'!$C$33:$K$88,4,FALSE)</f>
        <v>2.0254519141196047E-2</v>
      </c>
      <c r="BH17" s="553">
        <f t="shared" ref="BH17:BH23" si="35">BB17+BF17+BG17</f>
        <v>2.0254519141196047E-2</v>
      </c>
      <c r="BI17" s="549">
        <f t="shared" ref="BI17:BI69" si="36">BC17+$G17+$H17</f>
        <v>2.0254519141196047E-2</v>
      </c>
      <c r="BJ17" s="549">
        <f t="shared" ref="BJ17:BJ69" si="37">BD17+$G17+$H17</f>
        <v>2.0254519141196047E-2</v>
      </c>
      <c r="BK17" s="550">
        <f t="shared" ref="BK17:BK69" si="38">BE17+$G17+$H17</f>
        <v>2.0254519141196047E-2</v>
      </c>
      <c r="BL17" s="881">
        <v>0</v>
      </c>
      <c r="BM17" s="882">
        <v>0</v>
      </c>
      <c r="BN17" s="882">
        <v>0</v>
      </c>
      <c r="BO17" s="883">
        <v>0</v>
      </c>
      <c r="BP17" s="884">
        <v>0</v>
      </c>
      <c r="BQ17" s="885">
        <f>VLOOKUP($A17,'[1]Post-Consumer Transport'!$C$33:$K$88,3,FALSE)+VLOOKUP($A17,'[1]Post-Consumer Transport'!$C$33:$K$88,4,FALSE)</f>
        <v>2.0254519141196047E-2</v>
      </c>
      <c r="BR17" s="886">
        <f t="shared" ref="BR17:BR23" si="39">BL17+BP17+BQ17</f>
        <v>2.0254519141196047E-2</v>
      </c>
      <c r="BS17" s="882">
        <f t="shared" ref="BS17:BS69" si="40">BM17+$G17+$H17</f>
        <v>2.0254519141196047E-2</v>
      </c>
      <c r="BT17" s="882">
        <f t="shared" ref="BT17:BT69" si="41">BN17+$G17+$H17</f>
        <v>2.0254519141196047E-2</v>
      </c>
      <c r="BU17" s="883">
        <f t="shared" ref="BU17:BU69" si="42">BO17+$G17+$H17</f>
        <v>2.0254519141196047E-2</v>
      </c>
      <c r="BV17" s="548">
        <v>0</v>
      </c>
      <c r="BW17" s="549">
        <v>0</v>
      </c>
      <c r="BX17" s="549">
        <v>0</v>
      </c>
      <c r="BY17" s="550">
        <v>0</v>
      </c>
      <c r="BZ17" s="551">
        <v>0</v>
      </c>
      <c r="CA17" s="552">
        <f>VLOOKUP($A17,'[1]Post-Consumer Transport'!$C$33:$K$88,3,FALSE)+VLOOKUP($A17,'[1]Post-Consumer Transport'!$C$33:$K$88,4,FALSE)</f>
        <v>2.0254519141196047E-2</v>
      </c>
      <c r="CB17" s="553">
        <f t="shared" ref="CB17:CB23" si="43">BV17+BZ17+CA17</f>
        <v>2.0254519141196047E-2</v>
      </c>
      <c r="CC17" s="549">
        <f t="shared" ref="CC17:CC69" si="44">BW17+$G17+$H17</f>
        <v>2.0254519141196047E-2</v>
      </c>
      <c r="CD17" s="549">
        <f t="shared" ref="CD17:CD69" si="45">BX17+$G17+$H17</f>
        <v>2.0254519141196047E-2</v>
      </c>
      <c r="CE17" s="550">
        <f t="shared" ref="CE17:CE69" si="46">BY17+$G17+$H17</f>
        <v>2.0254519141196047E-2</v>
      </c>
      <c r="CF17" s="548">
        <v>0</v>
      </c>
      <c r="CG17" s="549">
        <v>0</v>
      </c>
      <c r="CH17" s="549">
        <v>0</v>
      </c>
      <c r="CI17" s="550">
        <v>0</v>
      </c>
      <c r="CJ17" s="551">
        <v>0</v>
      </c>
      <c r="CK17" s="552">
        <f>VLOOKUP($A17,'[1]Post-Consumer Transport'!$C$33:$K$88,3,FALSE)+VLOOKUP($A17,'[1]Post-Consumer Transport'!$C$33:$K$88,4,FALSE)</f>
        <v>2.0254519141196047E-2</v>
      </c>
      <c r="CL17" s="553">
        <f t="shared" ref="CL17:CL23" si="47">CF17+CJ17+CK17</f>
        <v>2.0254519141196047E-2</v>
      </c>
      <c r="CM17" s="549">
        <f t="shared" ref="CM17:CM69" si="48">CG17+$G17+$H17</f>
        <v>2.0254519141196047E-2</v>
      </c>
      <c r="CN17" s="549">
        <f t="shared" ref="CN17:CN69" si="49">CH17+$G17+$H17</f>
        <v>2.0254519141196047E-2</v>
      </c>
      <c r="CO17" s="550">
        <f t="shared" ref="CO17:CO69" si="50">CI17+$G17+$H17</f>
        <v>2.0254519141196047E-2</v>
      </c>
      <c r="CP17" s="548">
        <v>0</v>
      </c>
      <c r="CQ17" s="549">
        <v>0</v>
      </c>
      <c r="CR17" s="549">
        <v>0</v>
      </c>
      <c r="CS17" s="550">
        <v>0</v>
      </c>
      <c r="CT17" s="551">
        <v>0</v>
      </c>
      <c r="CU17" s="552">
        <f>VLOOKUP($A17,'[1]Post-Consumer Transport'!$C$33:$K$88,3,FALSE)+VLOOKUP($A17,'[1]Post-Consumer Transport'!$C$33:$K$88,4,FALSE)</f>
        <v>2.0254519141196047E-2</v>
      </c>
      <c r="CV17" s="553">
        <f t="shared" ref="CV17:CV23" si="51">CP17+CT17+CU17</f>
        <v>2.0254519141196047E-2</v>
      </c>
      <c r="CW17" s="549">
        <f t="shared" ref="CW17:CW69" si="52">CQ17+$G17+$H17</f>
        <v>2.0254519141196047E-2</v>
      </c>
      <c r="CX17" s="549">
        <f t="shared" ref="CX17:CX69" si="53">CR17+$G17+$H17</f>
        <v>2.0254519141196047E-2</v>
      </c>
      <c r="CY17" s="550">
        <f t="shared" ref="CY17:CY69" si="54">CS17+$G17+$H17</f>
        <v>2.0254519141196047E-2</v>
      </c>
      <c r="DA17" s="548">
        <v>0</v>
      </c>
      <c r="DB17" s="549">
        <v>0</v>
      </c>
      <c r="DC17" s="549">
        <v>0</v>
      </c>
      <c r="DD17" s="550">
        <v>0</v>
      </c>
      <c r="DE17" s="551">
        <v>0</v>
      </c>
      <c r="DF17" s="552">
        <f>VLOOKUP($A17,'[1]Post-Consumer Transport'!$C$33:$K$88,3,FALSE)+VLOOKUP($A17,'[1]Post-Consumer Transport'!$C$33:$K$88,4,FALSE)</f>
        <v>2.0254519141196047E-2</v>
      </c>
      <c r="DG17" s="553">
        <f t="shared" ref="DG17:DG23" si="55">DA17+DE17+DF17</f>
        <v>2.0254519141196047E-2</v>
      </c>
      <c r="DH17" s="549">
        <f t="shared" ref="DH17:DH69" si="56">DB17+$G17+$H17</f>
        <v>2.0254519141196047E-2</v>
      </c>
      <c r="DI17" s="549">
        <f t="shared" ref="DI17:DI69" si="57">DC17+$G17+$H17</f>
        <v>2.0254519141196047E-2</v>
      </c>
      <c r="DJ17" s="550">
        <f t="shared" ref="DJ17:DJ69" si="58">DD17+$G17+$H17</f>
        <v>2.0254519141196047E-2</v>
      </c>
      <c r="DK17" s="548">
        <v>0</v>
      </c>
      <c r="DL17" s="549">
        <v>0</v>
      </c>
      <c r="DM17" s="549">
        <v>0</v>
      </c>
      <c r="DN17" s="550">
        <v>0</v>
      </c>
      <c r="DO17" s="551">
        <v>0</v>
      </c>
      <c r="DP17" s="552">
        <f>VLOOKUP($A17,'[1]Post-Consumer Transport'!$C$33:$K$88,3,FALSE)+VLOOKUP($A17,'[1]Post-Consumer Transport'!$C$33:$K$88,4,FALSE)</f>
        <v>2.0254519141196047E-2</v>
      </c>
      <c r="DQ17" s="553">
        <f t="shared" ref="DQ17:DQ23" si="59">DK17+DO17+DP17</f>
        <v>2.0254519141196047E-2</v>
      </c>
      <c r="DR17" s="549">
        <f t="shared" ref="DR17:DR69" si="60">DL17+$G17+$H17</f>
        <v>2.0254519141196047E-2</v>
      </c>
      <c r="DS17" s="549">
        <f t="shared" ref="DS17:DS69" si="61">DM17+$G17+$H17</f>
        <v>2.0254519141196047E-2</v>
      </c>
      <c r="DT17" s="550">
        <f t="shared" ref="DT17:DT69" si="62">DN17+$G17+$H17</f>
        <v>2.0254519141196047E-2</v>
      </c>
      <c r="DU17" s="548">
        <v>0</v>
      </c>
      <c r="DV17" s="549">
        <v>0</v>
      </c>
      <c r="DW17" s="549">
        <v>0</v>
      </c>
      <c r="DX17" s="550">
        <v>0</v>
      </c>
      <c r="DY17" s="551">
        <v>0</v>
      </c>
      <c r="DZ17" s="552">
        <f>VLOOKUP($A17,'[1]Post-Consumer Transport'!$C$33:$K$88,3,FALSE)+VLOOKUP($A17,'[1]Post-Consumer Transport'!$C$33:$K$88,4,FALSE)</f>
        <v>2.0254519141196047E-2</v>
      </c>
      <c r="EA17" s="553">
        <f t="shared" ref="EA17:EA23" si="63">DU17+DY17+DZ17</f>
        <v>2.0254519141196047E-2</v>
      </c>
      <c r="EB17" s="549">
        <f t="shared" ref="EB17:EB69" si="64">DV17+$G17+$H17</f>
        <v>2.0254519141196047E-2</v>
      </c>
      <c r="EC17" s="549">
        <f t="shared" ref="EC17:EC69" si="65">DW17+$G17+$H17</f>
        <v>2.0254519141196047E-2</v>
      </c>
      <c r="ED17" s="550">
        <f t="shared" ref="ED17:ED69" si="66">DX17+$G17+$H17</f>
        <v>2.0254519141196047E-2</v>
      </c>
      <c r="EE17" s="548">
        <v>0</v>
      </c>
      <c r="EF17" s="549">
        <v>0</v>
      </c>
      <c r="EG17" s="549">
        <v>0</v>
      </c>
      <c r="EH17" s="550">
        <v>0</v>
      </c>
      <c r="EI17" s="551">
        <v>0</v>
      </c>
      <c r="EJ17" s="552">
        <f>VLOOKUP($A17,'[1]Post-Consumer Transport'!$C$33:$K$88,3,FALSE)+VLOOKUP($A17,'[1]Post-Consumer Transport'!$C$33:$K$88,4,FALSE)</f>
        <v>2.0254519141196047E-2</v>
      </c>
      <c r="EK17" s="553">
        <f t="shared" ref="EK17:EK23" si="67">EE17+EI17+EJ17</f>
        <v>2.0254519141196047E-2</v>
      </c>
      <c r="EL17" s="549">
        <f t="shared" ref="EL17:EL69" si="68">EF17+$G17+$H17</f>
        <v>2.0254519141196047E-2</v>
      </c>
      <c r="EM17" s="549">
        <f t="shared" ref="EM17:EM69" si="69">EG17+$G17+$H17</f>
        <v>2.0254519141196047E-2</v>
      </c>
      <c r="EN17" s="550">
        <f t="shared" ref="EN17:EN69" si="70">EH17+$G17+$H17</f>
        <v>2.0254519141196047E-2</v>
      </c>
      <c r="EO17" s="548">
        <v>0</v>
      </c>
      <c r="EP17" s="549">
        <v>0</v>
      </c>
      <c r="EQ17" s="549">
        <v>0</v>
      </c>
      <c r="ER17" s="550">
        <v>0</v>
      </c>
      <c r="ES17" s="551">
        <v>0</v>
      </c>
      <c r="ET17" s="552">
        <f>VLOOKUP($A17,'[1]Post-Consumer Transport'!$C$33:$K$88,3,FALSE)+VLOOKUP($A17,'[1]Post-Consumer Transport'!$C$33:$K$88,4,FALSE)</f>
        <v>2.0254519141196047E-2</v>
      </c>
      <c r="EU17" s="553">
        <f t="shared" ref="EU17:EU23" si="71">EO17+ES17+ET17</f>
        <v>2.0254519141196047E-2</v>
      </c>
      <c r="EV17" s="549">
        <f t="shared" ref="EV17:EV69" si="72">EP17+$G17+$H17</f>
        <v>2.0254519141196047E-2</v>
      </c>
      <c r="EW17" s="549">
        <f t="shared" ref="EW17:EW69" si="73">EQ17+$G17+$H17</f>
        <v>2.0254519141196047E-2</v>
      </c>
      <c r="EX17" s="550">
        <f t="shared" ref="EX17:EX69" si="74">ER17+$G17+$H17</f>
        <v>2.0254519141196047E-2</v>
      </c>
      <c r="EZ17" s="548">
        <v>0</v>
      </c>
      <c r="FA17" s="549">
        <v>0</v>
      </c>
      <c r="FB17" s="549">
        <v>0</v>
      </c>
      <c r="FC17" s="550">
        <v>0</v>
      </c>
      <c r="FD17" s="551">
        <v>0</v>
      </c>
      <c r="FE17" s="552">
        <f>VLOOKUP($A17,'[1]Post-Consumer Transport'!$C$33:$K$88,3,FALSE)+VLOOKUP($A17,'[1]Post-Consumer Transport'!$C$33:$K$88,4,FALSE)</f>
        <v>2.0254519141196047E-2</v>
      </c>
      <c r="FF17" s="553">
        <f t="shared" ref="FF17:FF23" si="75">EZ17+FD17+FE17</f>
        <v>2.0254519141196047E-2</v>
      </c>
      <c r="FG17" s="549">
        <f t="shared" ref="FG17:FG69" si="76">FA17+$G17+$H17</f>
        <v>2.0254519141196047E-2</v>
      </c>
      <c r="FH17" s="549">
        <f t="shared" ref="FH17:FH69" si="77">FB17+$G17+$H17</f>
        <v>2.0254519141196047E-2</v>
      </c>
      <c r="FI17" s="550">
        <f t="shared" ref="FI17:FI69" si="78">FC17+$G17+$H17</f>
        <v>2.0254519141196047E-2</v>
      </c>
      <c r="FJ17" s="548">
        <v>0</v>
      </c>
      <c r="FK17" s="549">
        <v>0</v>
      </c>
      <c r="FL17" s="549">
        <v>0</v>
      </c>
      <c r="FM17" s="550">
        <v>0</v>
      </c>
      <c r="FN17" s="551">
        <v>0</v>
      </c>
      <c r="FO17" s="552">
        <f>VLOOKUP($A17,'[1]Post-Consumer Transport'!$C$33:$K$88,3,FALSE)+VLOOKUP($A17,'[1]Post-Consumer Transport'!$C$33:$K$88,4,FALSE)</f>
        <v>2.0254519141196047E-2</v>
      </c>
      <c r="FP17" s="553">
        <f t="shared" ref="FP17:FP23" si="79">FJ17+FN17+FO17</f>
        <v>2.0254519141196047E-2</v>
      </c>
      <c r="FQ17" s="549">
        <f t="shared" ref="FQ17:FQ69" si="80">FK17+$G17+$H17</f>
        <v>2.0254519141196047E-2</v>
      </c>
      <c r="FR17" s="549">
        <f t="shared" ref="FR17:FR69" si="81">FL17+$G17+$H17</f>
        <v>2.0254519141196047E-2</v>
      </c>
      <c r="FS17" s="550">
        <f t="shared" ref="FS17:FS69" si="82">FM17+$G17+$H17</f>
        <v>2.0254519141196047E-2</v>
      </c>
      <c r="FT17" s="548">
        <v>0</v>
      </c>
      <c r="FU17" s="549">
        <v>0</v>
      </c>
      <c r="FV17" s="549">
        <v>0</v>
      </c>
      <c r="FW17" s="550">
        <v>0</v>
      </c>
      <c r="FX17" s="551">
        <v>0</v>
      </c>
      <c r="FY17" s="552">
        <f>VLOOKUP($A17,'[1]Post-Consumer Transport'!$C$33:$K$88,3,FALSE)+VLOOKUP($A17,'[1]Post-Consumer Transport'!$C$33:$K$88,4,FALSE)</f>
        <v>2.0254519141196047E-2</v>
      </c>
      <c r="FZ17" s="553">
        <f t="shared" ref="FZ17:FZ23" si="83">FT17+FX17+FY17</f>
        <v>2.0254519141196047E-2</v>
      </c>
      <c r="GA17" s="549">
        <f t="shared" ref="GA17:GA69" si="84">FU17+$G17+$H17</f>
        <v>2.0254519141196047E-2</v>
      </c>
      <c r="GB17" s="549">
        <f t="shared" ref="GB17:GB69" si="85">FV17+$G17+$H17</f>
        <v>2.0254519141196047E-2</v>
      </c>
      <c r="GC17" s="550">
        <f t="shared" ref="GC17:GC69" si="86">FW17+$G17+$H17</f>
        <v>2.0254519141196047E-2</v>
      </c>
      <c r="GD17" s="548">
        <v>0</v>
      </c>
      <c r="GE17" s="549">
        <v>0</v>
      </c>
      <c r="GF17" s="549">
        <v>0</v>
      </c>
      <c r="GG17" s="550">
        <v>0</v>
      </c>
      <c r="GH17" s="551">
        <v>0</v>
      </c>
      <c r="GI17" s="552">
        <f>VLOOKUP($A17,'[1]Post-Consumer Transport'!$C$33:$K$88,3,FALSE)+VLOOKUP($A17,'[1]Post-Consumer Transport'!$C$33:$K$88,4,FALSE)</f>
        <v>2.0254519141196047E-2</v>
      </c>
      <c r="GJ17" s="553">
        <f t="shared" ref="GJ17:GJ23" si="87">GD17+GH17+GI17</f>
        <v>2.0254519141196047E-2</v>
      </c>
      <c r="GK17" s="549">
        <f t="shared" ref="GK17:GK69" si="88">GE17+$G17+$H17</f>
        <v>2.0254519141196047E-2</v>
      </c>
      <c r="GL17" s="549">
        <f t="shared" ref="GL17:GL69" si="89">GF17+$G17+$H17</f>
        <v>2.0254519141196047E-2</v>
      </c>
      <c r="GM17" s="550">
        <f t="shared" ref="GM17:GM69" si="90">GG17+$G17+$H17</f>
        <v>2.0254519141196047E-2</v>
      </c>
      <c r="GN17" s="548">
        <v>0</v>
      </c>
      <c r="GO17" s="549">
        <v>0</v>
      </c>
      <c r="GP17" s="549">
        <v>0</v>
      </c>
      <c r="GQ17" s="550">
        <v>0</v>
      </c>
      <c r="GR17" s="551">
        <v>0</v>
      </c>
      <c r="GS17" s="552">
        <f>VLOOKUP($A17,'[1]Post-Consumer Transport'!$C$33:$K$88,3,FALSE)+VLOOKUP($A17,'[1]Post-Consumer Transport'!$C$33:$K$88,4,FALSE)</f>
        <v>2.0254519141196047E-2</v>
      </c>
      <c r="GT17" s="553">
        <f t="shared" ref="GT17:GT23" si="91">GN17+GR17+GS17</f>
        <v>2.0254519141196047E-2</v>
      </c>
      <c r="GU17" s="549">
        <f t="shared" ref="GU17:GU69" si="92">GO17+$G17+$H17</f>
        <v>2.0254519141196047E-2</v>
      </c>
      <c r="GV17" s="549">
        <f t="shared" ref="GV17:GV69" si="93">GP17+$G17+$H17</f>
        <v>2.0254519141196047E-2</v>
      </c>
      <c r="GW17" s="550">
        <f t="shared" ref="GW17:GW69" si="94">GQ17+$G17+$H17</f>
        <v>2.0254519141196047E-2</v>
      </c>
    </row>
    <row r="18" spans="1:205" s="499" customFormat="1" x14ac:dyDescent="0.25">
      <c r="A18" s="498" t="str">
        <f t="shared" si="16"/>
        <v>Copper Wire</v>
      </c>
      <c r="B18" s="547" t="s">
        <v>438</v>
      </c>
      <c r="C18" s="548">
        <v>0</v>
      </c>
      <c r="D18" s="549">
        <v>0</v>
      </c>
      <c r="E18" s="549">
        <v>0</v>
      </c>
      <c r="F18" s="550">
        <v>0</v>
      </c>
      <c r="G18" s="551">
        <v>0</v>
      </c>
      <c r="H18" s="552">
        <f>VLOOKUP($A18,'[1]Post-Consumer Transport'!$C$33:$K$88,3,FALSE)+VLOOKUP($A18,'[1]Post-Consumer Transport'!$C$33:$K$88,4,FALSE)</f>
        <v>2.0254519141196047E-2</v>
      </c>
      <c r="I18" s="553">
        <f t="shared" si="17"/>
        <v>2.0254519141196047E-2</v>
      </c>
      <c r="J18" s="549">
        <f t="shared" si="18"/>
        <v>2.0254519141196047E-2</v>
      </c>
      <c r="K18" s="549">
        <f t="shared" si="18"/>
        <v>2.0254519141196047E-2</v>
      </c>
      <c r="L18" s="550">
        <f t="shared" si="18"/>
        <v>2.0254519141196047E-2</v>
      </c>
      <c r="M18" s="548">
        <v>0</v>
      </c>
      <c r="N18" s="549">
        <v>0</v>
      </c>
      <c r="O18" s="549">
        <v>0</v>
      </c>
      <c r="P18" s="550">
        <v>0</v>
      </c>
      <c r="Q18" s="551">
        <v>0</v>
      </c>
      <c r="R18" s="552">
        <f>VLOOKUP($A18,'[1]Post-Consumer Transport'!$C$33:$K$88,3,FALSE)+VLOOKUP($A18,'[1]Post-Consumer Transport'!$C$33:$K$88,4,FALSE)</f>
        <v>2.0254519141196047E-2</v>
      </c>
      <c r="S18" s="553">
        <f t="shared" si="19"/>
        <v>2.0254519141196047E-2</v>
      </c>
      <c r="T18" s="549">
        <f t="shared" si="20"/>
        <v>2.0254519141196047E-2</v>
      </c>
      <c r="U18" s="549">
        <f t="shared" si="21"/>
        <v>2.0254519141196047E-2</v>
      </c>
      <c r="V18" s="550">
        <f t="shared" si="22"/>
        <v>2.0254519141196047E-2</v>
      </c>
      <c r="W18" s="548">
        <v>0</v>
      </c>
      <c r="X18" s="549">
        <v>0</v>
      </c>
      <c r="Y18" s="549">
        <v>0</v>
      </c>
      <c r="Z18" s="550">
        <v>0</v>
      </c>
      <c r="AA18" s="551">
        <v>0</v>
      </c>
      <c r="AB18" s="552">
        <f>VLOOKUP($A18,'[1]Post-Consumer Transport'!$C$33:$K$88,3,FALSE)+VLOOKUP($A18,'[1]Post-Consumer Transport'!$C$33:$K$88,4,FALSE)</f>
        <v>2.0254519141196047E-2</v>
      </c>
      <c r="AC18" s="553">
        <f t="shared" si="23"/>
        <v>2.0254519141196047E-2</v>
      </c>
      <c r="AD18" s="549">
        <f t="shared" si="24"/>
        <v>2.0254519141196047E-2</v>
      </c>
      <c r="AE18" s="549">
        <f t="shared" si="25"/>
        <v>2.0254519141196047E-2</v>
      </c>
      <c r="AF18" s="550">
        <f t="shared" si="26"/>
        <v>2.0254519141196047E-2</v>
      </c>
      <c r="AG18" s="548">
        <v>0</v>
      </c>
      <c r="AH18" s="549">
        <v>0</v>
      </c>
      <c r="AI18" s="549">
        <v>0</v>
      </c>
      <c r="AJ18" s="550">
        <v>0</v>
      </c>
      <c r="AK18" s="551">
        <v>0</v>
      </c>
      <c r="AL18" s="552">
        <f>VLOOKUP($A18,'[1]Post-Consumer Transport'!$C$33:$K$88,3,FALSE)+VLOOKUP($A18,'[1]Post-Consumer Transport'!$C$33:$K$88,4,FALSE)</f>
        <v>2.0254519141196047E-2</v>
      </c>
      <c r="AM18" s="553">
        <f t="shared" si="27"/>
        <v>2.0254519141196047E-2</v>
      </c>
      <c r="AN18" s="549">
        <f t="shared" si="28"/>
        <v>2.0254519141196047E-2</v>
      </c>
      <c r="AO18" s="549">
        <f t="shared" si="29"/>
        <v>2.0254519141196047E-2</v>
      </c>
      <c r="AP18" s="550">
        <f t="shared" si="30"/>
        <v>2.0254519141196047E-2</v>
      </c>
      <c r="AQ18" s="548">
        <v>0</v>
      </c>
      <c r="AR18" s="549">
        <v>0</v>
      </c>
      <c r="AS18" s="549">
        <v>0</v>
      </c>
      <c r="AT18" s="550">
        <v>0</v>
      </c>
      <c r="AU18" s="551">
        <v>0</v>
      </c>
      <c r="AV18" s="552">
        <f>VLOOKUP($A18,'[1]Post-Consumer Transport'!$C$33:$K$88,3,FALSE)+VLOOKUP($A18,'[1]Post-Consumer Transport'!$C$33:$K$88,4,FALSE)</f>
        <v>2.0254519141196047E-2</v>
      </c>
      <c r="AW18" s="553">
        <f t="shared" si="31"/>
        <v>2.0254519141196047E-2</v>
      </c>
      <c r="AX18" s="549">
        <f t="shared" si="32"/>
        <v>2.0254519141196047E-2</v>
      </c>
      <c r="AY18" s="549">
        <f t="shared" si="33"/>
        <v>2.0254519141196047E-2</v>
      </c>
      <c r="AZ18" s="550">
        <f t="shared" si="34"/>
        <v>2.0254519141196047E-2</v>
      </c>
      <c r="BB18" s="548">
        <v>0</v>
      </c>
      <c r="BC18" s="549">
        <v>0</v>
      </c>
      <c r="BD18" s="549">
        <v>0</v>
      </c>
      <c r="BE18" s="550">
        <v>0</v>
      </c>
      <c r="BF18" s="551">
        <v>0</v>
      </c>
      <c r="BG18" s="552">
        <f>VLOOKUP($A18,'[1]Post-Consumer Transport'!$C$33:$K$88,3,FALSE)+VLOOKUP($A18,'[1]Post-Consumer Transport'!$C$33:$K$88,4,FALSE)</f>
        <v>2.0254519141196047E-2</v>
      </c>
      <c r="BH18" s="553">
        <f t="shared" si="35"/>
        <v>2.0254519141196047E-2</v>
      </c>
      <c r="BI18" s="549">
        <f t="shared" si="36"/>
        <v>2.0254519141196047E-2</v>
      </c>
      <c r="BJ18" s="549">
        <f t="shared" si="37"/>
        <v>2.0254519141196047E-2</v>
      </c>
      <c r="BK18" s="550">
        <f t="shared" si="38"/>
        <v>2.0254519141196047E-2</v>
      </c>
      <c r="BL18" s="881">
        <v>0</v>
      </c>
      <c r="BM18" s="882">
        <v>0</v>
      </c>
      <c r="BN18" s="882">
        <v>0</v>
      </c>
      <c r="BO18" s="883">
        <v>0</v>
      </c>
      <c r="BP18" s="884">
        <v>0</v>
      </c>
      <c r="BQ18" s="885">
        <f>VLOOKUP($A18,'[1]Post-Consumer Transport'!$C$33:$K$88,3,FALSE)+VLOOKUP($A18,'[1]Post-Consumer Transport'!$C$33:$K$88,4,FALSE)</f>
        <v>2.0254519141196047E-2</v>
      </c>
      <c r="BR18" s="886">
        <f t="shared" si="39"/>
        <v>2.0254519141196047E-2</v>
      </c>
      <c r="BS18" s="882">
        <f t="shared" si="40"/>
        <v>2.0254519141196047E-2</v>
      </c>
      <c r="BT18" s="882">
        <f t="shared" si="41"/>
        <v>2.0254519141196047E-2</v>
      </c>
      <c r="BU18" s="883">
        <f t="shared" si="42"/>
        <v>2.0254519141196047E-2</v>
      </c>
      <c r="BV18" s="548">
        <v>0</v>
      </c>
      <c r="BW18" s="549">
        <v>0</v>
      </c>
      <c r="BX18" s="549">
        <v>0</v>
      </c>
      <c r="BY18" s="550">
        <v>0</v>
      </c>
      <c r="BZ18" s="551">
        <v>0</v>
      </c>
      <c r="CA18" s="552">
        <f>VLOOKUP($A18,'[1]Post-Consumer Transport'!$C$33:$K$88,3,FALSE)+VLOOKUP($A18,'[1]Post-Consumer Transport'!$C$33:$K$88,4,FALSE)</f>
        <v>2.0254519141196047E-2</v>
      </c>
      <c r="CB18" s="553">
        <f t="shared" si="43"/>
        <v>2.0254519141196047E-2</v>
      </c>
      <c r="CC18" s="549">
        <f t="shared" si="44"/>
        <v>2.0254519141196047E-2</v>
      </c>
      <c r="CD18" s="549">
        <f t="shared" si="45"/>
        <v>2.0254519141196047E-2</v>
      </c>
      <c r="CE18" s="550">
        <f t="shared" si="46"/>
        <v>2.0254519141196047E-2</v>
      </c>
      <c r="CF18" s="548">
        <v>0</v>
      </c>
      <c r="CG18" s="549">
        <v>0</v>
      </c>
      <c r="CH18" s="549">
        <v>0</v>
      </c>
      <c r="CI18" s="550">
        <v>0</v>
      </c>
      <c r="CJ18" s="551">
        <v>0</v>
      </c>
      <c r="CK18" s="552">
        <f>VLOOKUP($A18,'[1]Post-Consumer Transport'!$C$33:$K$88,3,FALSE)+VLOOKUP($A18,'[1]Post-Consumer Transport'!$C$33:$K$88,4,FALSE)</f>
        <v>2.0254519141196047E-2</v>
      </c>
      <c r="CL18" s="553">
        <f t="shared" si="47"/>
        <v>2.0254519141196047E-2</v>
      </c>
      <c r="CM18" s="549">
        <f t="shared" si="48"/>
        <v>2.0254519141196047E-2</v>
      </c>
      <c r="CN18" s="549">
        <f t="shared" si="49"/>
        <v>2.0254519141196047E-2</v>
      </c>
      <c r="CO18" s="550">
        <f t="shared" si="50"/>
        <v>2.0254519141196047E-2</v>
      </c>
      <c r="CP18" s="548">
        <v>0</v>
      </c>
      <c r="CQ18" s="549">
        <v>0</v>
      </c>
      <c r="CR18" s="549">
        <v>0</v>
      </c>
      <c r="CS18" s="550">
        <v>0</v>
      </c>
      <c r="CT18" s="551">
        <v>0</v>
      </c>
      <c r="CU18" s="552">
        <f>VLOOKUP($A18,'[1]Post-Consumer Transport'!$C$33:$K$88,3,FALSE)+VLOOKUP($A18,'[1]Post-Consumer Transport'!$C$33:$K$88,4,FALSE)</f>
        <v>2.0254519141196047E-2</v>
      </c>
      <c r="CV18" s="553">
        <f t="shared" si="51"/>
        <v>2.0254519141196047E-2</v>
      </c>
      <c r="CW18" s="549">
        <f t="shared" si="52"/>
        <v>2.0254519141196047E-2</v>
      </c>
      <c r="CX18" s="549">
        <f t="shared" si="53"/>
        <v>2.0254519141196047E-2</v>
      </c>
      <c r="CY18" s="550">
        <f t="shared" si="54"/>
        <v>2.0254519141196047E-2</v>
      </c>
      <c r="DA18" s="548">
        <v>0</v>
      </c>
      <c r="DB18" s="549">
        <v>0</v>
      </c>
      <c r="DC18" s="549">
        <v>0</v>
      </c>
      <c r="DD18" s="550">
        <v>0</v>
      </c>
      <c r="DE18" s="551">
        <v>0</v>
      </c>
      <c r="DF18" s="552">
        <f>VLOOKUP($A18,'[1]Post-Consumer Transport'!$C$33:$K$88,3,FALSE)+VLOOKUP($A18,'[1]Post-Consumer Transport'!$C$33:$K$88,4,FALSE)</f>
        <v>2.0254519141196047E-2</v>
      </c>
      <c r="DG18" s="553">
        <f t="shared" si="55"/>
        <v>2.0254519141196047E-2</v>
      </c>
      <c r="DH18" s="549">
        <f t="shared" si="56"/>
        <v>2.0254519141196047E-2</v>
      </c>
      <c r="DI18" s="549">
        <f t="shared" si="57"/>
        <v>2.0254519141196047E-2</v>
      </c>
      <c r="DJ18" s="550">
        <f t="shared" si="58"/>
        <v>2.0254519141196047E-2</v>
      </c>
      <c r="DK18" s="548">
        <v>0</v>
      </c>
      <c r="DL18" s="549">
        <v>0</v>
      </c>
      <c r="DM18" s="549">
        <v>0</v>
      </c>
      <c r="DN18" s="550">
        <v>0</v>
      </c>
      <c r="DO18" s="551">
        <v>0</v>
      </c>
      <c r="DP18" s="552">
        <f>VLOOKUP($A18,'[1]Post-Consumer Transport'!$C$33:$K$88,3,FALSE)+VLOOKUP($A18,'[1]Post-Consumer Transport'!$C$33:$K$88,4,FALSE)</f>
        <v>2.0254519141196047E-2</v>
      </c>
      <c r="DQ18" s="553">
        <f t="shared" si="59"/>
        <v>2.0254519141196047E-2</v>
      </c>
      <c r="DR18" s="549">
        <f t="shared" si="60"/>
        <v>2.0254519141196047E-2</v>
      </c>
      <c r="DS18" s="549">
        <f t="shared" si="61"/>
        <v>2.0254519141196047E-2</v>
      </c>
      <c r="DT18" s="550">
        <f t="shared" si="62"/>
        <v>2.0254519141196047E-2</v>
      </c>
      <c r="DU18" s="548">
        <v>0</v>
      </c>
      <c r="DV18" s="549">
        <v>0</v>
      </c>
      <c r="DW18" s="549">
        <v>0</v>
      </c>
      <c r="DX18" s="550">
        <v>0</v>
      </c>
      <c r="DY18" s="551">
        <v>0</v>
      </c>
      <c r="DZ18" s="552">
        <f>VLOOKUP($A18,'[1]Post-Consumer Transport'!$C$33:$K$88,3,FALSE)+VLOOKUP($A18,'[1]Post-Consumer Transport'!$C$33:$K$88,4,FALSE)</f>
        <v>2.0254519141196047E-2</v>
      </c>
      <c r="EA18" s="553">
        <f t="shared" si="63"/>
        <v>2.0254519141196047E-2</v>
      </c>
      <c r="EB18" s="549">
        <f t="shared" si="64"/>
        <v>2.0254519141196047E-2</v>
      </c>
      <c r="EC18" s="549">
        <f t="shared" si="65"/>
        <v>2.0254519141196047E-2</v>
      </c>
      <c r="ED18" s="550">
        <f t="shared" si="66"/>
        <v>2.0254519141196047E-2</v>
      </c>
      <c r="EE18" s="548">
        <v>0</v>
      </c>
      <c r="EF18" s="549">
        <v>0</v>
      </c>
      <c r="EG18" s="549">
        <v>0</v>
      </c>
      <c r="EH18" s="550">
        <v>0</v>
      </c>
      <c r="EI18" s="551">
        <v>0</v>
      </c>
      <c r="EJ18" s="552">
        <f>VLOOKUP($A18,'[1]Post-Consumer Transport'!$C$33:$K$88,3,FALSE)+VLOOKUP($A18,'[1]Post-Consumer Transport'!$C$33:$K$88,4,FALSE)</f>
        <v>2.0254519141196047E-2</v>
      </c>
      <c r="EK18" s="553">
        <f t="shared" si="67"/>
        <v>2.0254519141196047E-2</v>
      </c>
      <c r="EL18" s="549">
        <f t="shared" si="68"/>
        <v>2.0254519141196047E-2</v>
      </c>
      <c r="EM18" s="549">
        <f t="shared" si="69"/>
        <v>2.0254519141196047E-2</v>
      </c>
      <c r="EN18" s="550">
        <f t="shared" si="70"/>
        <v>2.0254519141196047E-2</v>
      </c>
      <c r="EO18" s="548">
        <v>0</v>
      </c>
      <c r="EP18" s="549">
        <v>0</v>
      </c>
      <c r="EQ18" s="549">
        <v>0</v>
      </c>
      <c r="ER18" s="550">
        <v>0</v>
      </c>
      <c r="ES18" s="551">
        <v>0</v>
      </c>
      <c r="ET18" s="552">
        <f>VLOOKUP($A18,'[1]Post-Consumer Transport'!$C$33:$K$88,3,FALSE)+VLOOKUP($A18,'[1]Post-Consumer Transport'!$C$33:$K$88,4,FALSE)</f>
        <v>2.0254519141196047E-2</v>
      </c>
      <c r="EU18" s="553">
        <f t="shared" si="71"/>
        <v>2.0254519141196047E-2</v>
      </c>
      <c r="EV18" s="549">
        <f t="shared" si="72"/>
        <v>2.0254519141196047E-2</v>
      </c>
      <c r="EW18" s="549">
        <f t="shared" si="73"/>
        <v>2.0254519141196047E-2</v>
      </c>
      <c r="EX18" s="550">
        <f t="shared" si="74"/>
        <v>2.0254519141196047E-2</v>
      </c>
      <c r="EZ18" s="548">
        <v>0</v>
      </c>
      <c r="FA18" s="549">
        <v>0</v>
      </c>
      <c r="FB18" s="549">
        <v>0</v>
      </c>
      <c r="FC18" s="550">
        <v>0</v>
      </c>
      <c r="FD18" s="551">
        <v>0</v>
      </c>
      <c r="FE18" s="552">
        <f>VLOOKUP($A18,'[1]Post-Consumer Transport'!$C$33:$K$88,3,FALSE)+VLOOKUP($A18,'[1]Post-Consumer Transport'!$C$33:$K$88,4,FALSE)</f>
        <v>2.0254519141196047E-2</v>
      </c>
      <c r="FF18" s="553">
        <f t="shared" si="75"/>
        <v>2.0254519141196047E-2</v>
      </c>
      <c r="FG18" s="549">
        <f t="shared" si="76"/>
        <v>2.0254519141196047E-2</v>
      </c>
      <c r="FH18" s="549">
        <f t="shared" si="77"/>
        <v>2.0254519141196047E-2</v>
      </c>
      <c r="FI18" s="550">
        <f t="shared" si="78"/>
        <v>2.0254519141196047E-2</v>
      </c>
      <c r="FJ18" s="548">
        <v>0</v>
      </c>
      <c r="FK18" s="549">
        <v>0</v>
      </c>
      <c r="FL18" s="549">
        <v>0</v>
      </c>
      <c r="FM18" s="550">
        <v>0</v>
      </c>
      <c r="FN18" s="551">
        <v>0</v>
      </c>
      <c r="FO18" s="552">
        <f>VLOOKUP($A18,'[1]Post-Consumer Transport'!$C$33:$K$88,3,FALSE)+VLOOKUP($A18,'[1]Post-Consumer Transport'!$C$33:$K$88,4,FALSE)</f>
        <v>2.0254519141196047E-2</v>
      </c>
      <c r="FP18" s="553">
        <f t="shared" si="79"/>
        <v>2.0254519141196047E-2</v>
      </c>
      <c r="FQ18" s="549">
        <f t="shared" si="80"/>
        <v>2.0254519141196047E-2</v>
      </c>
      <c r="FR18" s="549">
        <f t="shared" si="81"/>
        <v>2.0254519141196047E-2</v>
      </c>
      <c r="FS18" s="550">
        <f t="shared" si="82"/>
        <v>2.0254519141196047E-2</v>
      </c>
      <c r="FT18" s="548">
        <v>0</v>
      </c>
      <c r="FU18" s="549">
        <v>0</v>
      </c>
      <c r="FV18" s="549">
        <v>0</v>
      </c>
      <c r="FW18" s="550">
        <v>0</v>
      </c>
      <c r="FX18" s="551">
        <v>0</v>
      </c>
      <c r="FY18" s="552">
        <f>VLOOKUP($A18,'[1]Post-Consumer Transport'!$C$33:$K$88,3,FALSE)+VLOOKUP($A18,'[1]Post-Consumer Transport'!$C$33:$K$88,4,FALSE)</f>
        <v>2.0254519141196047E-2</v>
      </c>
      <c r="FZ18" s="553">
        <f t="shared" si="83"/>
        <v>2.0254519141196047E-2</v>
      </c>
      <c r="GA18" s="549">
        <f t="shared" si="84"/>
        <v>2.0254519141196047E-2</v>
      </c>
      <c r="GB18" s="549">
        <f t="shared" si="85"/>
        <v>2.0254519141196047E-2</v>
      </c>
      <c r="GC18" s="550">
        <f t="shared" si="86"/>
        <v>2.0254519141196047E-2</v>
      </c>
      <c r="GD18" s="548">
        <v>0</v>
      </c>
      <c r="GE18" s="549">
        <v>0</v>
      </c>
      <c r="GF18" s="549">
        <v>0</v>
      </c>
      <c r="GG18" s="550">
        <v>0</v>
      </c>
      <c r="GH18" s="551">
        <v>0</v>
      </c>
      <c r="GI18" s="552">
        <f>VLOOKUP($A18,'[1]Post-Consumer Transport'!$C$33:$K$88,3,FALSE)+VLOOKUP($A18,'[1]Post-Consumer Transport'!$C$33:$K$88,4,FALSE)</f>
        <v>2.0254519141196047E-2</v>
      </c>
      <c r="GJ18" s="553">
        <f t="shared" si="87"/>
        <v>2.0254519141196047E-2</v>
      </c>
      <c r="GK18" s="549">
        <f t="shared" si="88"/>
        <v>2.0254519141196047E-2</v>
      </c>
      <c r="GL18" s="549">
        <f t="shared" si="89"/>
        <v>2.0254519141196047E-2</v>
      </c>
      <c r="GM18" s="550">
        <f t="shared" si="90"/>
        <v>2.0254519141196047E-2</v>
      </c>
      <c r="GN18" s="548">
        <v>0</v>
      </c>
      <c r="GO18" s="549">
        <v>0</v>
      </c>
      <c r="GP18" s="549">
        <v>0</v>
      </c>
      <c r="GQ18" s="550">
        <v>0</v>
      </c>
      <c r="GR18" s="551">
        <v>0</v>
      </c>
      <c r="GS18" s="552">
        <f>VLOOKUP($A18,'[1]Post-Consumer Transport'!$C$33:$K$88,3,FALSE)+VLOOKUP($A18,'[1]Post-Consumer Transport'!$C$33:$K$88,4,FALSE)</f>
        <v>2.0254519141196047E-2</v>
      </c>
      <c r="GT18" s="553">
        <f t="shared" si="91"/>
        <v>2.0254519141196047E-2</v>
      </c>
      <c r="GU18" s="549">
        <f t="shared" si="92"/>
        <v>2.0254519141196047E-2</v>
      </c>
      <c r="GV18" s="549">
        <f t="shared" si="93"/>
        <v>2.0254519141196047E-2</v>
      </c>
      <c r="GW18" s="550">
        <f t="shared" si="94"/>
        <v>2.0254519141196047E-2</v>
      </c>
    </row>
    <row r="19" spans="1:205" s="499" customFormat="1" x14ac:dyDescent="0.25">
      <c r="A19" s="498" t="str">
        <f t="shared" si="16"/>
        <v>Glass</v>
      </c>
      <c r="B19" s="547" t="s">
        <v>517</v>
      </c>
      <c r="C19" s="548">
        <v>0</v>
      </c>
      <c r="D19" s="549">
        <v>0</v>
      </c>
      <c r="E19" s="549">
        <v>0</v>
      </c>
      <c r="F19" s="550">
        <v>0</v>
      </c>
      <c r="G19" s="551">
        <v>0</v>
      </c>
      <c r="H19" s="552">
        <f>VLOOKUP($A19,'[1]Post-Consumer Transport'!$C$33:$K$88,3,FALSE)+VLOOKUP($A19,'[1]Post-Consumer Transport'!$C$33:$K$88,4,FALSE)</f>
        <v>2.0254519141196047E-2</v>
      </c>
      <c r="I19" s="553">
        <f t="shared" si="17"/>
        <v>2.0254519141196047E-2</v>
      </c>
      <c r="J19" s="549">
        <f t="shared" si="18"/>
        <v>2.0254519141196047E-2</v>
      </c>
      <c r="K19" s="549">
        <f t="shared" si="18"/>
        <v>2.0254519141196047E-2</v>
      </c>
      <c r="L19" s="550">
        <f t="shared" si="18"/>
        <v>2.0254519141196047E-2</v>
      </c>
      <c r="M19" s="548">
        <v>0</v>
      </c>
      <c r="N19" s="549">
        <v>0</v>
      </c>
      <c r="O19" s="549">
        <v>0</v>
      </c>
      <c r="P19" s="550">
        <v>0</v>
      </c>
      <c r="Q19" s="551">
        <v>0</v>
      </c>
      <c r="R19" s="552">
        <f>VLOOKUP($A19,'[1]Post-Consumer Transport'!$C$33:$K$88,3,FALSE)+VLOOKUP($A19,'[1]Post-Consumer Transport'!$C$33:$K$88,4,FALSE)</f>
        <v>2.0254519141196047E-2</v>
      </c>
      <c r="S19" s="553">
        <f t="shared" si="19"/>
        <v>2.0254519141196047E-2</v>
      </c>
      <c r="T19" s="549">
        <f t="shared" si="20"/>
        <v>2.0254519141196047E-2</v>
      </c>
      <c r="U19" s="549">
        <f t="shared" si="21"/>
        <v>2.0254519141196047E-2</v>
      </c>
      <c r="V19" s="550">
        <f t="shared" si="22"/>
        <v>2.0254519141196047E-2</v>
      </c>
      <c r="W19" s="548">
        <v>0</v>
      </c>
      <c r="X19" s="549">
        <v>0</v>
      </c>
      <c r="Y19" s="549">
        <v>0</v>
      </c>
      <c r="Z19" s="550">
        <v>0</v>
      </c>
      <c r="AA19" s="551">
        <v>0</v>
      </c>
      <c r="AB19" s="552">
        <f>VLOOKUP($A19,'[1]Post-Consumer Transport'!$C$33:$K$88,3,FALSE)+VLOOKUP($A19,'[1]Post-Consumer Transport'!$C$33:$K$88,4,FALSE)</f>
        <v>2.0254519141196047E-2</v>
      </c>
      <c r="AC19" s="553">
        <f t="shared" si="23"/>
        <v>2.0254519141196047E-2</v>
      </c>
      <c r="AD19" s="549">
        <f t="shared" si="24"/>
        <v>2.0254519141196047E-2</v>
      </c>
      <c r="AE19" s="549">
        <f t="shared" si="25"/>
        <v>2.0254519141196047E-2</v>
      </c>
      <c r="AF19" s="550">
        <f t="shared" si="26"/>
        <v>2.0254519141196047E-2</v>
      </c>
      <c r="AG19" s="548">
        <v>0</v>
      </c>
      <c r="AH19" s="549">
        <v>0</v>
      </c>
      <c r="AI19" s="549">
        <v>0</v>
      </c>
      <c r="AJ19" s="550">
        <v>0</v>
      </c>
      <c r="AK19" s="551">
        <v>0</v>
      </c>
      <c r="AL19" s="552">
        <f>VLOOKUP($A19,'[1]Post-Consumer Transport'!$C$33:$K$88,3,FALSE)+VLOOKUP($A19,'[1]Post-Consumer Transport'!$C$33:$K$88,4,FALSE)</f>
        <v>2.0254519141196047E-2</v>
      </c>
      <c r="AM19" s="553">
        <f t="shared" si="27"/>
        <v>2.0254519141196047E-2</v>
      </c>
      <c r="AN19" s="549">
        <f t="shared" si="28"/>
        <v>2.0254519141196047E-2</v>
      </c>
      <c r="AO19" s="549">
        <f t="shared" si="29"/>
        <v>2.0254519141196047E-2</v>
      </c>
      <c r="AP19" s="550">
        <f t="shared" si="30"/>
        <v>2.0254519141196047E-2</v>
      </c>
      <c r="AQ19" s="548">
        <v>0</v>
      </c>
      <c r="AR19" s="549">
        <v>0</v>
      </c>
      <c r="AS19" s="549">
        <v>0</v>
      </c>
      <c r="AT19" s="550">
        <v>0</v>
      </c>
      <c r="AU19" s="551">
        <v>0</v>
      </c>
      <c r="AV19" s="552">
        <f>VLOOKUP($A19,'[1]Post-Consumer Transport'!$C$33:$K$88,3,FALSE)+VLOOKUP($A19,'[1]Post-Consumer Transport'!$C$33:$K$88,4,FALSE)</f>
        <v>2.0254519141196047E-2</v>
      </c>
      <c r="AW19" s="553">
        <f t="shared" si="31"/>
        <v>2.0254519141196047E-2</v>
      </c>
      <c r="AX19" s="549">
        <f t="shared" si="32"/>
        <v>2.0254519141196047E-2</v>
      </c>
      <c r="AY19" s="549">
        <f t="shared" si="33"/>
        <v>2.0254519141196047E-2</v>
      </c>
      <c r="AZ19" s="550">
        <f t="shared" si="34"/>
        <v>2.0254519141196047E-2</v>
      </c>
      <c r="BB19" s="548">
        <v>0</v>
      </c>
      <c r="BC19" s="549">
        <v>0</v>
      </c>
      <c r="BD19" s="549">
        <v>0</v>
      </c>
      <c r="BE19" s="550">
        <v>0</v>
      </c>
      <c r="BF19" s="551">
        <v>0</v>
      </c>
      <c r="BG19" s="552">
        <f>VLOOKUP($A19,'[1]Post-Consumer Transport'!$C$33:$K$88,3,FALSE)+VLOOKUP($A19,'[1]Post-Consumer Transport'!$C$33:$K$88,4,FALSE)</f>
        <v>2.0254519141196047E-2</v>
      </c>
      <c r="BH19" s="553">
        <f t="shared" si="35"/>
        <v>2.0254519141196047E-2</v>
      </c>
      <c r="BI19" s="549">
        <f t="shared" si="36"/>
        <v>2.0254519141196047E-2</v>
      </c>
      <c r="BJ19" s="549">
        <f t="shared" si="37"/>
        <v>2.0254519141196047E-2</v>
      </c>
      <c r="BK19" s="550">
        <f t="shared" si="38"/>
        <v>2.0254519141196047E-2</v>
      </c>
      <c r="BL19" s="881">
        <v>0</v>
      </c>
      <c r="BM19" s="882">
        <v>0</v>
      </c>
      <c r="BN19" s="882">
        <v>0</v>
      </c>
      <c r="BO19" s="883">
        <v>0</v>
      </c>
      <c r="BP19" s="884">
        <v>0</v>
      </c>
      <c r="BQ19" s="885">
        <f>VLOOKUP($A19,'[1]Post-Consumer Transport'!$C$33:$K$88,3,FALSE)+VLOOKUP($A19,'[1]Post-Consumer Transport'!$C$33:$K$88,4,FALSE)</f>
        <v>2.0254519141196047E-2</v>
      </c>
      <c r="BR19" s="886">
        <f t="shared" si="39"/>
        <v>2.0254519141196047E-2</v>
      </c>
      <c r="BS19" s="882">
        <f t="shared" si="40"/>
        <v>2.0254519141196047E-2</v>
      </c>
      <c r="BT19" s="882">
        <f t="shared" si="41"/>
        <v>2.0254519141196047E-2</v>
      </c>
      <c r="BU19" s="883">
        <f t="shared" si="42"/>
        <v>2.0254519141196047E-2</v>
      </c>
      <c r="BV19" s="548">
        <v>0</v>
      </c>
      <c r="BW19" s="549">
        <v>0</v>
      </c>
      <c r="BX19" s="549">
        <v>0</v>
      </c>
      <c r="BY19" s="550">
        <v>0</v>
      </c>
      <c r="BZ19" s="551">
        <v>0</v>
      </c>
      <c r="CA19" s="552">
        <f>VLOOKUP($A19,'[1]Post-Consumer Transport'!$C$33:$K$88,3,FALSE)+VLOOKUP($A19,'[1]Post-Consumer Transport'!$C$33:$K$88,4,FALSE)</f>
        <v>2.0254519141196047E-2</v>
      </c>
      <c r="CB19" s="553">
        <f t="shared" si="43"/>
        <v>2.0254519141196047E-2</v>
      </c>
      <c r="CC19" s="549">
        <f t="shared" si="44"/>
        <v>2.0254519141196047E-2</v>
      </c>
      <c r="CD19" s="549">
        <f t="shared" si="45"/>
        <v>2.0254519141196047E-2</v>
      </c>
      <c r="CE19" s="550">
        <f t="shared" si="46"/>
        <v>2.0254519141196047E-2</v>
      </c>
      <c r="CF19" s="548">
        <v>0</v>
      </c>
      <c r="CG19" s="549">
        <v>0</v>
      </c>
      <c r="CH19" s="549">
        <v>0</v>
      </c>
      <c r="CI19" s="550">
        <v>0</v>
      </c>
      <c r="CJ19" s="551">
        <v>0</v>
      </c>
      <c r="CK19" s="552">
        <f>VLOOKUP($A19,'[1]Post-Consumer Transport'!$C$33:$K$88,3,FALSE)+VLOOKUP($A19,'[1]Post-Consumer Transport'!$C$33:$K$88,4,FALSE)</f>
        <v>2.0254519141196047E-2</v>
      </c>
      <c r="CL19" s="553">
        <f t="shared" si="47"/>
        <v>2.0254519141196047E-2</v>
      </c>
      <c r="CM19" s="549">
        <f t="shared" si="48"/>
        <v>2.0254519141196047E-2</v>
      </c>
      <c r="CN19" s="549">
        <f t="shared" si="49"/>
        <v>2.0254519141196047E-2</v>
      </c>
      <c r="CO19" s="550">
        <f t="shared" si="50"/>
        <v>2.0254519141196047E-2</v>
      </c>
      <c r="CP19" s="548">
        <v>0</v>
      </c>
      <c r="CQ19" s="549">
        <v>0</v>
      </c>
      <c r="CR19" s="549">
        <v>0</v>
      </c>
      <c r="CS19" s="550">
        <v>0</v>
      </c>
      <c r="CT19" s="551">
        <v>0</v>
      </c>
      <c r="CU19" s="552">
        <f>VLOOKUP($A19,'[1]Post-Consumer Transport'!$C$33:$K$88,3,FALSE)+VLOOKUP($A19,'[1]Post-Consumer Transport'!$C$33:$K$88,4,FALSE)</f>
        <v>2.0254519141196047E-2</v>
      </c>
      <c r="CV19" s="553">
        <f t="shared" si="51"/>
        <v>2.0254519141196047E-2</v>
      </c>
      <c r="CW19" s="549">
        <f t="shared" si="52"/>
        <v>2.0254519141196047E-2</v>
      </c>
      <c r="CX19" s="549">
        <f t="shared" si="53"/>
        <v>2.0254519141196047E-2</v>
      </c>
      <c r="CY19" s="550">
        <f t="shared" si="54"/>
        <v>2.0254519141196047E-2</v>
      </c>
      <c r="DA19" s="548">
        <v>0</v>
      </c>
      <c r="DB19" s="549">
        <v>0</v>
      </c>
      <c r="DC19" s="549">
        <v>0</v>
      </c>
      <c r="DD19" s="550">
        <v>0</v>
      </c>
      <c r="DE19" s="551">
        <v>0</v>
      </c>
      <c r="DF19" s="552">
        <f>VLOOKUP($A19,'[1]Post-Consumer Transport'!$C$33:$K$88,3,FALSE)+VLOOKUP($A19,'[1]Post-Consumer Transport'!$C$33:$K$88,4,FALSE)</f>
        <v>2.0254519141196047E-2</v>
      </c>
      <c r="DG19" s="553">
        <f t="shared" si="55"/>
        <v>2.0254519141196047E-2</v>
      </c>
      <c r="DH19" s="549">
        <f t="shared" si="56"/>
        <v>2.0254519141196047E-2</v>
      </c>
      <c r="DI19" s="549">
        <f t="shared" si="57"/>
        <v>2.0254519141196047E-2</v>
      </c>
      <c r="DJ19" s="550">
        <f t="shared" si="58"/>
        <v>2.0254519141196047E-2</v>
      </c>
      <c r="DK19" s="548">
        <v>0</v>
      </c>
      <c r="DL19" s="549">
        <v>0</v>
      </c>
      <c r="DM19" s="549">
        <v>0</v>
      </c>
      <c r="DN19" s="550">
        <v>0</v>
      </c>
      <c r="DO19" s="551">
        <v>0</v>
      </c>
      <c r="DP19" s="552">
        <f>VLOOKUP($A19,'[1]Post-Consumer Transport'!$C$33:$K$88,3,FALSE)+VLOOKUP($A19,'[1]Post-Consumer Transport'!$C$33:$K$88,4,FALSE)</f>
        <v>2.0254519141196047E-2</v>
      </c>
      <c r="DQ19" s="553">
        <f t="shared" si="59"/>
        <v>2.0254519141196047E-2</v>
      </c>
      <c r="DR19" s="549">
        <f t="shared" si="60"/>
        <v>2.0254519141196047E-2</v>
      </c>
      <c r="DS19" s="549">
        <f t="shared" si="61"/>
        <v>2.0254519141196047E-2</v>
      </c>
      <c r="DT19" s="550">
        <f t="shared" si="62"/>
        <v>2.0254519141196047E-2</v>
      </c>
      <c r="DU19" s="548">
        <v>0</v>
      </c>
      <c r="DV19" s="549">
        <v>0</v>
      </c>
      <c r="DW19" s="549">
        <v>0</v>
      </c>
      <c r="DX19" s="550">
        <v>0</v>
      </c>
      <c r="DY19" s="551">
        <v>0</v>
      </c>
      <c r="DZ19" s="552">
        <f>VLOOKUP($A19,'[1]Post-Consumer Transport'!$C$33:$K$88,3,FALSE)+VLOOKUP($A19,'[1]Post-Consumer Transport'!$C$33:$K$88,4,FALSE)</f>
        <v>2.0254519141196047E-2</v>
      </c>
      <c r="EA19" s="553">
        <f t="shared" si="63"/>
        <v>2.0254519141196047E-2</v>
      </c>
      <c r="EB19" s="549">
        <f t="shared" si="64"/>
        <v>2.0254519141196047E-2</v>
      </c>
      <c r="EC19" s="549">
        <f t="shared" si="65"/>
        <v>2.0254519141196047E-2</v>
      </c>
      <c r="ED19" s="550">
        <f t="shared" si="66"/>
        <v>2.0254519141196047E-2</v>
      </c>
      <c r="EE19" s="548">
        <v>0</v>
      </c>
      <c r="EF19" s="549">
        <v>0</v>
      </c>
      <c r="EG19" s="549">
        <v>0</v>
      </c>
      <c r="EH19" s="550">
        <v>0</v>
      </c>
      <c r="EI19" s="551">
        <v>0</v>
      </c>
      <c r="EJ19" s="552">
        <f>VLOOKUP($A19,'[1]Post-Consumer Transport'!$C$33:$K$88,3,FALSE)+VLOOKUP($A19,'[1]Post-Consumer Transport'!$C$33:$K$88,4,FALSE)</f>
        <v>2.0254519141196047E-2</v>
      </c>
      <c r="EK19" s="553">
        <f t="shared" si="67"/>
        <v>2.0254519141196047E-2</v>
      </c>
      <c r="EL19" s="549">
        <f t="shared" si="68"/>
        <v>2.0254519141196047E-2</v>
      </c>
      <c r="EM19" s="549">
        <f t="shared" si="69"/>
        <v>2.0254519141196047E-2</v>
      </c>
      <c r="EN19" s="550">
        <f t="shared" si="70"/>
        <v>2.0254519141196047E-2</v>
      </c>
      <c r="EO19" s="548">
        <v>0</v>
      </c>
      <c r="EP19" s="549">
        <v>0</v>
      </c>
      <c r="EQ19" s="549">
        <v>0</v>
      </c>
      <c r="ER19" s="550">
        <v>0</v>
      </c>
      <c r="ES19" s="551">
        <v>0</v>
      </c>
      <c r="ET19" s="552">
        <f>VLOOKUP($A19,'[1]Post-Consumer Transport'!$C$33:$K$88,3,FALSE)+VLOOKUP($A19,'[1]Post-Consumer Transport'!$C$33:$K$88,4,FALSE)</f>
        <v>2.0254519141196047E-2</v>
      </c>
      <c r="EU19" s="553">
        <f t="shared" si="71"/>
        <v>2.0254519141196047E-2</v>
      </c>
      <c r="EV19" s="549">
        <f t="shared" si="72"/>
        <v>2.0254519141196047E-2</v>
      </c>
      <c r="EW19" s="549">
        <f t="shared" si="73"/>
        <v>2.0254519141196047E-2</v>
      </c>
      <c r="EX19" s="550">
        <f t="shared" si="74"/>
        <v>2.0254519141196047E-2</v>
      </c>
      <c r="EZ19" s="548">
        <v>0</v>
      </c>
      <c r="FA19" s="549">
        <v>0</v>
      </c>
      <c r="FB19" s="549">
        <v>0</v>
      </c>
      <c r="FC19" s="550">
        <v>0</v>
      </c>
      <c r="FD19" s="551">
        <v>0</v>
      </c>
      <c r="FE19" s="552">
        <f>VLOOKUP($A19,'[1]Post-Consumer Transport'!$C$33:$K$88,3,FALSE)+VLOOKUP($A19,'[1]Post-Consumer Transport'!$C$33:$K$88,4,FALSE)</f>
        <v>2.0254519141196047E-2</v>
      </c>
      <c r="FF19" s="553">
        <f t="shared" si="75"/>
        <v>2.0254519141196047E-2</v>
      </c>
      <c r="FG19" s="549">
        <f t="shared" si="76"/>
        <v>2.0254519141196047E-2</v>
      </c>
      <c r="FH19" s="549">
        <f t="shared" si="77"/>
        <v>2.0254519141196047E-2</v>
      </c>
      <c r="FI19" s="550">
        <f t="shared" si="78"/>
        <v>2.0254519141196047E-2</v>
      </c>
      <c r="FJ19" s="548">
        <v>0</v>
      </c>
      <c r="FK19" s="549">
        <v>0</v>
      </c>
      <c r="FL19" s="549">
        <v>0</v>
      </c>
      <c r="FM19" s="550">
        <v>0</v>
      </c>
      <c r="FN19" s="551">
        <v>0</v>
      </c>
      <c r="FO19" s="552">
        <f>VLOOKUP($A19,'[1]Post-Consumer Transport'!$C$33:$K$88,3,FALSE)+VLOOKUP($A19,'[1]Post-Consumer Transport'!$C$33:$K$88,4,FALSE)</f>
        <v>2.0254519141196047E-2</v>
      </c>
      <c r="FP19" s="553">
        <f t="shared" si="79"/>
        <v>2.0254519141196047E-2</v>
      </c>
      <c r="FQ19" s="549">
        <f t="shared" si="80"/>
        <v>2.0254519141196047E-2</v>
      </c>
      <c r="FR19" s="549">
        <f t="shared" si="81"/>
        <v>2.0254519141196047E-2</v>
      </c>
      <c r="FS19" s="550">
        <f t="shared" si="82"/>
        <v>2.0254519141196047E-2</v>
      </c>
      <c r="FT19" s="548">
        <v>0</v>
      </c>
      <c r="FU19" s="549">
        <v>0</v>
      </c>
      <c r="FV19" s="549">
        <v>0</v>
      </c>
      <c r="FW19" s="550">
        <v>0</v>
      </c>
      <c r="FX19" s="551">
        <v>0</v>
      </c>
      <c r="FY19" s="552">
        <f>VLOOKUP($A19,'[1]Post-Consumer Transport'!$C$33:$K$88,3,FALSE)+VLOOKUP($A19,'[1]Post-Consumer Transport'!$C$33:$K$88,4,FALSE)</f>
        <v>2.0254519141196047E-2</v>
      </c>
      <c r="FZ19" s="553">
        <f t="shared" si="83"/>
        <v>2.0254519141196047E-2</v>
      </c>
      <c r="GA19" s="549">
        <f t="shared" si="84"/>
        <v>2.0254519141196047E-2</v>
      </c>
      <c r="GB19" s="549">
        <f t="shared" si="85"/>
        <v>2.0254519141196047E-2</v>
      </c>
      <c r="GC19" s="550">
        <f t="shared" si="86"/>
        <v>2.0254519141196047E-2</v>
      </c>
      <c r="GD19" s="548">
        <v>0</v>
      </c>
      <c r="GE19" s="549">
        <v>0</v>
      </c>
      <c r="GF19" s="549">
        <v>0</v>
      </c>
      <c r="GG19" s="550">
        <v>0</v>
      </c>
      <c r="GH19" s="551">
        <v>0</v>
      </c>
      <c r="GI19" s="552">
        <f>VLOOKUP($A19,'[1]Post-Consumer Transport'!$C$33:$K$88,3,FALSE)+VLOOKUP($A19,'[1]Post-Consumer Transport'!$C$33:$K$88,4,FALSE)</f>
        <v>2.0254519141196047E-2</v>
      </c>
      <c r="GJ19" s="553">
        <f t="shared" si="87"/>
        <v>2.0254519141196047E-2</v>
      </c>
      <c r="GK19" s="549">
        <f t="shared" si="88"/>
        <v>2.0254519141196047E-2</v>
      </c>
      <c r="GL19" s="549">
        <f t="shared" si="89"/>
        <v>2.0254519141196047E-2</v>
      </c>
      <c r="GM19" s="550">
        <f t="shared" si="90"/>
        <v>2.0254519141196047E-2</v>
      </c>
      <c r="GN19" s="548">
        <v>0</v>
      </c>
      <c r="GO19" s="549">
        <v>0</v>
      </c>
      <c r="GP19" s="549">
        <v>0</v>
      </c>
      <c r="GQ19" s="550">
        <v>0</v>
      </c>
      <c r="GR19" s="551">
        <v>0</v>
      </c>
      <c r="GS19" s="552">
        <f>VLOOKUP($A19,'[1]Post-Consumer Transport'!$C$33:$K$88,3,FALSE)+VLOOKUP($A19,'[1]Post-Consumer Transport'!$C$33:$K$88,4,FALSE)</f>
        <v>2.0254519141196047E-2</v>
      </c>
      <c r="GT19" s="553">
        <f t="shared" si="91"/>
        <v>2.0254519141196047E-2</v>
      </c>
      <c r="GU19" s="549">
        <f t="shared" si="92"/>
        <v>2.0254519141196047E-2</v>
      </c>
      <c r="GV19" s="549">
        <f t="shared" si="93"/>
        <v>2.0254519141196047E-2</v>
      </c>
      <c r="GW19" s="550">
        <f t="shared" si="94"/>
        <v>2.0254519141196047E-2</v>
      </c>
    </row>
    <row r="20" spans="1:205" s="499" customFormat="1" x14ac:dyDescent="0.25">
      <c r="A20" s="498" t="str">
        <f t="shared" si="16"/>
        <v>HDPE</v>
      </c>
      <c r="B20" s="547" t="s">
        <v>518</v>
      </c>
      <c r="C20" s="548">
        <v>0</v>
      </c>
      <c r="D20" s="549">
        <v>0</v>
      </c>
      <c r="E20" s="549">
        <v>0</v>
      </c>
      <c r="F20" s="550">
        <v>0</v>
      </c>
      <c r="G20" s="551">
        <v>0</v>
      </c>
      <c r="H20" s="552">
        <f>VLOOKUP($A20,'[1]Post-Consumer Transport'!$C$33:$K$88,3,FALSE)+VLOOKUP($A20,'[1]Post-Consumer Transport'!$C$33:$K$88,4,FALSE)</f>
        <v>2.0254519141196047E-2</v>
      </c>
      <c r="I20" s="553">
        <f>C20+G20+H20</f>
        <v>2.0254519141196047E-2</v>
      </c>
      <c r="J20" s="549">
        <f t="shared" si="18"/>
        <v>2.0254519141196047E-2</v>
      </c>
      <c r="K20" s="549">
        <f t="shared" si="18"/>
        <v>2.0254519141196047E-2</v>
      </c>
      <c r="L20" s="550">
        <f t="shared" si="18"/>
        <v>2.0254519141196047E-2</v>
      </c>
      <c r="M20" s="548">
        <v>0</v>
      </c>
      <c r="N20" s="549">
        <v>0</v>
      </c>
      <c r="O20" s="549">
        <v>0</v>
      </c>
      <c r="P20" s="550">
        <v>0</v>
      </c>
      <c r="Q20" s="551">
        <v>0</v>
      </c>
      <c r="R20" s="552">
        <f>VLOOKUP($A20,'[1]Post-Consumer Transport'!$C$33:$K$88,3,FALSE)+VLOOKUP($A20,'[1]Post-Consumer Transport'!$C$33:$K$88,4,FALSE)</f>
        <v>2.0254519141196047E-2</v>
      </c>
      <c r="S20" s="553">
        <f t="shared" si="19"/>
        <v>2.0254519141196047E-2</v>
      </c>
      <c r="T20" s="549">
        <f t="shared" si="20"/>
        <v>2.0254519141196047E-2</v>
      </c>
      <c r="U20" s="549">
        <f t="shared" si="21"/>
        <v>2.0254519141196047E-2</v>
      </c>
      <c r="V20" s="550">
        <f t="shared" si="22"/>
        <v>2.0254519141196047E-2</v>
      </c>
      <c r="W20" s="548">
        <v>0</v>
      </c>
      <c r="X20" s="549">
        <v>0</v>
      </c>
      <c r="Y20" s="549">
        <v>0</v>
      </c>
      <c r="Z20" s="550">
        <v>0</v>
      </c>
      <c r="AA20" s="551">
        <v>0</v>
      </c>
      <c r="AB20" s="552">
        <f>VLOOKUP($A20,'[1]Post-Consumer Transport'!$C$33:$K$88,3,FALSE)+VLOOKUP($A20,'[1]Post-Consumer Transport'!$C$33:$K$88,4,FALSE)</f>
        <v>2.0254519141196047E-2</v>
      </c>
      <c r="AC20" s="553">
        <f t="shared" si="23"/>
        <v>2.0254519141196047E-2</v>
      </c>
      <c r="AD20" s="549">
        <f t="shared" si="24"/>
        <v>2.0254519141196047E-2</v>
      </c>
      <c r="AE20" s="549">
        <f t="shared" si="25"/>
        <v>2.0254519141196047E-2</v>
      </c>
      <c r="AF20" s="550">
        <f t="shared" si="26"/>
        <v>2.0254519141196047E-2</v>
      </c>
      <c r="AG20" s="548">
        <v>0</v>
      </c>
      <c r="AH20" s="549">
        <v>0</v>
      </c>
      <c r="AI20" s="549">
        <v>0</v>
      </c>
      <c r="AJ20" s="550">
        <v>0</v>
      </c>
      <c r="AK20" s="551">
        <v>0</v>
      </c>
      <c r="AL20" s="552">
        <f>VLOOKUP($A20,'[1]Post-Consumer Transport'!$C$33:$K$88,3,FALSE)+VLOOKUP($A20,'[1]Post-Consumer Transport'!$C$33:$K$88,4,FALSE)</f>
        <v>2.0254519141196047E-2</v>
      </c>
      <c r="AM20" s="553">
        <f t="shared" si="27"/>
        <v>2.0254519141196047E-2</v>
      </c>
      <c r="AN20" s="549">
        <f t="shared" si="28"/>
        <v>2.0254519141196047E-2</v>
      </c>
      <c r="AO20" s="549">
        <f t="shared" si="29"/>
        <v>2.0254519141196047E-2</v>
      </c>
      <c r="AP20" s="550">
        <f t="shared" si="30"/>
        <v>2.0254519141196047E-2</v>
      </c>
      <c r="AQ20" s="548">
        <v>0</v>
      </c>
      <c r="AR20" s="549">
        <v>0</v>
      </c>
      <c r="AS20" s="549">
        <v>0</v>
      </c>
      <c r="AT20" s="550">
        <v>0</v>
      </c>
      <c r="AU20" s="551">
        <v>0</v>
      </c>
      <c r="AV20" s="552">
        <f>VLOOKUP($A20,'[1]Post-Consumer Transport'!$C$33:$K$88,3,FALSE)+VLOOKUP($A20,'[1]Post-Consumer Transport'!$C$33:$K$88,4,FALSE)</f>
        <v>2.0254519141196047E-2</v>
      </c>
      <c r="AW20" s="553">
        <f t="shared" si="31"/>
        <v>2.0254519141196047E-2</v>
      </c>
      <c r="AX20" s="549">
        <f t="shared" si="32"/>
        <v>2.0254519141196047E-2</v>
      </c>
      <c r="AY20" s="549">
        <f t="shared" si="33"/>
        <v>2.0254519141196047E-2</v>
      </c>
      <c r="AZ20" s="550">
        <f t="shared" si="34"/>
        <v>2.0254519141196047E-2</v>
      </c>
      <c r="BB20" s="548">
        <v>0</v>
      </c>
      <c r="BC20" s="549">
        <v>0</v>
      </c>
      <c r="BD20" s="549">
        <v>0</v>
      </c>
      <c r="BE20" s="550">
        <v>0</v>
      </c>
      <c r="BF20" s="551">
        <v>0</v>
      </c>
      <c r="BG20" s="552">
        <f>VLOOKUP($A20,'[1]Post-Consumer Transport'!$C$33:$K$88,3,FALSE)+VLOOKUP($A20,'[1]Post-Consumer Transport'!$C$33:$K$88,4,FALSE)</f>
        <v>2.0254519141196047E-2</v>
      </c>
      <c r="BH20" s="553">
        <f t="shared" si="35"/>
        <v>2.0254519141196047E-2</v>
      </c>
      <c r="BI20" s="549">
        <f t="shared" si="36"/>
        <v>2.0254519141196047E-2</v>
      </c>
      <c r="BJ20" s="549">
        <f t="shared" si="37"/>
        <v>2.0254519141196047E-2</v>
      </c>
      <c r="BK20" s="550">
        <f t="shared" si="38"/>
        <v>2.0254519141196047E-2</v>
      </c>
      <c r="BL20" s="881">
        <v>0</v>
      </c>
      <c r="BM20" s="882">
        <v>0</v>
      </c>
      <c r="BN20" s="882">
        <v>0</v>
      </c>
      <c r="BO20" s="883">
        <v>0</v>
      </c>
      <c r="BP20" s="884">
        <v>0</v>
      </c>
      <c r="BQ20" s="885">
        <f>VLOOKUP($A20,'[1]Post-Consumer Transport'!$C$33:$K$88,3,FALSE)+VLOOKUP($A20,'[1]Post-Consumer Transport'!$C$33:$K$88,4,FALSE)</f>
        <v>2.0254519141196047E-2</v>
      </c>
      <c r="BR20" s="886">
        <f t="shared" si="39"/>
        <v>2.0254519141196047E-2</v>
      </c>
      <c r="BS20" s="882">
        <f t="shared" si="40"/>
        <v>2.0254519141196047E-2</v>
      </c>
      <c r="BT20" s="882">
        <f t="shared" si="41"/>
        <v>2.0254519141196047E-2</v>
      </c>
      <c r="BU20" s="883">
        <f t="shared" si="42"/>
        <v>2.0254519141196047E-2</v>
      </c>
      <c r="BV20" s="548">
        <v>0</v>
      </c>
      <c r="BW20" s="549">
        <v>0</v>
      </c>
      <c r="BX20" s="549">
        <v>0</v>
      </c>
      <c r="BY20" s="550">
        <v>0</v>
      </c>
      <c r="BZ20" s="551">
        <v>0</v>
      </c>
      <c r="CA20" s="552">
        <f>VLOOKUP($A20,'[1]Post-Consumer Transport'!$C$33:$K$88,3,FALSE)+VLOOKUP($A20,'[1]Post-Consumer Transport'!$C$33:$K$88,4,FALSE)</f>
        <v>2.0254519141196047E-2</v>
      </c>
      <c r="CB20" s="553">
        <f t="shared" si="43"/>
        <v>2.0254519141196047E-2</v>
      </c>
      <c r="CC20" s="549">
        <f t="shared" si="44"/>
        <v>2.0254519141196047E-2</v>
      </c>
      <c r="CD20" s="549">
        <f t="shared" si="45"/>
        <v>2.0254519141196047E-2</v>
      </c>
      <c r="CE20" s="550">
        <f t="shared" si="46"/>
        <v>2.0254519141196047E-2</v>
      </c>
      <c r="CF20" s="548">
        <v>0</v>
      </c>
      <c r="CG20" s="549">
        <v>0</v>
      </c>
      <c r="CH20" s="549">
        <v>0</v>
      </c>
      <c r="CI20" s="550">
        <v>0</v>
      </c>
      <c r="CJ20" s="551">
        <v>0</v>
      </c>
      <c r="CK20" s="552">
        <f>VLOOKUP($A20,'[1]Post-Consumer Transport'!$C$33:$K$88,3,FALSE)+VLOOKUP($A20,'[1]Post-Consumer Transport'!$C$33:$K$88,4,FALSE)</f>
        <v>2.0254519141196047E-2</v>
      </c>
      <c r="CL20" s="553">
        <f t="shared" si="47"/>
        <v>2.0254519141196047E-2</v>
      </c>
      <c r="CM20" s="549">
        <f t="shared" si="48"/>
        <v>2.0254519141196047E-2</v>
      </c>
      <c r="CN20" s="549">
        <f t="shared" si="49"/>
        <v>2.0254519141196047E-2</v>
      </c>
      <c r="CO20" s="550">
        <f t="shared" si="50"/>
        <v>2.0254519141196047E-2</v>
      </c>
      <c r="CP20" s="548">
        <v>0</v>
      </c>
      <c r="CQ20" s="549">
        <v>0</v>
      </c>
      <c r="CR20" s="549">
        <v>0</v>
      </c>
      <c r="CS20" s="550">
        <v>0</v>
      </c>
      <c r="CT20" s="551">
        <v>0</v>
      </c>
      <c r="CU20" s="552">
        <f>VLOOKUP($A20,'[1]Post-Consumer Transport'!$C$33:$K$88,3,FALSE)+VLOOKUP($A20,'[1]Post-Consumer Transport'!$C$33:$K$88,4,FALSE)</f>
        <v>2.0254519141196047E-2</v>
      </c>
      <c r="CV20" s="553">
        <f t="shared" si="51"/>
        <v>2.0254519141196047E-2</v>
      </c>
      <c r="CW20" s="549">
        <f t="shared" si="52"/>
        <v>2.0254519141196047E-2</v>
      </c>
      <c r="CX20" s="549">
        <f t="shared" si="53"/>
        <v>2.0254519141196047E-2</v>
      </c>
      <c r="CY20" s="550">
        <f t="shared" si="54"/>
        <v>2.0254519141196047E-2</v>
      </c>
      <c r="DA20" s="548">
        <v>0</v>
      </c>
      <c r="DB20" s="549">
        <v>0</v>
      </c>
      <c r="DC20" s="549">
        <v>0</v>
      </c>
      <c r="DD20" s="550">
        <v>0</v>
      </c>
      <c r="DE20" s="551">
        <v>0</v>
      </c>
      <c r="DF20" s="552">
        <f>VLOOKUP($A20,'[1]Post-Consumer Transport'!$C$33:$K$88,3,FALSE)+VLOOKUP($A20,'[1]Post-Consumer Transport'!$C$33:$K$88,4,FALSE)</f>
        <v>2.0254519141196047E-2</v>
      </c>
      <c r="DG20" s="553">
        <f t="shared" si="55"/>
        <v>2.0254519141196047E-2</v>
      </c>
      <c r="DH20" s="549">
        <f t="shared" si="56"/>
        <v>2.0254519141196047E-2</v>
      </c>
      <c r="DI20" s="549">
        <f t="shared" si="57"/>
        <v>2.0254519141196047E-2</v>
      </c>
      <c r="DJ20" s="550">
        <f t="shared" si="58"/>
        <v>2.0254519141196047E-2</v>
      </c>
      <c r="DK20" s="548">
        <v>0</v>
      </c>
      <c r="DL20" s="549">
        <v>0</v>
      </c>
      <c r="DM20" s="549">
        <v>0</v>
      </c>
      <c r="DN20" s="550">
        <v>0</v>
      </c>
      <c r="DO20" s="551">
        <v>0</v>
      </c>
      <c r="DP20" s="552">
        <f>VLOOKUP($A20,'[1]Post-Consumer Transport'!$C$33:$K$88,3,FALSE)+VLOOKUP($A20,'[1]Post-Consumer Transport'!$C$33:$K$88,4,FALSE)</f>
        <v>2.0254519141196047E-2</v>
      </c>
      <c r="DQ20" s="553">
        <f t="shared" si="59"/>
        <v>2.0254519141196047E-2</v>
      </c>
      <c r="DR20" s="549">
        <f t="shared" si="60"/>
        <v>2.0254519141196047E-2</v>
      </c>
      <c r="DS20" s="549">
        <f t="shared" si="61"/>
        <v>2.0254519141196047E-2</v>
      </c>
      <c r="DT20" s="550">
        <f t="shared" si="62"/>
        <v>2.0254519141196047E-2</v>
      </c>
      <c r="DU20" s="548">
        <v>0</v>
      </c>
      <c r="DV20" s="549">
        <v>0</v>
      </c>
      <c r="DW20" s="549">
        <v>0</v>
      </c>
      <c r="DX20" s="550">
        <v>0</v>
      </c>
      <c r="DY20" s="551">
        <v>0</v>
      </c>
      <c r="DZ20" s="552">
        <f>VLOOKUP($A20,'[1]Post-Consumer Transport'!$C$33:$K$88,3,FALSE)+VLOOKUP($A20,'[1]Post-Consumer Transport'!$C$33:$K$88,4,FALSE)</f>
        <v>2.0254519141196047E-2</v>
      </c>
      <c r="EA20" s="553">
        <f t="shared" si="63"/>
        <v>2.0254519141196047E-2</v>
      </c>
      <c r="EB20" s="549">
        <f t="shared" si="64"/>
        <v>2.0254519141196047E-2</v>
      </c>
      <c r="EC20" s="549">
        <f t="shared" si="65"/>
        <v>2.0254519141196047E-2</v>
      </c>
      <c r="ED20" s="550">
        <f t="shared" si="66"/>
        <v>2.0254519141196047E-2</v>
      </c>
      <c r="EE20" s="548">
        <v>0</v>
      </c>
      <c r="EF20" s="549">
        <v>0</v>
      </c>
      <c r="EG20" s="549">
        <v>0</v>
      </c>
      <c r="EH20" s="550">
        <v>0</v>
      </c>
      <c r="EI20" s="551">
        <v>0</v>
      </c>
      <c r="EJ20" s="552">
        <f>VLOOKUP($A20,'[1]Post-Consumer Transport'!$C$33:$K$88,3,FALSE)+VLOOKUP($A20,'[1]Post-Consumer Transport'!$C$33:$K$88,4,FALSE)</f>
        <v>2.0254519141196047E-2</v>
      </c>
      <c r="EK20" s="553">
        <f t="shared" si="67"/>
        <v>2.0254519141196047E-2</v>
      </c>
      <c r="EL20" s="549">
        <f t="shared" si="68"/>
        <v>2.0254519141196047E-2</v>
      </c>
      <c r="EM20" s="549">
        <f t="shared" si="69"/>
        <v>2.0254519141196047E-2</v>
      </c>
      <c r="EN20" s="550">
        <f t="shared" si="70"/>
        <v>2.0254519141196047E-2</v>
      </c>
      <c r="EO20" s="548">
        <v>0</v>
      </c>
      <c r="EP20" s="549">
        <v>0</v>
      </c>
      <c r="EQ20" s="549">
        <v>0</v>
      </c>
      <c r="ER20" s="550">
        <v>0</v>
      </c>
      <c r="ES20" s="551">
        <v>0</v>
      </c>
      <c r="ET20" s="552">
        <f>VLOOKUP($A20,'[1]Post-Consumer Transport'!$C$33:$K$88,3,FALSE)+VLOOKUP($A20,'[1]Post-Consumer Transport'!$C$33:$K$88,4,FALSE)</f>
        <v>2.0254519141196047E-2</v>
      </c>
      <c r="EU20" s="553">
        <f t="shared" si="71"/>
        <v>2.0254519141196047E-2</v>
      </c>
      <c r="EV20" s="549">
        <f t="shared" si="72"/>
        <v>2.0254519141196047E-2</v>
      </c>
      <c r="EW20" s="549">
        <f t="shared" si="73"/>
        <v>2.0254519141196047E-2</v>
      </c>
      <c r="EX20" s="550">
        <f t="shared" si="74"/>
        <v>2.0254519141196047E-2</v>
      </c>
      <c r="EZ20" s="548">
        <v>0</v>
      </c>
      <c r="FA20" s="549">
        <v>0</v>
      </c>
      <c r="FB20" s="549">
        <v>0</v>
      </c>
      <c r="FC20" s="550">
        <v>0</v>
      </c>
      <c r="FD20" s="551">
        <v>0</v>
      </c>
      <c r="FE20" s="552">
        <f>VLOOKUP($A20,'[1]Post-Consumer Transport'!$C$33:$K$88,3,FALSE)+VLOOKUP($A20,'[1]Post-Consumer Transport'!$C$33:$K$88,4,FALSE)</f>
        <v>2.0254519141196047E-2</v>
      </c>
      <c r="FF20" s="553">
        <f t="shared" si="75"/>
        <v>2.0254519141196047E-2</v>
      </c>
      <c r="FG20" s="549">
        <f t="shared" si="76"/>
        <v>2.0254519141196047E-2</v>
      </c>
      <c r="FH20" s="549">
        <f t="shared" si="77"/>
        <v>2.0254519141196047E-2</v>
      </c>
      <c r="FI20" s="550">
        <f t="shared" si="78"/>
        <v>2.0254519141196047E-2</v>
      </c>
      <c r="FJ20" s="548">
        <v>0</v>
      </c>
      <c r="FK20" s="549">
        <v>0</v>
      </c>
      <c r="FL20" s="549">
        <v>0</v>
      </c>
      <c r="FM20" s="550">
        <v>0</v>
      </c>
      <c r="FN20" s="551">
        <v>0</v>
      </c>
      <c r="FO20" s="552">
        <f>VLOOKUP($A20,'[1]Post-Consumer Transport'!$C$33:$K$88,3,FALSE)+VLOOKUP($A20,'[1]Post-Consumer Transport'!$C$33:$K$88,4,FALSE)</f>
        <v>2.0254519141196047E-2</v>
      </c>
      <c r="FP20" s="553">
        <f t="shared" si="79"/>
        <v>2.0254519141196047E-2</v>
      </c>
      <c r="FQ20" s="549">
        <f t="shared" si="80"/>
        <v>2.0254519141196047E-2</v>
      </c>
      <c r="FR20" s="549">
        <f t="shared" si="81"/>
        <v>2.0254519141196047E-2</v>
      </c>
      <c r="FS20" s="550">
        <f t="shared" si="82"/>
        <v>2.0254519141196047E-2</v>
      </c>
      <c r="FT20" s="548">
        <v>0</v>
      </c>
      <c r="FU20" s="549">
        <v>0</v>
      </c>
      <c r="FV20" s="549">
        <v>0</v>
      </c>
      <c r="FW20" s="550">
        <v>0</v>
      </c>
      <c r="FX20" s="551">
        <v>0</v>
      </c>
      <c r="FY20" s="552">
        <f>VLOOKUP($A20,'[1]Post-Consumer Transport'!$C$33:$K$88,3,FALSE)+VLOOKUP($A20,'[1]Post-Consumer Transport'!$C$33:$K$88,4,FALSE)</f>
        <v>2.0254519141196047E-2</v>
      </c>
      <c r="FZ20" s="553">
        <f t="shared" si="83"/>
        <v>2.0254519141196047E-2</v>
      </c>
      <c r="GA20" s="549">
        <f t="shared" si="84"/>
        <v>2.0254519141196047E-2</v>
      </c>
      <c r="GB20" s="549">
        <f t="shared" si="85"/>
        <v>2.0254519141196047E-2</v>
      </c>
      <c r="GC20" s="550">
        <f t="shared" si="86"/>
        <v>2.0254519141196047E-2</v>
      </c>
      <c r="GD20" s="548">
        <v>0</v>
      </c>
      <c r="GE20" s="549">
        <v>0</v>
      </c>
      <c r="GF20" s="549">
        <v>0</v>
      </c>
      <c r="GG20" s="550">
        <v>0</v>
      </c>
      <c r="GH20" s="551">
        <v>0</v>
      </c>
      <c r="GI20" s="552">
        <f>VLOOKUP($A20,'[1]Post-Consumer Transport'!$C$33:$K$88,3,FALSE)+VLOOKUP($A20,'[1]Post-Consumer Transport'!$C$33:$K$88,4,FALSE)</f>
        <v>2.0254519141196047E-2</v>
      </c>
      <c r="GJ20" s="553">
        <f t="shared" si="87"/>
        <v>2.0254519141196047E-2</v>
      </c>
      <c r="GK20" s="549">
        <f t="shared" si="88"/>
        <v>2.0254519141196047E-2</v>
      </c>
      <c r="GL20" s="549">
        <f t="shared" si="89"/>
        <v>2.0254519141196047E-2</v>
      </c>
      <c r="GM20" s="550">
        <f t="shared" si="90"/>
        <v>2.0254519141196047E-2</v>
      </c>
      <c r="GN20" s="548">
        <v>0</v>
      </c>
      <c r="GO20" s="549">
        <v>0</v>
      </c>
      <c r="GP20" s="549">
        <v>0</v>
      </c>
      <c r="GQ20" s="550">
        <v>0</v>
      </c>
      <c r="GR20" s="551">
        <v>0</v>
      </c>
      <c r="GS20" s="552">
        <f>VLOOKUP($A20,'[1]Post-Consumer Transport'!$C$33:$K$88,3,FALSE)+VLOOKUP($A20,'[1]Post-Consumer Transport'!$C$33:$K$88,4,FALSE)</f>
        <v>2.0254519141196047E-2</v>
      </c>
      <c r="GT20" s="553">
        <f t="shared" si="91"/>
        <v>2.0254519141196047E-2</v>
      </c>
      <c r="GU20" s="549">
        <f t="shared" si="92"/>
        <v>2.0254519141196047E-2</v>
      </c>
      <c r="GV20" s="549">
        <f t="shared" si="93"/>
        <v>2.0254519141196047E-2</v>
      </c>
      <c r="GW20" s="550">
        <f t="shared" si="94"/>
        <v>2.0254519141196047E-2</v>
      </c>
    </row>
    <row r="21" spans="1:205" s="499" customFormat="1" x14ac:dyDescent="0.25">
      <c r="A21" s="498" t="str">
        <f t="shared" si="16"/>
        <v>LDPE</v>
      </c>
      <c r="B21" s="547" t="s">
        <v>519</v>
      </c>
      <c r="C21" s="548">
        <v>0</v>
      </c>
      <c r="D21" s="549">
        <v>0</v>
      </c>
      <c r="E21" s="549">
        <v>0</v>
      </c>
      <c r="F21" s="550">
        <v>0</v>
      </c>
      <c r="G21" s="551">
        <v>0</v>
      </c>
      <c r="H21" s="552">
        <f>VLOOKUP($A21,'[1]Post-Consumer Transport'!$C$33:$K$88,3,FALSE)+VLOOKUP($A21,'[1]Post-Consumer Transport'!$C$33:$K$88,4,FALSE)</f>
        <v>2.0254519141196047E-2</v>
      </c>
      <c r="I21" s="553">
        <f t="shared" si="17"/>
        <v>2.0254519141196047E-2</v>
      </c>
      <c r="J21" s="549">
        <f t="shared" si="18"/>
        <v>2.0254519141196047E-2</v>
      </c>
      <c r="K21" s="549">
        <f t="shared" si="18"/>
        <v>2.0254519141196047E-2</v>
      </c>
      <c r="L21" s="550">
        <f t="shared" si="18"/>
        <v>2.0254519141196047E-2</v>
      </c>
      <c r="M21" s="548">
        <v>0</v>
      </c>
      <c r="N21" s="549">
        <v>0</v>
      </c>
      <c r="O21" s="549">
        <v>0</v>
      </c>
      <c r="P21" s="550">
        <v>0</v>
      </c>
      <c r="Q21" s="551">
        <v>0</v>
      </c>
      <c r="R21" s="552">
        <f>VLOOKUP($A21,'[1]Post-Consumer Transport'!$C$33:$K$88,3,FALSE)+VLOOKUP($A21,'[1]Post-Consumer Transport'!$C$33:$K$88,4,FALSE)</f>
        <v>2.0254519141196047E-2</v>
      </c>
      <c r="S21" s="553">
        <f t="shared" si="19"/>
        <v>2.0254519141196047E-2</v>
      </c>
      <c r="T21" s="549">
        <f t="shared" si="20"/>
        <v>2.0254519141196047E-2</v>
      </c>
      <c r="U21" s="549">
        <f t="shared" si="21"/>
        <v>2.0254519141196047E-2</v>
      </c>
      <c r="V21" s="550">
        <f t="shared" si="22"/>
        <v>2.0254519141196047E-2</v>
      </c>
      <c r="W21" s="548">
        <v>0</v>
      </c>
      <c r="X21" s="549">
        <v>0</v>
      </c>
      <c r="Y21" s="549">
        <v>0</v>
      </c>
      <c r="Z21" s="550">
        <v>0</v>
      </c>
      <c r="AA21" s="551">
        <v>0</v>
      </c>
      <c r="AB21" s="552">
        <f>VLOOKUP($A21,'[1]Post-Consumer Transport'!$C$33:$K$88,3,FALSE)+VLOOKUP($A21,'[1]Post-Consumer Transport'!$C$33:$K$88,4,FALSE)</f>
        <v>2.0254519141196047E-2</v>
      </c>
      <c r="AC21" s="553">
        <f t="shared" si="23"/>
        <v>2.0254519141196047E-2</v>
      </c>
      <c r="AD21" s="549">
        <f t="shared" si="24"/>
        <v>2.0254519141196047E-2</v>
      </c>
      <c r="AE21" s="549">
        <f t="shared" si="25"/>
        <v>2.0254519141196047E-2</v>
      </c>
      <c r="AF21" s="550">
        <f t="shared" si="26"/>
        <v>2.0254519141196047E-2</v>
      </c>
      <c r="AG21" s="548">
        <v>0</v>
      </c>
      <c r="AH21" s="549">
        <v>0</v>
      </c>
      <c r="AI21" s="549">
        <v>0</v>
      </c>
      <c r="AJ21" s="550">
        <v>0</v>
      </c>
      <c r="AK21" s="551">
        <v>0</v>
      </c>
      <c r="AL21" s="552">
        <f>VLOOKUP($A21,'[1]Post-Consumer Transport'!$C$33:$K$88,3,FALSE)+VLOOKUP($A21,'[1]Post-Consumer Transport'!$C$33:$K$88,4,FALSE)</f>
        <v>2.0254519141196047E-2</v>
      </c>
      <c r="AM21" s="553">
        <f t="shared" si="27"/>
        <v>2.0254519141196047E-2</v>
      </c>
      <c r="AN21" s="549">
        <f t="shared" si="28"/>
        <v>2.0254519141196047E-2</v>
      </c>
      <c r="AO21" s="549">
        <f t="shared" si="29"/>
        <v>2.0254519141196047E-2</v>
      </c>
      <c r="AP21" s="550">
        <f t="shared" si="30"/>
        <v>2.0254519141196047E-2</v>
      </c>
      <c r="AQ21" s="548">
        <v>0</v>
      </c>
      <c r="AR21" s="549">
        <v>0</v>
      </c>
      <c r="AS21" s="549">
        <v>0</v>
      </c>
      <c r="AT21" s="550">
        <v>0</v>
      </c>
      <c r="AU21" s="551">
        <v>0</v>
      </c>
      <c r="AV21" s="552">
        <f>VLOOKUP($A21,'[1]Post-Consumer Transport'!$C$33:$K$88,3,FALSE)+VLOOKUP($A21,'[1]Post-Consumer Transport'!$C$33:$K$88,4,FALSE)</f>
        <v>2.0254519141196047E-2</v>
      </c>
      <c r="AW21" s="553">
        <f t="shared" si="31"/>
        <v>2.0254519141196047E-2</v>
      </c>
      <c r="AX21" s="549">
        <f t="shared" si="32"/>
        <v>2.0254519141196047E-2</v>
      </c>
      <c r="AY21" s="549">
        <f t="shared" si="33"/>
        <v>2.0254519141196047E-2</v>
      </c>
      <c r="AZ21" s="550">
        <f t="shared" si="34"/>
        <v>2.0254519141196047E-2</v>
      </c>
      <c r="BB21" s="548">
        <v>0</v>
      </c>
      <c r="BC21" s="549">
        <v>0</v>
      </c>
      <c r="BD21" s="549">
        <v>0</v>
      </c>
      <c r="BE21" s="550">
        <v>0</v>
      </c>
      <c r="BF21" s="551">
        <v>0</v>
      </c>
      <c r="BG21" s="552">
        <f>VLOOKUP($A21,'[1]Post-Consumer Transport'!$C$33:$K$88,3,FALSE)+VLOOKUP($A21,'[1]Post-Consumer Transport'!$C$33:$K$88,4,FALSE)</f>
        <v>2.0254519141196047E-2</v>
      </c>
      <c r="BH21" s="553">
        <f t="shared" si="35"/>
        <v>2.0254519141196047E-2</v>
      </c>
      <c r="BI21" s="549">
        <f t="shared" si="36"/>
        <v>2.0254519141196047E-2</v>
      </c>
      <c r="BJ21" s="549">
        <f t="shared" si="37"/>
        <v>2.0254519141196047E-2</v>
      </c>
      <c r="BK21" s="550">
        <f t="shared" si="38"/>
        <v>2.0254519141196047E-2</v>
      </c>
      <c r="BL21" s="881">
        <v>0</v>
      </c>
      <c r="BM21" s="882">
        <v>0</v>
      </c>
      <c r="BN21" s="882">
        <v>0</v>
      </c>
      <c r="BO21" s="883">
        <v>0</v>
      </c>
      <c r="BP21" s="884">
        <v>0</v>
      </c>
      <c r="BQ21" s="885">
        <f>VLOOKUP($A21,'[1]Post-Consumer Transport'!$C$33:$K$88,3,FALSE)+VLOOKUP($A21,'[1]Post-Consumer Transport'!$C$33:$K$88,4,FALSE)</f>
        <v>2.0254519141196047E-2</v>
      </c>
      <c r="BR21" s="886">
        <f t="shared" si="39"/>
        <v>2.0254519141196047E-2</v>
      </c>
      <c r="BS21" s="882">
        <f t="shared" si="40"/>
        <v>2.0254519141196047E-2</v>
      </c>
      <c r="BT21" s="882">
        <f t="shared" si="41"/>
        <v>2.0254519141196047E-2</v>
      </c>
      <c r="BU21" s="883">
        <f t="shared" si="42"/>
        <v>2.0254519141196047E-2</v>
      </c>
      <c r="BV21" s="548">
        <v>0</v>
      </c>
      <c r="BW21" s="549">
        <v>0</v>
      </c>
      <c r="BX21" s="549">
        <v>0</v>
      </c>
      <c r="BY21" s="550">
        <v>0</v>
      </c>
      <c r="BZ21" s="551">
        <v>0</v>
      </c>
      <c r="CA21" s="552">
        <f>VLOOKUP($A21,'[1]Post-Consumer Transport'!$C$33:$K$88,3,FALSE)+VLOOKUP($A21,'[1]Post-Consumer Transport'!$C$33:$K$88,4,FALSE)</f>
        <v>2.0254519141196047E-2</v>
      </c>
      <c r="CB21" s="553">
        <f t="shared" si="43"/>
        <v>2.0254519141196047E-2</v>
      </c>
      <c r="CC21" s="549">
        <f t="shared" si="44"/>
        <v>2.0254519141196047E-2</v>
      </c>
      <c r="CD21" s="549">
        <f t="shared" si="45"/>
        <v>2.0254519141196047E-2</v>
      </c>
      <c r="CE21" s="550">
        <f t="shared" si="46"/>
        <v>2.0254519141196047E-2</v>
      </c>
      <c r="CF21" s="548">
        <v>0</v>
      </c>
      <c r="CG21" s="549">
        <v>0</v>
      </c>
      <c r="CH21" s="549">
        <v>0</v>
      </c>
      <c r="CI21" s="550">
        <v>0</v>
      </c>
      <c r="CJ21" s="551">
        <v>0</v>
      </c>
      <c r="CK21" s="552">
        <f>VLOOKUP($A21,'[1]Post-Consumer Transport'!$C$33:$K$88,3,FALSE)+VLOOKUP($A21,'[1]Post-Consumer Transport'!$C$33:$K$88,4,FALSE)</f>
        <v>2.0254519141196047E-2</v>
      </c>
      <c r="CL21" s="553">
        <f t="shared" si="47"/>
        <v>2.0254519141196047E-2</v>
      </c>
      <c r="CM21" s="549">
        <f t="shared" si="48"/>
        <v>2.0254519141196047E-2</v>
      </c>
      <c r="CN21" s="549">
        <f t="shared" si="49"/>
        <v>2.0254519141196047E-2</v>
      </c>
      <c r="CO21" s="550">
        <f t="shared" si="50"/>
        <v>2.0254519141196047E-2</v>
      </c>
      <c r="CP21" s="548">
        <v>0</v>
      </c>
      <c r="CQ21" s="549">
        <v>0</v>
      </c>
      <c r="CR21" s="549">
        <v>0</v>
      </c>
      <c r="CS21" s="550">
        <v>0</v>
      </c>
      <c r="CT21" s="551">
        <v>0</v>
      </c>
      <c r="CU21" s="552">
        <f>VLOOKUP($A21,'[1]Post-Consumer Transport'!$C$33:$K$88,3,FALSE)+VLOOKUP($A21,'[1]Post-Consumer Transport'!$C$33:$K$88,4,FALSE)</f>
        <v>2.0254519141196047E-2</v>
      </c>
      <c r="CV21" s="553">
        <f t="shared" si="51"/>
        <v>2.0254519141196047E-2</v>
      </c>
      <c r="CW21" s="549">
        <f t="shared" si="52"/>
        <v>2.0254519141196047E-2</v>
      </c>
      <c r="CX21" s="549">
        <f t="shared" si="53"/>
        <v>2.0254519141196047E-2</v>
      </c>
      <c r="CY21" s="550">
        <f t="shared" si="54"/>
        <v>2.0254519141196047E-2</v>
      </c>
      <c r="DA21" s="548">
        <v>0</v>
      </c>
      <c r="DB21" s="549">
        <v>0</v>
      </c>
      <c r="DC21" s="549">
        <v>0</v>
      </c>
      <c r="DD21" s="550">
        <v>0</v>
      </c>
      <c r="DE21" s="551">
        <v>0</v>
      </c>
      <c r="DF21" s="552">
        <f>VLOOKUP($A21,'[1]Post-Consumer Transport'!$C$33:$K$88,3,FALSE)+VLOOKUP($A21,'[1]Post-Consumer Transport'!$C$33:$K$88,4,FALSE)</f>
        <v>2.0254519141196047E-2</v>
      </c>
      <c r="DG21" s="553">
        <f t="shared" si="55"/>
        <v>2.0254519141196047E-2</v>
      </c>
      <c r="DH21" s="549">
        <f t="shared" si="56"/>
        <v>2.0254519141196047E-2</v>
      </c>
      <c r="DI21" s="549">
        <f t="shared" si="57"/>
        <v>2.0254519141196047E-2</v>
      </c>
      <c r="DJ21" s="550">
        <f t="shared" si="58"/>
        <v>2.0254519141196047E-2</v>
      </c>
      <c r="DK21" s="548">
        <v>0</v>
      </c>
      <c r="DL21" s="549">
        <v>0</v>
      </c>
      <c r="DM21" s="549">
        <v>0</v>
      </c>
      <c r="DN21" s="550">
        <v>0</v>
      </c>
      <c r="DO21" s="551">
        <v>0</v>
      </c>
      <c r="DP21" s="552">
        <f>VLOOKUP($A21,'[1]Post-Consumer Transport'!$C$33:$K$88,3,FALSE)+VLOOKUP($A21,'[1]Post-Consumer Transport'!$C$33:$K$88,4,FALSE)</f>
        <v>2.0254519141196047E-2</v>
      </c>
      <c r="DQ21" s="553">
        <f t="shared" si="59"/>
        <v>2.0254519141196047E-2</v>
      </c>
      <c r="DR21" s="549">
        <f t="shared" si="60"/>
        <v>2.0254519141196047E-2</v>
      </c>
      <c r="DS21" s="549">
        <f t="shared" si="61"/>
        <v>2.0254519141196047E-2</v>
      </c>
      <c r="DT21" s="550">
        <f t="shared" si="62"/>
        <v>2.0254519141196047E-2</v>
      </c>
      <c r="DU21" s="548">
        <v>0</v>
      </c>
      <c r="DV21" s="549">
        <v>0</v>
      </c>
      <c r="DW21" s="549">
        <v>0</v>
      </c>
      <c r="DX21" s="550">
        <v>0</v>
      </c>
      <c r="DY21" s="551">
        <v>0</v>
      </c>
      <c r="DZ21" s="552">
        <f>VLOOKUP($A21,'[1]Post-Consumer Transport'!$C$33:$K$88,3,FALSE)+VLOOKUP($A21,'[1]Post-Consumer Transport'!$C$33:$K$88,4,FALSE)</f>
        <v>2.0254519141196047E-2</v>
      </c>
      <c r="EA21" s="553">
        <f t="shared" si="63"/>
        <v>2.0254519141196047E-2</v>
      </c>
      <c r="EB21" s="549">
        <f t="shared" si="64"/>
        <v>2.0254519141196047E-2</v>
      </c>
      <c r="EC21" s="549">
        <f t="shared" si="65"/>
        <v>2.0254519141196047E-2</v>
      </c>
      <c r="ED21" s="550">
        <f t="shared" si="66"/>
        <v>2.0254519141196047E-2</v>
      </c>
      <c r="EE21" s="548">
        <v>0</v>
      </c>
      <c r="EF21" s="549">
        <v>0</v>
      </c>
      <c r="EG21" s="549">
        <v>0</v>
      </c>
      <c r="EH21" s="550">
        <v>0</v>
      </c>
      <c r="EI21" s="551">
        <v>0</v>
      </c>
      <c r="EJ21" s="552">
        <f>VLOOKUP($A21,'[1]Post-Consumer Transport'!$C$33:$K$88,3,FALSE)+VLOOKUP($A21,'[1]Post-Consumer Transport'!$C$33:$K$88,4,FALSE)</f>
        <v>2.0254519141196047E-2</v>
      </c>
      <c r="EK21" s="553">
        <f t="shared" si="67"/>
        <v>2.0254519141196047E-2</v>
      </c>
      <c r="EL21" s="549">
        <f t="shared" si="68"/>
        <v>2.0254519141196047E-2</v>
      </c>
      <c r="EM21" s="549">
        <f t="shared" si="69"/>
        <v>2.0254519141196047E-2</v>
      </c>
      <c r="EN21" s="550">
        <f t="shared" si="70"/>
        <v>2.0254519141196047E-2</v>
      </c>
      <c r="EO21" s="548">
        <v>0</v>
      </c>
      <c r="EP21" s="549">
        <v>0</v>
      </c>
      <c r="EQ21" s="549">
        <v>0</v>
      </c>
      <c r="ER21" s="550">
        <v>0</v>
      </c>
      <c r="ES21" s="551">
        <v>0</v>
      </c>
      <c r="ET21" s="552">
        <f>VLOOKUP($A21,'[1]Post-Consumer Transport'!$C$33:$K$88,3,FALSE)+VLOOKUP($A21,'[1]Post-Consumer Transport'!$C$33:$K$88,4,FALSE)</f>
        <v>2.0254519141196047E-2</v>
      </c>
      <c r="EU21" s="553">
        <f t="shared" si="71"/>
        <v>2.0254519141196047E-2</v>
      </c>
      <c r="EV21" s="549">
        <f t="shared" si="72"/>
        <v>2.0254519141196047E-2</v>
      </c>
      <c r="EW21" s="549">
        <f t="shared" si="73"/>
        <v>2.0254519141196047E-2</v>
      </c>
      <c r="EX21" s="550">
        <f t="shared" si="74"/>
        <v>2.0254519141196047E-2</v>
      </c>
      <c r="EZ21" s="548">
        <v>0</v>
      </c>
      <c r="FA21" s="549">
        <v>0</v>
      </c>
      <c r="FB21" s="549">
        <v>0</v>
      </c>
      <c r="FC21" s="550">
        <v>0</v>
      </c>
      <c r="FD21" s="551">
        <v>0</v>
      </c>
      <c r="FE21" s="552">
        <f>VLOOKUP($A21,'[1]Post-Consumer Transport'!$C$33:$K$88,3,FALSE)+VLOOKUP($A21,'[1]Post-Consumer Transport'!$C$33:$K$88,4,FALSE)</f>
        <v>2.0254519141196047E-2</v>
      </c>
      <c r="FF21" s="553">
        <f t="shared" si="75"/>
        <v>2.0254519141196047E-2</v>
      </c>
      <c r="FG21" s="549">
        <f t="shared" si="76"/>
        <v>2.0254519141196047E-2</v>
      </c>
      <c r="FH21" s="549">
        <f t="shared" si="77"/>
        <v>2.0254519141196047E-2</v>
      </c>
      <c r="FI21" s="550">
        <f t="shared" si="78"/>
        <v>2.0254519141196047E-2</v>
      </c>
      <c r="FJ21" s="548">
        <v>0</v>
      </c>
      <c r="FK21" s="549">
        <v>0</v>
      </c>
      <c r="FL21" s="549">
        <v>0</v>
      </c>
      <c r="FM21" s="550">
        <v>0</v>
      </c>
      <c r="FN21" s="551">
        <v>0</v>
      </c>
      <c r="FO21" s="552">
        <f>VLOOKUP($A21,'[1]Post-Consumer Transport'!$C$33:$K$88,3,FALSE)+VLOOKUP($A21,'[1]Post-Consumer Transport'!$C$33:$K$88,4,FALSE)</f>
        <v>2.0254519141196047E-2</v>
      </c>
      <c r="FP21" s="553">
        <f t="shared" si="79"/>
        <v>2.0254519141196047E-2</v>
      </c>
      <c r="FQ21" s="549">
        <f t="shared" si="80"/>
        <v>2.0254519141196047E-2</v>
      </c>
      <c r="FR21" s="549">
        <f t="shared" si="81"/>
        <v>2.0254519141196047E-2</v>
      </c>
      <c r="FS21" s="550">
        <f t="shared" si="82"/>
        <v>2.0254519141196047E-2</v>
      </c>
      <c r="FT21" s="548">
        <v>0</v>
      </c>
      <c r="FU21" s="549">
        <v>0</v>
      </c>
      <c r="FV21" s="549">
        <v>0</v>
      </c>
      <c r="FW21" s="550">
        <v>0</v>
      </c>
      <c r="FX21" s="551">
        <v>0</v>
      </c>
      <c r="FY21" s="552">
        <f>VLOOKUP($A21,'[1]Post-Consumer Transport'!$C$33:$K$88,3,FALSE)+VLOOKUP($A21,'[1]Post-Consumer Transport'!$C$33:$K$88,4,FALSE)</f>
        <v>2.0254519141196047E-2</v>
      </c>
      <c r="FZ21" s="553">
        <f t="shared" si="83"/>
        <v>2.0254519141196047E-2</v>
      </c>
      <c r="GA21" s="549">
        <f t="shared" si="84"/>
        <v>2.0254519141196047E-2</v>
      </c>
      <c r="GB21" s="549">
        <f t="shared" si="85"/>
        <v>2.0254519141196047E-2</v>
      </c>
      <c r="GC21" s="550">
        <f t="shared" si="86"/>
        <v>2.0254519141196047E-2</v>
      </c>
      <c r="GD21" s="548">
        <v>0</v>
      </c>
      <c r="GE21" s="549">
        <v>0</v>
      </c>
      <c r="GF21" s="549">
        <v>0</v>
      </c>
      <c r="GG21" s="550">
        <v>0</v>
      </c>
      <c r="GH21" s="551">
        <v>0</v>
      </c>
      <c r="GI21" s="552">
        <f>VLOOKUP($A21,'[1]Post-Consumer Transport'!$C$33:$K$88,3,FALSE)+VLOOKUP($A21,'[1]Post-Consumer Transport'!$C$33:$K$88,4,FALSE)</f>
        <v>2.0254519141196047E-2</v>
      </c>
      <c r="GJ21" s="553">
        <f t="shared" si="87"/>
        <v>2.0254519141196047E-2</v>
      </c>
      <c r="GK21" s="549">
        <f t="shared" si="88"/>
        <v>2.0254519141196047E-2</v>
      </c>
      <c r="GL21" s="549">
        <f t="shared" si="89"/>
        <v>2.0254519141196047E-2</v>
      </c>
      <c r="GM21" s="550">
        <f t="shared" si="90"/>
        <v>2.0254519141196047E-2</v>
      </c>
      <c r="GN21" s="548">
        <v>0</v>
      </c>
      <c r="GO21" s="549">
        <v>0</v>
      </c>
      <c r="GP21" s="549">
        <v>0</v>
      </c>
      <c r="GQ21" s="550">
        <v>0</v>
      </c>
      <c r="GR21" s="551">
        <v>0</v>
      </c>
      <c r="GS21" s="552">
        <f>VLOOKUP($A21,'[1]Post-Consumer Transport'!$C$33:$K$88,3,FALSE)+VLOOKUP($A21,'[1]Post-Consumer Transport'!$C$33:$K$88,4,FALSE)</f>
        <v>2.0254519141196047E-2</v>
      </c>
      <c r="GT21" s="553">
        <f t="shared" si="91"/>
        <v>2.0254519141196047E-2</v>
      </c>
      <c r="GU21" s="549">
        <f t="shared" si="92"/>
        <v>2.0254519141196047E-2</v>
      </c>
      <c r="GV21" s="549">
        <f t="shared" si="93"/>
        <v>2.0254519141196047E-2</v>
      </c>
      <c r="GW21" s="550">
        <f t="shared" si="94"/>
        <v>2.0254519141196047E-2</v>
      </c>
    </row>
    <row r="22" spans="1:205" s="499" customFormat="1" x14ac:dyDescent="0.25">
      <c r="A22" s="498" t="str">
        <f t="shared" si="16"/>
        <v>PET</v>
      </c>
      <c r="B22" s="547" t="s">
        <v>520</v>
      </c>
      <c r="C22" s="548">
        <v>0</v>
      </c>
      <c r="D22" s="549">
        <v>0</v>
      </c>
      <c r="E22" s="549">
        <v>0</v>
      </c>
      <c r="F22" s="550">
        <v>0</v>
      </c>
      <c r="G22" s="551">
        <v>0</v>
      </c>
      <c r="H22" s="552">
        <f>VLOOKUP($A22,'[1]Post-Consumer Transport'!$C$33:$K$88,3,FALSE)+VLOOKUP($A22,'[1]Post-Consumer Transport'!$C$33:$K$88,4,FALSE)</f>
        <v>2.0254519141196047E-2</v>
      </c>
      <c r="I22" s="553">
        <f t="shared" si="17"/>
        <v>2.0254519141196047E-2</v>
      </c>
      <c r="J22" s="549">
        <f t="shared" si="18"/>
        <v>2.0254519141196047E-2</v>
      </c>
      <c r="K22" s="549">
        <f t="shared" si="18"/>
        <v>2.0254519141196047E-2</v>
      </c>
      <c r="L22" s="550">
        <f t="shared" si="18"/>
        <v>2.0254519141196047E-2</v>
      </c>
      <c r="M22" s="548">
        <v>0</v>
      </c>
      <c r="N22" s="549">
        <v>0</v>
      </c>
      <c r="O22" s="549">
        <v>0</v>
      </c>
      <c r="P22" s="550">
        <v>0</v>
      </c>
      <c r="Q22" s="551">
        <v>0</v>
      </c>
      <c r="R22" s="552">
        <f>VLOOKUP($A22,'[1]Post-Consumer Transport'!$C$33:$K$88,3,FALSE)+VLOOKUP($A22,'[1]Post-Consumer Transport'!$C$33:$K$88,4,FALSE)</f>
        <v>2.0254519141196047E-2</v>
      </c>
      <c r="S22" s="553">
        <f t="shared" si="19"/>
        <v>2.0254519141196047E-2</v>
      </c>
      <c r="T22" s="549">
        <f t="shared" si="20"/>
        <v>2.0254519141196047E-2</v>
      </c>
      <c r="U22" s="549">
        <f t="shared" si="21"/>
        <v>2.0254519141196047E-2</v>
      </c>
      <c r="V22" s="550">
        <f t="shared" si="22"/>
        <v>2.0254519141196047E-2</v>
      </c>
      <c r="W22" s="548">
        <v>0</v>
      </c>
      <c r="X22" s="549">
        <v>0</v>
      </c>
      <c r="Y22" s="549">
        <v>0</v>
      </c>
      <c r="Z22" s="550">
        <v>0</v>
      </c>
      <c r="AA22" s="551">
        <v>0</v>
      </c>
      <c r="AB22" s="552">
        <f>VLOOKUP($A22,'[1]Post-Consumer Transport'!$C$33:$K$88,3,FALSE)+VLOOKUP($A22,'[1]Post-Consumer Transport'!$C$33:$K$88,4,FALSE)</f>
        <v>2.0254519141196047E-2</v>
      </c>
      <c r="AC22" s="553">
        <f t="shared" si="23"/>
        <v>2.0254519141196047E-2</v>
      </c>
      <c r="AD22" s="549">
        <f t="shared" si="24"/>
        <v>2.0254519141196047E-2</v>
      </c>
      <c r="AE22" s="549">
        <f t="shared" si="25"/>
        <v>2.0254519141196047E-2</v>
      </c>
      <c r="AF22" s="550">
        <f t="shared" si="26"/>
        <v>2.0254519141196047E-2</v>
      </c>
      <c r="AG22" s="548">
        <v>0</v>
      </c>
      <c r="AH22" s="549">
        <v>0</v>
      </c>
      <c r="AI22" s="549">
        <v>0</v>
      </c>
      <c r="AJ22" s="550">
        <v>0</v>
      </c>
      <c r="AK22" s="551">
        <v>0</v>
      </c>
      <c r="AL22" s="552">
        <f>VLOOKUP($A22,'[1]Post-Consumer Transport'!$C$33:$K$88,3,FALSE)+VLOOKUP($A22,'[1]Post-Consumer Transport'!$C$33:$K$88,4,FALSE)</f>
        <v>2.0254519141196047E-2</v>
      </c>
      <c r="AM22" s="553">
        <f t="shared" si="27"/>
        <v>2.0254519141196047E-2</v>
      </c>
      <c r="AN22" s="549">
        <f t="shared" si="28"/>
        <v>2.0254519141196047E-2</v>
      </c>
      <c r="AO22" s="549">
        <f t="shared" si="29"/>
        <v>2.0254519141196047E-2</v>
      </c>
      <c r="AP22" s="550">
        <f t="shared" si="30"/>
        <v>2.0254519141196047E-2</v>
      </c>
      <c r="AQ22" s="548">
        <v>0</v>
      </c>
      <c r="AR22" s="549">
        <v>0</v>
      </c>
      <c r="AS22" s="549">
        <v>0</v>
      </c>
      <c r="AT22" s="550">
        <v>0</v>
      </c>
      <c r="AU22" s="551">
        <v>0</v>
      </c>
      <c r="AV22" s="552">
        <f>VLOOKUP($A22,'[1]Post-Consumer Transport'!$C$33:$K$88,3,FALSE)+VLOOKUP($A22,'[1]Post-Consumer Transport'!$C$33:$K$88,4,FALSE)</f>
        <v>2.0254519141196047E-2</v>
      </c>
      <c r="AW22" s="553">
        <f t="shared" si="31"/>
        <v>2.0254519141196047E-2</v>
      </c>
      <c r="AX22" s="549">
        <f t="shared" si="32"/>
        <v>2.0254519141196047E-2</v>
      </c>
      <c r="AY22" s="549">
        <f t="shared" si="33"/>
        <v>2.0254519141196047E-2</v>
      </c>
      <c r="AZ22" s="550">
        <f t="shared" si="34"/>
        <v>2.0254519141196047E-2</v>
      </c>
      <c r="BB22" s="548">
        <v>0</v>
      </c>
      <c r="BC22" s="549">
        <v>0</v>
      </c>
      <c r="BD22" s="549">
        <v>0</v>
      </c>
      <c r="BE22" s="550">
        <v>0</v>
      </c>
      <c r="BF22" s="551">
        <v>0</v>
      </c>
      <c r="BG22" s="552">
        <f>VLOOKUP($A22,'[1]Post-Consumer Transport'!$C$33:$K$88,3,FALSE)+VLOOKUP($A22,'[1]Post-Consumer Transport'!$C$33:$K$88,4,FALSE)</f>
        <v>2.0254519141196047E-2</v>
      </c>
      <c r="BH22" s="553">
        <f t="shared" si="35"/>
        <v>2.0254519141196047E-2</v>
      </c>
      <c r="BI22" s="549">
        <f t="shared" si="36"/>
        <v>2.0254519141196047E-2</v>
      </c>
      <c r="BJ22" s="549">
        <f t="shared" si="37"/>
        <v>2.0254519141196047E-2</v>
      </c>
      <c r="BK22" s="550">
        <f t="shared" si="38"/>
        <v>2.0254519141196047E-2</v>
      </c>
      <c r="BL22" s="881">
        <v>0</v>
      </c>
      <c r="BM22" s="882">
        <v>0</v>
      </c>
      <c r="BN22" s="882">
        <v>0</v>
      </c>
      <c r="BO22" s="883">
        <v>0</v>
      </c>
      <c r="BP22" s="884">
        <v>0</v>
      </c>
      <c r="BQ22" s="885">
        <f>VLOOKUP($A22,'[1]Post-Consumer Transport'!$C$33:$K$88,3,FALSE)+VLOOKUP($A22,'[1]Post-Consumer Transport'!$C$33:$K$88,4,FALSE)</f>
        <v>2.0254519141196047E-2</v>
      </c>
      <c r="BR22" s="886">
        <f t="shared" si="39"/>
        <v>2.0254519141196047E-2</v>
      </c>
      <c r="BS22" s="882">
        <f t="shared" si="40"/>
        <v>2.0254519141196047E-2</v>
      </c>
      <c r="BT22" s="882">
        <f t="shared" si="41"/>
        <v>2.0254519141196047E-2</v>
      </c>
      <c r="BU22" s="883">
        <f t="shared" si="42"/>
        <v>2.0254519141196047E-2</v>
      </c>
      <c r="BV22" s="548">
        <v>0</v>
      </c>
      <c r="BW22" s="549">
        <v>0</v>
      </c>
      <c r="BX22" s="549">
        <v>0</v>
      </c>
      <c r="BY22" s="550">
        <v>0</v>
      </c>
      <c r="BZ22" s="551">
        <v>0</v>
      </c>
      <c r="CA22" s="552">
        <f>VLOOKUP($A22,'[1]Post-Consumer Transport'!$C$33:$K$88,3,FALSE)+VLOOKUP($A22,'[1]Post-Consumer Transport'!$C$33:$K$88,4,FALSE)</f>
        <v>2.0254519141196047E-2</v>
      </c>
      <c r="CB22" s="553">
        <f t="shared" si="43"/>
        <v>2.0254519141196047E-2</v>
      </c>
      <c r="CC22" s="549">
        <f t="shared" si="44"/>
        <v>2.0254519141196047E-2</v>
      </c>
      <c r="CD22" s="549">
        <f t="shared" si="45"/>
        <v>2.0254519141196047E-2</v>
      </c>
      <c r="CE22" s="550">
        <f t="shared" si="46"/>
        <v>2.0254519141196047E-2</v>
      </c>
      <c r="CF22" s="548">
        <v>0</v>
      </c>
      <c r="CG22" s="549">
        <v>0</v>
      </c>
      <c r="CH22" s="549">
        <v>0</v>
      </c>
      <c r="CI22" s="550">
        <v>0</v>
      </c>
      <c r="CJ22" s="551">
        <v>0</v>
      </c>
      <c r="CK22" s="552">
        <f>VLOOKUP($A22,'[1]Post-Consumer Transport'!$C$33:$K$88,3,FALSE)+VLOOKUP($A22,'[1]Post-Consumer Transport'!$C$33:$K$88,4,FALSE)</f>
        <v>2.0254519141196047E-2</v>
      </c>
      <c r="CL22" s="553">
        <f t="shared" si="47"/>
        <v>2.0254519141196047E-2</v>
      </c>
      <c r="CM22" s="549">
        <f t="shared" si="48"/>
        <v>2.0254519141196047E-2</v>
      </c>
      <c r="CN22" s="549">
        <f t="shared" si="49"/>
        <v>2.0254519141196047E-2</v>
      </c>
      <c r="CO22" s="550">
        <f t="shared" si="50"/>
        <v>2.0254519141196047E-2</v>
      </c>
      <c r="CP22" s="548">
        <v>0</v>
      </c>
      <c r="CQ22" s="549">
        <v>0</v>
      </c>
      <c r="CR22" s="549">
        <v>0</v>
      </c>
      <c r="CS22" s="550">
        <v>0</v>
      </c>
      <c r="CT22" s="551">
        <v>0</v>
      </c>
      <c r="CU22" s="552">
        <f>VLOOKUP($A22,'[1]Post-Consumer Transport'!$C$33:$K$88,3,FALSE)+VLOOKUP($A22,'[1]Post-Consumer Transport'!$C$33:$K$88,4,FALSE)</f>
        <v>2.0254519141196047E-2</v>
      </c>
      <c r="CV22" s="553">
        <f t="shared" si="51"/>
        <v>2.0254519141196047E-2</v>
      </c>
      <c r="CW22" s="549">
        <f t="shared" si="52"/>
        <v>2.0254519141196047E-2</v>
      </c>
      <c r="CX22" s="549">
        <f t="shared" si="53"/>
        <v>2.0254519141196047E-2</v>
      </c>
      <c r="CY22" s="550">
        <f t="shared" si="54"/>
        <v>2.0254519141196047E-2</v>
      </c>
      <c r="DA22" s="548">
        <v>0</v>
      </c>
      <c r="DB22" s="549">
        <v>0</v>
      </c>
      <c r="DC22" s="549">
        <v>0</v>
      </c>
      <c r="DD22" s="550">
        <v>0</v>
      </c>
      <c r="DE22" s="551">
        <v>0</v>
      </c>
      <c r="DF22" s="552">
        <f>VLOOKUP($A22,'[1]Post-Consumer Transport'!$C$33:$K$88,3,FALSE)+VLOOKUP($A22,'[1]Post-Consumer Transport'!$C$33:$K$88,4,FALSE)</f>
        <v>2.0254519141196047E-2</v>
      </c>
      <c r="DG22" s="553">
        <f t="shared" si="55"/>
        <v>2.0254519141196047E-2</v>
      </c>
      <c r="DH22" s="549">
        <f t="shared" si="56"/>
        <v>2.0254519141196047E-2</v>
      </c>
      <c r="DI22" s="549">
        <f t="shared" si="57"/>
        <v>2.0254519141196047E-2</v>
      </c>
      <c r="DJ22" s="550">
        <f t="shared" si="58"/>
        <v>2.0254519141196047E-2</v>
      </c>
      <c r="DK22" s="548">
        <v>0</v>
      </c>
      <c r="DL22" s="549">
        <v>0</v>
      </c>
      <c r="DM22" s="549">
        <v>0</v>
      </c>
      <c r="DN22" s="550">
        <v>0</v>
      </c>
      <c r="DO22" s="551">
        <v>0</v>
      </c>
      <c r="DP22" s="552">
        <f>VLOOKUP($A22,'[1]Post-Consumer Transport'!$C$33:$K$88,3,FALSE)+VLOOKUP($A22,'[1]Post-Consumer Transport'!$C$33:$K$88,4,FALSE)</f>
        <v>2.0254519141196047E-2</v>
      </c>
      <c r="DQ22" s="553">
        <f t="shared" si="59"/>
        <v>2.0254519141196047E-2</v>
      </c>
      <c r="DR22" s="549">
        <f t="shared" si="60"/>
        <v>2.0254519141196047E-2</v>
      </c>
      <c r="DS22" s="549">
        <f t="shared" si="61"/>
        <v>2.0254519141196047E-2</v>
      </c>
      <c r="DT22" s="550">
        <f t="shared" si="62"/>
        <v>2.0254519141196047E-2</v>
      </c>
      <c r="DU22" s="548">
        <v>0</v>
      </c>
      <c r="DV22" s="549">
        <v>0</v>
      </c>
      <c r="DW22" s="549">
        <v>0</v>
      </c>
      <c r="DX22" s="550">
        <v>0</v>
      </c>
      <c r="DY22" s="551">
        <v>0</v>
      </c>
      <c r="DZ22" s="552">
        <f>VLOOKUP($A22,'[1]Post-Consumer Transport'!$C$33:$K$88,3,FALSE)+VLOOKUP($A22,'[1]Post-Consumer Transport'!$C$33:$K$88,4,FALSE)</f>
        <v>2.0254519141196047E-2</v>
      </c>
      <c r="EA22" s="553">
        <f t="shared" si="63"/>
        <v>2.0254519141196047E-2</v>
      </c>
      <c r="EB22" s="549">
        <f t="shared" si="64"/>
        <v>2.0254519141196047E-2</v>
      </c>
      <c r="EC22" s="549">
        <f t="shared" si="65"/>
        <v>2.0254519141196047E-2</v>
      </c>
      <c r="ED22" s="550">
        <f t="shared" si="66"/>
        <v>2.0254519141196047E-2</v>
      </c>
      <c r="EE22" s="548">
        <v>0</v>
      </c>
      <c r="EF22" s="549">
        <v>0</v>
      </c>
      <c r="EG22" s="549">
        <v>0</v>
      </c>
      <c r="EH22" s="550">
        <v>0</v>
      </c>
      <c r="EI22" s="551">
        <v>0</v>
      </c>
      <c r="EJ22" s="552">
        <f>VLOOKUP($A22,'[1]Post-Consumer Transport'!$C$33:$K$88,3,FALSE)+VLOOKUP($A22,'[1]Post-Consumer Transport'!$C$33:$K$88,4,FALSE)</f>
        <v>2.0254519141196047E-2</v>
      </c>
      <c r="EK22" s="553">
        <f t="shared" si="67"/>
        <v>2.0254519141196047E-2</v>
      </c>
      <c r="EL22" s="549">
        <f t="shared" si="68"/>
        <v>2.0254519141196047E-2</v>
      </c>
      <c r="EM22" s="549">
        <f t="shared" si="69"/>
        <v>2.0254519141196047E-2</v>
      </c>
      <c r="EN22" s="550">
        <f t="shared" si="70"/>
        <v>2.0254519141196047E-2</v>
      </c>
      <c r="EO22" s="548">
        <v>0</v>
      </c>
      <c r="EP22" s="549">
        <v>0</v>
      </c>
      <c r="EQ22" s="549">
        <v>0</v>
      </c>
      <c r="ER22" s="550">
        <v>0</v>
      </c>
      <c r="ES22" s="551">
        <v>0</v>
      </c>
      <c r="ET22" s="552">
        <f>VLOOKUP($A22,'[1]Post-Consumer Transport'!$C$33:$K$88,3,FALSE)+VLOOKUP($A22,'[1]Post-Consumer Transport'!$C$33:$K$88,4,FALSE)</f>
        <v>2.0254519141196047E-2</v>
      </c>
      <c r="EU22" s="553">
        <f t="shared" si="71"/>
        <v>2.0254519141196047E-2</v>
      </c>
      <c r="EV22" s="549">
        <f t="shared" si="72"/>
        <v>2.0254519141196047E-2</v>
      </c>
      <c r="EW22" s="549">
        <f t="shared" si="73"/>
        <v>2.0254519141196047E-2</v>
      </c>
      <c r="EX22" s="550">
        <f t="shared" si="74"/>
        <v>2.0254519141196047E-2</v>
      </c>
      <c r="EZ22" s="548">
        <v>0</v>
      </c>
      <c r="FA22" s="549">
        <v>0</v>
      </c>
      <c r="FB22" s="549">
        <v>0</v>
      </c>
      <c r="FC22" s="550">
        <v>0</v>
      </c>
      <c r="FD22" s="551">
        <v>0</v>
      </c>
      <c r="FE22" s="552">
        <f>VLOOKUP($A22,'[1]Post-Consumer Transport'!$C$33:$K$88,3,FALSE)+VLOOKUP($A22,'[1]Post-Consumer Transport'!$C$33:$K$88,4,FALSE)</f>
        <v>2.0254519141196047E-2</v>
      </c>
      <c r="FF22" s="553">
        <f t="shared" si="75"/>
        <v>2.0254519141196047E-2</v>
      </c>
      <c r="FG22" s="549">
        <f t="shared" si="76"/>
        <v>2.0254519141196047E-2</v>
      </c>
      <c r="FH22" s="549">
        <f t="shared" si="77"/>
        <v>2.0254519141196047E-2</v>
      </c>
      <c r="FI22" s="550">
        <f t="shared" si="78"/>
        <v>2.0254519141196047E-2</v>
      </c>
      <c r="FJ22" s="548">
        <v>0</v>
      </c>
      <c r="FK22" s="549">
        <v>0</v>
      </c>
      <c r="FL22" s="549">
        <v>0</v>
      </c>
      <c r="FM22" s="550">
        <v>0</v>
      </c>
      <c r="FN22" s="551">
        <v>0</v>
      </c>
      <c r="FO22" s="552">
        <f>VLOOKUP($A22,'[1]Post-Consumer Transport'!$C$33:$K$88,3,FALSE)+VLOOKUP($A22,'[1]Post-Consumer Transport'!$C$33:$K$88,4,FALSE)</f>
        <v>2.0254519141196047E-2</v>
      </c>
      <c r="FP22" s="553">
        <f t="shared" si="79"/>
        <v>2.0254519141196047E-2</v>
      </c>
      <c r="FQ22" s="549">
        <f t="shared" si="80"/>
        <v>2.0254519141196047E-2</v>
      </c>
      <c r="FR22" s="549">
        <f t="shared" si="81"/>
        <v>2.0254519141196047E-2</v>
      </c>
      <c r="FS22" s="550">
        <f t="shared" si="82"/>
        <v>2.0254519141196047E-2</v>
      </c>
      <c r="FT22" s="548">
        <v>0</v>
      </c>
      <c r="FU22" s="549">
        <v>0</v>
      </c>
      <c r="FV22" s="549">
        <v>0</v>
      </c>
      <c r="FW22" s="550">
        <v>0</v>
      </c>
      <c r="FX22" s="551">
        <v>0</v>
      </c>
      <c r="FY22" s="552">
        <f>VLOOKUP($A22,'[1]Post-Consumer Transport'!$C$33:$K$88,3,FALSE)+VLOOKUP($A22,'[1]Post-Consumer Transport'!$C$33:$K$88,4,FALSE)</f>
        <v>2.0254519141196047E-2</v>
      </c>
      <c r="FZ22" s="553">
        <f t="shared" si="83"/>
        <v>2.0254519141196047E-2</v>
      </c>
      <c r="GA22" s="549">
        <f t="shared" si="84"/>
        <v>2.0254519141196047E-2</v>
      </c>
      <c r="GB22" s="549">
        <f t="shared" si="85"/>
        <v>2.0254519141196047E-2</v>
      </c>
      <c r="GC22" s="550">
        <f t="shared" si="86"/>
        <v>2.0254519141196047E-2</v>
      </c>
      <c r="GD22" s="548">
        <v>0</v>
      </c>
      <c r="GE22" s="549">
        <v>0</v>
      </c>
      <c r="GF22" s="549">
        <v>0</v>
      </c>
      <c r="GG22" s="550">
        <v>0</v>
      </c>
      <c r="GH22" s="551">
        <v>0</v>
      </c>
      <c r="GI22" s="552">
        <f>VLOOKUP($A22,'[1]Post-Consumer Transport'!$C$33:$K$88,3,FALSE)+VLOOKUP($A22,'[1]Post-Consumer Transport'!$C$33:$K$88,4,FALSE)</f>
        <v>2.0254519141196047E-2</v>
      </c>
      <c r="GJ22" s="553">
        <f t="shared" si="87"/>
        <v>2.0254519141196047E-2</v>
      </c>
      <c r="GK22" s="549">
        <f t="shared" si="88"/>
        <v>2.0254519141196047E-2</v>
      </c>
      <c r="GL22" s="549">
        <f t="shared" si="89"/>
        <v>2.0254519141196047E-2</v>
      </c>
      <c r="GM22" s="550">
        <f t="shared" si="90"/>
        <v>2.0254519141196047E-2</v>
      </c>
      <c r="GN22" s="548">
        <v>0</v>
      </c>
      <c r="GO22" s="549">
        <v>0</v>
      </c>
      <c r="GP22" s="549">
        <v>0</v>
      </c>
      <c r="GQ22" s="550">
        <v>0</v>
      </c>
      <c r="GR22" s="551">
        <v>0</v>
      </c>
      <c r="GS22" s="552">
        <f>VLOOKUP($A22,'[1]Post-Consumer Transport'!$C$33:$K$88,3,FALSE)+VLOOKUP($A22,'[1]Post-Consumer Transport'!$C$33:$K$88,4,FALSE)</f>
        <v>2.0254519141196047E-2</v>
      </c>
      <c r="GT22" s="553">
        <f t="shared" si="91"/>
        <v>2.0254519141196047E-2</v>
      </c>
      <c r="GU22" s="549">
        <f t="shared" si="92"/>
        <v>2.0254519141196047E-2</v>
      </c>
      <c r="GV22" s="549">
        <f t="shared" si="93"/>
        <v>2.0254519141196047E-2</v>
      </c>
      <c r="GW22" s="550">
        <f t="shared" si="94"/>
        <v>2.0254519141196047E-2</v>
      </c>
    </row>
    <row r="23" spans="1:205" s="846" customFormat="1" x14ac:dyDescent="0.25">
      <c r="A23" s="843" t="str">
        <f t="shared" si="16"/>
        <v>Corrugated Containers</v>
      </c>
      <c r="B23" s="844" t="s">
        <v>59</v>
      </c>
      <c r="C23" s="836">
        <f>VLOOKUP($A23,[1]!LandfillTypicalK2,C$7,FALSE)</f>
        <v>2.3609434259317501</v>
      </c>
      <c r="D23" s="837">
        <f>VLOOKUP($A23,[1]!LandfillTypicalK2,D$7,FALSE)</f>
        <v>1.2359514151216597</v>
      </c>
      <c r="E23" s="837">
        <f>VLOOKUP($A23,[1]!LandfillTypicalK2,E$7,FALSE)</f>
        <v>0.62642753981225974</v>
      </c>
      <c r="F23" s="845">
        <f>VLOOKUP($A23,[1]!LandfillTypicalK2,F$7,FALSE)</f>
        <v>0.8436899952716127</v>
      </c>
      <c r="G23" s="839">
        <f>-1*VLOOKUP($A23,[1]Landfilling!$N$27:$R$41,5,FALSE)</f>
        <v>-0.71772644292928323</v>
      </c>
      <c r="H23" s="840">
        <f>VLOOKUP($A23,'[1]Post-Consumer Transport'!$C$33:$K$88,3,FALSE)+VLOOKUP($A23,'[1]Post-Consumer Transport'!$C$33:$K$88,4,FALSE)</f>
        <v>2.0254519141196047E-2</v>
      </c>
      <c r="I23" s="841">
        <f>C23+G23+H23</f>
        <v>1.6634715021436628</v>
      </c>
      <c r="J23" s="837">
        <f t="shared" si="18"/>
        <v>0.53847949133357254</v>
      </c>
      <c r="K23" s="837">
        <f t="shared" si="18"/>
        <v>-7.1044383975827435E-2</v>
      </c>
      <c r="L23" s="838">
        <f t="shared" si="18"/>
        <v>0.14621807148352553</v>
      </c>
      <c r="M23" s="836">
        <f>VLOOKUP($A23,[1]!LandfillTypicalK4,M$7,FALSE)</f>
        <v>2.3609434259317501</v>
      </c>
      <c r="N23" s="837">
        <f>VLOOKUP($A23,[1]!LandfillTypicalK4,N$7,FALSE)</f>
        <v>1.164439867917916</v>
      </c>
      <c r="O23" s="837">
        <f>VLOOKUP($A23,[1]!LandfillTypicalK4,O$7,FALSE)</f>
        <v>0.7557796766821222</v>
      </c>
      <c r="P23" s="838">
        <f>VLOOKUP($A23,[1]!LandfillTypicalK4,P$7,FALSE)</f>
        <v>0.93919159121834961</v>
      </c>
      <c r="Q23" s="839">
        <f>-1*VLOOKUP($A23,[1]Landfilling!$N$27:$R$41,5,FALSE)</f>
        <v>-0.71772644292928323</v>
      </c>
      <c r="R23" s="840">
        <f>VLOOKUP($A23,'[1]Post-Consumer Transport'!$C$33:$K$88,3,FALSE)+VLOOKUP($A23,'[1]Post-Consumer Transport'!$C$33:$K$88,4,FALSE)</f>
        <v>2.0254519141196047E-2</v>
      </c>
      <c r="S23" s="841">
        <f t="shared" si="19"/>
        <v>1.6634715021436628</v>
      </c>
      <c r="T23" s="837">
        <f t="shared" si="20"/>
        <v>0.46696794412982878</v>
      </c>
      <c r="U23" s="837">
        <f t="shared" si="21"/>
        <v>5.8307752894035024E-2</v>
      </c>
      <c r="V23" s="838">
        <f t="shared" si="22"/>
        <v>0.24171966743026244</v>
      </c>
      <c r="W23" s="836">
        <f>VLOOKUP($A23,[1]!LandfillTypicalK6,W$7,FALSE)</f>
        <v>2.3609434259317501</v>
      </c>
      <c r="X23" s="837">
        <f>VLOOKUP($A23,[1]!LandfillTypicalK6,X$7,FALSE)</f>
        <v>1.1134985797303449</v>
      </c>
      <c r="Y23" s="837">
        <f>VLOOKUP($A23,[1]!LandfillTypicalK6,Y$7,FALSE)</f>
        <v>0.79470735155491778</v>
      </c>
      <c r="Z23" s="838">
        <f>VLOOKUP($A23,[1]!LandfillTypicalK6,Z$7,FALSE)</f>
        <v>0.96209168396677947</v>
      </c>
      <c r="AA23" s="839">
        <f>-1*VLOOKUP($A23,[1]Landfilling!$N$27:$R$41,5,FALSE)</f>
        <v>-0.71772644292928323</v>
      </c>
      <c r="AB23" s="840">
        <f>VLOOKUP($A23,'[1]Post-Consumer Transport'!$C$33:$K$88,3,FALSE)+VLOOKUP($A23,'[1]Post-Consumer Transport'!$C$33:$K$88,4,FALSE)</f>
        <v>2.0254519141196047E-2</v>
      </c>
      <c r="AC23" s="841">
        <f t="shared" si="23"/>
        <v>1.6634715021436628</v>
      </c>
      <c r="AD23" s="837">
        <f t="shared" si="24"/>
        <v>0.41602665594225774</v>
      </c>
      <c r="AE23" s="837">
        <f t="shared" si="25"/>
        <v>9.7235427766830612E-2</v>
      </c>
      <c r="AF23" s="838">
        <f t="shared" si="26"/>
        <v>0.26461976017869226</v>
      </c>
      <c r="AG23" s="836">
        <f>VLOOKUP($A23,[1]!LandfillTypicalK12,AG$7,FALSE)</f>
        <v>2.3609434259317501</v>
      </c>
      <c r="AH23" s="837">
        <f>VLOOKUP($A23,[1]!LandfillTypicalK12,AH$7,FALSE)</f>
        <v>1.027618557473015</v>
      </c>
      <c r="AI23" s="837">
        <f>VLOOKUP($A23,[1]!LandfillTypicalK12,AI$7,FALSE)</f>
        <v>0.821444884310784</v>
      </c>
      <c r="AJ23" s="838">
        <f>VLOOKUP($A23,[1]!LandfillTypicalK12,AJ$7,FALSE)</f>
        <v>0.96798008615678588</v>
      </c>
      <c r="AK23" s="839">
        <f>-1*VLOOKUP($A23,[1]Landfilling!$N$27:$R$41,5,FALSE)</f>
        <v>-0.71772644292928323</v>
      </c>
      <c r="AL23" s="840">
        <f>VLOOKUP($A23,'[1]Post-Consumer Transport'!$C$33:$K$88,3,FALSE)+VLOOKUP($A23,'[1]Post-Consumer Transport'!$C$33:$K$88,4,FALSE)</f>
        <v>2.0254519141196047E-2</v>
      </c>
      <c r="AM23" s="841">
        <f t="shared" si="27"/>
        <v>1.6634715021436628</v>
      </c>
      <c r="AN23" s="837">
        <f t="shared" si="28"/>
        <v>0.3301466336849278</v>
      </c>
      <c r="AO23" s="837">
        <f t="shared" si="29"/>
        <v>0.12397296052269682</v>
      </c>
      <c r="AP23" s="838">
        <f t="shared" si="30"/>
        <v>0.27050816236869868</v>
      </c>
      <c r="AQ23" s="836">
        <f>VLOOKUP($A23,[1]!LandfillTypicalNatlAverage,AQ$7,FALSE)</f>
        <v>2.3609434259317501</v>
      </c>
      <c r="AR23" s="837">
        <f>VLOOKUP($A23,[1]!LandfillTypicalNatlAverage,AR$7,FALSE)</f>
        <v>1.1441231768690827</v>
      </c>
      <c r="AS23" s="837">
        <f>VLOOKUP($A23,[1]!LandfillTypicalNatlAverage,AS$7,FALSE)</f>
        <v>0.75247504444373503</v>
      </c>
      <c r="AT23" s="838">
        <f>VLOOKUP($A23,[1]!LandfillTypicalNatlAverage,AT$7,FALSE)</f>
        <v>0.93238205964245069</v>
      </c>
      <c r="AU23" s="839">
        <f>-1*VLOOKUP($A23,[1]Landfilling!$N$27:$R$41,5,FALSE)</f>
        <v>-0.71772644292928323</v>
      </c>
      <c r="AV23" s="840">
        <f>VLOOKUP($A23,'[1]Post-Consumer Transport'!$C$33:$K$88,3,FALSE)+VLOOKUP($A23,'[1]Post-Consumer Transport'!$C$33:$K$88,4,FALSE)</f>
        <v>2.0254519141196047E-2</v>
      </c>
      <c r="AW23" s="841">
        <f t="shared" si="31"/>
        <v>1.6634715021436628</v>
      </c>
      <c r="AX23" s="837">
        <f t="shared" si="32"/>
        <v>0.44665125308099551</v>
      </c>
      <c r="AY23" s="837">
        <f t="shared" si="33"/>
        <v>5.5003120655647851E-2</v>
      </c>
      <c r="AZ23" s="838">
        <f t="shared" si="34"/>
        <v>0.23491013585436352</v>
      </c>
      <c r="BB23" s="836">
        <f>VLOOKUP($A23,[1]!LandfillAggressiveK2,BB$7,FALSE)</f>
        <v>2.3609434259317501</v>
      </c>
      <c r="BC23" s="837">
        <f>VLOOKUP($A23,[1]!LandfillAggressiveK2,BC$7,FALSE)</f>
        <v>1.2224810257797911</v>
      </c>
      <c r="BD23" s="837">
        <f>VLOOKUP($A23,[1]!LandfillAggressiveK2,BD$7,FALSE)</f>
        <v>0.62346296661442624</v>
      </c>
      <c r="BE23" s="838">
        <f>VLOOKUP($A23,[1]!LandfillAggressiveK2,BE$7,FALSE)</f>
        <v>0.84003772864513726</v>
      </c>
      <c r="BF23" s="839">
        <f>-1*VLOOKUP($A23,[1]Landfilling!$N$27:$R$41,5,FALSE)</f>
        <v>-0.71772644292928323</v>
      </c>
      <c r="BG23" s="945">
        <f>VLOOKUP($A23,'[1]Post-Consumer Transport'!$C$33:$K$88,3,FALSE)+VLOOKUP($A23,'[1]Post-Consumer Transport'!$C$33:$K$88,4,FALSE)</f>
        <v>2.0254519141196047E-2</v>
      </c>
      <c r="BH23" s="841">
        <f t="shared" si="35"/>
        <v>1.6634715021436628</v>
      </c>
      <c r="BI23" s="837">
        <f t="shared" si="36"/>
        <v>0.52500910199170392</v>
      </c>
      <c r="BJ23" s="837">
        <f t="shared" si="37"/>
        <v>-7.4008957173660933E-2</v>
      </c>
      <c r="BK23" s="838">
        <f t="shared" si="38"/>
        <v>0.14256580485705009</v>
      </c>
      <c r="BL23" s="881">
        <f>VLOOKUP($A23,[1]!LandfillAggressiveK4,BL$7,FALSE)</f>
        <v>2.3609434259317501</v>
      </c>
      <c r="BM23" s="882">
        <f>VLOOKUP($A23,[1]!LandfillAggressiveK4,BM$7,FALSE)</f>
        <v>1.1423751054917337</v>
      </c>
      <c r="BN23" s="882">
        <f>VLOOKUP($A23,[1]!LandfillAggressiveK4,BN$7,FALSE)</f>
        <v>0.74639170290344303</v>
      </c>
      <c r="BO23" s="883">
        <f>VLOOKUP($A23,[1]!LandfillAggressiveK4,BO$7,FALSE)</f>
        <v>0.92862171886975886</v>
      </c>
      <c r="BP23" s="884">
        <f>-1*VLOOKUP($A23,[1]Landfilling!$N$27:$R$41,5,FALSE)</f>
        <v>-0.71772644292928323</v>
      </c>
      <c r="BQ23" s="885">
        <f>VLOOKUP($A23,'[1]Post-Consumer Transport'!$C$33:$K$88,3,FALSE)+VLOOKUP($A23,'[1]Post-Consumer Transport'!$C$33:$K$88,4,FALSE)</f>
        <v>2.0254519141196047E-2</v>
      </c>
      <c r="BR23" s="886">
        <f t="shared" si="39"/>
        <v>1.6634715021436628</v>
      </c>
      <c r="BS23" s="900">
        <f t="shared" si="40"/>
        <v>0.44490318170364651</v>
      </c>
      <c r="BT23" s="887">
        <f>BN23+$G23+$H23</f>
        <v>4.8919779115355853E-2</v>
      </c>
      <c r="BU23" s="883">
        <f t="shared" si="42"/>
        <v>0.23114979508167169</v>
      </c>
      <c r="BV23" s="836">
        <f>VLOOKUP($A23,[1]!LandfillAggressiveK6,BV$7,FALSE)</f>
        <v>2.3609434259317501</v>
      </c>
      <c r="BW23" s="837">
        <f>VLOOKUP($A23,[1]!LandfillAggressiveK6,BW$7,FALSE)</f>
        <v>1.0943679366490933</v>
      </c>
      <c r="BX23" s="837">
        <f>VLOOKUP($A23,[1]!LandfillAggressiveK6,BX$7,FALSE)</f>
        <v>0.76339971519979644</v>
      </c>
      <c r="BY23" s="838">
        <f>VLOOKUP($A23,[1]!LandfillAggressiveK6,BY$7,FALSE)</f>
        <v>0.93379175502424738</v>
      </c>
      <c r="BZ23" s="839">
        <f>-1*VLOOKUP($A23,[1]Landfilling!$N$27:$R$41,5,FALSE)</f>
        <v>-0.71772644292928323</v>
      </c>
      <c r="CA23" s="840">
        <f>VLOOKUP($A23,'[1]Post-Consumer Transport'!$C$33:$K$88,3,FALSE)+VLOOKUP($A23,'[1]Post-Consumer Transport'!$C$33:$K$88,4,FALSE)</f>
        <v>2.0254519141196047E-2</v>
      </c>
      <c r="CB23" s="841">
        <f t="shared" si="43"/>
        <v>1.6634715021436628</v>
      </c>
      <c r="CC23" s="837">
        <f t="shared" si="44"/>
        <v>0.39689601286100606</v>
      </c>
      <c r="CD23" s="837">
        <f t="shared" si="45"/>
        <v>6.5927791411709263E-2</v>
      </c>
      <c r="CE23" s="838">
        <f t="shared" si="46"/>
        <v>0.23631983123616021</v>
      </c>
      <c r="CF23" s="836">
        <f>VLOOKUP($A23,[1]!LandfillAggressiveK12,CF$7,FALSE)</f>
        <v>2.3609434259317501</v>
      </c>
      <c r="CG23" s="837">
        <f>VLOOKUP($A23,[1]!LandfillAggressiveK12,CG$7,FALSE)</f>
        <v>0.99707371427940827</v>
      </c>
      <c r="CH23" s="837">
        <f>VLOOKUP($A23,[1]!LandfillAggressiveK12,CH$7,FALSE)</f>
        <v>0.77604135574400679</v>
      </c>
      <c r="CI23" s="838">
        <f>VLOOKUP($A23,[1]!LandfillAggressiveK12,CI$7,FALSE)</f>
        <v>0.92672106163261692</v>
      </c>
      <c r="CJ23" s="839">
        <f>-1*VLOOKUP($A23,[1]Landfilling!$N$27:$R$41,5,FALSE)</f>
        <v>-0.71772644292928323</v>
      </c>
      <c r="CK23" s="840">
        <f>VLOOKUP($A23,'[1]Post-Consumer Transport'!$C$33:$K$88,3,FALSE)+VLOOKUP($A23,'[1]Post-Consumer Transport'!$C$33:$K$88,4,FALSE)</f>
        <v>2.0254519141196047E-2</v>
      </c>
      <c r="CL23" s="841">
        <f t="shared" si="47"/>
        <v>1.6634715021436628</v>
      </c>
      <c r="CM23" s="837">
        <f t="shared" si="48"/>
        <v>0.29960179049132107</v>
      </c>
      <c r="CN23" s="837">
        <f t="shared" si="49"/>
        <v>7.8569431955919616E-2</v>
      </c>
      <c r="CO23" s="838">
        <f t="shared" si="50"/>
        <v>0.22924913784452974</v>
      </c>
      <c r="CP23" s="836">
        <f>VLOOKUP($A23,[1]!LandfillAggressiveNatlAverage,CP$7,FALSE)</f>
        <v>2.3609434259317501</v>
      </c>
      <c r="CQ23" s="837">
        <f>VLOOKUP($A23,[1]!LandfillAggressiveNatlAverage,CQ$7,FALSE)</f>
        <v>1.1241352040337875</v>
      </c>
      <c r="CR23" s="837">
        <f>VLOOKUP($A23,[1]!LandfillAggressiveNatlAverage,CR$7,FALSE)</f>
        <v>0.73176121398349736</v>
      </c>
      <c r="CS23" s="838">
        <f>VLOOKUP($A23,[1]!LandfillAggressiveNatlAverage,CS$7,FALSE)</f>
        <v>0.91283973996061529</v>
      </c>
      <c r="CT23" s="839">
        <f>-1*VLOOKUP($A23,[1]Landfilling!$N$27:$R$41,5,FALSE)</f>
        <v>-0.71772644292928323</v>
      </c>
      <c r="CU23" s="840">
        <f>VLOOKUP($A23,'[1]Post-Consumer Transport'!$C$33:$K$88,3,FALSE)+VLOOKUP($A23,'[1]Post-Consumer Transport'!$C$33:$K$88,4,FALSE)</f>
        <v>2.0254519141196047E-2</v>
      </c>
      <c r="CV23" s="841">
        <f t="shared" si="51"/>
        <v>1.6634715021436628</v>
      </c>
      <c r="CW23" s="837">
        <f t="shared" si="52"/>
        <v>0.42666328024570033</v>
      </c>
      <c r="CX23" s="837">
        <f t="shared" si="53"/>
        <v>3.4289290195410181E-2</v>
      </c>
      <c r="CY23" s="838">
        <f t="shared" si="54"/>
        <v>0.21536781617252812</v>
      </c>
      <c r="DA23" s="836">
        <f>VLOOKUP($A23,[1]!LandfillWorstK2,DA$7,FALSE)</f>
        <v>2.3609434259317501</v>
      </c>
      <c r="DB23" s="837">
        <f>VLOOKUP($A23,[1]!LandfillWorstK2,DB$7,FALSE)</f>
        <v>1.2767730027341888</v>
      </c>
      <c r="DC23" s="837">
        <f>VLOOKUP($A23,[1]!LandfillWorstK2,DC$7,FALSE)</f>
        <v>0.66138407514636122</v>
      </c>
      <c r="DD23" s="838">
        <f>VLOOKUP($A23,[1]!LandfillWorstK2,DD$7,FALSE)</f>
        <v>0.87674200587536477</v>
      </c>
      <c r="DE23" s="839">
        <f>-1*VLOOKUP($A23,[1]Landfilling!$N$27:$R$41,5,FALSE)</f>
        <v>-0.71772644292928323</v>
      </c>
      <c r="DF23" s="840">
        <f>VLOOKUP($A23,'[1]Post-Consumer Transport'!$C$33:$K$88,3,FALSE)+VLOOKUP($A23,'[1]Post-Consumer Transport'!$C$33:$K$88,4,FALSE)</f>
        <v>2.0254519141196047E-2</v>
      </c>
      <c r="DG23" s="841">
        <f t="shared" si="55"/>
        <v>1.6634715021436628</v>
      </c>
      <c r="DH23" s="837">
        <f t="shared" si="56"/>
        <v>0.57930107894610161</v>
      </c>
      <c r="DI23" s="837">
        <f t="shared" si="57"/>
        <v>-3.6087848641725963E-2</v>
      </c>
      <c r="DJ23" s="838">
        <f t="shared" si="58"/>
        <v>0.1792700820872776</v>
      </c>
      <c r="DK23" s="836">
        <f>VLOOKUP($A23,[1]!LandfillWorstK4,DK$7,FALSE)</f>
        <v>2.3609434259317501</v>
      </c>
      <c r="DL23" s="837">
        <f>VLOOKUP($A23,[1]!LandfillWorstK4,DL$7,FALSE)</f>
        <v>1.2180595835769468</v>
      </c>
      <c r="DM23" s="837">
        <f>VLOOKUP($A23,[1]!LandfillWorstK4,DM$7,FALSE)</f>
        <v>0.80660625528024987</v>
      </c>
      <c r="DN23" s="838">
        <f>VLOOKUP($A23,[1]!LandfillWorstK4,DN$7,FALSE)</f>
        <v>0.98615920861906292</v>
      </c>
      <c r="DO23" s="839">
        <f>-1*VLOOKUP($A23,[1]Landfilling!$N$27:$R$41,5,FALSE)</f>
        <v>-0.71772644292928323</v>
      </c>
      <c r="DP23" s="840">
        <f>VLOOKUP($A23,'[1]Post-Consumer Transport'!$C$33:$K$88,3,FALSE)+VLOOKUP($A23,'[1]Post-Consumer Transport'!$C$33:$K$88,4,FALSE)</f>
        <v>2.0254519141196047E-2</v>
      </c>
      <c r="DQ23" s="841">
        <f t="shared" si="59"/>
        <v>1.6634715021436628</v>
      </c>
      <c r="DR23" s="837">
        <f t="shared" si="60"/>
        <v>0.52058765978885957</v>
      </c>
      <c r="DS23" s="837">
        <f t="shared" si="61"/>
        <v>0.1091343314921627</v>
      </c>
      <c r="DT23" s="838">
        <f t="shared" si="62"/>
        <v>0.28868728483097572</v>
      </c>
      <c r="DU23" s="836">
        <f>VLOOKUP($A23,[1]!LandfillWorstK6,DU$7,FALSE)</f>
        <v>2.3609434259317501</v>
      </c>
      <c r="DV23" s="837">
        <f>VLOOKUP($A23,[1]!LandfillWorstK6,DV$7,FALSE)</f>
        <v>1.200577603367055</v>
      </c>
      <c r="DW23" s="837">
        <f>VLOOKUP($A23,[1]!LandfillWorstK6,DW$7,FALSE)</f>
        <v>0.85367137269965621</v>
      </c>
      <c r="DX23" s="838">
        <f>VLOOKUP($A23,[1]!LandfillWorstK6,DX$7,FALSE)</f>
        <v>1.0192822920791222</v>
      </c>
      <c r="DY23" s="839">
        <f>-1*VLOOKUP($A23,[1]Landfilling!$N$27:$R$41,5,FALSE)</f>
        <v>-0.71772644292928323</v>
      </c>
      <c r="DZ23" s="840">
        <f>VLOOKUP($A23,'[1]Post-Consumer Transport'!$C$33:$K$88,3,FALSE)+VLOOKUP($A23,'[1]Post-Consumer Transport'!$C$33:$K$88,4,FALSE)</f>
        <v>2.0254519141196047E-2</v>
      </c>
      <c r="EA23" s="841">
        <f t="shared" si="63"/>
        <v>1.6634715021436628</v>
      </c>
      <c r="EB23" s="837">
        <f t="shared" si="64"/>
        <v>0.50310567957896779</v>
      </c>
      <c r="EC23" s="837">
        <f t="shared" si="65"/>
        <v>0.15619944891156903</v>
      </c>
      <c r="ED23" s="838">
        <f t="shared" si="66"/>
        <v>0.32181036829103504</v>
      </c>
      <c r="EE23" s="836">
        <f>VLOOKUP($A23,[1]!LandfillWorstK12,EE$7,FALSE)</f>
        <v>2.3609434259317501</v>
      </c>
      <c r="EF23" s="837">
        <f>VLOOKUP($A23,[1]!LandfillWorstK12,EF$7,FALSE)</f>
        <v>1.1753714850345451</v>
      </c>
      <c r="EG23" s="837">
        <f>VLOOKUP($A23,[1]!LandfillWorstK12,EG$7,FALSE)</f>
        <v>0.9565654435049803</v>
      </c>
      <c r="EH23" s="838">
        <f>VLOOKUP($A23,[1]!LandfillWorstK12,EH$7,FALSE)</f>
        <v>1.0942745497144408</v>
      </c>
      <c r="EI23" s="839">
        <f>-1*VLOOKUP($A23,[1]Landfilling!$N$27:$R$41,5,FALSE)</f>
        <v>-0.71772644292928323</v>
      </c>
      <c r="EJ23" s="840">
        <f>VLOOKUP($A23,'[1]Post-Consumer Transport'!$C$33:$K$88,3,FALSE)+VLOOKUP($A23,'[1]Post-Consumer Transport'!$C$33:$K$88,4,FALSE)</f>
        <v>2.0254519141196047E-2</v>
      </c>
      <c r="EK23" s="841">
        <f t="shared" si="67"/>
        <v>1.6634715021436628</v>
      </c>
      <c r="EL23" s="837">
        <f t="shared" si="68"/>
        <v>0.47789956124645794</v>
      </c>
      <c r="EM23" s="837">
        <f t="shared" si="69"/>
        <v>0.25909351971689309</v>
      </c>
      <c r="EN23" s="838">
        <f t="shared" si="70"/>
        <v>0.39680262592635362</v>
      </c>
      <c r="EO23" s="836">
        <f>VLOOKUP($A23,[1]!LandfillWorstNatlAverage,EO$7,FALSE)</f>
        <v>2.3609434259317501</v>
      </c>
      <c r="EP23" s="837">
        <f>VLOOKUP($A23,[1]!LandfillWorstNatlAverage,EP$7,FALSE)</f>
        <v>1.2183483636878896</v>
      </c>
      <c r="EQ23" s="837">
        <f>VLOOKUP($A23,[1]!LandfillWorstNatlAverage,EQ$7,FALSE)</f>
        <v>0.81190150133532113</v>
      </c>
      <c r="ER23" s="838">
        <f>VLOOKUP($A23,[1]!LandfillWorstNatlAverage,ER$7,FALSE)</f>
        <v>0.98870088948194557</v>
      </c>
      <c r="ES23" s="839">
        <f>-1*VLOOKUP($A23,[1]Landfilling!$N$27:$R$41,5,FALSE)</f>
        <v>-0.71772644292928323</v>
      </c>
      <c r="ET23" s="840">
        <f>VLOOKUP($A23,'[1]Post-Consumer Transport'!$C$33:$K$88,3,FALSE)+VLOOKUP($A23,'[1]Post-Consumer Transport'!$C$33:$K$88,4,FALSE)</f>
        <v>2.0254519141196047E-2</v>
      </c>
      <c r="EU23" s="841">
        <f t="shared" si="71"/>
        <v>1.6634715021436628</v>
      </c>
      <c r="EV23" s="837">
        <f t="shared" si="72"/>
        <v>0.52087643989980237</v>
      </c>
      <c r="EW23" s="837">
        <f t="shared" si="73"/>
        <v>0.11442957754723396</v>
      </c>
      <c r="EX23" s="838">
        <f t="shared" si="74"/>
        <v>0.29122896569385837</v>
      </c>
      <c r="EZ23" s="836">
        <f>VLOOKUP($A23,[1]!LandfillCaliK2,EZ$7,FALSE)</f>
        <v>2.3609434259317501</v>
      </c>
      <c r="FA23" s="837">
        <f>VLOOKUP($A23,[1]!LandfillCaliK2,FA$7,FALSE)</f>
        <v>0.5456372836797313</v>
      </c>
      <c r="FB23" s="837">
        <f>VLOOKUP($A23,[1]!LandfillCaliK2,FB$7,FALSE)</f>
        <v>0.30178160176279972</v>
      </c>
      <c r="FC23" s="838">
        <f>VLOOKUP($A23,[1]!LandfillCaliK2,FC$7,FALSE)</f>
        <v>0.51034462946540149</v>
      </c>
      <c r="FD23" s="839">
        <f>-1*VLOOKUP($A23,[1]Landfilling!$N$27:$R$41,5,FALSE)</f>
        <v>-0.71772644292928323</v>
      </c>
      <c r="FE23" s="840">
        <f>VLOOKUP($A23,'[1]Post-Consumer Transport'!$C$33:$K$88,3,FALSE)+VLOOKUP($A23,'[1]Post-Consumer Transport'!$C$33:$K$88,4,FALSE)</f>
        <v>2.0254519141196047E-2</v>
      </c>
      <c r="FF23" s="841">
        <f t="shared" si="75"/>
        <v>1.6634715021436628</v>
      </c>
      <c r="FG23" s="837">
        <f t="shared" si="76"/>
        <v>-0.15183464010835587</v>
      </c>
      <c r="FH23" s="837">
        <f t="shared" si="77"/>
        <v>-0.39569032202528748</v>
      </c>
      <c r="FI23" s="838">
        <f t="shared" si="78"/>
        <v>-0.18712729432268568</v>
      </c>
      <c r="FJ23" s="836">
        <f>VLOOKUP($A23,[1]!LandfillCaliK4,FJ$7,FALSE)</f>
        <v>2.3609434259317501</v>
      </c>
      <c r="FK23" s="837">
        <f>VLOOKUP($A23,[1]!LandfillCaliK4,FK$7,FALSE)</f>
        <v>0.50156332931473513</v>
      </c>
      <c r="FL23" s="837">
        <f>VLOOKUP($A23,[1]!LandfillCaliK4,FL$7,FALSE)</f>
        <v>0.42250419654886617</v>
      </c>
      <c r="FM23" s="838">
        <f>VLOOKUP($A23,[1]!LandfillCaliK4,FM$7,FALSE)</f>
        <v>0.60347372867476345</v>
      </c>
      <c r="FN23" s="839">
        <f>-1*VLOOKUP($A23,[1]Landfilling!$N$27:$R$41,5,FALSE)</f>
        <v>-0.71772644292928323</v>
      </c>
      <c r="FO23" s="840">
        <f>VLOOKUP($A23,'[1]Post-Consumer Transport'!$C$33:$K$88,3,FALSE)+VLOOKUP($A23,'[1]Post-Consumer Transport'!$C$33:$K$88,4,FALSE)</f>
        <v>2.0254519141196047E-2</v>
      </c>
      <c r="FP23" s="841">
        <f t="shared" si="79"/>
        <v>1.6634715021436628</v>
      </c>
      <c r="FQ23" s="837">
        <f t="shared" si="80"/>
        <v>-0.19590859447335204</v>
      </c>
      <c r="FR23" s="837">
        <f t="shared" si="81"/>
        <v>-0.27496772723922103</v>
      </c>
      <c r="FS23" s="838">
        <f t="shared" si="82"/>
        <v>-9.3998195113323718E-2</v>
      </c>
      <c r="FT23" s="836">
        <f>VLOOKUP($A23,[1]!LandfillCaliK6,FT$7,FALSE)</f>
        <v>2.3609434259317501</v>
      </c>
      <c r="FU23" s="837">
        <f>VLOOKUP($A23,[1]!LandfillCaliK6,FU$7,FALSE)</f>
        <v>0.55143327361583039</v>
      </c>
      <c r="FV23" s="837">
        <f>VLOOKUP($A23,[1]!LandfillCaliK6,FV$7,FALSE)</f>
        <v>0.49168763172186525</v>
      </c>
      <c r="FW23" s="838">
        <f>VLOOKUP($A23,[1]!LandfillCaliK6,FW$7,FALSE)</f>
        <v>0.65835841569587195</v>
      </c>
      <c r="FX23" s="839">
        <f>-1*VLOOKUP($A23,[1]Landfilling!$N$27:$R$41,5,FALSE)</f>
        <v>-0.71772644292928323</v>
      </c>
      <c r="FY23" s="840">
        <f>VLOOKUP($A23,'[1]Post-Consumer Transport'!$C$33:$K$88,3,FALSE)+VLOOKUP($A23,'[1]Post-Consumer Transport'!$C$33:$K$88,4,FALSE)</f>
        <v>2.0254519141196047E-2</v>
      </c>
      <c r="FZ23" s="841">
        <f t="shared" si="83"/>
        <v>1.6634715021436628</v>
      </c>
      <c r="GA23" s="837">
        <f t="shared" si="84"/>
        <v>-0.14603865017225678</v>
      </c>
      <c r="GB23" s="837">
        <f t="shared" si="85"/>
        <v>-0.20578429206622192</v>
      </c>
      <c r="GC23" s="838">
        <f t="shared" si="86"/>
        <v>-3.9113508092215234E-2</v>
      </c>
      <c r="GD23" s="836">
        <f>VLOOKUP($A23,[1]!LandfillCaliK12,GD$7,FALSE)</f>
        <v>2.3609434259317501</v>
      </c>
      <c r="GE23" s="837">
        <f>VLOOKUP($A23,[1]!LandfillCaliK12,GE$7,FALSE)</f>
        <v>0.59295745449567527</v>
      </c>
      <c r="GF23" s="837">
        <f>VLOOKUP($A23,[1]!LandfillCaliK12,GF$7,FALSE)</f>
        <v>0.55817462132334184</v>
      </c>
      <c r="GG23" s="838">
        <f>VLOOKUP($A23,[1]!LandfillCaliK12,GG$7,FALSE)</f>
        <v>0.70746401608978149</v>
      </c>
      <c r="GH23" s="839">
        <f>-1*VLOOKUP($A23,[1]Landfilling!$N$27:$R$41,5,FALSE)</f>
        <v>-0.71772644292928323</v>
      </c>
      <c r="GI23" s="840">
        <f>VLOOKUP($A23,'[1]Post-Consumer Transport'!$C$33:$K$88,3,FALSE)+VLOOKUP($A23,'[1]Post-Consumer Transport'!$C$33:$K$88,4,FALSE)</f>
        <v>2.0254519141196047E-2</v>
      </c>
      <c r="GJ23" s="841">
        <f t="shared" si="87"/>
        <v>1.6634715021436628</v>
      </c>
      <c r="GK23" s="837">
        <f t="shared" si="88"/>
        <v>-0.1045144692924119</v>
      </c>
      <c r="GL23" s="837">
        <f t="shared" si="89"/>
        <v>-0.13929730246474534</v>
      </c>
      <c r="GM23" s="838">
        <f t="shared" si="90"/>
        <v>9.9920923016943095E-3</v>
      </c>
      <c r="GN23" s="836">
        <f>VLOOKUP($A23,[1]!LandfillCaliNatlAverage,GN$7,FALSE)</f>
        <v>2.3609434259317501</v>
      </c>
      <c r="GO23" s="837">
        <f>VLOOKUP($A23,[1]!LandfillCaliNatlAverage,GO$7,FALSE)</f>
        <v>0.54001407981357885</v>
      </c>
      <c r="GP23" s="837">
        <f>VLOOKUP($A23,[1]!LandfillCaliNatlAverage,GP$7,FALSE)</f>
        <v>0.44036111192520311</v>
      </c>
      <c r="GQ23" s="838">
        <f>VLOOKUP($A23,[1]!LandfillCaliNatlAverage,GQ$7,FALSE)</f>
        <v>0.61780454394006845</v>
      </c>
      <c r="GR23" s="839">
        <f>-1*VLOOKUP($A23,[1]Landfilling!$N$27:$R$41,5,FALSE)</f>
        <v>-0.71772644292928323</v>
      </c>
      <c r="GS23" s="840">
        <f>VLOOKUP($A23,'[1]Post-Consumer Transport'!$C$33:$K$88,3,FALSE)+VLOOKUP($A23,'[1]Post-Consumer Transport'!$C$33:$K$88,4,FALSE)</f>
        <v>2.0254519141196047E-2</v>
      </c>
      <c r="GT23" s="841">
        <f t="shared" si="91"/>
        <v>1.6634715021436628</v>
      </c>
      <c r="GU23" s="837">
        <f t="shared" si="92"/>
        <v>-0.15745784397450832</v>
      </c>
      <c r="GV23" s="837">
        <f t="shared" si="93"/>
        <v>-0.25711081186288409</v>
      </c>
      <c r="GW23" s="838">
        <f t="shared" si="94"/>
        <v>-7.9667379848018721E-2</v>
      </c>
    </row>
    <row r="24" spans="1:205" x14ac:dyDescent="0.25">
      <c r="A24" s="494" t="str">
        <f t="shared" si="16"/>
        <v>Magazines/Third-class Mail</v>
      </c>
      <c r="B24" s="536" t="s">
        <v>128</v>
      </c>
      <c r="C24" s="537">
        <f>VLOOKUP($A24,[1]!LandfillTypicalK2,C$7,FALSE)</f>
        <v>1.07516133442025</v>
      </c>
      <c r="D24" s="538">
        <f>VLOOKUP($A24,[1]!LandfillTypicalK2,D$7,FALSE)</f>
        <v>0.45710832725303274</v>
      </c>
      <c r="E24" s="538">
        <f>VLOOKUP($A24,[1]!LandfillTypicalK2,E$7,FALSE)</f>
        <v>0.27824525019729318</v>
      </c>
      <c r="F24" s="621">
        <f>VLOOKUP($A24,[1]!LandfillTypicalK2,F$7,FALSE)</f>
        <v>0.36686294594058183</v>
      </c>
      <c r="G24" s="540">
        <f>-1*VLOOKUP($A24,[1]Landfilling!$N$27:$R$41,5,FALSE)</f>
        <v>-0.84689181420362059</v>
      </c>
      <c r="H24" s="541">
        <f>VLOOKUP($A24,'[1]Post-Consumer Transport'!$C$33:$K$88,3,FALSE)+VLOOKUP($A24,'[1]Post-Consumer Transport'!$C$33:$K$88,4,FALSE)</f>
        <v>2.0254519141196047E-2</v>
      </c>
      <c r="I24" s="542">
        <f t="shared" si="17"/>
        <v>0.24852403935782544</v>
      </c>
      <c r="J24" s="538">
        <f t="shared" si="18"/>
        <v>-0.36952896780939182</v>
      </c>
      <c r="K24" s="538">
        <f t="shared" si="18"/>
        <v>-0.54839204486513138</v>
      </c>
      <c r="L24" s="539">
        <f t="shared" si="18"/>
        <v>-0.45977434912184273</v>
      </c>
      <c r="M24" s="537">
        <f>VLOOKUP($A24,[1]!LandfillTypicalK4,M$7,FALSE)</f>
        <v>1.07516133442025</v>
      </c>
      <c r="N24" s="538">
        <f>VLOOKUP($A24,[1]!LandfillTypicalK4,N$7,FALSE)</f>
        <v>0.43855823572311675</v>
      </c>
      <c r="O24" s="538">
        <f>VLOOKUP($A24,[1]!LandfillTypicalK4,O$7,FALSE)</f>
        <v>0.34144417571980168</v>
      </c>
      <c r="P24" s="539">
        <f>VLOOKUP($A24,[1]!LandfillTypicalK4,P$7,FALSE)</f>
        <v>0.4138375487431093</v>
      </c>
      <c r="Q24" s="540">
        <f>-1*VLOOKUP($A24,[1]Landfilling!$N$27:$R$41,5,FALSE)</f>
        <v>-0.84689181420362059</v>
      </c>
      <c r="R24" s="541">
        <f>VLOOKUP($A24,'[1]Post-Consumer Transport'!$C$33:$K$88,3,FALSE)+VLOOKUP($A24,'[1]Post-Consumer Transport'!$C$33:$K$88,4,FALSE)</f>
        <v>2.0254519141196047E-2</v>
      </c>
      <c r="S24" s="542">
        <f t="shared" ref="S24:S69" si="95">M24+Q24+R24</f>
        <v>0.24852403935782544</v>
      </c>
      <c r="T24" s="538">
        <f t="shared" si="20"/>
        <v>-0.38807905933930781</v>
      </c>
      <c r="U24" s="538">
        <f t="shared" si="21"/>
        <v>-0.48519311934262288</v>
      </c>
      <c r="V24" s="539">
        <f t="shared" si="22"/>
        <v>-0.41279974631931526</v>
      </c>
      <c r="W24" s="537">
        <f>VLOOKUP($A24,[1]!LandfillTypicalK6,W$7,FALSE)</f>
        <v>1.07516133442025</v>
      </c>
      <c r="X24" s="538">
        <f>VLOOKUP($A24,[1]!LandfillTypicalK6,X$7,FALSE)</f>
        <v>0.45331692020934045</v>
      </c>
      <c r="Y24" s="538">
        <f>VLOOKUP($A24,[1]!LandfillTypicalK6,Y$7,FALSE)</f>
        <v>0.38951532409132905</v>
      </c>
      <c r="Z24" s="539">
        <f>VLOOKUP($A24,[1]!LandfillTypicalK6,Z$7,FALSE)</f>
        <v>0.45286724897902725</v>
      </c>
      <c r="AA24" s="540">
        <f>-1*VLOOKUP($A24,[1]Landfilling!$N$27:$R$41,5,FALSE)</f>
        <v>-0.84689181420362059</v>
      </c>
      <c r="AB24" s="541">
        <f>VLOOKUP($A24,'[1]Post-Consumer Transport'!$C$33:$K$88,3,FALSE)+VLOOKUP($A24,'[1]Post-Consumer Transport'!$C$33:$K$88,4,FALSE)</f>
        <v>2.0254519141196047E-2</v>
      </c>
      <c r="AC24" s="542">
        <f t="shared" ref="AC24:AC69" si="96">W24+AA24+AB24</f>
        <v>0.24852403935782544</v>
      </c>
      <c r="AD24" s="538">
        <f t="shared" si="24"/>
        <v>-0.37332037485308411</v>
      </c>
      <c r="AE24" s="538">
        <f t="shared" si="25"/>
        <v>-0.43712197097109551</v>
      </c>
      <c r="AF24" s="539">
        <f t="shared" si="26"/>
        <v>-0.37377004608339731</v>
      </c>
      <c r="AG24" s="537">
        <f>VLOOKUP($A24,[1]!LandfillTypicalK12,AG$7,FALSE)</f>
        <v>1.07516133442025</v>
      </c>
      <c r="AH24" s="538">
        <f>VLOOKUP($A24,[1]!LandfillTypicalK12,AH$7,FALSE)</f>
        <v>0.52265075646153503</v>
      </c>
      <c r="AI24" s="538">
        <f>VLOOKUP($A24,[1]!LandfillTypicalK12,AI$7,FALSE)</f>
        <v>0.49010830887340018</v>
      </c>
      <c r="AJ24" s="539">
        <f>VLOOKUP($A24,[1]!LandfillTypicalK12,AJ$7,FALSE)</f>
        <v>0.54091575548145876</v>
      </c>
      <c r="AK24" s="540">
        <f>-1*VLOOKUP($A24,[1]Landfilling!$N$27:$R$41,5,FALSE)</f>
        <v>-0.84689181420362059</v>
      </c>
      <c r="AL24" s="541">
        <f>VLOOKUP($A24,'[1]Post-Consumer Transport'!$C$33:$K$88,3,FALSE)+VLOOKUP($A24,'[1]Post-Consumer Transport'!$C$33:$K$88,4,FALSE)</f>
        <v>2.0254519141196047E-2</v>
      </c>
      <c r="AM24" s="542">
        <f t="shared" ref="AM24:AM69" si="97">AG24+AK24+AL24</f>
        <v>0.24852403935782544</v>
      </c>
      <c r="AN24" s="538">
        <f t="shared" si="28"/>
        <v>-0.30398653860088953</v>
      </c>
      <c r="AO24" s="538">
        <f t="shared" si="29"/>
        <v>-0.33652898618902438</v>
      </c>
      <c r="AP24" s="539">
        <f t="shared" si="30"/>
        <v>-0.2857215395809658</v>
      </c>
      <c r="AQ24" s="537">
        <f>VLOOKUP($A24,[1]!LandfillTypicalNatlAverage,AQ$7,FALSE)</f>
        <v>1.07516133442025</v>
      </c>
      <c r="AR24" s="538">
        <f>VLOOKUP($A24,[1]!LandfillTypicalNatlAverage,AR$7,FALSE)</f>
        <v>0.4567433254267797</v>
      </c>
      <c r="AS24" s="538">
        <f>VLOOKUP($A24,[1]!LandfillTypicalNatlAverage,AS$7,FALSE)</f>
        <v>0.36342804591135758</v>
      </c>
      <c r="AT24" s="539">
        <f>VLOOKUP($A24,[1]!LandfillTypicalNatlAverage,AT$7,FALSE)</f>
        <v>0.43319165565340101</v>
      </c>
      <c r="AU24" s="540">
        <f>-1*VLOOKUP($A24,[1]Landfilling!$N$27:$R$41,5,FALSE)</f>
        <v>-0.84689181420362059</v>
      </c>
      <c r="AV24" s="541">
        <f>VLOOKUP($A24,'[1]Post-Consumer Transport'!$C$33:$K$88,3,FALSE)+VLOOKUP($A24,'[1]Post-Consumer Transport'!$C$33:$K$88,4,FALSE)</f>
        <v>2.0254519141196047E-2</v>
      </c>
      <c r="AW24" s="542">
        <f t="shared" ref="AW24:AW69" si="98">AQ24+AU24+AV24</f>
        <v>0.24852403935782544</v>
      </c>
      <c r="AX24" s="538">
        <f t="shared" si="32"/>
        <v>-0.36989396963564486</v>
      </c>
      <c r="AY24" s="538">
        <f t="shared" si="33"/>
        <v>-0.46320924915106698</v>
      </c>
      <c r="AZ24" s="539">
        <f t="shared" si="34"/>
        <v>-0.39344563940902355</v>
      </c>
      <c r="BB24" s="537">
        <f>VLOOKUP($A24,[1]!LandfillAggressiveK2,BB$7,FALSE)</f>
        <v>1.07516133442025</v>
      </c>
      <c r="BC24" s="538">
        <f>VLOOKUP($A24,[1]!LandfillAggressiveK2,BC$7,FALSE)</f>
        <v>0.4398910463131494</v>
      </c>
      <c r="BD24" s="538">
        <f>VLOOKUP($A24,[1]!LandfillAggressiveK2,BD$7,FALSE)</f>
        <v>0.26015806327929836</v>
      </c>
      <c r="BE24" s="539">
        <f>VLOOKUP($A24,[1]!LandfillAggressiveK2,BE$7,FALSE)</f>
        <v>0.35040736983475884</v>
      </c>
      <c r="BF24" s="540">
        <f>-1*VLOOKUP($A24,[1]Landfilling!$N$27:$R$41,5,FALSE)</f>
        <v>-0.84689181420362059</v>
      </c>
      <c r="BG24" s="541">
        <f>VLOOKUP($A24,'[1]Post-Consumer Transport'!$C$33:$K$88,3,FALSE)+VLOOKUP($A24,'[1]Post-Consumer Transport'!$C$33:$K$88,4,FALSE)</f>
        <v>2.0254519141196047E-2</v>
      </c>
      <c r="BH24" s="542">
        <f t="shared" ref="BH24:BH69" si="99">BB24+BF24+BG24</f>
        <v>0.24852403935782544</v>
      </c>
      <c r="BI24" s="538">
        <f t="shared" si="36"/>
        <v>-0.38674624874927516</v>
      </c>
      <c r="BJ24" s="538">
        <f t="shared" si="37"/>
        <v>-0.5664792317831262</v>
      </c>
      <c r="BK24" s="539">
        <f t="shared" si="38"/>
        <v>-0.47622992522766572</v>
      </c>
      <c r="BL24" s="881">
        <f>VLOOKUP($A24,[1]!LandfillAggressiveK4,BL$7,FALSE)</f>
        <v>1.07516133442025</v>
      </c>
      <c r="BM24" s="882">
        <f>VLOOKUP($A24,[1]!LandfillAggressiveK4,BM$7,FALSE)</f>
        <v>0.40233005835332991</v>
      </c>
      <c r="BN24" s="882">
        <f>VLOOKUP($A24,[1]!LandfillAggressiveK4,BN$7,FALSE)</f>
        <v>0.30783488022921285</v>
      </c>
      <c r="BO24" s="883">
        <f>VLOOKUP($A24,[1]!LandfillAggressiveK4,BO$7,FALSE)</f>
        <v>0.38215742084024701</v>
      </c>
      <c r="BP24" s="884">
        <f>-1*VLOOKUP($A24,[1]Landfilling!$N$27:$R$41,5,FALSE)</f>
        <v>-0.84689181420362059</v>
      </c>
      <c r="BQ24" s="885">
        <f>VLOOKUP($A24,'[1]Post-Consumer Transport'!$C$33:$K$88,3,FALSE)+VLOOKUP($A24,'[1]Post-Consumer Transport'!$C$33:$K$88,4,FALSE)</f>
        <v>2.0254519141196047E-2</v>
      </c>
      <c r="BR24" s="886">
        <f t="shared" ref="BR24:BR69" si="100">BL24+BP24+BQ24</f>
        <v>0.24852403935782544</v>
      </c>
      <c r="BS24" s="882">
        <f t="shared" si="40"/>
        <v>-0.42430723670909465</v>
      </c>
      <c r="BT24" s="882">
        <f t="shared" si="41"/>
        <v>-0.51880241483321177</v>
      </c>
      <c r="BU24" s="883">
        <f t="shared" si="42"/>
        <v>-0.44447987422217755</v>
      </c>
      <c r="BV24" s="537">
        <f>VLOOKUP($A24,[1]!LandfillAggressiveK6,BV$7,FALSE)</f>
        <v>1.07516133442025</v>
      </c>
      <c r="BW24" s="538">
        <f>VLOOKUP($A24,[1]!LandfillAggressiveK6,BW$7,FALSE)</f>
        <v>0.41182677997905298</v>
      </c>
      <c r="BX24" s="538">
        <f>VLOOKUP($A24,[1]!LandfillAggressiveK6,BX$7,FALSE)</f>
        <v>0.34478883806346017</v>
      </c>
      <c r="BY24" s="539">
        <f>VLOOKUP($A24,[1]!LandfillAggressiveK6,BY$7,FALSE)</f>
        <v>0.41117339029578831</v>
      </c>
      <c r="BZ24" s="540">
        <f>-1*VLOOKUP($A24,[1]Landfilling!$N$27:$R$41,5,FALSE)</f>
        <v>-0.84689181420362059</v>
      </c>
      <c r="CA24" s="541">
        <f>VLOOKUP($A24,'[1]Post-Consumer Transport'!$C$33:$K$88,3,FALSE)+VLOOKUP($A24,'[1]Post-Consumer Transport'!$C$33:$K$88,4,FALSE)</f>
        <v>2.0254519141196047E-2</v>
      </c>
      <c r="CB24" s="542">
        <f t="shared" ref="CB24:CB69" si="101">BV24+BZ24+CA24</f>
        <v>0.24852403935782544</v>
      </c>
      <c r="CC24" s="538">
        <f t="shared" si="44"/>
        <v>-0.41481051508337158</v>
      </c>
      <c r="CD24" s="538">
        <f t="shared" si="45"/>
        <v>-0.48184845699896439</v>
      </c>
      <c r="CE24" s="539">
        <f t="shared" si="46"/>
        <v>-0.41546390476663625</v>
      </c>
      <c r="CF24" s="537">
        <f>VLOOKUP($A24,[1]!LandfillAggressiveK12,CF$7,FALSE)</f>
        <v>1.07516133442025</v>
      </c>
      <c r="CG24" s="538">
        <f>VLOOKUP($A24,[1]!LandfillAggressiveK12,CG$7,FALSE)</f>
        <v>0.46089776468584515</v>
      </c>
      <c r="CH24" s="538">
        <f>VLOOKUP($A24,[1]!LandfillAggressiveK12,CH$7,FALSE)</f>
        <v>0.42690414301892776</v>
      </c>
      <c r="CI24" s="539">
        <f>VLOOKUP($A24,[1]!LandfillAggressiveK12,CI$7,FALSE)</f>
        <v>0.48191422659061234</v>
      </c>
      <c r="CJ24" s="540">
        <f>-1*VLOOKUP($A24,[1]Landfilling!$N$27:$R$41,5,FALSE)</f>
        <v>-0.84689181420362059</v>
      </c>
      <c r="CK24" s="541">
        <f>VLOOKUP($A24,'[1]Post-Consumer Transport'!$C$33:$K$88,3,FALSE)+VLOOKUP($A24,'[1]Post-Consumer Transport'!$C$33:$K$88,4,FALSE)</f>
        <v>2.0254519141196047E-2</v>
      </c>
      <c r="CL24" s="542">
        <f t="shared" ref="CL24:CL69" si="102">CF24+CJ24+CK24</f>
        <v>0.24852403935782544</v>
      </c>
      <c r="CM24" s="538">
        <f t="shared" si="48"/>
        <v>-0.36573953037657941</v>
      </c>
      <c r="CN24" s="538">
        <f t="shared" si="49"/>
        <v>-0.3997331520434968</v>
      </c>
      <c r="CO24" s="539">
        <f t="shared" si="50"/>
        <v>-0.34472306847181222</v>
      </c>
      <c r="CP24" s="537">
        <f>VLOOKUP($A24,[1]!LandfillAggressiveNatlAverage,CP$7,FALSE)</f>
        <v>1.07516133442025</v>
      </c>
      <c r="CQ24" s="538">
        <f>VLOOKUP($A24,[1]!LandfillAggressiveNatlAverage,CQ$7,FALSE)</f>
        <v>0.41960217916671755</v>
      </c>
      <c r="CR24" s="538">
        <f>VLOOKUP($A24,[1]!LandfillAggressiveNatlAverage,CR$7,FALSE)</f>
        <v>0.32539451978807704</v>
      </c>
      <c r="CS24" s="539">
        <f>VLOOKUP($A24,[1]!LandfillAggressiveNatlAverage,CS$7,FALSE)</f>
        <v>0.39770865466041333</v>
      </c>
      <c r="CT24" s="540">
        <f>-1*VLOOKUP($A24,[1]Landfilling!$N$27:$R$41,5,FALSE)</f>
        <v>-0.84689181420362059</v>
      </c>
      <c r="CU24" s="541">
        <f>VLOOKUP($A24,'[1]Post-Consumer Transport'!$C$33:$K$88,3,FALSE)+VLOOKUP($A24,'[1]Post-Consumer Transport'!$C$33:$K$88,4,FALSE)</f>
        <v>2.0254519141196047E-2</v>
      </c>
      <c r="CV24" s="542">
        <f t="shared" ref="CV24:CV69" si="103">CP24+CT24+CU24</f>
        <v>0.24852403935782544</v>
      </c>
      <c r="CW24" s="538">
        <f t="shared" si="52"/>
        <v>-0.40703511589570701</v>
      </c>
      <c r="CX24" s="538">
        <f t="shared" si="53"/>
        <v>-0.50124277527434757</v>
      </c>
      <c r="CY24" s="539">
        <f t="shared" si="54"/>
        <v>-0.42892864040201123</v>
      </c>
      <c r="DA24" s="537">
        <f>VLOOKUP($A24,[1]!LandfillWorstK2,DA$7,FALSE)</f>
        <v>1.07516133442025</v>
      </c>
      <c r="DB24" s="538">
        <f>VLOOKUP($A24,[1]!LandfillWorstK2,DB$7,FALSE)</f>
        <v>0.52381093651559707</v>
      </c>
      <c r="DC24" s="538">
        <f>VLOOKUP($A24,[1]!LandfillWorstK2,DC$7,FALSE)</f>
        <v>0.34547766785065498</v>
      </c>
      <c r="DD24" s="539">
        <f>VLOOKUP($A24,[1]!LandfillWorstK2,DD$7,FALSE)</f>
        <v>0.4282383220264126</v>
      </c>
      <c r="DE24" s="540">
        <f>-1*VLOOKUP($A24,[1]Landfilling!$N$27:$R$41,5,FALSE)</f>
        <v>-0.84689181420362059</v>
      </c>
      <c r="DF24" s="541">
        <f>VLOOKUP($A24,'[1]Post-Consumer Transport'!$C$33:$K$88,3,FALSE)+VLOOKUP($A24,'[1]Post-Consumer Transport'!$C$33:$K$88,4,FALSE)</f>
        <v>2.0254519141196047E-2</v>
      </c>
      <c r="DG24" s="542">
        <f t="shared" ref="DG24:DG69" si="104">DA24+DE24+DF24</f>
        <v>0.24852403935782544</v>
      </c>
      <c r="DH24" s="538">
        <f t="shared" si="56"/>
        <v>-0.30282635854682749</v>
      </c>
      <c r="DI24" s="538">
        <f t="shared" si="57"/>
        <v>-0.48115962721176952</v>
      </c>
      <c r="DJ24" s="539">
        <f t="shared" si="58"/>
        <v>-0.39839897303601196</v>
      </c>
      <c r="DK24" s="537">
        <f>VLOOKUP($A24,[1]!LandfillWorstK4,DK$7,FALSE)</f>
        <v>1.07516133442025</v>
      </c>
      <c r="DL24" s="538">
        <f>VLOOKUP($A24,[1]!LandfillWorstK4,DL$7,FALSE)</f>
        <v>0.55837015475841989</v>
      </c>
      <c r="DM24" s="538">
        <f>VLOOKUP($A24,[1]!LandfillWorstK4,DM$7,FALSE)</f>
        <v>0.46433529455688111</v>
      </c>
      <c r="DN24" s="539">
        <f>VLOOKUP($A24,[1]!LandfillWorstK4,DN$7,FALSE)</f>
        <v>0.5258563934148115</v>
      </c>
      <c r="DO24" s="540">
        <f>-1*VLOOKUP($A24,[1]Landfilling!$N$27:$R$41,5,FALSE)</f>
        <v>-0.84689181420362059</v>
      </c>
      <c r="DP24" s="541">
        <f>VLOOKUP($A24,'[1]Post-Consumer Transport'!$C$33:$K$88,3,FALSE)+VLOOKUP($A24,'[1]Post-Consumer Transport'!$C$33:$K$88,4,FALSE)</f>
        <v>2.0254519141196047E-2</v>
      </c>
      <c r="DQ24" s="542">
        <f t="shared" ref="DQ24:DQ69" si="105">DK24+DO24+DP24</f>
        <v>0.24852403935782544</v>
      </c>
      <c r="DR24" s="538">
        <f t="shared" si="60"/>
        <v>-0.26826714030400467</v>
      </c>
      <c r="DS24" s="538">
        <f t="shared" si="61"/>
        <v>-0.36230200050554345</v>
      </c>
      <c r="DT24" s="539">
        <f t="shared" si="62"/>
        <v>-0.30078090164761306</v>
      </c>
      <c r="DU24" s="537">
        <f>VLOOKUP($A24,[1]!LandfillWorstK6,DU$7,FALSE)</f>
        <v>1.07516133442025</v>
      </c>
      <c r="DV24" s="538">
        <f>VLOOKUP($A24,[1]!LandfillWorstK6,DV$7,FALSE)</f>
        <v>0.62122970805289801</v>
      </c>
      <c r="DW24" s="538">
        <f>VLOOKUP($A24,[1]!LandfillWorstK6,DW$7,FALSE)</f>
        <v>0.55803463731809055</v>
      </c>
      <c r="DX24" s="539">
        <f>VLOOKUP($A24,[1]!LandfillWorstK6,DX$7,FALSE)</f>
        <v>0.60711541648041345</v>
      </c>
      <c r="DY24" s="540">
        <f>-1*VLOOKUP($A24,[1]Landfilling!$N$27:$R$41,5,FALSE)</f>
        <v>-0.84689181420362059</v>
      </c>
      <c r="DZ24" s="541">
        <f>VLOOKUP($A24,'[1]Post-Consumer Transport'!$C$33:$K$88,3,FALSE)+VLOOKUP($A24,'[1]Post-Consumer Transport'!$C$33:$K$88,4,FALSE)</f>
        <v>2.0254519141196047E-2</v>
      </c>
      <c r="EA24" s="542">
        <f t="shared" ref="EA24:EA69" si="106">DU24+DY24+DZ24</f>
        <v>0.24852403935782544</v>
      </c>
      <c r="EB24" s="538">
        <f t="shared" si="64"/>
        <v>-0.20540758700952652</v>
      </c>
      <c r="EC24" s="538">
        <f t="shared" si="65"/>
        <v>-0.26860265774433401</v>
      </c>
      <c r="ED24" s="539">
        <f t="shared" si="66"/>
        <v>-0.21952187858201108</v>
      </c>
      <c r="EE24" s="537">
        <f>VLOOKUP($A24,[1]!LandfillWorstK12,EE$7,FALSE)</f>
        <v>1.07516133442025</v>
      </c>
      <c r="EF24" s="538">
        <f>VLOOKUP($A24,[1]!LandfillWorstK12,EF$7,FALSE)</f>
        <v>0.77384549158861793</v>
      </c>
      <c r="EG24" s="538">
        <f>VLOOKUP($A24,[1]!LandfillWorstK12,EG$7,FALSE)</f>
        <v>0.74296321162095613</v>
      </c>
      <c r="EH24" s="539">
        <f>VLOOKUP($A24,[1]!LandfillWorstK12,EH$7,FALSE)</f>
        <v>0.77311725446940771</v>
      </c>
      <c r="EI24" s="540">
        <f>-1*VLOOKUP($A24,[1]Landfilling!$N$27:$R$41,5,FALSE)</f>
        <v>-0.84689181420362059</v>
      </c>
      <c r="EJ24" s="541">
        <f>VLOOKUP($A24,'[1]Post-Consumer Transport'!$C$33:$K$88,3,FALSE)+VLOOKUP($A24,'[1]Post-Consumer Transport'!$C$33:$K$88,4,FALSE)</f>
        <v>2.0254519141196047E-2</v>
      </c>
      <c r="EK24" s="542">
        <f t="shared" ref="EK24:EK69" si="107">EE24+EI24+EJ24</f>
        <v>0.24852403935782544</v>
      </c>
      <c r="EL24" s="538">
        <f t="shared" si="68"/>
        <v>-5.279180347380661E-2</v>
      </c>
      <c r="EM24" s="538">
        <f t="shared" si="69"/>
        <v>-8.36740834414684E-2</v>
      </c>
      <c r="EN24" s="539">
        <f t="shared" si="70"/>
        <v>-5.3520040593016828E-2</v>
      </c>
      <c r="EO24" s="537">
        <f>VLOOKUP($A24,[1]!LandfillWorstNatlAverage,EO$7,FALSE)</f>
        <v>1.07516133442025</v>
      </c>
      <c r="EP24" s="538">
        <f>VLOOKUP($A24,[1]!LandfillWorstNatlAverage,EP$7,FALSE)</f>
        <v>0.59884112119690558</v>
      </c>
      <c r="EQ24" s="538">
        <f>VLOOKUP($A24,[1]!LandfillWorstNatlAverage,EQ$7,FALSE)</f>
        <v>0.50693699079690047</v>
      </c>
      <c r="ER24" s="539">
        <f>VLOOKUP($A24,[1]!LandfillWorstNatlAverage,ER$7,FALSE)</f>
        <v>0.56445632372255361</v>
      </c>
      <c r="ES24" s="540">
        <f>-1*VLOOKUP($A24,[1]Landfilling!$N$27:$R$41,5,FALSE)</f>
        <v>-0.84689181420362059</v>
      </c>
      <c r="ET24" s="541">
        <f>VLOOKUP($A24,'[1]Post-Consumer Transport'!$C$33:$K$88,3,FALSE)+VLOOKUP($A24,'[1]Post-Consumer Transport'!$C$33:$K$88,4,FALSE)</f>
        <v>2.0254519141196047E-2</v>
      </c>
      <c r="EU24" s="542">
        <f t="shared" ref="EU24:EU69" si="108">EO24+ES24+ET24</f>
        <v>0.24852403935782544</v>
      </c>
      <c r="EV24" s="538">
        <f t="shared" si="72"/>
        <v>-0.22779617386551895</v>
      </c>
      <c r="EW24" s="538">
        <f t="shared" si="73"/>
        <v>-0.31970030426552409</v>
      </c>
      <c r="EX24" s="539">
        <f t="shared" si="74"/>
        <v>-0.26218097133987095</v>
      </c>
      <c r="EZ24" s="537">
        <f>VLOOKUP($A24,[1]!LandfillCaliK2,EZ$7,FALSE)</f>
        <v>1.07516133442025</v>
      </c>
      <c r="FA24" s="538">
        <f>VLOOKUP($A24,[1]!LandfillCaliK2,FA$7,FALSE)</f>
        <v>0.2239230697626689</v>
      </c>
      <c r="FB24" s="538">
        <f>VLOOKUP($A24,[1]!LandfillCaliK2,FB$7,FALSE)</f>
        <v>0.18982180029699883</v>
      </c>
      <c r="FC24" s="539">
        <f>VLOOKUP($A24,[1]!LandfillCaliK2,FC$7,FALSE)</f>
        <v>0.26576414934668668</v>
      </c>
      <c r="FD24" s="540">
        <f>-1*VLOOKUP($A24,[1]Landfilling!$N$27:$R$41,5,FALSE)</f>
        <v>-0.84689181420362059</v>
      </c>
      <c r="FE24" s="541">
        <f>VLOOKUP($A24,'[1]Post-Consumer Transport'!$C$33:$K$88,3,FALSE)+VLOOKUP($A24,'[1]Post-Consumer Transport'!$C$33:$K$88,4,FALSE)</f>
        <v>2.0254519141196047E-2</v>
      </c>
      <c r="FF24" s="542">
        <f t="shared" ref="FF24:FF69" si="109">EZ24+FD24+FE24</f>
        <v>0.24852403935782544</v>
      </c>
      <c r="FG24" s="538">
        <f t="shared" si="76"/>
        <v>-0.60271422529975571</v>
      </c>
      <c r="FH24" s="538">
        <f t="shared" si="77"/>
        <v>-0.63681549476542576</v>
      </c>
      <c r="FI24" s="539">
        <f t="shared" si="78"/>
        <v>-0.56087314571573788</v>
      </c>
      <c r="FJ24" s="537">
        <f>VLOOKUP($A24,[1]!LandfillCaliK4,FJ$7,FALSE)</f>
        <v>1.07516133442025</v>
      </c>
      <c r="FK24" s="538">
        <f>VLOOKUP($A24,[1]!LandfillCaliK4,FK$7,FALSE)</f>
        <v>0.25191303143228716</v>
      </c>
      <c r="FL24" s="538">
        <f>VLOOKUP($A24,[1]!LandfillCaliK4,FL$7,FALSE)</f>
        <v>0.24630297972005127</v>
      </c>
      <c r="FM24" s="539">
        <f>VLOOKUP($A24,[1]!LandfillCaliK4,FM$7,FALSE)</f>
        <v>0.31344709943229715</v>
      </c>
      <c r="FN24" s="540">
        <f>-1*VLOOKUP($A24,[1]Landfilling!$N$27:$R$41,5,FALSE)</f>
        <v>-0.84689181420362059</v>
      </c>
      <c r="FO24" s="541">
        <f>VLOOKUP($A24,'[1]Post-Consumer Transport'!$C$33:$K$88,3,FALSE)+VLOOKUP($A24,'[1]Post-Consumer Transport'!$C$33:$K$88,4,FALSE)</f>
        <v>2.0254519141196047E-2</v>
      </c>
      <c r="FP24" s="542">
        <f t="shared" ref="FP24:FP69" si="110">FJ24+FN24+FO24</f>
        <v>0.24852403935782544</v>
      </c>
      <c r="FQ24" s="538">
        <f t="shared" si="80"/>
        <v>-0.5747242636301374</v>
      </c>
      <c r="FR24" s="538">
        <f t="shared" si="81"/>
        <v>-0.58033431534237323</v>
      </c>
      <c r="FS24" s="539">
        <f t="shared" si="82"/>
        <v>-0.51319019563012747</v>
      </c>
      <c r="FT24" s="537">
        <f>VLOOKUP($A24,[1]!LandfillCaliK6,FT$7,FALSE)</f>
        <v>1.07516133442025</v>
      </c>
      <c r="FU24" s="538">
        <f>VLOOKUP($A24,[1]!LandfillCaliK6,FU$7,FALSE)</f>
        <v>0.29558915451408657</v>
      </c>
      <c r="FV24" s="538">
        <f>VLOOKUP($A24,[1]!LandfillCaliK6,FV$7,FALSE)</f>
        <v>0.29150370448393254</v>
      </c>
      <c r="FW24" s="539">
        <f>VLOOKUP($A24,[1]!LandfillCaliK6,FW$7,FALSE)</f>
        <v>0.35299049905859625</v>
      </c>
      <c r="FX24" s="540">
        <f>-1*VLOOKUP($A24,[1]Landfilling!$N$27:$R$41,5,FALSE)</f>
        <v>-0.84689181420362059</v>
      </c>
      <c r="FY24" s="541">
        <f>VLOOKUP($A24,'[1]Post-Consumer Transport'!$C$33:$K$88,3,FALSE)+VLOOKUP($A24,'[1]Post-Consumer Transport'!$C$33:$K$88,4,FALSE)</f>
        <v>2.0254519141196047E-2</v>
      </c>
      <c r="FZ24" s="542">
        <f t="shared" ref="FZ24:FZ69" si="111">FT24+FX24+FY24</f>
        <v>0.24852403935782544</v>
      </c>
      <c r="GA24" s="538">
        <f t="shared" si="84"/>
        <v>-0.53104814054833804</v>
      </c>
      <c r="GB24" s="538">
        <f t="shared" si="85"/>
        <v>-0.53513359057849197</v>
      </c>
      <c r="GC24" s="539">
        <f t="shared" si="86"/>
        <v>-0.47364679600382831</v>
      </c>
      <c r="GD24" s="537">
        <f>VLOOKUP($A24,[1]!LandfillCaliK12,GD$7,FALSE)</f>
        <v>1.07516133442025</v>
      </c>
      <c r="GE24" s="538">
        <f>VLOOKUP($A24,[1]!LandfillCaliK12,GE$7,FALSE)</f>
        <v>0.39582141358298134</v>
      </c>
      <c r="GF24" s="538">
        <f>VLOOKUP($A24,[1]!LandfillCaliK12,GF$7,FALSE)</f>
        <v>0.39452498970404598</v>
      </c>
      <c r="GG24" s="539">
        <f>VLOOKUP($A24,[1]!LandfillCaliK12,GG$7,FALSE)</f>
        <v>0.44723432764814536</v>
      </c>
      <c r="GH24" s="540">
        <f>-1*VLOOKUP($A24,[1]Landfilling!$N$27:$R$41,5,FALSE)</f>
        <v>-0.84689181420362059</v>
      </c>
      <c r="GI24" s="541">
        <f>VLOOKUP($A24,'[1]Post-Consumer Transport'!$C$33:$K$88,3,FALSE)+VLOOKUP($A24,'[1]Post-Consumer Transport'!$C$33:$K$88,4,FALSE)</f>
        <v>2.0254519141196047E-2</v>
      </c>
      <c r="GJ24" s="542">
        <f t="shared" ref="GJ24:GJ69" si="112">GD24+GH24+GI24</f>
        <v>0.24852403935782544</v>
      </c>
      <c r="GK24" s="538">
        <f t="shared" si="88"/>
        <v>-0.43081588147944322</v>
      </c>
      <c r="GL24" s="538">
        <f t="shared" si="89"/>
        <v>-0.43211230535837858</v>
      </c>
      <c r="GM24" s="539">
        <f t="shared" si="90"/>
        <v>-0.3794029674142792</v>
      </c>
      <c r="GN24" s="537">
        <f>VLOOKUP($A24,[1]!LandfillCaliNatlAverage,GN$7,FALSE)</f>
        <v>1.07516133442025</v>
      </c>
      <c r="GO24" s="538">
        <f>VLOOKUP($A24,[1]!LandfillCaliNatlAverage,GO$7,FALSE)</f>
        <v>0.27865676390005251</v>
      </c>
      <c r="GP24" s="538">
        <f>VLOOKUP($A24,[1]!LandfillCaliNatlAverage,GP$7,FALSE)</f>
        <v>0.26840644271179542</v>
      </c>
      <c r="GQ24" s="539">
        <f>VLOOKUP($A24,[1]!LandfillCaliNatlAverage,GQ$7,FALSE)</f>
        <v>0.33354156948316882</v>
      </c>
      <c r="GR24" s="540">
        <f>-1*VLOOKUP($A24,[1]Landfilling!$N$27:$R$41,5,FALSE)</f>
        <v>-0.84689181420362059</v>
      </c>
      <c r="GS24" s="541">
        <f>VLOOKUP($A24,'[1]Post-Consumer Transport'!$C$33:$K$88,3,FALSE)+VLOOKUP($A24,'[1]Post-Consumer Transport'!$C$33:$K$88,4,FALSE)</f>
        <v>2.0254519141196047E-2</v>
      </c>
      <c r="GT24" s="542">
        <f t="shared" ref="GT24:GT69" si="113">GN24+GR24+GS24</f>
        <v>0.24852403935782544</v>
      </c>
      <c r="GU24" s="538">
        <f t="shared" si="92"/>
        <v>-0.547980531162372</v>
      </c>
      <c r="GV24" s="538">
        <f t="shared" si="93"/>
        <v>-0.55823085235062919</v>
      </c>
      <c r="GW24" s="539">
        <f t="shared" si="94"/>
        <v>-0.49309572557925574</v>
      </c>
    </row>
    <row r="25" spans="1:205" x14ac:dyDescent="0.25">
      <c r="A25" s="494" t="str">
        <f t="shared" si="16"/>
        <v>Newspaper</v>
      </c>
      <c r="B25" s="536" t="s">
        <v>502</v>
      </c>
      <c r="C25" s="537">
        <f>VLOOKUP($A25,[1]!LandfillTypicalK2,C$7,FALSE)</f>
        <v>0.94244992679475004</v>
      </c>
      <c r="D25" s="538">
        <f>VLOOKUP($A25,[1]!LandfillTypicalK2,D$7,FALSE)</f>
        <v>0.4750628656983904</v>
      </c>
      <c r="E25" s="538">
        <f>VLOOKUP($A25,[1]!LandfillTypicalK2,E$7,FALSE)</f>
        <v>0.2418897778271091</v>
      </c>
      <c r="F25" s="621">
        <f>VLOOKUP($A25,[1]!LandfillTypicalK2,F$7,FALSE)</f>
        <v>0.32788316125242667</v>
      </c>
      <c r="G25" s="543">
        <f>-1*VLOOKUP($A25,[1]Landfilling!$N$27:$R$41,5,FALSE)</f>
        <v>-1.1934316569631502</v>
      </c>
      <c r="H25" s="544">
        <f>VLOOKUP($A25,'[1]Post-Consumer Transport'!$C$33:$K$88,3,FALSE)+VLOOKUP($A25,'[1]Post-Consumer Transport'!$C$33:$K$88,4,FALSE)</f>
        <v>2.0254519141196047E-2</v>
      </c>
      <c r="I25" s="542">
        <f t="shared" si="17"/>
        <v>-0.23072721102720414</v>
      </c>
      <c r="J25" s="538">
        <f t="shared" si="18"/>
        <v>-0.69811427212356381</v>
      </c>
      <c r="K25" s="538">
        <f t="shared" si="18"/>
        <v>-0.93128735999484513</v>
      </c>
      <c r="L25" s="539">
        <f t="shared" si="18"/>
        <v>-0.84529397656952754</v>
      </c>
      <c r="M25" s="537">
        <f>VLOOKUP($A25,[1]!LandfillTypicalK4,M$7,FALSE)</f>
        <v>0.94244992679475004</v>
      </c>
      <c r="N25" s="538">
        <f>VLOOKUP($A25,[1]!LandfillTypicalK4,N$7,FALSE)</f>
        <v>0.4332264163635266</v>
      </c>
      <c r="O25" s="538">
        <f>VLOOKUP($A25,[1]!LandfillTypicalK4,O$7,FALSE)</f>
        <v>0.27745006075703682</v>
      </c>
      <c r="P25" s="539">
        <f>VLOOKUP($A25,[1]!LandfillTypicalK4,P$7,FALSE)</f>
        <v>0.3506520255586742</v>
      </c>
      <c r="Q25" s="543">
        <f>-1*VLOOKUP($A25,[1]Landfilling!$N$27:$R$41,5,FALSE)</f>
        <v>-1.1934316569631502</v>
      </c>
      <c r="R25" s="544">
        <f>VLOOKUP($A25,'[1]Post-Consumer Transport'!$C$33:$K$88,3,FALSE)+VLOOKUP($A25,'[1]Post-Consumer Transport'!$C$33:$K$88,4,FALSE)</f>
        <v>2.0254519141196047E-2</v>
      </c>
      <c r="S25" s="542">
        <f t="shared" si="95"/>
        <v>-0.23072721102720414</v>
      </c>
      <c r="T25" s="538">
        <f t="shared" si="20"/>
        <v>-0.73995072145842755</v>
      </c>
      <c r="U25" s="538">
        <f t="shared" si="21"/>
        <v>-0.89572707706491739</v>
      </c>
      <c r="V25" s="539">
        <f t="shared" si="22"/>
        <v>-0.82252511226327996</v>
      </c>
      <c r="W25" s="537">
        <f>VLOOKUP($A25,[1]!LandfillTypicalK6,W$7,FALSE)</f>
        <v>0.94244992679475004</v>
      </c>
      <c r="X25" s="538">
        <f>VLOOKUP($A25,[1]!LandfillTypicalK6,X$7,FALSE)</f>
        <v>0.40854676128587608</v>
      </c>
      <c r="Y25" s="538">
        <f>VLOOKUP($A25,[1]!LandfillTypicalK6,Y$7,FALSE)</f>
        <v>0.28867038061628203</v>
      </c>
      <c r="Z25" s="539">
        <f>VLOOKUP($A25,[1]!LandfillTypicalK6,Z$7,FALSE)</f>
        <v>0.35532291444271735</v>
      </c>
      <c r="AA25" s="543">
        <f>-1*VLOOKUP($A25,[1]Landfilling!$N$27:$R$41,5,FALSE)</f>
        <v>-1.1934316569631502</v>
      </c>
      <c r="AB25" s="544">
        <f>VLOOKUP($A25,'[1]Post-Consumer Transport'!$C$33:$K$88,3,FALSE)+VLOOKUP($A25,'[1]Post-Consumer Transport'!$C$33:$K$88,4,FALSE)</f>
        <v>2.0254519141196047E-2</v>
      </c>
      <c r="AC25" s="542">
        <f t="shared" si="96"/>
        <v>-0.23072721102720414</v>
      </c>
      <c r="AD25" s="538">
        <f t="shared" si="24"/>
        <v>-0.76463037653607813</v>
      </c>
      <c r="AE25" s="538">
        <f t="shared" si="25"/>
        <v>-0.88450675720567218</v>
      </c>
      <c r="AF25" s="539">
        <f t="shared" si="26"/>
        <v>-0.81785422337923686</v>
      </c>
      <c r="AG25" s="537">
        <f>VLOOKUP($A25,[1]!LandfillTypicalK12,AG$7,FALSE)</f>
        <v>0.94244992679475004</v>
      </c>
      <c r="AH25" s="538">
        <f>VLOOKUP($A25,[1]!LandfillTypicalK12,AH$7,FALSE)</f>
        <v>0.39138554510829315</v>
      </c>
      <c r="AI25" s="538">
        <f>VLOOKUP($A25,[1]!LandfillTypicalK12,AI$7,FALSE)</f>
        <v>0.31895982131120221</v>
      </c>
      <c r="AJ25" s="539">
        <f>VLOOKUP($A25,[1]!LandfillTypicalK12,AJ$7,FALSE)</f>
        <v>0.37580220859873964</v>
      </c>
      <c r="AK25" s="543">
        <f>-1*VLOOKUP($A25,[1]Landfilling!$N$27:$R$41,5,FALSE)</f>
        <v>-1.1934316569631502</v>
      </c>
      <c r="AL25" s="544">
        <f>VLOOKUP($A25,'[1]Post-Consumer Transport'!$C$33:$K$88,3,FALSE)+VLOOKUP($A25,'[1]Post-Consumer Transport'!$C$33:$K$88,4,FALSE)</f>
        <v>2.0254519141196047E-2</v>
      </c>
      <c r="AM25" s="542">
        <f t="shared" si="97"/>
        <v>-0.23072721102720414</v>
      </c>
      <c r="AN25" s="538">
        <f t="shared" si="28"/>
        <v>-0.78179159271366105</v>
      </c>
      <c r="AO25" s="538">
        <f t="shared" si="29"/>
        <v>-0.85421731651075206</v>
      </c>
      <c r="AP25" s="539">
        <f t="shared" si="30"/>
        <v>-0.79737492922321462</v>
      </c>
      <c r="AQ25" s="537">
        <f>VLOOKUP($A25,[1]!LandfillTypicalNatlAverage,AQ$7,FALSE)</f>
        <v>0.94244992679475004</v>
      </c>
      <c r="AR25" s="538">
        <f>VLOOKUP($A25,[1]!LandfillTypicalNatlAverage,AR$7,FALSE)</f>
        <v>0.42726628086806157</v>
      </c>
      <c r="AS25" s="538">
        <f>VLOOKUP($A25,[1]!LandfillTypicalNatlAverage,AS$7,FALSE)</f>
        <v>0.27910053168861759</v>
      </c>
      <c r="AT25" s="539">
        <f>VLOOKUP($A25,[1]!LandfillTypicalNatlAverage,AT$7,FALSE)</f>
        <v>0.35053300633277296</v>
      </c>
      <c r="AU25" s="543">
        <f>-1*VLOOKUP($A25,[1]Landfilling!$N$27:$R$41,5,FALSE)</f>
        <v>-1.1934316569631502</v>
      </c>
      <c r="AV25" s="544">
        <f>VLOOKUP($A25,'[1]Post-Consumer Transport'!$C$33:$K$88,3,FALSE)+VLOOKUP($A25,'[1]Post-Consumer Transport'!$C$33:$K$88,4,FALSE)</f>
        <v>2.0254519141196047E-2</v>
      </c>
      <c r="AW25" s="542">
        <f t="shared" si="98"/>
        <v>-0.23072721102720414</v>
      </c>
      <c r="AX25" s="538">
        <f t="shared" si="32"/>
        <v>-0.74591085695389259</v>
      </c>
      <c r="AY25" s="538">
        <f t="shared" si="33"/>
        <v>-0.89407660613333662</v>
      </c>
      <c r="AZ25" s="539">
        <f t="shared" si="34"/>
        <v>-0.82264413148918125</v>
      </c>
      <c r="BB25" s="537">
        <f>VLOOKUP($A25,[1]!LandfillAggressiveK2,BB$7,FALSE)</f>
        <v>0.94244992679475004</v>
      </c>
      <c r="BC25" s="538">
        <f>VLOOKUP($A25,[1]!LandfillAggressiveK2,BC$7,FALSE)</f>
        <v>0.46878168843176093</v>
      </c>
      <c r="BD25" s="538">
        <f>VLOOKUP($A25,[1]!LandfillAggressiveK2,BD$7,FALSE)</f>
        <v>0.23882757937253049</v>
      </c>
      <c r="BE25" s="539">
        <f>VLOOKUP($A25,[1]!LandfillAggressiveK2,BE$7,FALSE)</f>
        <v>0.32479413708935712</v>
      </c>
      <c r="BF25" s="543">
        <f>-1*VLOOKUP($A25,[1]Landfilling!$N$27:$R$41,5,FALSE)</f>
        <v>-1.1934316569631502</v>
      </c>
      <c r="BG25" s="544">
        <f>VLOOKUP($A25,'[1]Post-Consumer Transport'!$C$33:$K$88,3,FALSE)+VLOOKUP($A25,'[1]Post-Consumer Transport'!$C$33:$K$88,4,FALSE)</f>
        <v>2.0254519141196047E-2</v>
      </c>
      <c r="BH25" s="542">
        <f t="shared" si="99"/>
        <v>-0.23072721102720414</v>
      </c>
      <c r="BI25" s="538">
        <f t="shared" si="36"/>
        <v>-0.70439544939019327</v>
      </c>
      <c r="BJ25" s="538">
        <f t="shared" si="37"/>
        <v>-0.93434955844942369</v>
      </c>
      <c r="BK25" s="539">
        <f t="shared" si="38"/>
        <v>-0.84838300073259709</v>
      </c>
      <c r="BL25" s="881">
        <f>VLOOKUP($A25,[1]!LandfillAggressiveK4,BL$7,FALSE)</f>
        <v>0.94244992679475004</v>
      </c>
      <c r="BM25" s="882">
        <f>VLOOKUP($A25,[1]!LandfillAggressiveK4,BM$7,FALSE)</f>
        <v>0.42104306380534423</v>
      </c>
      <c r="BN25" s="882">
        <f>VLOOKUP($A25,[1]!LandfillAggressiveK4,BN$7,FALSE)</f>
        <v>0.27022182107211995</v>
      </c>
      <c r="BO25" s="883">
        <f>VLOOKUP($A25,[1]!LandfillAggressiveK4,BO$7,FALSE)</f>
        <v>0.34317703439691394</v>
      </c>
      <c r="BP25" s="884">
        <f>-1*VLOOKUP($A25,[1]Landfilling!$N$27:$R$41,5,FALSE)</f>
        <v>-1.1934316569631502</v>
      </c>
      <c r="BQ25" s="885">
        <f>VLOOKUP($A25,'[1]Post-Consumer Transport'!$C$33:$K$88,3,FALSE)+VLOOKUP($A25,'[1]Post-Consumer Transport'!$C$33:$K$88,4,FALSE)</f>
        <v>2.0254519141196047E-2</v>
      </c>
      <c r="BR25" s="886">
        <f t="shared" si="100"/>
        <v>-0.23072721102720414</v>
      </c>
      <c r="BS25" s="882">
        <f t="shared" si="40"/>
        <v>-0.75213407401661003</v>
      </c>
      <c r="BT25" s="882">
        <f t="shared" si="41"/>
        <v>-0.90295531674983431</v>
      </c>
      <c r="BU25" s="883">
        <f t="shared" si="42"/>
        <v>-0.83000010342504027</v>
      </c>
      <c r="BV25" s="537">
        <f>VLOOKUP($A25,[1]!LandfillAggressiveK6,BV$7,FALSE)</f>
        <v>0.94244992679475004</v>
      </c>
      <c r="BW25" s="538">
        <f>VLOOKUP($A25,[1]!LandfillAggressiveK6,BW$7,FALSE)</f>
        <v>0.39675673659336952</v>
      </c>
      <c r="BX25" s="538">
        <f>VLOOKUP($A25,[1]!LandfillAggressiveK6,BX$7,FALSE)</f>
        <v>0.27229921239853938</v>
      </c>
      <c r="BY25" s="539">
        <f>VLOOKUP($A25,[1]!LandfillAggressiveK6,BY$7,FALSE)</f>
        <v>0.34030149378122876</v>
      </c>
      <c r="BZ25" s="543">
        <f>-1*VLOOKUP($A25,[1]Landfilling!$N$27:$R$41,5,FALSE)</f>
        <v>-1.1934316569631502</v>
      </c>
      <c r="CA25" s="544">
        <f>VLOOKUP($A25,'[1]Post-Consumer Transport'!$C$33:$K$88,3,FALSE)+VLOOKUP($A25,'[1]Post-Consumer Transport'!$C$33:$K$88,4,FALSE)</f>
        <v>2.0254519141196047E-2</v>
      </c>
      <c r="CB25" s="542">
        <f t="shared" si="101"/>
        <v>-0.23072721102720414</v>
      </c>
      <c r="CC25" s="538">
        <f t="shared" si="44"/>
        <v>-0.77642040122858469</v>
      </c>
      <c r="CD25" s="538">
        <f t="shared" si="45"/>
        <v>-0.90087792542341483</v>
      </c>
      <c r="CE25" s="539">
        <f t="shared" si="46"/>
        <v>-0.83287564404072545</v>
      </c>
      <c r="CF25" s="537">
        <f>VLOOKUP($A25,[1]!LandfillAggressiveK12,CF$7,FALSE)</f>
        <v>0.94244992679475004</v>
      </c>
      <c r="CG25" s="538">
        <f>VLOOKUP($A25,[1]!LandfillAggressiveK12,CG$7,FALSE)</f>
        <v>0.36961097320721525</v>
      </c>
      <c r="CH25" s="538">
        <f>VLOOKUP($A25,[1]!LandfillAggressiveK12,CH$7,FALSE)</f>
        <v>0.29334571588305625</v>
      </c>
      <c r="CI25" s="539">
        <f>VLOOKUP($A25,[1]!LandfillAggressiveK12,CI$7,FALSE)</f>
        <v>0.3520354996625889</v>
      </c>
      <c r="CJ25" s="543">
        <f>-1*VLOOKUP($A25,[1]Landfilling!$N$27:$R$41,5,FALSE)</f>
        <v>-1.1934316569631502</v>
      </c>
      <c r="CK25" s="544">
        <f>VLOOKUP($A25,'[1]Post-Consumer Transport'!$C$33:$K$88,3,FALSE)+VLOOKUP($A25,'[1]Post-Consumer Transport'!$C$33:$K$88,4,FALSE)</f>
        <v>2.0254519141196047E-2</v>
      </c>
      <c r="CL25" s="542">
        <f t="shared" si="102"/>
        <v>-0.23072721102720414</v>
      </c>
      <c r="CM25" s="538">
        <f t="shared" si="48"/>
        <v>-0.80356616461473895</v>
      </c>
      <c r="CN25" s="538">
        <f t="shared" si="49"/>
        <v>-0.87983142193889796</v>
      </c>
      <c r="CO25" s="539">
        <f t="shared" si="50"/>
        <v>-0.82114163815936525</v>
      </c>
      <c r="CP25" s="537">
        <f>VLOOKUP($A25,[1]!LandfillAggressiveNatlAverage,CP$7,FALSE)</f>
        <v>0.94244992679475004</v>
      </c>
      <c r="CQ25" s="538">
        <f>VLOOKUP($A25,[1]!LandfillAggressiveNatlAverage,CQ$7,FALSE)</f>
        <v>0.41546589918669302</v>
      </c>
      <c r="CR25" s="538">
        <f>VLOOKUP($A25,[1]!LandfillAggressiveNatlAverage,CR$7,FALSE)</f>
        <v>0.26710917004845408</v>
      </c>
      <c r="CS25" s="539">
        <f>VLOOKUP($A25,[1]!LandfillAggressiveNatlAverage,CS$7,FALSE)</f>
        <v>0.33920445426892348</v>
      </c>
      <c r="CT25" s="543">
        <f>-1*VLOOKUP($A25,[1]Landfilling!$N$27:$R$41,5,FALSE)</f>
        <v>-1.1934316569631502</v>
      </c>
      <c r="CU25" s="544">
        <f>VLOOKUP($A25,'[1]Post-Consumer Transport'!$C$33:$K$88,3,FALSE)+VLOOKUP($A25,'[1]Post-Consumer Transport'!$C$33:$K$88,4,FALSE)</f>
        <v>2.0254519141196047E-2</v>
      </c>
      <c r="CV25" s="542">
        <f t="shared" si="103"/>
        <v>-0.23072721102720414</v>
      </c>
      <c r="CW25" s="538">
        <f t="shared" si="52"/>
        <v>-0.75771123863526113</v>
      </c>
      <c r="CX25" s="538">
        <f t="shared" si="53"/>
        <v>-0.90606796777350018</v>
      </c>
      <c r="CY25" s="539">
        <f t="shared" si="54"/>
        <v>-0.83397268355303078</v>
      </c>
      <c r="DA25" s="537">
        <f>VLOOKUP($A25,[1]!LandfillWorstK2,DA$7,FALSE)</f>
        <v>0.94244992679475004</v>
      </c>
      <c r="DB25" s="538">
        <f>VLOOKUP($A25,[1]!LandfillWorstK2,DB$7,FALSE)</f>
        <v>0.49590245194363175</v>
      </c>
      <c r="DC25" s="538">
        <f>VLOOKUP($A25,[1]!LandfillWorstK2,DC$7,FALSE)</f>
        <v>0.26053435504920686</v>
      </c>
      <c r="DD25" s="539">
        <f>VLOOKUP($A25,[1]!LandfillWorstK2,DD$7,FALSE)</f>
        <v>0.34533762635985155</v>
      </c>
      <c r="DE25" s="543">
        <f>-1*VLOOKUP($A25,[1]Landfilling!$N$27:$R$41,5,FALSE)</f>
        <v>-1.1934316569631502</v>
      </c>
      <c r="DF25" s="544">
        <f>VLOOKUP($A25,'[1]Post-Consumer Transport'!$C$33:$K$88,3,FALSE)+VLOOKUP($A25,'[1]Post-Consumer Transport'!$C$33:$K$88,4,FALSE)</f>
        <v>2.0254519141196047E-2</v>
      </c>
      <c r="DG25" s="542">
        <f t="shared" si="104"/>
        <v>-0.23072721102720414</v>
      </c>
      <c r="DH25" s="538">
        <f t="shared" si="56"/>
        <v>-0.67727468587832251</v>
      </c>
      <c r="DI25" s="538">
        <f t="shared" si="57"/>
        <v>-0.91264278277274735</v>
      </c>
      <c r="DJ25" s="539">
        <f t="shared" si="58"/>
        <v>-0.82783951146210266</v>
      </c>
      <c r="DK25" s="537">
        <f>VLOOKUP($A25,[1]!LandfillWorstK4,DK$7,FALSE)</f>
        <v>0.94244992679475004</v>
      </c>
      <c r="DL25" s="538">
        <f>VLOOKUP($A25,[1]!LandfillWorstK4,DL$7,FALSE)</f>
        <v>0.46537237436109269</v>
      </c>
      <c r="DM25" s="538">
        <f>VLOOKUP($A25,[1]!LandfillWorstK4,DM$7,FALSE)</f>
        <v>0.30905473155946028</v>
      </c>
      <c r="DN25" s="539">
        <f>VLOOKUP($A25,[1]!LandfillWorstK4,DN$7,FALSE)</f>
        <v>0.37970820853647769</v>
      </c>
      <c r="DO25" s="543">
        <f>-1*VLOOKUP($A25,[1]Landfilling!$N$27:$R$41,5,FALSE)</f>
        <v>-1.1934316569631502</v>
      </c>
      <c r="DP25" s="544">
        <f>VLOOKUP($A25,'[1]Post-Consumer Transport'!$C$33:$K$88,3,FALSE)+VLOOKUP($A25,'[1]Post-Consumer Transport'!$C$33:$K$88,4,FALSE)</f>
        <v>2.0254519141196047E-2</v>
      </c>
      <c r="DQ25" s="542">
        <f t="shared" si="105"/>
        <v>-0.23072721102720414</v>
      </c>
      <c r="DR25" s="538">
        <f t="shared" si="60"/>
        <v>-0.70780476346086152</v>
      </c>
      <c r="DS25" s="538">
        <f t="shared" si="61"/>
        <v>-0.86412240626249393</v>
      </c>
      <c r="DT25" s="539">
        <f t="shared" si="62"/>
        <v>-0.79346892928547652</v>
      </c>
      <c r="DU25" s="537">
        <f>VLOOKUP($A25,[1]!LandfillWorstK6,DU$7,FALSE)</f>
        <v>0.94244992679475004</v>
      </c>
      <c r="DV25" s="538">
        <f>VLOOKUP($A25,[1]!LandfillWorstK6,DV$7,FALSE)</f>
        <v>0.46037077079682337</v>
      </c>
      <c r="DW25" s="538">
        <f>VLOOKUP($A25,[1]!LandfillWorstK6,DW$7,FALSE)</f>
        <v>0.33187387948997965</v>
      </c>
      <c r="DX25" s="539">
        <f>VLOOKUP($A25,[1]!LandfillWorstK6,DX$7,FALSE)</f>
        <v>0.39593378549695996</v>
      </c>
      <c r="DY25" s="543">
        <f>-1*VLOOKUP($A25,[1]Landfilling!$N$27:$R$41,5,FALSE)</f>
        <v>-1.1934316569631502</v>
      </c>
      <c r="DZ25" s="544">
        <f>VLOOKUP($A25,'[1]Post-Consumer Transport'!$C$33:$K$88,3,FALSE)+VLOOKUP($A25,'[1]Post-Consumer Transport'!$C$33:$K$88,4,FALSE)</f>
        <v>2.0254519141196047E-2</v>
      </c>
      <c r="EA25" s="542">
        <f t="shared" si="106"/>
        <v>-0.23072721102720414</v>
      </c>
      <c r="EB25" s="538">
        <f t="shared" si="64"/>
        <v>-0.71280636702513078</v>
      </c>
      <c r="EC25" s="538">
        <f t="shared" si="65"/>
        <v>-0.84130325833197461</v>
      </c>
      <c r="ED25" s="539">
        <f t="shared" si="66"/>
        <v>-0.7772433523249942</v>
      </c>
      <c r="EE25" s="537">
        <f>VLOOKUP($A25,[1]!LandfillWorstK12,EE$7,FALSE)</f>
        <v>0.94244992679475004</v>
      </c>
      <c r="EF25" s="538">
        <f>VLOOKUP($A25,[1]!LandfillWorstK12,EF$7,FALSE)</f>
        <v>0.48247400893041537</v>
      </c>
      <c r="EG25" s="538">
        <f>VLOOKUP($A25,[1]!LandfillWorstK12,EG$7,FALSE)</f>
        <v>0.4068602371981086</v>
      </c>
      <c r="EH25" s="539">
        <f>VLOOKUP($A25,[1]!LandfillWorstK12,EH$7,FALSE)</f>
        <v>0.45735706442052704</v>
      </c>
      <c r="EI25" s="543">
        <f>-1*VLOOKUP($A25,[1]Landfilling!$N$27:$R$41,5,FALSE)</f>
        <v>-1.1934316569631502</v>
      </c>
      <c r="EJ25" s="544">
        <f>VLOOKUP($A25,'[1]Post-Consumer Transport'!$C$33:$K$88,3,FALSE)+VLOOKUP($A25,'[1]Post-Consumer Transport'!$C$33:$K$88,4,FALSE)</f>
        <v>2.0254519141196047E-2</v>
      </c>
      <c r="EK25" s="542">
        <f t="shared" si="107"/>
        <v>-0.23072721102720414</v>
      </c>
      <c r="EL25" s="538">
        <f t="shared" si="68"/>
        <v>-0.69070312889153884</v>
      </c>
      <c r="EM25" s="538">
        <f t="shared" si="69"/>
        <v>-0.76631690062384561</v>
      </c>
      <c r="EN25" s="539">
        <f t="shared" si="70"/>
        <v>-0.71582007340142717</v>
      </c>
      <c r="EO25" s="537">
        <f>VLOOKUP($A25,[1]!LandfillWorstNatlAverage,EO$7,FALSE)</f>
        <v>0.94244992679475004</v>
      </c>
      <c r="EP25" s="538">
        <f>VLOOKUP($A25,[1]!LandfillWorstNatlAverage,EP$7,FALSE)</f>
        <v>0.47113289426961802</v>
      </c>
      <c r="EQ25" s="538">
        <f>VLOOKUP($A25,[1]!LandfillWorstNatlAverage,EQ$7,FALSE)</f>
        <v>0.31850987662071789</v>
      </c>
      <c r="ER25" s="539">
        <f>VLOOKUP($A25,[1]!LandfillWorstNatlAverage,ER$7,FALSE)</f>
        <v>0.38726768982031562</v>
      </c>
      <c r="ES25" s="543">
        <f>-1*VLOOKUP($A25,[1]Landfilling!$N$27:$R$41,5,FALSE)</f>
        <v>-1.1934316569631502</v>
      </c>
      <c r="ET25" s="544">
        <f>VLOOKUP($A25,'[1]Post-Consumer Transport'!$C$33:$K$88,3,FALSE)+VLOOKUP($A25,'[1]Post-Consumer Transport'!$C$33:$K$88,4,FALSE)</f>
        <v>2.0254519141196047E-2</v>
      </c>
      <c r="EU25" s="542">
        <f t="shared" si="108"/>
        <v>-0.23072721102720414</v>
      </c>
      <c r="EV25" s="538">
        <f t="shared" si="72"/>
        <v>-0.70204424355233619</v>
      </c>
      <c r="EW25" s="538">
        <f t="shared" si="73"/>
        <v>-0.85466726120123626</v>
      </c>
      <c r="EX25" s="539">
        <f t="shared" si="74"/>
        <v>-0.78590944800163864</v>
      </c>
      <c r="EZ25" s="537">
        <f>VLOOKUP($A25,[1]!LandfillCaliK2,EZ$7,FALSE)</f>
        <v>0.94244992679475004</v>
      </c>
      <c r="FA25" s="538">
        <f>VLOOKUP($A25,[1]!LandfillCaliK2,FA$7,FALSE)</f>
        <v>0.20836161035154505</v>
      </c>
      <c r="FB25" s="538">
        <f>VLOOKUP($A25,[1]!LandfillCaliK2,FB$7,FALSE)</f>
        <v>0.12494964548471545</v>
      </c>
      <c r="FC25" s="539">
        <f>VLOOKUP($A25,[1]!LandfillCaliK2,FC$7,FALSE)</f>
        <v>0.20466884576089145</v>
      </c>
      <c r="FD25" s="543">
        <f>-1*VLOOKUP($A25,[1]Landfilling!$N$27:$R$41,5,FALSE)</f>
        <v>-1.1934316569631502</v>
      </c>
      <c r="FE25" s="544">
        <f>VLOOKUP($A25,'[1]Post-Consumer Transport'!$C$33:$K$88,3,FALSE)+VLOOKUP($A25,'[1]Post-Consumer Transport'!$C$33:$K$88,4,FALSE)</f>
        <v>2.0254519141196047E-2</v>
      </c>
      <c r="FF25" s="542">
        <f t="shared" si="109"/>
        <v>-0.23072721102720414</v>
      </c>
      <c r="FG25" s="538">
        <f t="shared" si="76"/>
        <v>-0.96481552747040911</v>
      </c>
      <c r="FH25" s="538">
        <f t="shared" si="77"/>
        <v>-1.0482274923372388</v>
      </c>
      <c r="FI25" s="539">
        <f t="shared" si="78"/>
        <v>-0.96850829206106281</v>
      </c>
      <c r="FJ25" s="537">
        <f>VLOOKUP($A25,[1]!LandfillCaliK4,FJ$7,FALSE)</f>
        <v>0.94244992679475004</v>
      </c>
      <c r="FK25" s="538">
        <f>VLOOKUP($A25,[1]!LandfillCaliK4,FK$7,FALSE)</f>
        <v>0.18594934872528004</v>
      </c>
      <c r="FL25" s="538">
        <f>VLOOKUP($A25,[1]!LandfillCaliK4,FL$7,FALSE)</f>
        <v>0.1614203225599915</v>
      </c>
      <c r="FM25" s="539">
        <f>VLOOKUP($A25,[1]!LandfillCaliK4,FM$7,FALSE)</f>
        <v>0.23048598416169475</v>
      </c>
      <c r="FN25" s="543">
        <f>-1*VLOOKUP($A25,[1]Landfilling!$N$27:$R$41,5,FALSE)</f>
        <v>-1.1934316569631502</v>
      </c>
      <c r="FO25" s="544">
        <f>VLOOKUP($A25,'[1]Post-Consumer Transport'!$C$33:$K$88,3,FALSE)+VLOOKUP($A25,'[1]Post-Consumer Transport'!$C$33:$K$88,4,FALSE)</f>
        <v>2.0254519141196047E-2</v>
      </c>
      <c r="FP25" s="542">
        <f t="shared" si="110"/>
        <v>-0.23072721102720414</v>
      </c>
      <c r="FQ25" s="538">
        <f t="shared" si="80"/>
        <v>-0.98722778909667408</v>
      </c>
      <c r="FR25" s="538">
        <f t="shared" si="81"/>
        <v>-1.0117568152619627</v>
      </c>
      <c r="FS25" s="539">
        <f t="shared" si="82"/>
        <v>-0.94269115366025946</v>
      </c>
      <c r="FT25" s="537">
        <f>VLOOKUP($A25,[1]!LandfillCaliK6,FT$7,FALSE)</f>
        <v>0.94244992679475004</v>
      </c>
      <c r="FU25" s="538">
        <f>VLOOKUP($A25,[1]!LandfillCaliK6,FU$7,FALSE)</f>
        <v>0.19901991357097867</v>
      </c>
      <c r="FV25" s="538">
        <f>VLOOKUP($A25,[1]!LandfillCaliK6,FV$7,FALSE)</f>
        <v>0.18070874642410684</v>
      </c>
      <c r="FW25" s="539">
        <f>VLOOKUP($A25,[1]!LandfillCaliK6,FW$7,FALSE)</f>
        <v>0.2445410871863376</v>
      </c>
      <c r="FX25" s="543">
        <f>-1*VLOOKUP($A25,[1]Landfilling!$N$27:$R$41,5,FALSE)</f>
        <v>-1.1934316569631502</v>
      </c>
      <c r="FY25" s="544">
        <f>VLOOKUP($A25,'[1]Post-Consumer Transport'!$C$33:$K$88,3,FALSE)+VLOOKUP($A25,'[1]Post-Consumer Transport'!$C$33:$K$88,4,FALSE)</f>
        <v>2.0254519141196047E-2</v>
      </c>
      <c r="FZ25" s="542">
        <f t="shared" si="111"/>
        <v>-0.23072721102720414</v>
      </c>
      <c r="GA25" s="538">
        <f t="shared" si="84"/>
        <v>-0.97415722425097551</v>
      </c>
      <c r="GB25" s="538">
        <f t="shared" si="85"/>
        <v>-0.99246839139784737</v>
      </c>
      <c r="GC25" s="539">
        <f t="shared" si="86"/>
        <v>-0.92863605063561661</v>
      </c>
      <c r="GD25" s="537">
        <f>VLOOKUP($A25,[1]!LandfillCaliK12,GD$7,FALSE)</f>
        <v>0.94244992679475004</v>
      </c>
      <c r="GE25" s="538">
        <f>VLOOKUP($A25,[1]!LandfillCaliK12,GE$7,FALSE)</f>
        <v>0.22680248079969775</v>
      </c>
      <c r="GF25" s="538">
        <f>VLOOKUP($A25,[1]!LandfillCaliK12,GF$7,FALSE)</f>
        <v>0.21747805098272863</v>
      </c>
      <c r="GG25" s="539">
        <f>VLOOKUP($A25,[1]!LandfillCaliK12,GG$7,FALSE)</f>
        <v>0.27452816261709329</v>
      </c>
      <c r="GH25" s="543">
        <f>-1*VLOOKUP($A25,[1]Landfilling!$N$27:$R$41,5,FALSE)</f>
        <v>-1.1934316569631502</v>
      </c>
      <c r="GI25" s="544">
        <f>VLOOKUP($A25,'[1]Post-Consumer Transport'!$C$33:$K$88,3,FALSE)+VLOOKUP($A25,'[1]Post-Consumer Transport'!$C$33:$K$88,4,FALSE)</f>
        <v>2.0254519141196047E-2</v>
      </c>
      <c r="GJ25" s="542">
        <f t="shared" si="112"/>
        <v>-0.23072721102720414</v>
      </c>
      <c r="GK25" s="538">
        <f t="shared" si="88"/>
        <v>-0.94637465702225643</v>
      </c>
      <c r="GL25" s="538">
        <f t="shared" si="89"/>
        <v>-0.95569908683922555</v>
      </c>
      <c r="GM25" s="539">
        <f t="shared" si="90"/>
        <v>-0.89864897520486098</v>
      </c>
      <c r="GN25" s="537">
        <f>VLOOKUP($A25,[1]!LandfillCaliNatlAverage,GN$7,FALSE)</f>
        <v>0.94244992679475004</v>
      </c>
      <c r="GO25" s="538">
        <f>VLOOKUP($A25,[1]!LandfillCaliNatlAverage,GO$7,FALSE)</f>
        <v>0.199889116409557</v>
      </c>
      <c r="GP25" s="538">
        <f>VLOOKUP($A25,[1]!LandfillCaliNatlAverage,GP$7,FALSE)</f>
        <v>0.16765950219536141</v>
      </c>
      <c r="GQ25" s="539">
        <f>VLOOKUP($A25,[1]!LandfillCaliNatlAverage,GQ$7,FALSE)</f>
        <v>0.23550342167020222</v>
      </c>
      <c r="GR25" s="543">
        <f>-1*VLOOKUP($A25,[1]Landfilling!$N$27:$R$41,5,FALSE)</f>
        <v>-1.1934316569631502</v>
      </c>
      <c r="GS25" s="544">
        <f>VLOOKUP($A25,'[1]Post-Consumer Transport'!$C$33:$K$88,3,FALSE)+VLOOKUP($A25,'[1]Post-Consumer Transport'!$C$33:$K$88,4,FALSE)</f>
        <v>2.0254519141196047E-2</v>
      </c>
      <c r="GT25" s="542">
        <f t="shared" si="113"/>
        <v>-0.23072721102720414</v>
      </c>
      <c r="GU25" s="538">
        <f t="shared" si="92"/>
        <v>-0.97328802141239723</v>
      </c>
      <c r="GV25" s="538">
        <f t="shared" si="93"/>
        <v>-1.0055176356265927</v>
      </c>
      <c r="GW25" s="539">
        <f t="shared" si="94"/>
        <v>-0.93767371615175199</v>
      </c>
    </row>
    <row r="26" spans="1:205" x14ac:dyDescent="0.25">
      <c r="A26" s="494" t="str">
        <f t="shared" si="16"/>
        <v>Office Paper</v>
      </c>
      <c r="B26" s="536" t="s">
        <v>514</v>
      </c>
      <c r="C26" s="537">
        <f>VLOOKUP($A26,[1]!LandfillTypicalK2,C$7,FALSE)</f>
        <v>3.4973332504110006</v>
      </c>
      <c r="D26" s="538">
        <f>VLOOKUP($A26,[1]!LandfillTypicalK2,D$7,FALSE)</f>
        <v>1.7833036406641321</v>
      </c>
      <c r="E26" s="538">
        <f>VLOOKUP($A26,[1]!LandfillTypicalK2,E$7,FALSE)</f>
        <v>0.90589454595883556</v>
      </c>
      <c r="F26" s="621">
        <f>VLOOKUP($A26,[1]!LandfillTypicalK2,F$7,FALSE)</f>
        <v>1.2259499957243254</v>
      </c>
      <c r="G26" s="543">
        <f>-1*VLOOKUP($A26,[1]Landfilling!$N$27:$R$41,5,FALSE)</f>
        <v>-0.11978164912046663</v>
      </c>
      <c r="H26" s="541">
        <f>VLOOKUP($A26,'[1]Post-Consumer Transport'!$C$33:$K$88,3,FALSE)+VLOOKUP($A26,'[1]Post-Consumer Transport'!$C$33:$K$88,4,FALSE)</f>
        <v>2.0254519141196047E-2</v>
      </c>
      <c r="I26" s="542">
        <f t="shared" si="17"/>
        <v>3.3978061204317305</v>
      </c>
      <c r="J26" s="538">
        <f t="shared" si="18"/>
        <v>1.6837765106848614</v>
      </c>
      <c r="K26" s="538">
        <f t="shared" si="18"/>
        <v>0.80636741597956496</v>
      </c>
      <c r="L26" s="539">
        <f t="shared" si="18"/>
        <v>1.1264228657450548</v>
      </c>
      <c r="M26" s="537">
        <f>VLOOKUP($A26,[1]!LandfillTypicalK4,M$7,FALSE)</f>
        <v>3.4973332504110006</v>
      </c>
      <c r="N26" s="538">
        <f>VLOOKUP($A26,[1]!LandfillTypicalK4,N$7,FALSE)</f>
        <v>1.6400376013716074</v>
      </c>
      <c r="O26" s="538">
        <f>VLOOKUP($A26,[1]!LandfillTypicalK4,O$7,FALSE)</f>
        <v>1.0514968918494236</v>
      </c>
      <c r="P26" s="539">
        <f>VLOOKUP($A26,[1]!LandfillTypicalK4,P$7,FALSE)</f>
        <v>1.3236188272070213</v>
      </c>
      <c r="Q26" s="543">
        <f>-1*VLOOKUP($A26,[1]Landfilling!$N$27:$R$41,5,FALSE)</f>
        <v>-0.11978164912046663</v>
      </c>
      <c r="R26" s="541">
        <f>VLOOKUP($A26,'[1]Post-Consumer Transport'!$C$33:$K$88,3,FALSE)+VLOOKUP($A26,'[1]Post-Consumer Transport'!$C$33:$K$88,4,FALSE)</f>
        <v>2.0254519141196047E-2</v>
      </c>
      <c r="S26" s="542">
        <f t="shared" si="95"/>
        <v>3.3978061204317305</v>
      </c>
      <c r="T26" s="538">
        <f t="shared" si="20"/>
        <v>1.5405104713923368</v>
      </c>
      <c r="U26" s="538">
        <f t="shared" si="21"/>
        <v>0.95196976187015303</v>
      </c>
      <c r="V26" s="539">
        <f t="shared" si="22"/>
        <v>1.2240916972277507</v>
      </c>
      <c r="W26" s="537">
        <f>VLOOKUP($A26,[1]!LandfillTypicalK6,W$7,FALSE)</f>
        <v>3.4973332504110006</v>
      </c>
      <c r="X26" s="538">
        <f>VLOOKUP($A26,[1]!LandfillTypicalK6,X$7,FALSE)</f>
        <v>1.549101571026918</v>
      </c>
      <c r="Y26" s="538">
        <f>VLOOKUP($A26,[1]!LandfillTypicalK6,Y$7,FALSE)</f>
        <v>1.0927482358781779</v>
      </c>
      <c r="Z26" s="539">
        <f>VLOOKUP($A26,[1]!LandfillTypicalK6,Z$7,FALSE)</f>
        <v>1.3410215737817779</v>
      </c>
      <c r="AA26" s="543">
        <f>-1*VLOOKUP($A26,[1]Landfilling!$N$27:$R$41,5,FALSE)</f>
        <v>-0.11978164912046663</v>
      </c>
      <c r="AB26" s="541">
        <f>VLOOKUP($A26,'[1]Post-Consumer Transport'!$C$33:$K$88,3,FALSE)+VLOOKUP($A26,'[1]Post-Consumer Transport'!$C$33:$K$88,4,FALSE)</f>
        <v>2.0254519141196047E-2</v>
      </c>
      <c r="AC26" s="542">
        <f t="shared" si="96"/>
        <v>3.3978061204317305</v>
      </c>
      <c r="AD26" s="538">
        <f t="shared" si="24"/>
        <v>1.4495744410476474</v>
      </c>
      <c r="AE26" s="538">
        <f t="shared" si="25"/>
        <v>0.99322110589890733</v>
      </c>
      <c r="AF26" s="539">
        <f t="shared" si="26"/>
        <v>1.2414944438025073</v>
      </c>
      <c r="AG26" s="537">
        <f>VLOOKUP($A26,[1]!LandfillTypicalK12,AG$7,FALSE)</f>
        <v>3.4973332504110006</v>
      </c>
      <c r="AH26" s="538">
        <f>VLOOKUP($A26,[1]!LandfillTypicalK12,AH$7,FALSE)</f>
        <v>1.461877416776115</v>
      </c>
      <c r="AI26" s="538">
        <f>VLOOKUP($A26,[1]!LandfillTypicalK12,AI$7,FALSE)</f>
        <v>1.1802050012848591</v>
      </c>
      <c r="AJ26" s="539">
        <f>VLOOKUP($A26,[1]!LandfillTypicalK12,AJ$7,FALSE)</f>
        <v>1.3935917879182749</v>
      </c>
      <c r="AK26" s="543">
        <f>-1*VLOOKUP($A26,[1]Landfilling!$N$27:$R$41,5,FALSE)</f>
        <v>-0.11978164912046663</v>
      </c>
      <c r="AL26" s="541">
        <f>VLOOKUP($A26,'[1]Post-Consumer Transport'!$C$33:$K$88,3,FALSE)+VLOOKUP($A26,'[1]Post-Consumer Transport'!$C$33:$K$88,4,FALSE)</f>
        <v>2.0254519141196047E-2</v>
      </c>
      <c r="AM26" s="542">
        <f t="shared" si="97"/>
        <v>3.3978061204317305</v>
      </c>
      <c r="AN26" s="538">
        <f t="shared" si="28"/>
        <v>1.3623502867968444</v>
      </c>
      <c r="AO26" s="538">
        <f t="shared" si="29"/>
        <v>1.0806778713055885</v>
      </c>
      <c r="AP26" s="539">
        <f t="shared" si="30"/>
        <v>1.2940646579390043</v>
      </c>
      <c r="AQ26" s="537">
        <f>VLOOKUP($A26,[1]!LandfillTypicalNatlAverage,AQ$7,FALSE)</f>
        <v>3.4973332504110006</v>
      </c>
      <c r="AR26" s="538">
        <f>VLOOKUP($A26,[1]!LandfillTypicalNatlAverage,AR$7,FALSE)</f>
        <v>1.6135000822988961</v>
      </c>
      <c r="AS26" s="538">
        <f>VLOOKUP($A26,[1]!LandfillTypicalNatlAverage,AS$7,FALSE)</f>
        <v>1.0522015360106673</v>
      </c>
      <c r="AT26" s="539">
        <f>VLOOKUP($A26,[1]!LandfillTypicalNatlAverage,AT$7,FALSE)</f>
        <v>1.3182348858238322</v>
      </c>
      <c r="AU26" s="543">
        <f>-1*VLOOKUP($A26,[1]Landfilling!$N$27:$R$41,5,FALSE)</f>
        <v>-0.11978164912046663</v>
      </c>
      <c r="AV26" s="541">
        <f>VLOOKUP($A26,'[1]Post-Consumer Transport'!$C$33:$K$88,3,FALSE)+VLOOKUP($A26,'[1]Post-Consumer Transport'!$C$33:$K$88,4,FALSE)</f>
        <v>2.0254519141196047E-2</v>
      </c>
      <c r="AW26" s="542">
        <f t="shared" si="98"/>
        <v>3.3978061204317305</v>
      </c>
      <c r="AX26" s="538">
        <f t="shared" si="32"/>
        <v>1.5139729523196255</v>
      </c>
      <c r="AY26" s="538">
        <f t="shared" si="33"/>
        <v>0.95267440603139675</v>
      </c>
      <c r="AZ26" s="539">
        <f t="shared" si="34"/>
        <v>1.2187077558445616</v>
      </c>
      <c r="BB26" s="537">
        <f>VLOOKUP($A26,[1]!LandfillAggressiveK2,BB$7,FALSE)</f>
        <v>3.4973332504110006</v>
      </c>
      <c r="BC26" s="538">
        <f>VLOOKUP($A26,[1]!LandfillAggressiveK2,BC$7,FALSE)</f>
        <v>1.7610881784410923</v>
      </c>
      <c r="BD26" s="538">
        <f>VLOOKUP($A26,[1]!LandfillAggressiveK2,BD$7,FALSE)</f>
        <v>0.89671484300816762</v>
      </c>
      <c r="BE26" s="539">
        <f>VLOOKUP($A26,[1]!LandfillAggressiveK2,BE$7,FALSE)</f>
        <v>1.2163866339548239</v>
      </c>
      <c r="BF26" s="543">
        <f>-1*VLOOKUP($A26,[1]Landfilling!$N$27:$R$41,5,FALSE)</f>
        <v>-0.11978164912046663</v>
      </c>
      <c r="BG26" s="541">
        <f>VLOOKUP($A26,'[1]Post-Consumer Transport'!$C$33:$K$88,3,FALSE)+VLOOKUP($A26,'[1]Post-Consumer Transport'!$C$33:$K$88,4,FALSE)</f>
        <v>2.0254519141196047E-2</v>
      </c>
      <c r="BH26" s="542">
        <f t="shared" si="99"/>
        <v>3.3978061204317305</v>
      </c>
      <c r="BI26" s="538">
        <f t="shared" si="36"/>
        <v>1.6615610484618217</v>
      </c>
      <c r="BJ26" s="538">
        <f t="shared" si="37"/>
        <v>0.79718771302889702</v>
      </c>
      <c r="BK26" s="539">
        <f t="shared" si="38"/>
        <v>1.1168595039755533</v>
      </c>
      <c r="BL26" s="881">
        <f>VLOOKUP($A26,[1]!LandfillAggressiveK4,BL$7,FALSE)</f>
        <v>3.4973332504110006</v>
      </c>
      <c r="BM26" s="882">
        <f>VLOOKUP($A26,[1]!LandfillAggressiveK4,BM$7,FALSE)</f>
        <v>1.5987119535540575</v>
      </c>
      <c r="BN26" s="882">
        <f>VLOOKUP($A26,[1]!LandfillAggressiveK4,BN$7,FALSE)</f>
        <v>1.028814378567124</v>
      </c>
      <c r="BO26" s="883">
        <f>VLOOKUP($A26,[1]!LandfillAggressiveK4,BO$7,FALSE)</f>
        <v>1.2997327223947219</v>
      </c>
      <c r="BP26" s="884">
        <f>-1*VLOOKUP($A26,[1]Landfilling!$N$27:$R$41,5,FALSE)</f>
        <v>-0.11978164912046663</v>
      </c>
      <c r="BQ26" s="885">
        <f>VLOOKUP($A26,'[1]Post-Consumer Transport'!$C$33:$K$88,3,FALSE)+VLOOKUP($A26,'[1]Post-Consumer Transport'!$C$33:$K$88,4,FALSE)</f>
        <v>2.0254519141196047E-2</v>
      </c>
      <c r="BR26" s="886">
        <f t="shared" si="100"/>
        <v>3.3978061204317305</v>
      </c>
      <c r="BS26" s="882">
        <f t="shared" si="40"/>
        <v>1.4991848235747869</v>
      </c>
      <c r="BT26" s="882">
        <f t="shared" si="41"/>
        <v>0.92928724858785339</v>
      </c>
      <c r="BU26" s="883">
        <f t="shared" si="42"/>
        <v>1.2002055924154513</v>
      </c>
      <c r="BV26" s="537">
        <f>VLOOKUP($A26,[1]!LandfillAggressiveK6,BV$7,FALSE)</f>
        <v>3.4973332504110006</v>
      </c>
      <c r="BW26" s="538">
        <f>VLOOKUP($A26,[1]!LandfillAggressiveK6,BW$7,FALSE)</f>
        <v>1.5101801469891094</v>
      </c>
      <c r="BX26" s="538">
        <f>VLOOKUP($A26,[1]!LandfillAggressiveK6,BX$7,FALSE)</f>
        <v>1.0364854809895205</v>
      </c>
      <c r="BY26" s="539">
        <f>VLOOKUP($A26,[1]!LandfillAggressiveK6,BY$7,FALSE)</f>
        <v>1.289583043110482</v>
      </c>
      <c r="BZ26" s="543">
        <f>-1*VLOOKUP($A26,[1]Landfilling!$N$27:$R$41,5,FALSE)</f>
        <v>-0.11978164912046663</v>
      </c>
      <c r="CA26" s="541">
        <f>VLOOKUP($A26,'[1]Post-Consumer Transport'!$C$33:$K$88,3,FALSE)+VLOOKUP($A26,'[1]Post-Consumer Transport'!$C$33:$K$88,4,FALSE)</f>
        <v>2.0254519141196047E-2</v>
      </c>
      <c r="CB26" s="542">
        <f t="shared" si="101"/>
        <v>3.3978061204317305</v>
      </c>
      <c r="CC26" s="538">
        <f t="shared" si="44"/>
        <v>1.4106530170098388</v>
      </c>
      <c r="CD26" s="538">
        <f t="shared" si="45"/>
        <v>0.93695835101024993</v>
      </c>
      <c r="CE26" s="539">
        <f t="shared" si="46"/>
        <v>1.1900559131312114</v>
      </c>
      <c r="CF26" s="537">
        <f>VLOOKUP($A26,[1]!LandfillAggressiveK12,CF$7,FALSE)</f>
        <v>3.4973332504110006</v>
      </c>
      <c r="CG26" s="538">
        <f>VLOOKUP($A26,[1]!LandfillAggressiveK12,CG$7,FALSE)</f>
        <v>1.3914339147669972</v>
      </c>
      <c r="CH26" s="538">
        <f>VLOOKUP($A26,[1]!LandfillAggressiveK12,CH$7,FALSE)</f>
        <v>1.093546403709984</v>
      </c>
      <c r="CI26" s="539">
        <f>VLOOKUP($A26,[1]!LandfillAggressiveK12,CI$7,FALSE)</f>
        <v>1.3135086790286867</v>
      </c>
      <c r="CJ26" s="543">
        <f>-1*VLOOKUP($A26,[1]Landfilling!$N$27:$R$41,5,FALSE)</f>
        <v>-0.11978164912046663</v>
      </c>
      <c r="CK26" s="541">
        <f>VLOOKUP($A26,'[1]Post-Consumer Transport'!$C$33:$K$88,3,FALSE)+VLOOKUP($A26,'[1]Post-Consumer Transport'!$C$33:$K$88,4,FALSE)</f>
        <v>2.0254519141196047E-2</v>
      </c>
      <c r="CL26" s="542">
        <f t="shared" si="102"/>
        <v>3.3978061204317305</v>
      </c>
      <c r="CM26" s="538">
        <f t="shared" si="48"/>
        <v>1.2919067847877266</v>
      </c>
      <c r="CN26" s="538">
        <f t="shared" si="49"/>
        <v>0.99401927373071342</v>
      </c>
      <c r="CO26" s="539">
        <f t="shared" si="50"/>
        <v>1.2139815490494161</v>
      </c>
      <c r="CP26" s="537">
        <f>VLOOKUP($A26,[1]!LandfillAggressiveNatlAverage,CP$7,FALSE)</f>
        <v>3.4973332504110006</v>
      </c>
      <c r="CQ26" s="538">
        <f>VLOOKUP($A26,[1]!LandfillAggressiveNatlAverage,CQ$7,FALSE)</f>
        <v>1.574072822154565</v>
      </c>
      <c r="CR26" s="538">
        <f>VLOOKUP($A26,[1]!LandfillAggressiveNatlAverage,CR$7,FALSE)</f>
        <v>1.0120204970652238</v>
      </c>
      <c r="CS26" s="539">
        <f>VLOOKUP($A26,[1]!LandfillAggressiveNatlAverage,CS$7,FALSE)</f>
        <v>1.2802695821843162</v>
      </c>
      <c r="CT26" s="543">
        <f>-1*VLOOKUP($A26,[1]Landfilling!$N$27:$R$41,5,FALSE)</f>
        <v>-0.11978164912046663</v>
      </c>
      <c r="CU26" s="541">
        <f>VLOOKUP($A26,'[1]Post-Consumer Transport'!$C$33:$K$88,3,FALSE)+VLOOKUP($A26,'[1]Post-Consumer Transport'!$C$33:$K$88,4,FALSE)</f>
        <v>2.0254519141196047E-2</v>
      </c>
      <c r="CV26" s="542">
        <f t="shared" si="103"/>
        <v>3.3978061204317305</v>
      </c>
      <c r="CW26" s="538">
        <f t="shared" si="52"/>
        <v>1.4745456921752944</v>
      </c>
      <c r="CX26" s="538">
        <f t="shared" si="53"/>
        <v>0.91249336708595319</v>
      </c>
      <c r="CY26" s="539">
        <f t="shared" si="54"/>
        <v>1.1807424522050456</v>
      </c>
      <c r="DA26" s="537">
        <f>VLOOKUP($A26,[1]!LandfillWorstK2,DA$7,FALSE)</f>
        <v>3.4973332504110006</v>
      </c>
      <c r="DB26" s="538">
        <f>VLOOKUP($A26,[1]!LandfillWorstK2,DB$7,FALSE)</f>
        <v>1.8552425656915708</v>
      </c>
      <c r="DC26" s="538">
        <f>VLOOKUP($A26,[1]!LandfillWorstK2,DC$7,FALSE)</f>
        <v>0.96947201665316018</v>
      </c>
      <c r="DD26" s="539">
        <f>VLOOKUP($A26,[1]!LandfillWorstK2,DD$7,FALSE)</f>
        <v>1.2856306653830707</v>
      </c>
      <c r="DE26" s="543">
        <f>-1*VLOOKUP($A26,[1]Landfilling!$N$27:$R$41,5,FALSE)</f>
        <v>-0.11978164912046663</v>
      </c>
      <c r="DF26" s="541">
        <f>VLOOKUP($A26,'[1]Post-Consumer Transport'!$C$33:$K$88,3,FALSE)+VLOOKUP($A26,'[1]Post-Consumer Transport'!$C$33:$K$88,4,FALSE)</f>
        <v>2.0254519141196047E-2</v>
      </c>
      <c r="DG26" s="542">
        <f t="shared" si="104"/>
        <v>3.3978061204317305</v>
      </c>
      <c r="DH26" s="538">
        <f t="shared" si="56"/>
        <v>1.7557154357123002</v>
      </c>
      <c r="DI26" s="538">
        <f t="shared" si="57"/>
        <v>0.86994488667388958</v>
      </c>
      <c r="DJ26" s="539">
        <f t="shared" si="58"/>
        <v>1.1861035354038001</v>
      </c>
      <c r="DK26" s="537">
        <f>VLOOKUP($A26,[1]!LandfillWorstK4,DK$7,FALSE)</f>
        <v>3.4973332504110006</v>
      </c>
      <c r="DL26" s="538">
        <f>VLOOKUP($A26,[1]!LandfillWorstK4,DL$7,FALSE)</f>
        <v>1.7466493598722819</v>
      </c>
      <c r="DM26" s="538">
        <f>VLOOKUP($A26,[1]!LandfillWorstK4,DM$7,FALSE)</f>
        <v>1.1553902535360627</v>
      </c>
      <c r="DN26" s="539">
        <f>VLOOKUP($A26,[1]!LandfillWorstK4,DN$7,FALSE)</f>
        <v>1.4192556646788133</v>
      </c>
      <c r="DO26" s="543">
        <f>-1*VLOOKUP($A26,[1]Landfilling!$N$27:$R$41,5,FALSE)</f>
        <v>-0.11978164912046663</v>
      </c>
      <c r="DP26" s="541">
        <f>VLOOKUP($A26,'[1]Post-Consumer Transport'!$C$33:$K$88,3,FALSE)+VLOOKUP($A26,'[1]Post-Consumer Transport'!$C$33:$K$88,4,FALSE)</f>
        <v>2.0254519141196047E-2</v>
      </c>
      <c r="DQ26" s="542">
        <f t="shared" si="105"/>
        <v>3.3978061204317305</v>
      </c>
      <c r="DR26" s="538">
        <f t="shared" si="60"/>
        <v>1.6471222298930113</v>
      </c>
      <c r="DS26" s="538">
        <f t="shared" si="61"/>
        <v>1.0558631235567921</v>
      </c>
      <c r="DT26" s="539">
        <f t="shared" si="62"/>
        <v>1.3197285346995427</v>
      </c>
      <c r="DU26" s="537">
        <f>VLOOKUP($A26,[1]!LandfillWorstK6,DU$7,FALSE)</f>
        <v>3.4973332504110006</v>
      </c>
      <c r="DV26" s="538">
        <f>VLOOKUP($A26,[1]!LandfillWorstK6,DV$7,FALSE)</f>
        <v>1.7218022222131169</v>
      </c>
      <c r="DW26" s="538">
        <f>VLOOKUP($A26,[1]!LandfillWorstK6,DW$7,FALSE)</f>
        <v>1.230496293216226</v>
      </c>
      <c r="DX26" s="539">
        <f>VLOOKUP($A26,[1]!LandfillWorstK6,DX$7,FALSE)</f>
        <v>1.4713162712518042</v>
      </c>
      <c r="DY26" s="543">
        <f>-1*VLOOKUP($A26,[1]Landfilling!$N$27:$R$41,5,FALSE)</f>
        <v>-0.11978164912046663</v>
      </c>
      <c r="DZ26" s="541">
        <f>VLOOKUP($A26,'[1]Post-Consumer Transport'!$C$33:$K$88,3,FALSE)+VLOOKUP($A26,'[1]Post-Consumer Transport'!$C$33:$K$88,4,FALSE)</f>
        <v>2.0254519141196047E-2</v>
      </c>
      <c r="EA26" s="542">
        <f t="shared" si="106"/>
        <v>3.3978061204317305</v>
      </c>
      <c r="EB26" s="538">
        <f t="shared" si="64"/>
        <v>1.6222750922338462</v>
      </c>
      <c r="EC26" s="538">
        <f t="shared" si="65"/>
        <v>1.1309691632369554</v>
      </c>
      <c r="ED26" s="539">
        <f t="shared" si="66"/>
        <v>1.3717891412725336</v>
      </c>
      <c r="EE26" s="537">
        <f>VLOOKUP($A26,[1]!LandfillWorstK12,EE$7,FALSE)</f>
        <v>3.4973332504110006</v>
      </c>
      <c r="EF26" s="538">
        <f>VLOOKUP($A26,[1]!LandfillWorstK12,EF$7,FALSE)</f>
        <v>1.7650277831270054</v>
      </c>
      <c r="EG26" s="538">
        <f>VLOOKUP($A26,[1]!LandfillWorstK12,EG$7,FALSE)</f>
        <v>1.4694842551022109</v>
      </c>
      <c r="EH26" s="539">
        <f>VLOOKUP($A26,[1]!LandfillWorstK12,EH$7,FALSE)</f>
        <v>1.6624322158578388</v>
      </c>
      <c r="EI26" s="543">
        <f>-1*VLOOKUP($A26,[1]Landfilling!$N$27:$R$41,5,FALSE)</f>
        <v>-0.11978164912046663</v>
      </c>
      <c r="EJ26" s="541">
        <f>VLOOKUP($A26,'[1]Post-Consumer Transport'!$C$33:$K$88,3,FALSE)+VLOOKUP($A26,'[1]Post-Consumer Transport'!$C$33:$K$88,4,FALSE)</f>
        <v>2.0254519141196047E-2</v>
      </c>
      <c r="EK26" s="542">
        <f t="shared" si="107"/>
        <v>3.3978061204317305</v>
      </c>
      <c r="EL26" s="538">
        <f t="shared" si="68"/>
        <v>1.6655006531477348</v>
      </c>
      <c r="EM26" s="538">
        <f t="shared" si="69"/>
        <v>1.3699571251229403</v>
      </c>
      <c r="EN26" s="539">
        <f t="shared" si="70"/>
        <v>1.5629050858785682</v>
      </c>
      <c r="EO26" s="537">
        <f>VLOOKUP($A26,[1]!LandfillWorstNatlAverage,EO$7,FALSE)</f>
        <v>3.4973332504110006</v>
      </c>
      <c r="EP26" s="538">
        <f>VLOOKUP($A26,[1]!LandfillWorstNatlAverage,EP$7,FALSE)</f>
        <v>1.7599936697836949</v>
      </c>
      <c r="EQ26" s="538">
        <f>VLOOKUP($A26,[1]!LandfillWorstNatlAverage,EQ$7,FALSE)</f>
        <v>1.1804845886246442</v>
      </c>
      <c r="ER26" s="539">
        <f>VLOOKUP($A26,[1]!LandfillWorstNatlAverage,ER$7,FALSE)</f>
        <v>1.4382452292390668</v>
      </c>
      <c r="ES26" s="543">
        <f>-1*VLOOKUP($A26,[1]Landfilling!$N$27:$R$41,5,FALSE)</f>
        <v>-0.11978164912046663</v>
      </c>
      <c r="ET26" s="541">
        <f>VLOOKUP($A26,'[1]Post-Consumer Transport'!$C$33:$K$88,3,FALSE)+VLOOKUP($A26,'[1]Post-Consumer Transport'!$C$33:$K$88,4,FALSE)</f>
        <v>2.0254519141196047E-2</v>
      </c>
      <c r="EU26" s="542">
        <f t="shared" si="108"/>
        <v>3.3978061204317305</v>
      </c>
      <c r="EV26" s="538">
        <f t="shared" si="72"/>
        <v>1.6604665398044243</v>
      </c>
      <c r="EW26" s="538">
        <f t="shared" si="73"/>
        <v>1.0809574586453736</v>
      </c>
      <c r="EX26" s="539">
        <f t="shared" si="74"/>
        <v>1.3387180992597962</v>
      </c>
      <c r="EZ26" s="537">
        <f>VLOOKUP($A26,[1]!LandfillCaliK2,EZ$7,FALSE)</f>
        <v>3.4973332504110006</v>
      </c>
      <c r="FA26" s="538">
        <f>VLOOKUP($A26,[1]!LandfillCaliK2,FA$7,FALSE)</f>
        <v>0.78306436841664395</v>
      </c>
      <c r="FB26" s="538">
        <f>VLOOKUP($A26,[1]!LandfillCaliK2,FB$7,FALSE)</f>
        <v>0.45819387553306401</v>
      </c>
      <c r="FC26" s="539">
        <f>VLOOKUP($A26,[1]!LandfillCaliK2,FC$7,FALSE)</f>
        <v>0.75790568719185869</v>
      </c>
      <c r="FD26" s="543">
        <f>-1*VLOOKUP($A26,[1]Landfilling!$N$27:$R$41,5,FALSE)</f>
        <v>-0.11978164912046663</v>
      </c>
      <c r="FE26" s="541">
        <f>VLOOKUP($A26,'[1]Post-Consumer Transport'!$C$33:$K$88,3,FALSE)+VLOOKUP($A26,'[1]Post-Consumer Transport'!$C$33:$K$88,4,FALSE)</f>
        <v>2.0254519141196047E-2</v>
      </c>
      <c r="FF26" s="542">
        <f t="shared" si="109"/>
        <v>3.3978061204317305</v>
      </c>
      <c r="FG26" s="538">
        <f t="shared" si="76"/>
        <v>0.68353723843737335</v>
      </c>
      <c r="FH26" s="538">
        <f t="shared" si="77"/>
        <v>0.35866674555379341</v>
      </c>
      <c r="FI26" s="539">
        <f t="shared" si="78"/>
        <v>0.65837855721258809</v>
      </c>
      <c r="FJ26" s="537">
        <f>VLOOKUP($A26,[1]!LandfillCaliK4,FJ$7,FALSE)</f>
        <v>3.4973332504110006</v>
      </c>
      <c r="FK26" s="538">
        <f>VLOOKUP($A26,[1]!LandfillCaliK4,FK$7,FALSE)</f>
        <v>0.70170501505975236</v>
      </c>
      <c r="FL26" s="538">
        <f>VLOOKUP($A26,[1]!LandfillCaliK4,FL$7,FALSE)</f>
        <v>0.6030469898821631</v>
      </c>
      <c r="FM26" s="539">
        <f>VLOOKUP($A26,[1]!LandfillCaliK4,FM$7,FALSE)</f>
        <v>0.86284225911384915</v>
      </c>
      <c r="FN26" s="543">
        <f>-1*VLOOKUP($A26,[1]Landfilling!$N$27:$R$41,5,FALSE)</f>
        <v>-0.11978164912046663</v>
      </c>
      <c r="FO26" s="541">
        <f>VLOOKUP($A26,'[1]Post-Consumer Transport'!$C$33:$K$88,3,FALSE)+VLOOKUP($A26,'[1]Post-Consumer Transport'!$C$33:$K$88,4,FALSE)</f>
        <v>2.0254519141196047E-2</v>
      </c>
      <c r="FP26" s="542">
        <f t="shared" si="110"/>
        <v>3.3978061204317305</v>
      </c>
      <c r="FQ26" s="538">
        <f t="shared" si="80"/>
        <v>0.60217788508048176</v>
      </c>
      <c r="FR26" s="538">
        <f t="shared" si="81"/>
        <v>0.5035198599028925</v>
      </c>
      <c r="FS26" s="539">
        <f t="shared" si="82"/>
        <v>0.76331512913457855</v>
      </c>
      <c r="FT26" s="537">
        <f>VLOOKUP($A26,[1]!LandfillCaliK6,FT$7,FALSE)</f>
        <v>3.4973332504110006</v>
      </c>
      <c r="FU26" s="538">
        <f>VLOOKUP($A26,[1]!LandfillCaliK6,FU$7,FALSE)</f>
        <v>0.75233369691106677</v>
      </c>
      <c r="FV26" s="538">
        <f>VLOOKUP($A26,[1]!LandfillCaliK6,FV$7,FALSE)</f>
        <v>0.67829818332132341</v>
      </c>
      <c r="FW26" s="539">
        <f>VLOOKUP($A26,[1]!LandfillCaliK6,FW$7,FALSE)</f>
        <v>0.91831728960256842</v>
      </c>
      <c r="FX26" s="543">
        <f>-1*VLOOKUP($A26,[1]Landfilling!$N$27:$R$41,5,FALSE)</f>
        <v>-0.11978164912046663</v>
      </c>
      <c r="FY26" s="541">
        <f>VLOOKUP($A26,'[1]Post-Consumer Transport'!$C$33:$K$88,3,FALSE)+VLOOKUP($A26,'[1]Post-Consumer Transport'!$C$33:$K$88,4,FALSE)</f>
        <v>2.0254519141196047E-2</v>
      </c>
      <c r="FZ26" s="542">
        <f t="shared" si="111"/>
        <v>3.3978061204317305</v>
      </c>
      <c r="GA26" s="538">
        <f t="shared" si="84"/>
        <v>0.65280656693179617</v>
      </c>
      <c r="GB26" s="538">
        <f t="shared" si="85"/>
        <v>0.57877105334205281</v>
      </c>
      <c r="GC26" s="539">
        <f t="shared" si="86"/>
        <v>0.81879015962329782</v>
      </c>
      <c r="GD26" s="537">
        <f>VLOOKUP($A26,[1]!LandfillCaliK12,GD$7,FALSE)</f>
        <v>3.4973332504110006</v>
      </c>
      <c r="GE26" s="538">
        <f>VLOOKUP($A26,[1]!LandfillCaliK12,GE$7,FALSE)</f>
        <v>0.83784190808663916</v>
      </c>
      <c r="GF26" s="538">
        <f>VLOOKUP($A26,[1]!LandfillCaliK12,GF$7,FALSE)</f>
        <v>0.79858062163394128</v>
      </c>
      <c r="GG26" s="539">
        <f>VLOOKUP($A26,[1]!LandfillCaliK12,GG$7,FALSE)</f>
        <v>1.0133426113320405</v>
      </c>
      <c r="GH26" s="543">
        <f>-1*VLOOKUP($A26,[1]Landfilling!$N$27:$R$41,5,FALSE)</f>
        <v>-0.11978164912046663</v>
      </c>
      <c r="GI26" s="541">
        <f>VLOOKUP($A26,'[1]Post-Consumer Transport'!$C$33:$K$88,3,FALSE)+VLOOKUP($A26,'[1]Post-Consumer Transport'!$C$33:$K$88,4,FALSE)</f>
        <v>2.0254519141196047E-2</v>
      </c>
      <c r="GJ26" s="542">
        <f t="shared" si="112"/>
        <v>3.3978061204317305</v>
      </c>
      <c r="GK26" s="538">
        <f t="shared" si="88"/>
        <v>0.73831477810736856</v>
      </c>
      <c r="GL26" s="538">
        <f t="shared" si="89"/>
        <v>0.69905349165467068</v>
      </c>
      <c r="GM26" s="539">
        <f t="shared" si="90"/>
        <v>0.91381548135276991</v>
      </c>
      <c r="GN26" s="537">
        <f>VLOOKUP($A26,[1]!LandfillCaliNatlAverage,GN$7,FALSE)</f>
        <v>3.4973332504110006</v>
      </c>
      <c r="GO26" s="538">
        <f>VLOOKUP($A26,[1]!LandfillCaliNatlAverage,GO$7,FALSE)</f>
        <v>0.75239896327471012</v>
      </c>
      <c r="GP26" s="538">
        <f>VLOOKUP($A26,[1]!LandfillCaliNatlAverage,GP$7,FALSE)</f>
        <v>0.62455797069101604</v>
      </c>
      <c r="GQ26" s="539">
        <f>VLOOKUP($A26,[1]!LandfillCaliNatlAverage,GQ$7,FALSE)</f>
        <v>0.87970521748213382</v>
      </c>
      <c r="GR26" s="543">
        <f>-1*VLOOKUP($A26,[1]Landfilling!$N$27:$R$41,5,FALSE)</f>
        <v>-0.11978164912046663</v>
      </c>
      <c r="GS26" s="541">
        <f>VLOOKUP($A26,'[1]Post-Consumer Transport'!$C$33:$K$88,3,FALSE)+VLOOKUP($A26,'[1]Post-Consumer Transport'!$C$33:$K$88,4,FALSE)</f>
        <v>2.0254519141196047E-2</v>
      </c>
      <c r="GT26" s="542">
        <f t="shared" si="113"/>
        <v>3.3978061204317305</v>
      </c>
      <c r="GU26" s="538">
        <f t="shared" si="92"/>
        <v>0.65287183329543952</v>
      </c>
      <c r="GV26" s="538">
        <f t="shared" si="93"/>
        <v>0.52503084071174544</v>
      </c>
      <c r="GW26" s="539">
        <f t="shared" si="94"/>
        <v>0.78017808750286322</v>
      </c>
    </row>
    <row r="27" spans="1:205" x14ac:dyDescent="0.25">
      <c r="A27" s="494" t="str">
        <f>A25</f>
        <v>Newspaper</v>
      </c>
      <c r="B27" s="536" t="s">
        <v>383</v>
      </c>
      <c r="C27" s="537">
        <f>VLOOKUP($A27,[1]!LandfillTypicalK2,C$7,FALSE)</f>
        <v>0.94244992679475004</v>
      </c>
      <c r="D27" s="538">
        <f>VLOOKUP($A27,[1]!LandfillTypicalK2,D$7,FALSE)</f>
        <v>0.4750628656983904</v>
      </c>
      <c r="E27" s="538">
        <f>VLOOKUP($A27,[1]!LandfillTypicalK2,E$7,FALSE)</f>
        <v>0.2418897778271091</v>
      </c>
      <c r="F27" s="621">
        <f>VLOOKUP($A27,[1]!LandfillTypicalK2,F$7,FALSE)</f>
        <v>0.32788316125242667</v>
      </c>
      <c r="G27" s="543">
        <f>-1*VLOOKUP($A27,[1]Landfilling!$N$27:$R$41,5,FALSE)</f>
        <v>-1.1934316569631502</v>
      </c>
      <c r="H27" s="544">
        <f>VLOOKUP($A27,'[1]Post-Consumer Transport'!$C$33:$K$88,3,FALSE)+VLOOKUP($A27,'[1]Post-Consumer Transport'!$C$33:$K$88,4,FALSE)</f>
        <v>2.0254519141196047E-2</v>
      </c>
      <c r="I27" s="542">
        <f t="shared" si="17"/>
        <v>-0.23072721102720414</v>
      </c>
      <c r="J27" s="538">
        <f t="shared" si="18"/>
        <v>-0.69811427212356381</v>
      </c>
      <c r="K27" s="538">
        <f t="shared" si="18"/>
        <v>-0.93128735999484513</v>
      </c>
      <c r="L27" s="539">
        <f t="shared" si="18"/>
        <v>-0.84529397656952754</v>
      </c>
      <c r="M27" s="537">
        <f>VLOOKUP($A27,[1]!LandfillTypicalK4,M$7,FALSE)</f>
        <v>0.94244992679475004</v>
      </c>
      <c r="N27" s="538">
        <f>VLOOKUP($A27,[1]!LandfillTypicalK4,N$7,FALSE)</f>
        <v>0.4332264163635266</v>
      </c>
      <c r="O27" s="538">
        <f>VLOOKUP($A27,[1]!LandfillTypicalK4,O$7,FALSE)</f>
        <v>0.27745006075703682</v>
      </c>
      <c r="P27" s="539">
        <f>VLOOKUP($A27,[1]!LandfillTypicalK4,P$7,FALSE)</f>
        <v>0.3506520255586742</v>
      </c>
      <c r="Q27" s="543">
        <f>-1*VLOOKUP($A27,[1]Landfilling!$N$27:$R$41,5,FALSE)</f>
        <v>-1.1934316569631502</v>
      </c>
      <c r="R27" s="544">
        <f>VLOOKUP($A27,'[1]Post-Consumer Transport'!$C$33:$K$88,3,FALSE)+VLOOKUP($A27,'[1]Post-Consumer Transport'!$C$33:$K$88,4,FALSE)</f>
        <v>2.0254519141196047E-2</v>
      </c>
      <c r="S27" s="542">
        <f t="shared" si="95"/>
        <v>-0.23072721102720414</v>
      </c>
      <c r="T27" s="538">
        <f t="shared" si="20"/>
        <v>-0.73995072145842755</v>
      </c>
      <c r="U27" s="538">
        <f t="shared" si="21"/>
        <v>-0.89572707706491739</v>
      </c>
      <c r="V27" s="539">
        <f t="shared" si="22"/>
        <v>-0.82252511226327996</v>
      </c>
      <c r="W27" s="537">
        <f>VLOOKUP($A27,[1]!LandfillTypicalK6,W$7,FALSE)</f>
        <v>0.94244992679475004</v>
      </c>
      <c r="X27" s="538">
        <f>VLOOKUP($A27,[1]!LandfillTypicalK6,X$7,FALSE)</f>
        <v>0.40854676128587608</v>
      </c>
      <c r="Y27" s="538">
        <f>VLOOKUP($A27,[1]!LandfillTypicalK6,Y$7,FALSE)</f>
        <v>0.28867038061628203</v>
      </c>
      <c r="Z27" s="539">
        <f>VLOOKUP($A27,[1]!LandfillTypicalK6,Z$7,FALSE)</f>
        <v>0.35532291444271735</v>
      </c>
      <c r="AA27" s="543">
        <f>-1*VLOOKUP($A27,[1]Landfilling!$N$27:$R$41,5,FALSE)</f>
        <v>-1.1934316569631502</v>
      </c>
      <c r="AB27" s="544">
        <f>VLOOKUP($A27,'[1]Post-Consumer Transport'!$C$33:$K$88,3,FALSE)+VLOOKUP($A27,'[1]Post-Consumer Transport'!$C$33:$K$88,4,FALSE)</f>
        <v>2.0254519141196047E-2</v>
      </c>
      <c r="AC27" s="542">
        <f t="shared" si="96"/>
        <v>-0.23072721102720414</v>
      </c>
      <c r="AD27" s="538">
        <f t="shared" si="24"/>
        <v>-0.76463037653607813</v>
      </c>
      <c r="AE27" s="538">
        <f t="shared" si="25"/>
        <v>-0.88450675720567218</v>
      </c>
      <c r="AF27" s="539">
        <f t="shared" si="26"/>
        <v>-0.81785422337923686</v>
      </c>
      <c r="AG27" s="537">
        <f>VLOOKUP($A27,[1]!LandfillTypicalK12,AG$7,FALSE)</f>
        <v>0.94244992679475004</v>
      </c>
      <c r="AH27" s="538">
        <f>VLOOKUP($A27,[1]!LandfillTypicalK12,AH$7,FALSE)</f>
        <v>0.39138554510829315</v>
      </c>
      <c r="AI27" s="538">
        <f>VLOOKUP($A27,[1]!LandfillTypicalK12,AI$7,FALSE)</f>
        <v>0.31895982131120221</v>
      </c>
      <c r="AJ27" s="539">
        <f>VLOOKUP($A27,[1]!LandfillTypicalK12,AJ$7,FALSE)</f>
        <v>0.37580220859873964</v>
      </c>
      <c r="AK27" s="543">
        <f>-1*VLOOKUP($A27,[1]Landfilling!$N$27:$R$41,5,FALSE)</f>
        <v>-1.1934316569631502</v>
      </c>
      <c r="AL27" s="544">
        <f>VLOOKUP($A27,'[1]Post-Consumer Transport'!$C$33:$K$88,3,FALSE)+VLOOKUP($A27,'[1]Post-Consumer Transport'!$C$33:$K$88,4,FALSE)</f>
        <v>2.0254519141196047E-2</v>
      </c>
      <c r="AM27" s="542">
        <f t="shared" si="97"/>
        <v>-0.23072721102720414</v>
      </c>
      <c r="AN27" s="538">
        <f t="shared" si="28"/>
        <v>-0.78179159271366105</v>
      </c>
      <c r="AO27" s="538">
        <f t="shared" si="29"/>
        <v>-0.85421731651075206</v>
      </c>
      <c r="AP27" s="539">
        <f t="shared" si="30"/>
        <v>-0.79737492922321462</v>
      </c>
      <c r="AQ27" s="537">
        <f>VLOOKUP($A27,[1]!LandfillTypicalNatlAverage,AQ$7,FALSE)</f>
        <v>0.94244992679475004</v>
      </c>
      <c r="AR27" s="538">
        <f>VLOOKUP($A27,[1]!LandfillTypicalNatlAverage,AR$7,FALSE)</f>
        <v>0.42726628086806157</v>
      </c>
      <c r="AS27" s="538">
        <f>VLOOKUP($A27,[1]!LandfillTypicalNatlAverage,AS$7,FALSE)</f>
        <v>0.27910053168861759</v>
      </c>
      <c r="AT27" s="539">
        <f>VLOOKUP($A27,[1]!LandfillTypicalNatlAverage,AT$7,FALSE)</f>
        <v>0.35053300633277296</v>
      </c>
      <c r="AU27" s="543">
        <f>-1*VLOOKUP($A27,[1]Landfilling!$N$27:$R$41,5,FALSE)</f>
        <v>-1.1934316569631502</v>
      </c>
      <c r="AV27" s="544">
        <f>VLOOKUP($A27,'[1]Post-Consumer Transport'!$C$33:$K$88,3,FALSE)+VLOOKUP($A27,'[1]Post-Consumer Transport'!$C$33:$K$88,4,FALSE)</f>
        <v>2.0254519141196047E-2</v>
      </c>
      <c r="AW27" s="542">
        <f t="shared" si="98"/>
        <v>-0.23072721102720414</v>
      </c>
      <c r="AX27" s="538">
        <f t="shared" si="32"/>
        <v>-0.74591085695389259</v>
      </c>
      <c r="AY27" s="538">
        <f t="shared" si="33"/>
        <v>-0.89407660613333662</v>
      </c>
      <c r="AZ27" s="539">
        <f t="shared" si="34"/>
        <v>-0.82264413148918125</v>
      </c>
      <c r="BB27" s="537">
        <f>VLOOKUP($A27,[1]!LandfillAggressiveK2,BB$7,FALSE)</f>
        <v>0.94244992679475004</v>
      </c>
      <c r="BC27" s="538">
        <f>VLOOKUP($A27,[1]!LandfillAggressiveK2,BC$7,FALSE)</f>
        <v>0.46878168843176093</v>
      </c>
      <c r="BD27" s="538">
        <f>VLOOKUP($A27,[1]!LandfillAggressiveK2,BD$7,FALSE)</f>
        <v>0.23882757937253049</v>
      </c>
      <c r="BE27" s="539">
        <f>VLOOKUP($A27,[1]!LandfillAggressiveK2,BE$7,FALSE)</f>
        <v>0.32479413708935712</v>
      </c>
      <c r="BF27" s="543">
        <f>-1*VLOOKUP($A27,[1]Landfilling!$N$27:$R$41,5,FALSE)</f>
        <v>-1.1934316569631502</v>
      </c>
      <c r="BG27" s="544">
        <f>VLOOKUP($A27,'[1]Post-Consumer Transport'!$C$33:$K$88,3,FALSE)+VLOOKUP($A27,'[1]Post-Consumer Transport'!$C$33:$K$88,4,FALSE)</f>
        <v>2.0254519141196047E-2</v>
      </c>
      <c r="BH27" s="542">
        <f t="shared" si="99"/>
        <v>-0.23072721102720414</v>
      </c>
      <c r="BI27" s="538">
        <f t="shared" si="36"/>
        <v>-0.70439544939019327</v>
      </c>
      <c r="BJ27" s="538">
        <f t="shared" si="37"/>
        <v>-0.93434955844942369</v>
      </c>
      <c r="BK27" s="539">
        <f t="shared" si="38"/>
        <v>-0.84838300073259709</v>
      </c>
      <c r="BL27" s="881">
        <f>VLOOKUP($A27,[1]!LandfillAggressiveK4,BL$7,FALSE)</f>
        <v>0.94244992679475004</v>
      </c>
      <c r="BM27" s="882">
        <f>VLOOKUP($A27,[1]!LandfillAggressiveK4,BM$7,FALSE)</f>
        <v>0.42104306380534423</v>
      </c>
      <c r="BN27" s="882">
        <f>VLOOKUP($A27,[1]!LandfillAggressiveK4,BN$7,FALSE)</f>
        <v>0.27022182107211995</v>
      </c>
      <c r="BO27" s="883">
        <f>VLOOKUP($A27,[1]!LandfillAggressiveK4,BO$7,FALSE)</f>
        <v>0.34317703439691394</v>
      </c>
      <c r="BP27" s="884">
        <f>-1*VLOOKUP($A27,[1]Landfilling!$N$27:$R$41,5,FALSE)</f>
        <v>-1.1934316569631502</v>
      </c>
      <c r="BQ27" s="885">
        <f>VLOOKUP($A27,'[1]Post-Consumer Transport'!$C$33:$K$88,3,FALSE)+VLOOKUP($A27,'[1]Post-Consumer Transport'!$C$33:$K$88,4,FALSE)</f>
        <v>2.0254519141196047E-2</v>
      </c>
      <c r="BR27" s="886">
        <f t="shared" si="100"/>
        <v>-0.23072721102720414</v>
      </c>
      <c r="BS27" s="882">
        <f t="shared" si="40"/>
        <v>-0.75213407401661003</v>
      </c>
      <c r="BT27" s="882">
        <f t="shared" si="41"/>
        <v>-0.90295531674983431</v>
      </c>
      <c r="BU27" s="883">
        <f t="shared" si="42"/>
        <v>-0.83000010342504027</v>
      </c>
      <c r="BV27" s="537">
        <f>VLOOKUP($A27,[1]!LandfillAggressiveK6,BV$7,FALSE)</f>
        <v>0.94244992679475004</v>
      </c>
      <c r="BW27" s="538">
        <f>VLOOKUP($A27,[1]!LandfillAggressiveK6,BW$7,FALSE)</f>
        <v>0.39675673659336952</v>
      </c>
      <c r="BX27" s="538">
        <f>VLOOKUP($A27,[1]!LandfillAggressiveK6,BX$7,FALSE)</f>
        <v>0.27229921239853938</v>
      </c>
      <c r="BY27" s="539">
        <f>VLOOKUP($A27,[1]!LandfillAggressiveK6,BY$7,FALSE)</f>
        <v>0.34030149378122876</v>
      </c>
      <c r="BZ27" s="543">
        <f>-1*VLOOKUP($A27,[1]Landfilling!$N$27:$R$41,5,FALSE)</f>
        <v>-1.1934316569631502</v>
      </c>
      <c r="CA27" s="544">
        <f>VLOOKUP($A27,'[1]Post-Consumer Transport'!$C$33:$K$88,3,FALSE)+VLOOKUP($A27,'[1]Post-Consumer Transport'!$C$33:$K$88,4,FALSE)</f>
        <v>2.0254519141196047E-2</v>
      </c>
      <c r="CB27" s="542">
        <f t="shared" si="101"/>
        <v>-0.23072721102720414</v>
      </c>
      <c r="CC27" s="538">
        <f t="shared" si="44"/>
        <v>-0.77642040122858469</v>
      </c>
      <c r="CD27" s="538">
        <f t="shared" si="45"/>
        <v>-0.90087792542341483</v>
      </c>
      <c r="CE27" s="539">
        <f t="shared" si="46"/>
        <v>-0.83287564404072545</v>
      </c>
      <c r="CF27" s="537">
        <f>VLOOKUP($A27,[1]!LandfillAggressiveK12,CF$7,FALSE)</f>
        <v>0.94244992679475004</v>
      </c>
      <c r="CG27" s="538">
        <f>VLOOKUP($A27,[1]!LandfillAggressiveK12,CG$7,FALSE)</f>
        <v>0.36961097320721525</v>
      </c>
      <c r="CH27" s="538">
        <f>VLOOKUP($A27,[1]!LandfillAggressiveK12,CH$7,FALSE)</f>
        <v>0.29334571588305625</v>
      </c>
      <c r="CI27" s="539">
        <f>VLOOKUP($A27,[1]!LandfillAggressiveK12,CI$7,FALSE)</f>
        <v>0.3520354996625889</v>
      </c>
      <c r="CJ27" s="543">
        <f>-1*VLOOKUP($A27,[1]Landfilling!$N$27:$R$41,5,FALSE)</f>
        <v>-1.1934316569631502</v>
      </c>
      <c r="CK27" s="544">
        <f>VLOOKUP($A27,'[1]Post-Consumer Transport'!$C$33:$K$88,3,FALSE)+VLOOKUP($A27,'[1]Post-Consumer Transport'!$C$33:$K$88,4,FALSE)</f>
        <v>2.0254519141196047E-2</v>
      </c>
      <c r="CL27" s="542">
        <f t="shared" si="102"/>
        <v>-0.23072721102720414</v>
      </c>
      <c r="CM27" s="538">
        <f t="shared" si="48"/>
        <v>-0.80356616461473895</v>
      </c>
      <c r="CN27" s="538">
        <f t="shared" si="49"/>
        <v>-0.87983142193889796</v>
      </c>
      <c r="CO27" s="539">
        <f t="shared" si="50"/>
        <v>-0.82114163815936525</v>
      </c>
      <c r="CP27" s="537">
        <f>VLOOKUP($A27,[1]!LandfillAggressiveNatlAverage,CP$7,FALSE)</f>
        <v>0.94244992679475004</v>
      </c>
      <c r="CQ27" s="538">
        <f>VLOOKUP($A27,[1]!LandfillAggressiveNatlAverage,CQ$7,FALSE)</f>
        <v>0.41546589918669302</v>
      </c>
      <c r="CR27" s="538">
        <f>VLOOKUP($A27,[1]!LandfillAggressiveNatlAverage,CR$7,FALSE)</f>
        <v>0.26710917004845408</v>
      </c>
      <c r="CS27" s="539">
        <f>VLOOKUP($A27,[1]!LandfillAggressiveNatlAverage,CS$7,FALSE)</f>
        <v>0.33920445426892348</v>
      </c>
      <c r="CT27" s="543">
        <f>-1*VLOOKUP($A27,[1]Landfilling!$N$27:$R$41,5,FALSE)</f>
        <v>-1.1934316569631502</v>
      </c>
      <c r="CU27" s="544">
        <f>VLOOKUP($A27,'[1]Post-Consumer Transport'!$C$33:$K$88,3,FALSE)+VLOOKUP($A27,'[1]Post-Consumer Transport'!$C$33:$K$88,4,FALSE)</f>
        <v>2.0254519141196047E-2</v>
      </c>
      <c r="CV27" s="542">
        <f t="shared" si="103"/>
        <v>-0.23072721102720414</v>
      </c>
      <c r="CW27" s="538">
        <f t="shared" si="52"/>
        <v>-0.75771123863526113</v>
      </c>
      <c r="CX27" s="538">
        <f t="shared" si="53"/>
        <v>-0.90606796777350018</v>
      </c>
      <c r="CY27" s="539">
        <f t="shared" si="54"/>
        <v>-0.83397268355303078</v>
      </c>
      <c r="DA27" s="537">
        <f>VLOOKUP($A27,[1]!LandfillWorstK2,DA$7,FALSE)</f>
        <v>0.94244992679475004</v>
      </c>
      <c r="DB27" s="538">
        <f>VLOOKUP($A27,[1]!LandfillWorstK2,DB$7,FALSE)</f>
        <v>0.49590245194363175</v>
      </c>
      <c r="DC27" s="538">
        <f>VLOOKUP($A27,[1]!LandfillWorstK2,DC$7,FALSE)</f>
        <v>0.26053435504920686</v>
      </c>
      <c r="DD27" s="539">
        <f>VLOOKUP($A27,[1]!LandfillWorstK2,DD$7,FALSE)</f>
        <v>0.34533762635985155</v>
      </c>
      <c r="DE27" s="543">
        <f>-1*VLOOKUP($A27,[1]Landfilling!$N$27:$R$41,5,FALSE)</f>
        <v>-1.1934316569631502</v>
      </c>
      <c r="DF27" s="544">
        <f>VLOOKUP($A27,'[1]Post-Consumer Transport'!$C$33:$K$88,3,FALSE)+VLOOKUP($A27,'[1]Post-Consumer Transport'!$C$33:$K$88,4,FALSE)</f>
        <v>2.0254519141196047E-2</v>
      </c>
      <c r="DG27" s="542">
        <f t="shared" si="104"/>
        <v>-0.23072721102720414</v>
      </c>
      <c r="DH27" s="538">
        <f t="shared" si="56"/>
        <v>-0.67727468587832251</v>
      </c>
      <c r="DI27" s="538">
        <f t="shared" si="57"/>
        <v>-0.91264278277274735</v>
      </c>
      <c r="DJ27" s="539">
        <f t="shared" si="58"/>
        <v>-0.82783951146210266</v>
      </c>
      <c r="DK27" s="537">
        <f>VLOOKUP($A27,[1]!LandfillWorstK4,DK$7,FALSE)</f>
        <v>0.94244992679475004</v>
      </c>
      <c r="DL27" s="538">
        <f>VLOOKUP($A27,[1]!LandfillWorstK4,DL$7,FALSE)</f>
        <v>0.46537237436109269</v>
      </c>
      <c r="DM27" s="538">
        <f>VLOOKUP($A27,[1]!LandfillWorstK4,DM$7,FALSE)</f>
        <v>0.30905473155946028</v>
      </c>
      <c r="DN27" s="539">
        <f>VLOOKUP($A27,[1]!LandfillWorstK4,DN$7,FALSE)</f>
        <v>0.37970820853647769</v>
      </c>
      <c r="DO27" s="543">
        <f>-1*VLOOKUP($A27,[1]Landfilling!$N$27:$R$41,5,FALSE)</f>
        <v>-1.1934316569631502</v>
      </c>
      <c r="DP27" s="544">
        <f>VLOOKUP($A27,'[1]Post-Consumer Transport'!$C$33:$K$88,3,FALSE)+VLOOKUP($A27,'[1]Post-Consumer Transport'!$C$33:$K$88,4,FALSE)</f>
        <v>2.0254519141196047E-2</v>
      </c>
      <c r="DQ27" s="542">
        <f t="shared" si="105"/>
        <v>-0.23072721102720414</v>
      </c>
      <c r="DR27" s="538">
        <f t="shared" si="60"/>
        <v>-0.70780476346086152</v>
      </c>
      <c r="DS27" s="538">
        <f t="shared" si="61"/>
        <v>-0.86412240626249393</v>
      </c>
      <c r="DT27" s="539">
        <f t="shared" si="62"/>
        <v>-0.79346892928547652</v>
      </c>
      <c r="DU27" s="537">
        <f>VLOOKUP($A27,[1]!LandfillWorstK6,DU$7,FALSE)</f>
        <v>0.94244992679475004</v>
      </c>
      <c r="DV27" s="538">
        <f>VLOOKUP($A27,[1]!LandfillWorstK6,DV$7,FALSE)</f>
        <v>0.46037077079682337</v>
      </c>
      <c r="DW27" s="538">
        <f>VLOOKUP($A27,[1]!LandfillWorstK6,DW$7,FALSE)</f>
        <v>0.33187387948997965</v>
      </c>
      <c r="DX27" s="539">
        <f>VLOOKUP($A27,[1]!LandfillWorstK6,DX$7,FALSE)</f>
        <v>0.39593378549695996</v>
      </c>
      <c r="DY27" s="543">
        <f>-1*VLOOKUP($A27,[1]Landfilling!$N$27:$R$41,5,FALSE)</f>
        <v>-1.1934316569631502</v>
      </c>
      <c r="DZ27" s="544">
        <f>VLOOKUP($A27,'[1]Post-Consumer Transport'!$C$33:$K$88,3,FALSE)+VLOOKUP($A27,'[1]Post-Consumer Transport'!$C$33:$K$88,4,FALSE)</f>
        <v>2.0254519141196047E-2</v>
      </c>
      <c r="EA27" s="542">
        <f t="shared" si="106"/>
        <v>-0.23072721102720414</v>
      </c>
      <c r="EB27" s="538">
        <f t="shared" si="64"/>
        <v>-0.71280636702513078</v>
      </c>
      <c r="EC27" s="538">
        <f t="shared" si="65"/>
        <v>-0.84130325833197461</v>
      </c>
      <c r="ED27" s="539">
        <f t="shared" si="66"/>
        <v>-0.7772433523249942</v>
      </c>
      <c r="EE27" s="537">
        <f>VLOOKUP($A27,[1]!LandfillWorstK12,EE$7,FALSE)</f>
        <v>0.94244992679475004</v>
      </c>
      <c r="EF27" s="538">
        <f>VLOOKUP($A27,[1]!LandfillWorstK12,EF$7,FALSE)</f>
        <v>0.48247400893041537</v>
      </c>
      <c r="EG27" s="538">
        <f>VLOOKUP($A27,[1]!LandfillWorstK12,EG$7,FALSE)</f>
        <v>0.4068602371981086</v>
      </c>
      <c r="EH27" s="539">
        <f>VLOOKUP($A27,[1]!LandfillWorstK12,EH$7,FALSE)</f>
        <v>0.45735706442052704</v>
      </c>
      <c r="EI27" s="543">
        <f>-1*VLOOKUP($A27,[1]Landfilling!$N$27:$R$41,5,FALSE)</f>
        <v>-1.1934316569631502</v>
      </c>
      <c r="EJ27" s="544">
        <f>VLOOKUP($A27,'[1]Post-Consumer Transport'!$C$33:$K$88,3,FALSE)+VLOOKUP($A27,'[1]Post-Consumer Transport'!$C$33:$K$88,4,FALSE)</f>
        <v>2.0254519141196047E-2</v>
      </c>
      <c r="EK27" s="542">
        <f t="shared" si="107"/>
        <v>-0.23072721102720414</v>
      </c>
      <c r="EL27" s="538">
        <f t="shared" si="68"/>
        <v>-0.69070312889153884</v>
      </c>
      <c r="EM27" s="538">
        <f t="shared" si="69"/>
        <v>-0.76631690062384561</v>
      </c>
      <c r="EN27" s="539">
        <f t="shared" si="70"/>
        <v>-0.71582007340142717</v>
      </c>
      <c r="EO27" s="537">
        <f>VLOOKUP($A27,[1]!LandfillWorstNatlAverage,EO$7,FALSE)</f>
        <v>0.94244992679475004</v>
      </c>
      <c r="EP27" s="538">
        <f>VLOOKUP($A27,[1]!LandfillWorstNatlAverage,EP$7,FALSE)</f>
        <v>0.47113289426961802</v>
      </c>
      <c r="EQ27" s="538">
        <f>VLOOKUP($A27,[1]!LandfillWorstNatlAverage,EQ$7,FALSE)</f>
        <v>0.31850987662071789</v>
      </c>
      <c r="ER27" s="539">
        <f>VLOOKUP($A27,[1]!LandfillWorstNatlAverage,ER$7,FALSE)</f>
        <v>0.38726768982031562</v>
      </c>
      <c r="ES27" s="543">
        <f>-1*VLOOKUP($A27,[1]Landfilling!$N$27:$R$41,5,FALSE)</f>
        <v>-1.1934316569631502</v>
      </c>
      <c r="ET27" s="544">
        <f>VLOOKUP($A27,'[1]Post-Consumer Transport'!$C$33:$K$88,3,FALSE)+VLOOKUP($A27,'[1]Post-Consumer Transport'!$C$33:$K$88,4,FALSE)</f>
        <v>2.0254519141196047E-2</v>
      </c>
      <c r="EU27" s="542">
        <f t="shared" si="108"/>
        <v>-0.23072721102720414</v>
      </c>
      <c r="EV27" s="538">
        <f t="shared" si="72"/>
        <v>-0.70204424355233619</v>
      </c>
      <c r="EW27" s="538">
        <f t="shared" si="73"/>
        <v>-0.85466726120123626</v>
      </c>
      <c r="EX27" s="539">
        <f t="shared" si="74"/>
        <v>-0.78590944800163864</v>
      </c>
      <c r="EZ27" s="537">
        <f>VLOOKUP($A27,[1]!LandfillCaliK2,EZ$7,FALSE)</f>
        <v>0.94244992679475004</v>
      </c>
      <c r="FA27" s="538">
        <f>VLOOKUP($A27,[1]!LandfillCaliK2,FA$7,FALSE)</f>
        <v>0.20836161035154505</v>
      </c>
      <c r="FB27" s="538">
        <f>VLOOKUP($A27,[1]!LandfillCaliK2,FB$7,FALSE)</f>
        <v>0.12494964548471545</v>
      </c>
      <c r="FC27" s="539">
        <f>VLOOKUP($A27,[1]!LandfillCaliK2,FC$7,FALSE)</f>
        <v>0.20466884576089145</v>
      </c>
      <c r="FD27" s="543">
        <f>-1*VLOOKUP($A27,[1]Landfilling!$N$27:$R$41,5,FALSE)</f>
        <v>-1.1934316569631502</v>
      </c>
      <c r="FE27" s="544">
        <f>VLOOKUP($A27,'[1]Post-Consumer Transport'!$C$33:$K$88,3,FALSE)+VLOOKUP($A27,'[1]Post-Consumer Transport'!$C$33:$K$88,4,FALSE)</f>
        <v>2.0254519141196047E-2</v>
      </c>
      <c r="FF27" s="542">
        <f t="shared" si="109"/>
        <v>-0.23072721102720414</v>
      </c>
      <c r="FG27" s="538">
        <f t="shared" si="76"/>
        <v>-0.96481552747040911</v>
      </c>
      <c r="FH27" s="538">
        <f t="shared" si="77"/>
        <v>-1.0482274923372388</v>
      </c>
      <c r="FI27" s="539">
        <f t="shared" si="78"/>
        <v>-0.96850829206106281</v>
      </c>
      <c r="FJ27" s="537">
        <f>VLOOKUP($A27,[1]!LandfillCaliK4,FJ$7,FALSE)</f>
        <v>0.94244992679475004</v>
      </c>
      <c r="FK27" s="538">
        <f>VLOOKUP($A27,[1]!LandfillCaliK4,FK$7,FALSE)</f>
        <v>0.18594934872528004</v>
      </c>
      <c r="FL27" s="538">
        <f>VLOOKUP($A27,[1]!LandfillCaliK4,FL$7,FALSE)</f>
        <v>0.1614203225599915</v>
      </c>
      <c r="FM27" s="539">
        <f>VLOOKUP($A27,[1]!LandfillCaliK4,FM$7,FALSE)</f>
        <v>0.23048598416169475</v>
      </c>
      <c r="FN27" s="543">
        <f>-1*VLOOKUP($A27,[1]Landfilling!$N$27:$R$41,5,FALSE)</f>
        <v>-1.1934316569631502</v>
      </c>
      <c r="FO27" s="544">
        <f>VLOOKUP($A27,'[1]Post-Consumer Transport'!$C$33:$K$88,3,FALSE)+VLOOKUP($A27,'[1]Post-Consumer Transport'!$C$33:$K$88,4,FALSE)</f>
        <v>2.0254519141196047E-2</v>
      </c>
      <c r="FP27" s="542">
        <f t="shared" si="110"/>
        <v>-0.23072721102720414</v>
      </c>
      <c r="FQ27" s="538">
        <f t="shared" si="80"/>
        <v>-0.98722778909667408</v>
      </c>
      <c r="FR27" s="538">
        <f t="shared" si="81"/>
        <v>-1.0117568152619627</v>
      </c>
      <c r="FS27" s="539">
        <f t="shared" si="82"/>
        <v>-0.94269115366025946</v>
      </c>
      <c r="FT27" s="537">
        <f>VLOOKUP($A27,[1]!LandfillCaliK6,FT$7,FALSE)</f>
        <v>0.94244992679475004</v>
      </c>
      <c r="FU27" s="538">
        <f>VLOOKUP($A27,[1]!LandfillCaliK6,FU$7,FALSE)</f>
        <v>0.19901991357097867</v>
      </c>
      <c r="FV27" s="538">
        <f>VLOOKUP($A27,[1]!LandfillCaliK6,FV$7,FALSE)</f>
        <v>0.18070874642410684</v>
      </c>
      <c r="FW27" s="539">
        <f>VLOOKUP($A27,[1]!LandfillCaliK6,FW$7,FALSE)</f>
        <v>0.2445410871863376</v>
      </c>
      <c r="FX27" s="543">
        <f>-1*VLOOKUP($A27,[1]Landfilling!$N$27:$R$41,5,FALSE)</f>
        <v>-1.1934316569631502</v>
      </c>
      <c r="FY27" s="544">
        <f>VLOOKUP($A27,'[1]Post-Consumer Transport'!$C$33:$K$88,3,FALSE)+VLOOKUP($A27,'[1]Post-Consumer Transport'!$C$33:$K$88,4,FALSE)</f>
        <v>2.0254519141196047E-2</v>
      </c>
      <c r="FZ27" s="542">
        <f t="shared" si="111"/>
        <v>-0.23072721102720414</v>
      </c>
      <c r="GA27" s="538">
        <f t="shared" si="84"/>
        <v>-0.97415722425097551</v>
      </c>
      <c r="GB27" s="538">
        <f t="shared" si="85"/>
        <v>-0.99246839139784737</v>
      </c>
      <c r="GC27" s="539">
        <f t="shared" si="86"/>
        <v>-0.92863605063561661</v>
      </c>
      <c r="GD27" s="537">
        <f>VLOOKUP($A27,[1]!LandfillCaliK12,GD$7,FALSE)</f>
        <v>0.94244992679475004</v>
      </c>
      <c r="GE27" s="538">
        <f>VLOOKUP($A27,[1]!LandfillCaliK12,GE$7,FALSE)</f>
        <v>0.22680248079969775</v>
      </c>
      <c r="GF27" s="538">
        <f>VLOOKUP($A27,[1]!LandfillCaliK12,GF$7,FALSE)</f>
        <v>0.21747805098272863</v>
      </c>
      <c r="GG27" s="539">
        <f>VLOOKUP($A27,[1]!LandfillCaliK12,GG$7,FALSE)</f>
        <v>0.27452816261709329</v>
      </c>
      <c r="GH27" s="543">
        <f>-1*VLOOKUP($A27,[1]Landfilling!$N$27:$R$41,5,FALSE)</f>
        <v>-1.1934316569631502</v>
      </c>
      <c r="GI27" s="544">
        <f>VLOOKUP($A27,'[1]Post-Consumer Transport'!$C$33:$K$88,3,FALSE)+VLOOKUP($A27,'[1]Post-Consumer Transport'!$C$33:$K$88,4,FALSE)</f>
        <v>2.0254519141196047E-2</v>
      </c>
      <c r="GJ27" s="542">
        <f t="shared" si="112"/>
        <v>-0.23072721102720414</v>
      </c>
      <c r="GK27" s="538">
        <f t="shared" si="88"/>
        <v>-0.94637465702225643</v>
      </c>
      <c r="GL27" s="538">
        <f t="shared" si="89"/>
        <v>-0.95569908683922555</v>
      </c>
      <c r="GM27" s="539">
        <f t="shared" si="90"/>
        <v>-0.89864897520486098</v>
      </c>
      <c r="GN27" s="537">
        <f>VLOOKUP($A27,[1]!LandfillCaliNatlAverage,GN$7,FALSE)</f>
        <v>0.94244992679475004</v>
      </c>
      <c r="GO27" s="538">
        <f>VLOOKUP($A27,[1]!LandfillCaliNatlAverage,GO$7,FALSE)</f>
        <v>0.199889116409557</v>
      </c>
      <c r="GP27" s="538">
        <f>VLOOKUP($A27,[1]!LandfillCaliNatlAverage,GP$7,FALSE)</f>
        <v>0.16765950219536141</v>
      </c>
      <c r="GQ27" s="539">
        <f>VLOOKUP($A27,[1]!LandfillCaliNatlAverage,GQ$7,FALSE)</f>
        <v>0.23550342167020222</v>
      </c>
      <c r="GR27" s="543">
        <f>-1*VLOOKUP($A27,[1]Landfilling!$N$27:$R$41,5,FALSE)</f>
        <v>-1.1934316569631502</v>
      </c>
      <c r="GS27" s="544">
        <f>VLOOKUP($A27,'[1]Post-Consumer Transport'!$C$33:$K$88,3,FALSE)+VLOOKUP($A27,'[1]Post-Consumer Transport'!$C$33:$K$88,4,FALSE)</f>
        <v>2.0254519141196047E-2</v>
      </c>
      <c r="GT27" s="542">
        <f t="shared" si="113"/>
        <v>-0.23072721102720414</v>
      </c>
      <c r="GU27" s="538">
        <f t="shared" si="92"/>
        <v>-0.97328802141239723</v>
      </c>
      <c r="GV27" s="538">
        <f t="shared" si="93"/>
        <v>-1.0055176356265927</v>
      </c>
      <c r="GW27" s="539">
        <f t="shared" si="94"/>
        <v>-0.93767371615175199</v>
      </c>
    </row>
    <row r="28" spans="1:205" x14ac:dyDescent="0.25">
      <c r="A28" s="494" t="str">
        <f>A26</f>
        <v>Office Paper</v>
      </c>
      <c r="B28" s="536" t="s">
        <v>384</v>
      </c>
      <c r="C28" s="537">
        <f>VLOOKUP($A28,[1]!LandfillTypicalK2,C$7,FALSE)</f>
        <v>3.4973332504110006</v>
      </c>
      <c r="D28" s="538">
        <f>VLOOKUP($A28,[1]!LandfillTypicalK2,D$7,FALSE)</f>
        <v>1.7833036406641321</v>
      </c>
      <c r="E28" s="538">
        <f>VLOOKUP($A28,[1]!LandfillTypicalK2,E$7,FALSE)</f>
        <v>0.90589454595883556</v>
      </c>
      <c r="F28" s="621">
        <f>VLOOKUP($A28,[1]!LandfillTypicalK2,F$7,FALSE)</f>
        <v>1.2259499957243254</v>
      </c>
      <c r="G28" s="540">
        <f>-1*VLOOKUP($A28,[1]Landfilling!$N$27:$R$41,5,FALSE)</f>
        <v>-0.11978164912046663</v>
      </c>
      <c r="H28" s="541">
        <f>VLOOKUP($A28,'[1]Post-Consumer Transport'!$C$33:$K$88,3,FALSE)+VLOOKUP($A28,'[1]Post-Consumer Transport'!$C$33:$K$88,4,FALSE)</f>
        <v>2.0254519141196047E-2</v>
      </c>
      <c r="I28" s="542">
        <f t="shared" si="17"/>
        <v>3.3978061204317305</v>
      </c>
      <c r="J28" s="538">
        <f t="shared" si="18"/>
        <v>1.6837765106848614</v>
      </c>
      <c r="K28" s="538">
        <f t="shared" si="18"/>
        <v>0.80636741597956496</v>
      </c>
      <c r="L28" s="539">
        <f t="shared" si="18"/>
        <v>1.1264228657450548</v>
      </c>
      <c r="M28" s="537">
        <f>VLOOKUP($A28,[1]!LandfillTypicalK4,M$7,FALSE)</f>
        <v>3.4973332504110006</v>
      </c>
      <c r="N28" s="538">
        <f>VLOOKUP($A28,[1]!LandfillTypicalK4,N$7,FALSE)</f>
        <v>1.6400376013716074</v>
      </c>
      <c r="O28" s="538">
        <f>VLOOKUP($A28,[1]!LandfillTypicalK4,O$7,FALSE)</f>
        <v>1.0514968918494236</v>
      </c>
      <c r="P28" s="539">
        <f>VLOOKUP($A28,[1]!LandfillTypicalK4,P$7,FALSE)</f>
        <v>1.3236188272070213</v>
      </c>
      <c r="Q28" s="540">
        <f>-1*VLOOKUP($A28,[1]Landfilling!$N$27:$R$41,5,FALSE)</f>
        <v>-0.11978164912046663</v>
      </c>
      <c r="R28" s="541">
        <f>VLOOKUP($A28,'[1]Post-Consumer Transport'!$C$33:$K$88,3,FALSE)+VLOOKUP($A28,'[1]Post-Consumer Transport'!$C$33:$K$88,4,FALSE)</f>
        <v>2.0254519141196047E-2</v>
      </c>
      <c r="S28" s="542">
        <f t="shared" si="95"/>
        <v>3.3978061204317305</v>
      </c>
      <c r="T28" s="538">
        <f t="shared" si="20"/>
        <v>1.5405104713923368</v>
      </c>
      <c r="U28" s="538">
        <f t="shared" si="21"/>
        <v>0.95196976187015303</v>
      </c>
      <c r="V28" s="539">
        <f t="shared" si="22"/>
        <v>1.2240916972277507</v>
      </c>
      <c r="W28" s="537">
        <f>VLOOKUP($A28,[1]!LandfillTypicalK6,W$7,FALSE)</f>
        <v>3.4973332504110006</v>
      </c>
      <c r="X28" s="538">
        <f>VLOOKUP($A28,[1]!LandfillTypicalK6,X$7,FALSE)</f>
        <v>1.549101571026918</v>
      </c>
      <c r="Y28" s="538">
        <f>VLOOKUP($A28,[1]!LandfillTypicalK6,Y$7,FALSE)</f>
        <v>1.0927482358781779</v>
      </c>
      <c r="Z28" s="539">
        <f>VLOOKUP($A28,[1]!LandfillTypicalK6,Z$7,FALSE)</f>
        <v>1.3410215737817779</v>
      </c>
      <c r="AA28" s="540">
        <f>-1*VLOOKUP($A28,[1]Landfilling!$N$27:$R$41,5,FALSE)</f>
        <v>-0.11978164912046663</v>
      </c>
      <c r="AB28" s="541">
        <f>VLOOKUP($A28,'[1]Post-Consumer Transport'!$C$33:$K$88,3,FALSE)+VLOOKUP($A28,'[1]Post-Consumer Transport'!$C$33:$K$88,4,FALSE)</f>
        <v>2.0254519141196047E-2</v>
      </c>
      <c r="AC28" s="542">
        <f t="shared" si="96"/>
        <v>3.3978061204317305</v>
      </c>
      <c r="AD28" s="538">
        <f t="shared" si="24"/>
        <v>1.4495744410476474</v>
      </c>
      <c r="AE28" s="538">
        <f t="shared" si="25"/>
        <v>0.99322110589890733</v>
      </c>
      <c r="AF28" s="539">
        <f t="shared" si="26"/>
        <v>1.2414944438025073</v>
      </c>
      <c r="AG28" s="537">
        <f>VLOOKUP($A28,[1]!LandfillTypicalK12,AG$7,FALSE)</f>
        <v>3.4973332504110006</v>
      </c>
      <c r="AH28" s="538">
        <f>VLOOKUP($A28,[1]!LandfillTypicalK12,AH$7,FALSE)</f>
        <v>1.461877416776115</v>
      </c>
      <c r="AI28" s="538">
        <f>VLOOKUP($A28,[1]!LandfillTypicalK12,AI$7,FALSE)</f>
        <v>1.1802050012848591</v>
      </c>
      <c r="AJ28" s="539">
        <f>VLOOKUP($A28,[1]!LandfillTypicalK12,AJ$7,FALSE)</f>
        <v>1.3935917879182749</v>
      </c>
      <c r="AK28" s="540">
        <f>-1*VLOOKUP($A28,[1]Landfilling!$N$27:$R$41,5,FALSE)</f>
        <v>-0.11978164912046663</v>
      </c>
      <c r="AL28" s="541">
        <f>VLOOKUP($A28,'[1]Post-Consumer Transport'!$C$33:$K$88,3,FALSE)+VLOOKUP($A28,'[1]Post-Consumer Transport'!$C$33:$K$88,4,FALSE)</f>
        <v>2.0254519141196047E-2</v>
      </c>
      <c r="AM28" s="542">
        <f t="shared" si="97"/>
        <v>3.3978061204317305</v>
      </c>
      <c r="AN28" s="538">
        <f t="shared" si="28"/>
        <v>1.3623502867968444</v>
      </c>
      <c r="AO28" s="538">
        <f t="shared" si="29"/>
        <v>1.0806778713055885</v>
      </c>
      <c r="AP28" s="539">
        <f t="shared" si="30"/>
        <v>1.2940646579390043</v>
      </c>
      <c r="AQ28" s="537">
        <f>VLOOKUP($A28,[1]!LandfillTypicalNatlAverage,AQ$7,FALSE)</f>
        <v>3.4973332504110006</v>
      </c>
      <c r="AR28" s="538">
        <f>VLOOKUP($A28,[1]!LandfillTypicalNatlAverage,AR$7,FALSE)</f>
        <v>1.6135000822988961</v>
      </c>
      <c r="AS28" s="538">
        <f>VLOOKUP($A28,[1]!LandfillTypicalNatlAverage,AS$7,FALSE)</f>
        <v>1.0522015360106673</v>
      </c>
      <c r="AT28" s="539">
        <f>VLOOKUP($A28,[1]!LandfillTypicalNatlAverage,AT$7,FALSE)</f>
        <v>1.3182348858238322</v>
      </c>
      <c r="AU28" s="540">
        <f>-1*VLOOKUP($A28,[1]Landfilling!$N$27:$R$41,5,FALSE)</f>
        <v>-0.11978164912046663</v>
      </c>
      <c r="AV28" s="541">
        <f>VLOOKUP($A28,'[1]Post-Consumer Transport'!$C$33:$K$88,3,FALSE)+VLOOKUP($A28,'[1]Post-Consumer Transport'!$C$33:$K$88,4,FALSE)</f>
        <v>2.0254519141196047E-2</v>
      </c>
      <c r="AW28" s="542">
        <f t="shared" si="98"/>
        <v>3.3978061204317305</v>
      </c>
      <c r="AX28" s="538">
        <f t="shared" si="32"/>
        <v>1.5139729523196255</v>
      </c>
      <c r="AY28" s="538">
        <f t="shared" si="33"/>
        <v>0.95267440603139675</v>
      </c>
      <c r="AZ28" s="539">
        <f t="shared" si="34"/>
        <v>1.2187077558445616</v>
      </c>
      <c r="BB28" s="537">
        <f>VLOOKUP($A28,[1]!LandfillAggressiveK2,BB$7,FALSE)</f>
        <v>3.4973332504110006</v>
      </c>
      <c r="BC28" s="538">
        <f>VLOOKUP($A28,[1]!LandfillAggressiveK2,BC$7,FALSE)</f>
        <v>1.7610881784410923</v>
      </c>
      <c r="BD28" s="538">
        <f>VLOOKUP($A28,[1]!LandfillAggressiveK2,BD$7,FALSE)</f>
        <v>0.89671484300816762</v>
      </c>
      <c r="BE28" s="539">
        <f>VLOOKUP($A28,[1]!LandfillAggressiveK2,BE$7,FALSE)</f>
        <v>1.2163866339548239</v>
      </c>
      <c r="BF28" s="540">
        <f>-1*VLOOKUP($A28,[1]Landfilling!$N$27:$R$41,5,FALSE)</f>
        <v>-0.11978164912046663</v>
      </c>
      <c r="BG28" s="541">
        <f>VLOOKUP($A28,'[1]Post-Consumer Transport'!$C$33:$K$88,3,FALSE)+VLOOKUP($A28,'[1]Post-Consumer Transport'!$C$33:$K$88,4,FALSE)</f>
        <v>2.0254519141196047E-2</v>
      </c>
      <c r="BH28" s="542">
        <f t="shared" si="99"/>
        <v>3.3978061204317305</v>
      </c>
      <c r="BI28" s="538">
        <f t="shared" si="36"/>
        <v>1.6615610484618217</v>
      </c>
      <c r="BJ28" s="538">
        <f t="shared" si="37"/>
        <v>0.79718771302889702</v>
      </c>
      <c r="BK28" s="539">
        <f t="shared" si="38"/>
        <v>1.1168595039755533</v>
      </c>
      <c r="BL28" s="881">
        <f>VLOOKUP($A28,[1]!LandfillAggressiveK4,BL$7,FALSE)</f>
        <v>3.4973332504110006</v>
      </c>
      <c r="BM28" s="882">
        <f>VLOOKUP($A28,[1]!LandfillAggressiveK4,BM$7,FALSE)</f>
        <v>1.5987119535540575</v>
      </c>
      <c r="BN28" s="882">
        <f>VLOOKUP($A28,[1]!LandfillAggressiveK4,BN$7,FALSE)</f>
        <v>1.028814378567124</v>
      </c>
      <c r="BO28" s="883">
        <f>VLOOKUP($A28,[1]!LandfillAggressiveK4,BO$7,FALSE)</f>
        <v>1.2997327223947219</v>
      </c>
      <c r="BP28" s="884">
        <f>-1*VLOOKUP($A28,[1]Landfilling!$N$27:$R$41,5,FALSE)</f>
        <v>-0.11978164912046663</v>
      </c>
      <c r="BQ28" s="885">
        <f>VLOOKUP($A28,'[1]Post-Consumer Transport'!$C$33:$K$88,3,FALSE)+VLOOKUP($A28,'[1]Post-Consumer Transport'!$C$33:$K$88,4,FALSE)</f>
        <v>2.0254519141196047E-2</v>
      </c>
      <c r="BR28" s="886">
        <f t="shared" si="100"/>
        <v>3.3978061204317305</v>
      </c>
      <c r="BS28" s="882">
        <f t="shared" si="40"/>
        <v>1.4991848235747869</v>
      </c>
      <c r="BT28" s="882">
        <f t="shared" si="41"/>
        <v>0.92928724858785339</v>
      </c>
      <c r="BU28" s="883">
        <f t="shared" si="42"/>
        <v>1.2002055924154513</v>
      </c>
      <c r="BV28" s="537">
        <f>VLOOKUP($A28,[1]!LandfillAggressiveK6,BV$7,FALSE)</f>
        <v>3.4973332504110006</v>
      </c>
      <c r="BW28" s="538">
        <f>VLOOKUP($A28,[1]!LandfillAggressiveK6,BW$7,FALSE)</f>
        <v>1.5101801469891094</v>
      </c>
      <c r="BX28" s="538">
        <f>VLOOKUP($A28,[1]!LandfillAggressiveK6,BX$7,FALSE)</f>
        <v>1.0364854809895205</v>
      </c>
      <c r="BY28" s="539">
        <f>VLOOKUP($A28,[1]!LandfillAggressiveK6,BY$7,FALSE)</f>
        <v>1.289583043110482</v>
      </c>
      <c r="BZ28" s="540">
        <f>-1*VLOOKUP($A28,[1]Landfilling!$N$27:$R$41,5,FALSE)</f>
        <v>-0.11978164912046663</v>
      </c>
      <c r="CA28" s="541">
        <f>VLOOKUP($A28,'[1]Post-Consumer Transport'!$C$33:$K$88,3,FALSE)+VLOOKUP($A28,'[1]Post-Consumer Transport'!$C$33:$K$88,4,FALSE)</f>
        <v>2.0254519141196047E-2</v>
      </c>
      <c r="CB28" s="542">
        <f t="shared" si="101"/>
        <v>3.3978061204317305</v>
      </c>
      <c r="CC28" s="538">
        <f t="shared" si="44"/>
        <v>1.4106530170098388</v>
      </c>
      <c r="CD28" s="538">
        <f t="shared" si="45"/>
        <v>0.93695835101024993</v>
      </c>
      <c r="CE28" s="539">
        <f t="shared" si="46"/>
        <v>1.1900559131312114</v>
      </c>
      <c r="CF28" s="537">
        <f>VLOOKUP($A28,[1]!LandfillAggressiveK12,CF$7,FALSE)</f>
        <v>3.4973332504110006</v>
      </c>
      <c r="CG28" s="538">
        <f>VLOOKUP($A28,[1]!LandfillAggressiveK12,CG$7,FALSE)</f>
        <v>1.3914339147669972</v>
      </c>
      <c r="CH28" s="538">
        <f>VLOOKUP($A28,[1]!LandfillAggressiveK12,CH$7,FALSE)</f>
        <v>1.093546403709984</v>
      </c>
      <c r="CI28" s="539">
        <f>VLOOKUP($A28,[1]!LandfillAggressiveK12,CI$7,FALSE)</f>
        <v>1.3135086790286867</v>
      </c>
      <c r="CJ28" s="540">
        <f>-1*VLOOKUP($A28,[1]Landfilling!$N$27:$R$41,5,FALSE)</f>
        <v>-0.11978164912046663</v>
      </c>
      <c r="CK28" s="541">
        <f>VLOOKUP($A28,'[1]Post-Consumer Transport'!$C$33:$K$88,3,FALSE)+VLOOKUP($A28,'[1]Post-Consumer Transport'!$C$33:$K$88,4,FALSE)</f>
        <v>2.0254519141196047E-2</v>
      </c>
      <c r="CL28" s="542">
        <f t="shared" si="102"/>
        <v>3.3978061204317305</v>
      </c>
      <c r="CM28" s="538">
        <f t="shared" si="48"/>
        <v>1.2919067847877266</v>
      </c>
      <c r="CN28" s="538">
        <f t="shared" si="49"/>
        <v>0.99401927373071342</v>
      </c>
      <c r="CO28" s="539">
        <f t="shared" si="50"/>
        <v>1.2139815490494161</v>
      </c>
      <c r="CP28" s="537">
        <f>VLOOKUP($A28,[1]!LandfillAggressiveNatlAverage,CP$7,FALSE)</f>
        <v>3.4973332504110006</v>
      </c>
      <c r="CQ28" s="538">
        <f>VLOOKUP($A28,[1]!LandfillAggressiveNatlAverage,CQ$7,FALSE)</f>
        <v>1.574072822154565</v>
      </c>
      <c r="CR28" s="538">
        <f>VLOOKUP($A28,[1]!LandfillAggressiveNatlAverage,CR$7,FALSE)</f>
        <v>1.0120204970652238</v>
      </c>
      <c r="CS28" s="539">
        <f>VLOOKUP($A28,[1]!LandfillAggressiveNatlAverage,CS$7,FALSE)</f>
        <v>1.2802695821843162</v>
      </c>
      <c r="CT28" s="540">
        <f>-1*VLOOKUP($A28,[1]Landfilling!$N$27:$R$41,5,FALSE)</f>
        <v>-0.11978164912046663</v>
      </c>
      <c r="CU28" s="541">
        <f>VLOOKUP($A28,'[1]Post-Consumer Transport'!$C$33:$K$88,3,FALSE)+VLOOKUP($A28,'[1]Post-Consumer Transport'!$C$33:$K$88,4,FALSE)</f>
        <v>2.0254519141196047E-2</v>
      </c>
      <c r="CV28" s="542">
        <f t="shared" si="103"/>
        <v>3.3978061204317305</v>
      </c>
      <c r="CW28" s="538">
        <f t="shared" si="52"/>
        <v>1.4745456921752944</v>
      </c>
      <c r="CX28" s="538">
        <f t="shared" si="53"/>
        <v>0.91249336708595319</v>
      </c>
      <c r="CY28" s="539">
        <f t="shared" si="54"/>
        <v>1.1807424522050456</v>
      </c>
      <c r="DA28" s="537">
        <f>VLOOKUP($A28,[1]!LandfillWorstK2,DA$7,FALSE)</f>
        <v>3.4973332504110006</v>
      </c>
      <c r="DB28" s="538">
        <f>VLOOKUP($A28,[1]!LandfillWorstK2,DB$7,FALSE)</f>
        <v>1.8552425656915708</v>
      </c>
      <c r="DC28" s="538">
        <f>VLOOKUP($A28,[1]!LandfillWorstK2,DC$7,FALSE)</f>
        <v>0.96947201665316018</v>
      </c>
      <c r="DD28" s="539">
        <f>VLOOKUP($A28,[1]!LandfillWorstK2,DD$7,FALSE)</f>
        <v>1.2856306653830707</v>
      </c>
      <c r="DE28" s="540">
        <f>-1*VLOOKUP($A28,[1]Landfilling!$N$27:$R$41,5,FALSE)</f>
        <v>-0.11978164912046663</v>
      </c>
      <c r="DF28" s="541">
        <f>VLOOKUP($A28,'[1]Post-Consumer Transport'!$C$33:$K$88,3,FALSE)+VLOOKUP($A28,'[1]Post-Consumer Transport'!$C$33:$K$88,4,FALSE)</f>
        <v>2.0254519141196047E-2</v>
      </c>
      <c r="DG28" s="542">
        <f t="shared" si="104"/>
        <v>3.3978061204317305</v>
      </c>
      <c r="DH28" s="538">
        <f t="shared" si="56"/>
        <v>1.7557154357123002</v>
      </c>
      <c r="DI28" s="538">
        <f t="shared" si="57"/>
        <v>0.86994488667388958</v>
      </c>
      <c r="DJ28" s="539">
        <f t="shared" si="58"/>
        <v>1.1861035354038001</v>
      </c>
      <c r="DK28" s="537">
        <f>VLOOKUP($A28,[1]!LandfillWorstK4,DK$7,FALSE)</f>
        <v>3.4973332504110006</v>
      </c>
      <c r="DL28" s="538">
        <f>VLOOKUP($A28,[1]!LandfillWorstK4,DL$7,FALSE)</f>
        <v>1.7466493598722819</v>
      </c>
      <c r="DM28" s="538">
        <f>VLOOKUP($A28,[1]!LandfillWorstK4,DM$7,FALSE)</f>
        <v>1.1553902535360627</v>
      </c>
      <c r="DN28" s="539">
        <f>VLOOKUP($A28,[1]!LandfillWorstK4,DN$7,FALSE)</f>
        <v>1.4192556646788133</v>
      </c>
      <c r="DO28" s="540">
        <f>-1*VLOOKUP($A28,[1]Landfilling!$N$27:$R$41,5,FALSE)</f>
        <v>-0.11978164912046663</v>
      </c>
      <c r="DP28" s="541">
        <f>VLOOKUP($A28,'[1]Post-Consumer Transport'!$C$33:$K$88,3,FALSE)+VLOOKUP($A28,'[1]Post-Consumer Transport'!$C$33:$K$88,4,FALSE)</f>
        <v>2.0254519141196047E-2</v>
      </c>
      <c r="DQ28" s="542">
        <f t="shared" si="105"/>
        <v>3.3978061204317305</v>
      </c>
      <c r="DR28" s="538">
        <f t="shared" si="60"/>
        <v>1.6471222298930113</v>
      </c>
      <c r="DS28" s="538">
        <f t="shared" si="61"/>
        <v>1.0558631235567921</v>
      </c>
      <c r="DT28" s="539">
        <f t="shared" si="62"/>
        <v>1.3197285346995427</v>
      </c>
      <c r="DU28" s="537">
        <f>VLOOKUP($A28,[1]!LandfillWorstK6,DU$7,FALSE)</f>
        <v>3.4973332504110006</v>
      </c>
      <c r="DV28" s="538">
        <f>VLOOKUP($A28,[1]!LandfillWorstK6,DV$7,FALSE)</f>
        <v>1.7218022222131169</v>
      </c>
      <c r="DW28" s="538">
        <f>VLOOKUP($A28,[1]!LandfillWorstK6,DW$7,FALSE)</f>
        <v>1.230496293216226</v>
      </c>
      <c r="DX28" s="539">
        <f>VLOOKUP($A28,[1]!LandfillWorstK6,DX$7,FALSE)</f>
        <v>1.4713162712518042</v>
      </c>
      <c r="DY28" s="540">
        <f>-1*VLOOKUP($A28,[1]Landfilling!$N$27:$R$41,5,FALSE)</f>
        <v>-0.11978164912046663</v>
      </c>
      <c r="DZ28" s="541">
        <f>VLOOKUP($A28,'[1]Post-Consumer Transport'!$C$33:$K$88,3,FALSE)+VLOOKUP($A28,'[1]Post-Consumer Transport'!$C$33:$K$88,4,FALSE)</f>
        <v>2.0254519141196047E-2</v>
      </c>
      <c r="EA28" s="542">
        <f t="shared" si="106"/>
        <v>3.3978061204317305</v>
      </c>
      <c r="EB28" s="538">
        <f t="shared" si="64"/>
        <v>1.6222750922338462</v>
      </c>
      <c r="EC28" s="538">
        <f t="shared" si="65"/>
        <v>1.1309691632369554</v>
      </c>
      <c r="ED28" s="539">
        <f t="shared" si="66"/>
        <v>1.3717891412725336</v>
      </c>
      <c r="EE28" s="537">
        <f>VLOOKUP($A28,[1]!LandfillWorstK12,EE$7,FALSE)</f>
        <v>3.4973332504110006</v>
      </c>
      <c r="EF28" s="538">
        <f>VLOOKUP($A28,[1]!LandfillWorstK12,EF$7,FALSE)</f>
        <v>1.7650277831270054</v>
      </c>
      <c r="EG28" s="538">
        <f>VLOOKUP($A28,[1]!LandfillWorstK12,EG$7,FALSE)</f>
        <v>1.4694842551022109</v>
      </c>
      <c r="EH28" s="539">
        <f>VLOOKUP($A28,[1]!LandfillWorstK12,EH$7,FALSE)</f>
        <v>1.6624322158578388</v>
      </c>
      <c r="EI28" s="540">
        <f>-1*VLOOKUP($A28,[1]Landfilling!$N$27:$R$41,5,FALSE)</f>
        <v>-0.11978164912046663</v>
      </c>
      <c r="EJ28" s="541">
        <f>VLOOKUP($A28,'[1]Post-Consumer Transport'!$C$33:$K$88,3,FALSE)+VLOOKUP($A28,'[1]Post-Consumer Transport'!$C$33:$K$88,4,FALSE)</f>
        <v>2.0254519141196047E-2</v>
      </c>
      <c r="EK28" s="542">
        <f t="shared" si="107"/>
        <v>3.3978061204317305</v>
      </c>
      <c r="EL28" s="538">
        <f t="shared" si="68"/>
        <v>1.6655006531477348</v>
      </c>
      <c r="EM28" s="538">
        <f t="shared" si="69"/>
        <v>1.3699571251229403</v>
      </c>
      <c r="EN28" s="539">
        <f t="shared" si="70"/>
        <v>1.5629050858785682</v>
      </c>
      <c r="EO28" s="537">
        <f>VLOOKUP($A28,[1]!LandfillWorstNatlAverage,EO$7,FALSE)</f>
        <v>3.4973332504110006</v>
      </c>
      <c r="EP28" s="538">
        <f>VLOOKUP($A28,[1]!LandfillWorstNatlAverage,EP$7,FALSE)</f>
        <v>1.7599936697836949</v>
      </c>
      <c r="EQ28" s="538">
        <f>VLOOKUP($A28,[1]!LandfillWorstNatlAverage,EQ$7,FALSE)</f>
        <v>1.1804845886246442</v>
      </c>
      <c r="ER28" s="539">
        <f>VLOOKUP($A28,[1]!LandfillWorstNatlAverage,ER$7,FALSE)</f>
        <v>1.4382452292390668</v>
      </c>
      <c r="ES28" s="540">
        <f>-1*VLOOKUP($A28,[1]Landfilling!$N$27:$R$41,5,FALSE)</f>
        <v>-0.11978164912046663</v>
      </c>
      <c r="ET28" s="541">
        <f>VLOOKUP($A28,'[1]Post-Consumer Transport'!$C$33:$K$88,3,FALSE)+VLOOKUP($A28,'[1]Post-Consumer Transport'!$C$33:$K$88,4,FALSE)</f>
        <v>2.0254519141196047E-2</v>
      </c>
      <c r="EU28" s="542">
        <f t="shared" si="108"/>
        <v>3.3978061204317305</v>
      </c>
      <c r="EV28" s="538">
        <f t="shared" si="72"/>
        <v>1.6604665398044243</v>
      </c>
      <c r="EW28" s="538">
        <f t="shared" si="73"/>
        <v>1.0809574586453736</v>
      </c>
      <c r="EX28" s="539">
        <f t="shared" si="74"/>
        <v>1.3387180992597962</v>
      </c>
      <c r="EZ28" s="537">
        <f>VLOOKUP($A28,[1]!LandfillCaliK2,EZ$7,FALSE)</f>
        <v>3.4973332504110006</v>
      </c>
      <c r="FA28" s="538">
        <f>VLOOKUP($A28,[1]!LandfillCaliK2,FA$7,FALSE)</f>
        <v>0.78306436841664395</v>
      </c>
      <c r="FB28" s="538">
        <f>VLOOKUP($A28,[1]!LandfillCaliK2,FB$7,FALSE)</f>
        <v>0.45819387553306401</v>
      </c>
      <c r="FC28" s="539">
        <f>VLOOKUP($A28,[1]!LandfillCaliK2,FC$7,FALSE)</f>
        <v>0.75790568719185869</v>
      </c>
      <c r="FD28" s="540">
        <f>-1*VLOOKUP($A28,[1]Landfilling!$N$27:$R$41,5,FALSE)</f>
        <v>-0.11978164912046663</v>
      </c>
      <c r="FE28" s="541">
        <f>VLOOKUP($A28,'[1]Post-Consumer Transport'!$C$33:$K$88,3,FALSE)+VLOOKUP($A28,'[1]Post-Consumer Transport'!$C$33:$K$88,4,FALSE)</f>
        <v>2.0254519141196047E-2</v>
      </c>
      <c r="FF28" s="542">
        <f t="shared" si="109"/>
        <v>3.3978061204317305</v>
      </c>
      <c r="FG28" s="538">
        <f t="shared" si="76"/>
        <v>0.68353723843737335</v>
      </c>
      <c r="FH28" s="538">
        <f t="shared" si="77"/>
        <v>0.35866674555379341</v>
      </c>
      <c r="FI28" s="539">
        <f t="shared" si="78"/>
        <v>0.65837855721258809</v>
      </c>
      <c r="FJ28" s="537">
        <f>VLOOKUP($A28,[1]!LandfillCaliK4,FJ$7,FALSE)</f>
        <v>3.4973332504110006</v>
      </c>
      <c r="FK28" s="538">
        <f>VLOOKUP($A28,[1]!LandfillCaliK4,FK$7,FALSE)</f>
        <v>0.70170501505975236</v>
      </c>
      <c r="FL28" s="538">
        <f>VLOOKUP($A28,[1]!LandfillCaliK4,FL$7,FALSE)</f>
        <v>0.6030469898821631</v>
      </c>
      <c r="FM28" s="539">
        <f>VLOOKUP($A28,[1]!LandfillCaliK4,FM$7,FALSE)</f>
        <v>0.86284225911384915</v>
      </c>
      <c r="FN28" s="540">
        <f>-1*VLOOKUP($A28,[1]Landfilling!$N$27:$R$41,5,FALSE)</f>
        <v>-0.11978164912046663</v>
      </c>
      <c r="FO28" s="541">
        <f>VLOOKUP($A28,'[1]Post-Consumer Transport'!$C$33:$K$88,3,FALSE)+VLOOKUP($A28,'[1]Post-Consumer Transport'!$C$33:$K$88,4,FALSE)</f>
        <v>2.0254519141196047E-2</v>
      </c>
      <c r="FP28" s="542">
        <f t="shared" si="110"/>
        <v>3.3978061204317305</v>
      </c>
      <c r="FQ28" s="538">
        <f t="shared" si="80"/>
        <v>0.60217788508048176</v>
      </c>
      <c r="FR28" s="538">
        <f t="shared" si="81"/>
        <v>0.5035198599028925</v>
      </c>
      <c r="FS28" s="539">
        <f t="shared" si="82"/>
        <v>0.76331512913457855</v>
      </c>
      <c r="FT28" s="537">
        <f>VLOOKUP($A28,[1]!LandfillCaliK6,FT$7,FALSE)</f>
        <v>3.4973332504110006</v>
      </c>
      <c r="FU28" s="538">
        <f>VLOOKUP($A28,[1]!LandfillCaliK6,FU$7,FALSE)</f>
        <v>0.75233369691106677</v>
      </c>
      <c r="FV28" s="538">
        <f>VLOOKUP($A28,[1]!LandfillCaliK6,FV$7,FALSE)</f>
        <v>0.67829818332132341</v>
      </c>
      <c r="FW28" s="539">
        <f>VLOOKUP($A28,[1]!LandfillCaliK6,FW$7,FALSE)</f>
        <v>0.91831728960256842</v>
      </c>
      <c r="FX28" s="540">
        <f>-1*VLOOKUP($A28,[1]Landfilling!$N$27:$R$41,5,FALSE)</f>
        <v>-0.11978164912046663</v>
      </c>
      <c r="FY28" s="541">
        <f>VLOOKUP($A28,'[1]Post-Consumer Transport'!$C$33:$K$88,3,FALSE)+VLOOKUP($A28,'[1]Post-Consumer Transport'!$C$33:$K$88,4,FALSE)</f>
        <v>2.0254519141196047E-2</v>
      </c>
      <c r="FZ28" s="542">
        <f t="shared" si="111"/>
        <v>3.3978061204317305</v>
      </c>
      <c r="GA28" s="538">
        <f t="shared" si="84"/>
        <v>0.65280656693179617</v>
      </c>
      <c r="GB28" s="538">
        <f t="shared" si="85"/>
        <v>0.57877105334205281</v>
      </c>
      <c r="GC28" s="539">
        <f t="shared" si="86"/>
        <v>0.81879015962329782</v>
      </c>
      <c r="GD28" s="537">
        <f>VLOOKUP($A28,[1]!LandfillCaliK12,GD$7,FALSE)</f>
        <v>3.4973332504110006</v>
      </c>
      <c r="GE28" s="538">
        <f>VLOOKUP($A28,[1]!LandfillCaliK12,GE$7,FALSE)</f>
        <v>0.83784190808663916</v>
      </c>
      <c r="GF28" s="538">
        <f>VLOOKUP($A28,[1]!LandfillCaliK12,GF$7,FALSE)</f>
        <v>0.79858062163394128</v>
      </c>
      <c r="GG28" s="539">
        <f>VLOOKUP($A28,[1]!LandfillCaliK12,GG$7,FALSE)</f>
        <v>1.0133426113320405</v>
      </c>
      <c r="GH28" s="540">
        <f>-1*VLOOKUP($A28,[1]Landfilling!$N$27:$R$41,5,FALSE)</f>
        <v>-0.11978164912046663</v>
      </c>
      <c r="GI28" s="541">
        <f>VLOOKUP($A28,'[1]Post-Consumer Transport'!$C$33:$K$88,3,FALSE)+VLOOKUP($A28,'[1]Post-Consumer Transport'!$C$33:$K$88,4,FALSE)</f>
        <v>2.0254519141196047E-2</v>
      </c>
      <c r="GJ28" s="542">
        <f t="shared" si="112"/>
        <v>3.3978061204317305</v>
      </c>
      <c r="GK28" s="538">
        <f t="shared" si="88"/>
        <v>0.73831477810736856</v>
      </c>
      <c r="GL28" s="538">
        <f t="shared" si="89"/>
        <v>0.69905349165467068</v>
      </c>
      <c r="GM28" s="539">
        <f t="shared" si="90"/>
        <v>0.91381548135276991</v>
      </c>
      <c r="GN28" s="537">
        <f>VLOOKUP($A28,[1]!LandfillCaliNatlAverage,GN$7,FALSE)</f>
        <v>3.4973332504110006</v>
      </c>
      <c r="GO28" s="538">
        <f>VLOOKUP($A28,[1]!LandfillCaliNatlAverage,GO$7,FALSE)</f>
        <v>0.75239896327471012</v>
      </c>
      <c r="GP28" s="538">
        <f>VLOOKUP($A28,[1]!LandfillCaliNatlAverage,GP$7,FALSE)</f>
        <v>0.62455797069101604</v>
      </c>
      <c r="GQ28" s="539">
        <f>VLOOKUP($A28,[1]!LandfillCaliNatlAverage,GQ$7,FALSE)</f>
        <v>0.87970521748213382</v>
      </c>
      <c r="GR28" s="540">
        <f>-1*VLOOKUP($A28,[1]Landfilling!$N$27:$R$41,5,FALSE)</f>
        <v>-0.11978164912046663</v>
      </c>
      <c r="GS28" s="541">
        <f>VLOOKUP($A28,'[1]Post-Consumer Transport'!$C$33:$K$88,3,FALSE)+VLOOKUP($A28,'[1]Post-Consumer Transport'!$C$33:$K$88,4,FALSE)</f>
        <v>2.0254519141196047E-2</v>
      </c>
      <c r="GT28" s="542">
        <f t="shared" si="113"/>
        <v>3.3978061204317305</v>
      </c>
      <c r="GU28" s="538">
        <f t="shared" si="92"/>
        <v>0.65287183329543952</v>
      </c>
      <c r="GV28" s="538">
        <f t="shared" si="93"/>
        <v>0.52503084071174544</v>
      </c>
      <c r="GW28" s="539">
        <f t="shared" si="94"/>
        <v>0.78017808750286322</v>
      </c>
    </row>
    <row r="29" spans="1:205" x14ac:dyDescent="0.25">
      <c r="A29" s="494" t="s">
        <v>4</v>
      </c>
      <c r="B29" s="536" t="s">
        <v>4</v>
      </c>
      <c r="C29" s="537">
        <f>VLOOKUP($A29,[1]!LandfillTypicalK2,C$7,FALSE)</f>
        <v>0.14980698005624998</v>
      </c>
      <c r="D29" s="538">
        <f>VLOOKUP($A29,[1]!LandfillTypicalK2,D$7,FALSE)</f>
        <v>6.7184906244748474E-2</v>
      </c>
      <c r="E29" s="538">
        <f>VLOOKUP($A29,[1]!LandfillTypicalK2,E$7,FALSE)</f>
        <v>3.7132172485267102E-2</v>
      </c>
      <c r="F29" s="621">
        <f>VLOOKUP($A29,[1]!LandfillTypicalK2,F$7,FALSE)</f>
        <v>5.0105916172110423E-2</v>
      </c>
      <c r="G29" s="540">
        <f>-1*VLOOKUP($A29,[1]Landfilling!$N$27:$R$41,5,FALSE)</f>
        <v>-1.0893776752833335</v>
      </c>
      <c r="H29" s="541">
        <f>VLOOKUP($A29,'[1]Post-Consumer Transport'!$C$33:$K$88,3,FALSE)+VLOOKUP($A29,'[1]Post-Consumer Transport'!$C$33:$K$88,4,FALSE)</f>
        <v>2.0254519141196047E-2</v>
      </c>
      <c r="I29" s="542">
        <f t="shared" si="17"/>
        <v>-0.91931617608588745</v>
      </c>
      <c r="J29" s="538">
        <f t="shared" si="18"/>
        <v>-1.001938249897389</v>
      </c>
      <c r="K29" s="538">
        <f t="shared" si="18"/>
        <v>-1.0319909836568704</v>
      </c>
      <c r="L29" s="539">
        <f t="shared" si="18"/>
        <v>-1.019017239970027</v>
      </c>
      <c r="M29" s="537">
        <f>VLOOKUP($A29,[1]!LandfillTypicalK4,M$7,FALSE)</f>
        <v>0.14980698005624998</v>
      </c>
      <c r="N29" s="538">
        <f>VLOOKUP($A29,[1]!LandfillTypicalK4,N$7,FALSE)</f>
        <v>6.1160784540617727E-2</v>
      </c>
      <c r="O29" s="538">
        <f>VLOOKUP($A29,[1]!LandfillTypicalK4,O$7,FALSE)</f>
        <v>4.3393537981275647E-2</v>
      </c>
      <c r="P29" s="539">
        <f>VLOOKUP($A29,[1]!LandfillTypicalK4,P$7,FALSE)</f>
        <v>5.4188837400939417E-2</v>
      </c>
      <c r="Q29" s="540">
        <f>-1*VLOOKUP($A29,[1]Landfilling!$N$27:$R$41,5,FALSE)</f>
        <v>-1.0893776752833335</v>
      </c>
      <c r="R29" s="541">
        <f>VLOOKUP($A29,'[1]Post-Consumer Transport'!$C$33:$K$88,3,FALSE)+VLOOKUP($A29,'[1]Post-Consumer Transport'!$C$33:$K$88,4,FALSE)</f>
        <v>2.0254519141196047E-2</v>
      </c>
      <c r="S29" s="542">
        <f t="shared" si="95"/>
        <v>-0.91931617608588745</v>
      </c>
      <c r="T29" s="538">
        <f t="shared" si="20"/>
        <v>-1.0079623716015198</v>
      </c>
      <c r="U29" s="538">
        <f t="shared" si="21"/>
        <v>-1.0257296181608619</v>
      </c>
      <c r="V29" s="539">
        <f t="shared" si="22"/>
        <v>-1.0149343187411981</v>
      </c>
      <c r="W29" s="537">
        <f>VLOOKUP($A29,[1]!LandfillTypicalK6,W$7,FALSE)</f>
        <v>0.14980698005624998</v>
      </c>
      <c r="X29" s="538">
        <f>VLOOKUP($A29,[1]!LandfillTypicalK6,X$7,FALSE)</f>
        <v>6.0757977172037361E-2</v>
      </c>
      <c r="Y29" s="538">
        <f>VLOOKUP($A29,[1]!LandfillTypicalK6,Y$7,FALSE)</f>
        <v>4.8513567590335836E-2</v>
      </c>
      <c r="Z29" s="539">
        <f>VLOOKUP($A29,[1]!LandfillTypicalK6,Z$7,FALSE)</f>
        <v>5.8057554668955756E-2</v>
      </c>
      <c r="AA29" s="540">
        <f>-1*VLOOKUP($A29,[1]Landfilling!$N$27:$R$41,5,FALSE)</f>
        <v>-1.0893776752833335</v>
      </c>
      <c r="AB29" s="541">
        <f>VLOOKUP($A29,'[1]Post-Consumer Transport'!$C$33:$K$88,3,FALSE)+VLOOKUP($A29,'[1]Post-Consumer Transport'!$C$33:$K$88,4,FALSE)</f>
        <v>2.0254519141196047E-2</v>
      </c>
      <c r="AC29" s="542">
        <f t="shared" si="96"/>
        <v>-0.91931617608588745</v>
      </c>
      <c r="AD29" s="538">
        <f t="shared" si="24"/>
        <v>-1.0083651789701</v>
      </c>
      <c r="AE29" s="538">
        <f t="shared" si="25"/>
        <v>-1.0206095885518016</v>
      </c>
      <c r="AF29" s="539">
        <f t="shared" si="26"/>
        <v>-1.0110656014731818</v>
      </c>
      <c r="AG29" s="537">
        <f>VLOOKUP($A29,[1]!LandfillTypicalK12,AG$7,FALSE)</f>
        <v>0.14980698005624998</v>
      </c>
      <c r="AH29" s="538">
        <f>VLOOKUP($A29,[1]!LandfillTypicalK12,AH$7,FALSE)</f>
        <v>6.716444144120183E-2</v>
      </c>
      <c r="AI29" s="538">
        <f>VLOOKUP($A29,[1]!LandfillTypicalK12,AI$7,FALSE)</f>
        <v>6.0718009309172122E-2</v>
      </c>
      <c r="AJ29" s="539">
        <f>VLOOKUP($A29,[1]!LandfillTypicalK12,AJ$7,FALSE)</f>
        <v>6.8487179556250374E-2</v>
      </c>
      <c r="AK29" s="540">
        <f>-1*VLOOKUP($A29,[1]Landfilling!$N$27:$R$41,5,FALSE)</f>
        <v>-1.0893776752833335</v>
      </c>
      <c r="AL29" s="541">
        <f>VLOOKUP($A29,'[1]Post-Consumer Transport'!$C$33:$K$88,3,FALSE)+VLOOKUP($A29,'[1]Post-Consumer Transport'!$C$33:$K$88,4,FALSE)</f>
        <v>2.0254519141196047E-2</v>
      </c>
      <c r="AM29" s="542">
        <f t="shared" si="97"/>
        <v>-0.91931617608588745</v>
      </c>
      <c r="AN29" s="538">
        <f t="shared" si="28"/>
        <v>-1.0019587147009357</v>
      </c>
      <c r="AO29" s="538">
        <f t="shared" si="29"/>
        <v>-1.0084051468329653</v>
      </c>
      <c r="AP29" s="539">
        <f t="shared" si="30"/>
        <v>-1.0006359765858872</v>
      </c>
      <c r="AQ29" s="537">
        <f>VLOOKUP($A29,[1]!LandfillTypicalNatlAverage,AQ$7,FALSE)</f>
        <v>0.14980698005624998</v>
      </c>
      <c r="AR29" s="538">
        <f>VLOOKUP($A29,[1]!LandfillTypicalNatlAverage,AR$7,FALSE)</f>
        <v>6.280042074301577E-2</v>
      </c>
      <c r="AS29" s="538">
        <f>VLOOKUP($A29,[1]!LandfillTypicalNatlAverage,AS$7,FALSE)</f>
        <v>4.5978044184187321E-2</v>
      </c>
      <c r="AT29" s="539">
        <f>VLOOKUP($A29,[1]!LandfillTypicalNatlAverage,AT$7,FALSE)</f>
        <v>5.6392130167859433E-2</v>
      </c>
      <c r="AU29" s="540">
        <f>-1*VLOOKUP($A29,[1]Landfilling!$N$27:$R$41,5,FALSE)</f>
        <v>-1.0893776752833335</v>
      </c>
      <c r="AV29" s="541">
        <f>VLOOKUP($A29,'[1]Post-Consumer Transport'!$C$33:$K$88,3,FALSE)+VLOOKUP($A29,'[1]Post-Consumer Transport'!$C$33:$K$88,4,FALSE)</f>
        <v>2.0254519141196047E-2</v>
      </c>
      <c r="AW29" s="542">
        <f t="shared" si="98"/>
        <v>-0.91931617608588745</v>
      </c>
      <c r="AX29" s="538">
        <f t="shared" si="32"/>
        <v>-1.0063227353991218</v>
      </c>
      <c r="AY29" s="538">
        <f t="shared" si="33"/>
        <v>-1.0231451119579502</v>
      </c>
      <c r="AZ29" s="539">
        <f t="shared" si="34"/>
        <v>-1.0127310259742781</v>
      </c>
      <c r="BB29" s="537">
        <f>VLOOKUP($A29,[1]!LandfillAggressiveK2,BB$7,FALSE)</f>
        <v>0.14980698005624998</v>
      </c>
      <c r="BC29" s="538">
        <f>VLOOKUP($A29,[1]!LandfillAggressiveK2,BC$7,FALSE)</f>
        <v>6.5468157638395794E-2</v>
      </c>
      <c r="BD29" s="538">
        <f>VLOOKUP($A29,[1]!LandfillAggressiveK2,BD$7,FALSE)</f>
        <v>3.547997058465422E-2</v>
      </c>
      <c r="BE29" s="539">
        <f>VLOOKUP($A29,[1]!LandfillAggressiveK2,BE$7,FALSE)</f>
        <v>4.8589305761931843E-2</v>
      </c>
      <c r="BF29" s="540">
        <f>-1*VLOOKUP($A29,[1]Landfilling!$N$27:$R$41,5,FALSE)</f>
        <v>-1.0893776752833335</v>
      </c>
      <c r="BG29" s="541">
        <f>VLOOKUP($A29,'[1]Post-Consumer Transport'!$C$33:$K$88,3,FALSE)+VLOOKUP($A29,'[1]Post-Consumer Transport'!$C$33:$K$88,4,FALSE)</f>
        <v>2.0254519141196047E-2</v>
      </c>
      <c r="BH29" s="542">
        <f t="shared" si="99"/>
        <v>-0.91931617608588745</v>
      </c>
      <c r="BI29" s="538">
        <f t="shared" si="36"/>
        <v>-1.0036549985037417</v>
      </c>
      <c r="BJ29" s="538">
        <f t="shared" si="37"/>
        <v>-1.0336431855574832</v>
      </c>
      <c r="BK29" s="539">
        <f t="shared" si="38"/>
        <v>-1.0205338503802057</v>
      </c>
      <c r="BL29" s="881">
        <f>VLOOKUP($A29,[1]!LandfillAggressiveK4,BL$7,FALSE)</f>
        <v>0.14980698005624998</v>
      </c>
      <c r="BM29" s="882">
        <f>VLOOKUP($A29,[1]!LandfillAggressiveK4,BM$7,FALSE)</f>
        <v>5.7348176980547026E-2</v>
      </c>
      <c r="BN29" s="882">
        <f>VLOOKUP($A29,[1]!LandfillAggressiveK4,BN$7,FALSE)</f>
        <v>4.0107248617289697E-2</v>
      </c>
      <c r="BO29" s="883">
        <f>VLOOKUP($A29,[1]!LandfillAggressiveK4,BO$7,FALSE)</f>
        <v>5.1041981751594703E-2</v>
      </c>
      <c r="BP29" s="884">
        <f>-1*VLOOKUP($A29,[1]Landfilling!$N$27:$R$41,5,FALSE)</f>
        <v>-1.0893776752833335</v>
      </c>
      <c r="BQ29" s="885">
        <f>VLOOKUP($A29,'[1]Post-Consumer Transport'!$C$33:$K$88,3,FALSE)+VLOOKUP($A29,'[1]Post-Consumer Transport'!$C$33:$K$88,4,FALSE)</f>
        <v>2.0254519141196047E-2</v>
      </c>
      <c r="BR29" s="886">
        <f t="shared" si="100"/>
        <v>-0.91931617608588745</v>
      </c>
      <c r="BS29" s="882">
        <f t="shared" si="40"/>
        <v>-1.0117749791615904</v>
      </c>
      <c r="BT29" s="882">
        <f t="shared" si="41"/>
        <v>-1.0290159075248477</v>
      </c>
      <c r="BU29" s="883">
        <f t="shared" si="42"/>
        <v>-1.0180811743905427</v>
      </c>
      <c r="BV29" s="537">
        <f>VLOOKUP($A29,[1]!LandfillAggressiveK6,BV$7,FALSE)</f>
        <v>0.14980698005624998</v>
      </c>
      <c r="BW29" s="538">
        <f>VLOOKUP($A29,[1]!LandfillAggressiveK6,BW$7,FALSE)</f>
        <v>5.6503763096644261E-2</v>
      </c>
      <c r="BX29" s="538">
        <f>VLOOKUP($A29,[1]!LandfillAggressiveK6,BX$7,FALSE)</f>
        <v>4.3709136481022613E-2</v>
      </c>
      <c r="BY29" s="539">
        <f>VLOOKUP($A29,[1]!LandfillAggressiveK6,BY$7,FALSE)</f>
        <v>5.3582932370663423E-2</v>
      </c>
      <c r="BZ29" s="540">
        <f>-1*VLOOKUP($A29,[1]Landfilling!$N$27:$R$41,5,FALSE)</f>
        <v>-1.0893776752833335</v>
      </c>
      <c r="CA29" s="541">
        <f>VLOOKUP($A29,'[1]Post-Consumer Transport'!$C$33:$K$88,3,FALSE)+VLOOKUP($A29,'[1]Post-Consumer Transport'!$C$33:$K$88,4,FALSE)</f>
        <v>2.0254519141196047E-2</v>
      </c>
      <c r="CB29" s="542">
        <f t="shared" si="101"/>
        <v>-0.91931617608588745</v>
      </c>
      <c r="CC29" s="538">
        <f t="shared" si="44"/>
        <v>-1.0126193930454932</v>
      </c>
      <c r="CD29" s="538">
        <f t="shared" si="45"/>
        <v>-1.0254140196611148</v>
      </c>
      <c r="CE29" s="539">
        <f t="shared" si="46"/>
        <v>-1.0155402237714741</v>
      </c>
      <c r="CF29" s="537">
        <f>VLOOKUP($A29,[1]!LandfillAggressiveK12,CF$7,FALSE)</f>
        <v>0.14980698005624998</v>
      </c>
      <c r="CG29" s="538">
        <f>VLOOKUP($A29,[1]!LandfillAggressiveK12,CG$7,FALSE)</f>
        <v>5.9996144514623359E-2</v>
      </c>
      <c r="CH29" s="538">
        <f>VLOOKUP($A29,[1]!LandfillAggressiveK12,CH$7,FALSE)</f>
        <v>5.3306345950183583E-2</v>
      </c>
      <c r="CI29" s="539">
        <f>VLOOKUP($A29,[1]!LandfillAggressiveK12,CI$7,FALSE)</f>
        <v>6.1554201820715852E-2</v>
      </c>
      <c r="CJ29" s="540">
        <f>-1*VLOOKUP($A29,[1]Landfilling!$N$27:$R$41,5,FALSE)</f>
        <v>-1.0893776752833335</v>
      </c>
      <c r="CK29" s="541">
        <f>VLOOKUP($A29,'[1]Post-Consumer Transport'!$C$33:$K$88,3,FALSE)+VLOOKUP($A29,'[1]Post-Consumer Transport'!$C$33:$K$88,4,FALSE)</f>
        <v>2.0254519141196047E-2</v>
      </c>
      <c r="CL29" s="542">
        <f t="shared" si="102"/>
        <v>-0.91931617608588745</v>
      </c>
      <c r="CM29" s="538">
        <f t="shared" si="48"/>
        <v>-1.0091270116275142</v>
      </c>
      <c r="CN29" s="538">
        <f t="shared" si="49"/>
        <v>-1.0158168101919538</v>
      </c>
      <c r="CO29" s="539">
        <f t="shared" si="50"/>
        <v>-1.0075689543214217</v>
      </c>
      <c r="CP29" s="537">
        <f>VLOOKUP($A29,[1]!LandfillAggressiveNatlAverage,CP$7,FALSE)</f>
        <v>0.14980698005624998</v>
      </c>
      <c r="CQ29" s="538">
        <f>VLOOKUP($A29,[1]!LandfillAggressiveNatlAverage,CQ$7,FALSE)</f>
        <v>5.888991575924038E-2</v>
      </c>
      <c r="CR29" s="538">
        <f>VLOOKUP($A29,[1]!LandfillAggressiveNatlAverage,CR$7,FALSE)</f>
        <v>4.1982078656046216E-2</v>
      </c>
      <c r="CS29" s="539">
        <f>VLOOKUP($A29,[1]!LandfillAggressiveNatlAverage,CS$7,FALSE)</f>
        <v>5.2646999265011485E-2</v>
      </c>
      <c r="CT29" s="540">
        <f>-1*VLOOKUP($A29,[1]Landfilling!$N$27:$R$41,5,FALSE)</f>
        <v>-1.0893776752833335</v>
      </c>
      <c r="CU29" s="541">
        <f>VLOOKUP($A29,'[1]Post-Consumer Transport'!$C$33:$K$88,3,FALSE)+VLOOKUP($A29,'[1]Post-Consumer Transport'!$C$33:$K$88,4,FALSE)</f>
        <v>2.0254519141196047E-2</v>
      </c>
      <c r="CV29" s="542">
        <f t="shared" si="103"/>
        <v>-0.91931617608588745</v>
      </c>
      <c r="CW29" s="538">
        <f t="shared" si="52"/>
        <v>-1.0102332403828971</v>
      </c>
      <c r="CX29" s="538">
        <f t="shared" si="53"/>
        <v>-1.0271410774860912</v>
      </c>
      <c r="CY29" s="539">
        <f t="shared" si="54"/>
        <v>-1.0164761568771261</v>
      </c>
      <c r="DA29" s="537">
        <f>VLOOKUP($A29,[1]!LandfillWorstK2,DA$7,FALSE)</f>
        <v>0.14980698005624998</v>
      </c>
      <c r="DB29" s="538">
        <f>VLOOKUP($A29,[1]!LandfillWorstK2,DB$7,FALSE)</f>
        <v>7.3718704365851775E-2</v>
      </c>
      <c r="DC29" s="538">
        <f>VLOOKUP($A29,[1]!LandfillWorstK2,DC$7,FALSE)</f>
        <v>4.3530592848237855E-2</v>
      </c>
      <c r="DD29" s="539">
        <f>VLOOKUP($A29,[1]!LandfillWorstK2,DD$7,FALSE)</f>
        <v>5.5983906528460206E-2</v>
      </c>
      <c r="DE29" s="540">
        <f>-1*VLOOKUP($A29,[1]Landfilling!$N$27:$R$41,5,FALSE)</f>
        <v>-1.0893776752833335</v>
      </c>
      <c r="DF29" s="541">
        <f>VLOOKUP($A29,'[1]Post-Consumer Transport'!$C$33:$K$88,3,FALSE)+VLOOKUP($A29,'[1]Post-Consumer Transport'!$C$33:$K$88,4,FALSE)</f>
        <v>2.0254519141196047E-2</v>
      </c>
      <c r="DG29" s="542">
        <f t="shared" si="104"/>
        <v>-0.91931617608588745</v>
      </c>
      <c r="DH29" s="538">
        <f t="shared" si="56"/>
        <v>-0.99540445177628567</v>
      </c>
      <c r="DI29" s="538">
        <f t="shared" si="57"/>
        <v>-1.0255925632938996</v>
      </c>
      <c r="DJ29" s="539">
        <f t="shared" si="58"/>
        <v>-1.0131392496136773</v>
      </c>
      <c r="DK29" s="537">
        <f>VLOOKUP($A29,[1]!LandfillWorstK4,DK$7,FALSE)</f>
        <v>0.14980698005624998</v>
      </c>
      <c r="DL29" s="538">
        <f>VLOOKUP($A29,[1]!LandfillWorstK4,DL$7,FALSE)</f>
        <v>7.3005672358958176E-2</v>
      </c>
      <c r="DM29" s="538">
        <f>VLOOKUP($A29,[1]!LandfillWorstK4,DM$7,FALSE)</f>
        <v>5.55040812569325E-2</v>
      </c>
      <c r="DN29" s="539">
        <f>VLOOKUP($A29,[1]!LandfillWorstK4,DN$7,FALSE)</f>
        <v>6.5247534635227644E-2</v>
      </c>
      <c r="DO29" s="540">
        <f>-1*VLOOKUP($A29,[1]Landfilling!$N$27:$R$41,5,FALSE)</f>
        <v>-1.0893776752833335</v>
      </c>
      <c r="DP29" s="541">
        <f>VLOOKUP($A29,'[1]Post-Consumer Transport'!$C$33:$K$88,3,FALSE)+VLOOKUP($A29,'[1]Post-Consumer Transport'!$C$33:$K$88,4,FALSE)</f>
        <v>2.0254519141196047E-2</v>
      </c>
      <c r="DQ29" s="542">
        <f t="shared" si="105"/>
        <v>-0.91931617608588745</v>
      </c>
      <c r="DR29" s="538">
        <f t="shared" si="60"/>
        <v>-0.99611748378317921</v>
      </c>
      <c r="DS29" s="538">
        <f t="shared" si="61"/>
        <v>-1.013619074885205</v>
      </c>
      <c r="DT29" s="539">
        <f t="shared" si="62"/>
        <v>-1.0038756215069098</v>
      </c>
      <c r="DU29" s="537">
        <f>VLOOKUP($A29,[1]!LandfillWorstK6,DU$7,FALSE)</f>
        <v>0.14980698005624998</v>
      </c>
      <c r="DV29" s="538">
        <f>VLOOKUP($A29,[1]!LandfillWorstK6,DV$7,FALSE)</f>
        <v>7.8246206558720763E-2</v>
      </c>
      <c r="DW29" s="538">
        <f>VLOOKUP($A29,[1]!LandfillWorstK6,DW$7,FALSE)</f>
        <v>6.5708542191620006E-2</v>
      </c>
      <c r="DX29" s="539">
        <f>VLOOKUP($A29,[1]!LandfillWorstK6,DX$7,FALSE)</f>
        <v>7.3855925496733407E-2</v>
      </c>
      <c r="DY29" s="540">
        <f>-1*VLOOKUP($A29,[1]Landfilling!$N$27:$R$41,5,FALSE)</f>
        <v>-1.0893776752833335</v>
      </c>
      <c r="DZ29" s="541">
        <f>VLOOKUP($A29,'[1]Post-Consumer Transport'!$C$33:$K$88,3,FALSE)+VLOOKUP($A29,'[1]Post-Consumer Transport'!$C$33:$K$88,4,FALSE)</f>
        <v>2.0254519141196047E-2</v>
      </c>
      <c r="EA29" s="542">
        <f t="shared" si="106"/>
        <v>-0.91931617608588745</v>
      </c>
      <c r="EB29" s="538">
        <f t="shared" si="64"/>
        <v>-0.99087694958341666</v>
      </c>
      <c r="EC29" s="538">
        <f t="shared" si="65"/>
        <v>-1.0034146139505176</v>
      </c>
      <c r="ED29" s="539">
        <f t="shared" si="66"/>
        <v>-0.99526723064540401</v>
      </c>
      <c r="EE29" s="537">
        <f>VLOOKUP($A29,[1]!LandfillWorstK12,EE$7,FALSE)</f>
        <v>0.14980698005624998</v>
      </c>
      <c r="EF29" s="538">
        <f>VLOOKUP($A29,[1]!LandfillWorstK12,EF$7,FALSE)</f>
        <v>9.5403240676846315E-2</v>
      </c>
      <c r="EG29" s="538">
        <f>VLOOKUP($A29,[1]!LandfillWorstK12,EG$7,FALSE)</f>
        <v>8.9024665530580901E-2</v>
      </c>
      <c r="EH29" s="539">
        <f>VLOOKUP($A29,[1]!LandfillWorstK12,EH$7,FALSE)</f>
        <v>9.4543154838336821E-2</v>
      </c>
      <c r="EI29" s="540">
        <f>-1*VLOOKUP($A29,[1]Landfilling!$N$27:$R$41,5,FALSE)</f>
        <v>-1.0893776752833335</v>
      </c>
      <c r="EJ29" s="541">
        <f>VLOOKUP($A29,'[1]Post-Consumer Transport'!$C$33:$K$88,3,FALSE)+VLOOKUP($A29,'[1]Post-Consumer Transport'!$C$33:$K$88,4,FALSE)</f>
        <v>2.0254519141196047E-2</v>
      </c>
      <c r="EK29" s="542">
        <f t="shared" si="107"/>
        <v>-0.91931617608588745</v>
      </c>
      <c r="EL29" s="538">
        <f t="shared" si="68"/>
        <v>-0.97371991546529113</v>
      </c>
      <c r="EM29" s="538">
        <f t="shared" si="69"/>
        <v>-0.98009849061155663</v>
      </c>
      <c r="EN29" s="539">
        <f t="shared" si="70"/>
        <v>-0.97458000130380062</v>
      </c>
      <c r="EO29" s="537">
        <f>VLOOKUP($A29,[1]!LandfillWorstNatlAverage,EO$7,FALSE)</f>
        <v>0.14980698005624998</v>
      </c>
      <c r="EP29" s="538">
        <f>VLOOKUP($A29,[1]!LandfillWorstNatlAverage,EP$7,FALSE)</f>
        <v>7.7541895148228124E-2</v>
      </c>
      <c r="EQ29" s="538">
        <f>VLOOKUP($A29,[1]!LandfillWorstNatlAverage,EQ$7,FALSE)</f>
        <v>6.0655475446714971E-2</v>
      </c>
      <c r="ER29" s="539">
        <f>VLOOKUP($A29,[1]!LandfillWorstNatlAverage,ER$7,FALSE)</f>
        <v>6.986241967826394E-2</v>
      </c>
      <c r="ES29" s="540">
        <f>-1*VLOOKUP($A29,[1]Landfilling!$N$27:$R$41,5,FALSE)</f>
        <v>-1.0893776752833335</v>
      </c>
      <c r="ET29" s="541">
        <f>VLOOKUP($A29,'[1]Post-Consumer Transport'!$C$33:$K$88,3,FALSE)+VLOOKUP($A29,'[1]Post-Consumer Transport'!$C$33:$K$88,4,FALSE)</f>
        <v>2.0254519141196047E-2</v>
      </c>
      <c r="EU29" s="542">
        <f t="shared" si="108"/>
        <v>-0.91931617608588745</v>
      </c>
      <c r="EV29" s="538">
        <f t="shared" si="72"/>
        <v>-0.99158126099390942</v>
      </c>
      <c r="EW29" s="538">
        <f t="shared" si="73"/>
        <v>-1.0084676806954225</v>
      </c>
      <c r="EX29" s="539">
        <f t="shared" si="74"/>
        <v>-0.99926073646387348</v>
      </c>
      <c r="EZ29" s="537">
        <f>VLOOKUP($A29,[1]!LandfillCaliK2,EZ$7,FALSE)</f>
        <v>0.14980698005624998</v>
      </c>
      <c r="FA29" s="538">
        <f>VLOOKUP($A29,[1]!LandfillCaliK2,FA$7,FALSE)</f>
        <v>3.0661136119183169E-2</v>
      </c>
      <c r="FB29" s="538">
        <f>VLOOKUP($A29,[1]!LandfillCaliK2,FB$7,FALSE)</f>
        <v>2.3393728845654174E-2</v>
      </c>
      <c r="FC29" s="539">
        <f>VLOOKUP($A29,[1]!LandfillCaliK2,FC$7,FALSE)</f>
        <v>3.4576526328557837E-2</v>
      </c>
      <c r="FD29" s="540">
        <f>-1*VLOOKUP($A29,[1]Landfilling!$N$27:$R$41,5,FALSE)</f>
        <v>-1.0893776752833335</v>
      </c>
      <c r="FE29" s="541">
        <f>VLOOKUP($A29,'[1]Post-Consumer Transport'!$C$33:$K$88,3,FALSE)+VLOOKUP($A29,'[1]Post-Consumer Transport'!$C$33:$K$88,4,FALSE)</f>
        <v>2.0254519141196047E-2</v>
      </c>
      <c r="FF29" s="542">
        <f t="shared" si="109"/>
        <v>-0.91931617608588745</v>
      </c>
      <c r="FG29" s="538">
        <f t="shared" si="76"/>
        <v>-1.0384620200229544</v>
      </c>
      <c r="FH29" s="538">
        <f t="shared" si="77"/>
        <v>-1.0457294272964832</v>
      </c>
      <c r="FI29" s="539">
        <f t="shared" si="78"/>
        <v>-1.0345466298135797</v>
      </c>
      <c r="FJ29" s="537">
        <f>VLOOKUP($A29,[1]!LandfillCaliK4,FJ$7,FALSE)</f>
        <v>0.14980698005624998</v>
      </c>
      <c r="FK29" s="538">
        <f>VLOOKUP($A29,[1]!LandfillCaliK4,FK$7,FALSE)</f>
        <v>3.1052322423055747E-2</v>
      </c>
      <c r="FL29" s="538">
        <f>VLOOKUP($A29,[1]!LandfillCaliK4,FL$7,FALSE)</f>
        <v>2.959228603354877E-2</v>
      </c>
      <c r="FM29" s="539">
        <f>VLOOKUP($A29,[1]!LandfillCaliK4,FM$7,FALSE)</f>
        <v>3.9371787612631472E-2</v>
      </c>
      <c r="FN29" s="540">
        <f>-1*VLOOKUP($A29,[1]Landfilling!$N$27:$R$41,5,FALSE)</f>
        <v>-1.0893776752833335</v>
      </c>
      <c r="FO29" s="541">
        <f>VLOOKUP($A29,'[1]Post-Consumer Transport'!$C$33:$K$88,3,FALSE)+VLOOKUP($A29,'[1]Post-Consumer Transport'!$C$33:$K$88,4,FALSE)</f>
        <v>2.0254519141196047E-2</v>
      </c>
      <c r="FP29" s="542">
        <f t="shared" si="110"/>
        <v>-0.91931617608588745</v>
      </c>
      <c r="FQ29" s="538">
        <f t="shared" si="80"/>
        <v>-1.0380708337190818</v>
      </c>
      <c r="FR29" s="538">
        <f t="shared" si="81"/>
        <v>-1.0395308701085888</v>
      </c>
      <c r="FS29" s="539">
        <f t="shared" si="82"/>
        <v>-1.0297513685295061</v>
      </c>
      <c r="FT29" s="537">
        <f>VLOOKUP($A29,[1]!LandfillCaliK6,FT$7,FALSE)</f>
        <v>0.14980698005624998</v>
      </c>
      <c r="FU29" s="538">
        <f>VLOOKUP($A29,[1]!LandfillCaliK6,FU$7,FALSE)</f>
        <v>3.5593613638995714E-2</v>
      </c>
      <c r="FV29" s="538">
        <f>VLOOKUP($A29,[1]!LandfillCaliK6,FV$7,FALSE)</f>
        <v>3.4541571889611163E-2</v>
      </c>
      <c r="FW29" s="539">
        <f>VLOOKUP($A29,[1]!LandfillCaliK6,FW$7,FALSE)</f>
        <v>4.3559903139565398E-2</v>
      </c>
      <c r="FX29" s="540">
        <f>-1*VLOOKUP($A29,[1]Landfilling!$N$27:$R$41,5,FALSE)</f>
        <v>-1.0893776752833335</v>
      </c>
      <c r="FY29" s="541">
        <f>VLOOKUP($A29,'[1]Post-Consumer Transport'!$C$33:$K$88,3,FALSE)+VLOOKUP($A29,'[1]Post-Consumer Transport'!$C$33:$K$88,4,FALSE)</f>
        <v>2.0254519141196047E-2</v>
      </c>
      <c r="FZ29" s="542">
        <f t="shared" si="111"/>
        <v>-0.91931617608588745</v>
      </c>
      <c r="GA29" s="538">
        <f t="shared" si="84"/>
        <v>-1.0335295425031419</v>
      </c>
      <c r="GB29" s="538">
        <f t="shared" si="85"/>
        <v>-1.0345815842525263</v>
      </c>
      <c r="GC29" s="539">
        <f t="shared" si="86"/>
        <v>-1.025563253002572</v>
      </c>
      <c r="GD29" s="537">
        <f>VLOOKUP($A29,[1]!LandfillCaliK12,GD$7,FALSE)</f>
        <v>0.14980698005624998</v>
      </c>
      <c r="GE29" s="538">
        <f>VLOOKUP($A29,[1]!LandfillCaliK12,GE$7,FALSE)</f>
        <v>4.6689353436430561E-2</v>
      </c>
      <c r="GF29" s="538">
        <f>VLOOKUP($A29,[1]!LandfillCaliK12,GF$7,FALSE)</f>
        <v>4.6306735304172821E-2</v>
      </c>
      <c r="GG29" s="539">
        <f>VLOOKUP($A29,[1]!LandfillCaliK12,GG$7,FALSE)</f>
        <v>5.4225562783120275E-2</v>
      </c>
      <c r="GH29" s="540">
        <f>-1*VLOOKUP($A29,[1]Landfilling!$N$27:$R$41,5,FALSE)</f>
        <v>-1.0893776752833335</v>
      </c>
      <c r="GI29" s="541">
        <f>VLOOKUP($A29,'[1]Post-Consumer Transport'!$C$33:$K$88,3,FALSE)+VLOOKUP($A29,'[1]Post-Consumer Transport'!$C$33:$K$88,4,FALSE)</f>
        <v>2.0254519141196047E-2</v>
      </c>
      <c r="GJ29" s="542">
        <f t="shared" si="112"/>
        <v>-0.91931617608588745</v>
      </c>
      <c r="GK29" s="538">
        <f t="shared" si="88"/>
        <v>-1.0224338027057069</v>
      </c>
      <c r="GL29" s="538">
        <f t="shared" si="89"/>
        <v>-1.0228164208379646</v>
      </c>
      <c r="GM29" s="539">
        <f t="shared" si="90"/>
        <v>-1.0148975933590172</v>
      </c>
      <c r="GN29" s="537">
        <f>VLOOKUP($A29,[1]!LandfillCaliNatlAverage,GN$7,FALSE)</f>
        <v>0.14980698005624998</v>
      </c>
      <c r="GO29" s="538">
        <f>VLOOKUP($A29,[1]!LandfillCaliNatlAverage,GO$7,FALSE)</f>
        <v>3.440425895337005E-2</v>
      </c>
      <c r="GP29" s="538">
        <f>VLOOKUP($A29,[1]!LandfillCaliNatlAverage,GP$7,FALSE)</f>
        <v>3.2058176009873894E-2</v>
      </c>
      <c r="GQ29" s="539">
        <f>VLOOKUP($A29,[1]!LandfillCaliNatlAverage,GQ$7,FALSE)</f>
        <v>4.1619428354435467E-2</v>
      </c>
      <c r="GR29" s="540">
        <f>-1*VLOOKUP($A29,[1]Landfilling!$N$27:$R$41,5,FALSE)</f>
        <v>-1.0893776752833335</v>
      </c>
      <c r="GS29" s="541">
        <f>VLOOKUP($A29,'[1]Post-Consumer Transport'!$C$33:$K$88,3,FALSE)+VLOOKUP($A29,'[1]Post-Consumer Transport'!$C$33:$K$88,4,FALSE)</f>
        <v>2.0254519141196047E-2</v>
      </c>
      <c r="GT29" s="542">
        <f t="shared" si="113"/>
        <v>-0.91931617608588745</v>
      </c>
      <c r="GU29" s="538">
        <f t="shared" si="92"/>
        <v>-1.0347188971887675</v>
      </c>
      <c r="GV29" s="538">
        <f t="shared" si="93"/>
        <v>-1.0370649801322636</v>
      </c>
      <c r="GW29" s="539">
        <f t="shared" si="94"/>
        <v>-1.0275037277877019</v>
      </c>
    </row>
    <row r="30" spans="1:205" x14ac:dyDescent="0.25">
      <c r="A30" s="494" t="str">
        <f t="shared" si="16"/>
        <v>Medium-density Fiberboard</v>
      </c>
      <c r="B30" s="536" t="s">
        <v>558</v>
      </c>
      <c r="C30" s="537">
        <f>VLOOKUP($A30,[1]!LandfillTypicalK2,C$7,FALSE)</f>
        <v>5.0300153887500011E-2</v>
      </c>
      <c r="D30" s="538">
        <f>VLOOKUP($A30,[1]!LandfillTypicalK2,D$7,FALSE)</f>
        <v>2.3377689873994582E-2</v>
      </c>
      <c r="E30" s="538">
        <f>VLOOKUP($A30,[1]!LandfillTypicalK2,E$7,FALSE)</f>
        <v>1.2434305181224559E-2</v>
      </c>
      <c r="F30" s="621">
        <f>VLOOKUP($A30,[1]!LandfillTypicalK2,F$7,FALSE)</f>
        <v>1.6883511680340284E-2</v>
      </c>
      <c r="G30" s="540">
        <f>-1*VLOOKUP($A30,[1]Landfilling!$N$27:$R$41,5,FALSE)</f>
        <v>-0.92306047294999993</v>
      </c>
      <c r="H30" s="541">
        <f>VLOOKUP($A30,'[1]Post-Consumer Transport'!$C$33:$K$88,3,FALSE)+VLOOKUP($A30,'[1]Post-Consumer Transport'!$C$33:$K$88,4,FALSE)</f>
        <v>2.0254519141196047E-2</v>
      </c>
      <c r="I30" s="542">
        <f t="shared" si="17"/>
        <v>-0.85250579992130393</v>
      </c>
      <c r="J30" s="538">
        <f t="shared" si="18"/>
        <v>-0.87942826393480933</v>
      </c>
      <c r="K30" s="538">
        <f t="shared" si="18"/>
        <v>-0.89037164862757934</v>
      </c>
      <c r="L30" s="539">
        <f t="shared" si="18"/>
        <v>-0.88592244212846361</v>
      </c>
      <c r="M30" s="537">
        <f>VLOOKUP($A30,[1]!LandfillTypicalK4,M$7,FALSE)</f>
        <v>5.0300153887500011E-2</v>
      </c>
      <c r="N30" s="538">
        <f>VLOOKUP($A30,[1]!LandfillTypicalK4,N$7,FALSE)</f>
        <v>2.095357091918448E-2</v>
      </c>
      <c r="O30" s="538">
        <f>VLOOKUP($A30,[1]!LandfillTypicalK4,O$7,FALSE)</f>
        <v>1.4167652051483397E-2</v>
      </c>
      <c r="P30" s="539">
        <f>VLOOKUP($A30,[1]!LandfillTypicalK4,P$7,FALSE)</f>
        <v>1.7910118265210582E-2</v>
      </c>
      <c r="Q30" s="540">
        <f>-1*VLOOKUP($A30,[1]Landfilling!$N$27:$R$41,5,FALSE)</f>
        <v>-0.92306047294999993</v>
      </c>
      <c r="R30" s="541">
        <f>VLOOKUP($A30,'[1]Post-Consumer Transport'!$C$33:$K$88,3,FALSE)+VLOOKUP($A30,'[1]Post-Consumer Transport'!$C$33:$K$88,4,FALSE)</f>
        <v>2.0254519141196047E-2</v>
      </c>
      <c r="S30" s="542">
        <f t="shared" si="95"/>
        <v>-0.85250579992130393</v>
      </c>
      <c r="T30" s="538">
        <f t="shared" si="20"/>
        <v>-0.88185238288961942</v>
      </c>
      <c r="U30" s="538">
        <f t="shared" si="21"/>
        <v>-0.8886383017573205</v>
      </c>
      <c r="V30" s="539">
        <f t="shared" si="22"/>
        <v>-0.8848958355435933</v>
      </c>
      <c r="W30" s="537">
        <f>VLOOKUP($A30,[1]!LandfillTypicalK6,W$7,FALSE)</f>
        <v>5.0300153887500011E-2</v>
      </c>
      <c r="X30" s="538">
        <f>VLOOKUP($A30,[1]!LandfillTypicalK6,X$7,FALSE)</f>
        <v>2.0342373753626665E-2</v>
      </c>
      <c r="Y30" s="538">
        <f>VLOOKUP($A30,[1]!LandfillTypicalK6,Y$7,FALSE)</f>
        <v>1.5507349029358471E-2</v>
      </c>
      <c r="Z30" s="539">
        <f>VLOOKUP($A30,[1]!LandfillTypicalK6,Z$7,FALSE)</f>
        <v>1.8842649473938863E-2</v>
      </c>
      <c r="AA30" s="540">
        <f>-1*VLOOKUP($A30,[1]Landfilling!$N$27:$R$41,5,FALSE)</f>
        <v>-0.92306047294999993</v>
      </c>
      <c r="AB30" s="541">
        <f>VLOOKUP($A30,'[1]Post-Consumer Transport'!$C$33:$K$88,3,FALSE)+VLOOKUP($A30,'[1]Post-Consumer Transport'!$C$33:$K$88,4,FALSE)</f>
        <v>2.0254519141196047E-2</v>
      </c>
      <c r="AC30" s="542">
        <f t="shared" si="96"/>
        <v>-0.85250579992130393</v>
      </c>
      <c r="AD30" s="538">
        <f t="shared" si="24"/>
        <v>-0.88246358005517722</v>
      </c>
      <c r="AE30" s="538">
        <f t="shared" si="25"/>
        <v>-0.88729860477944544</v>
      </c>
      <c r="AF30" s="539">
        <f t="shared" si="26"/>
        <v>-0.88396330433486503</v>
      </c>
      <c r="AG30" s="537">
        <f>VLOOKUP($A30,[1]!LandfillTypicalK12,AG$7,FALSE)</f>
        <v>5.0300153887500011E-2</v>
      </c>
      <c r="AH30" s="538">
        <f>VLOOKUP($A30,[1]!LandfillTypicalK12,AH$7,FALSE)</f>
        <v>2.1690451000750004E-2</v>
      </c>
      <c r="AI30" s="538">
        <f>VLOOKUP($A30,[1]!LandfillTypicalK12,AI$7,FALSE)</f>
        <v>1.9070844210305346E-2</v>
      </c>
      <c r="AJ30" s="539">
        <f>VLOOKUP($A30,[1]!LandfillTypicalK12,AJ$7,FALSE)</f>
        <v>2.1813245165533214E-2</v>
      </c>
      <c r="AK30" s="540">
        <f>-1*VLOOKUP($A30,[1]Landfilling!$N$27:$R$41,5,FALSE)</f>
        <v>-0.92306047294999993</v>
      </c>
      <c r="AL30" s="541">
        <f>VLOOKUP($A30,'[1]Post-Consumer Transport'!$C$33:$K$88,3,FALSE)+VLOOKUP($A30,'[1]Post-Consumer Transport'!$C$33:$K$88,4,FALSE)</f>
        <v>2.0254519141196047E-2</v>
      </c>
      <c r="AM30" s="542">
        <f t="shared" si="97"/>
        <v>-0.85250579992130393</v>
      </c>
      <c r="AN30" s="538">
        <f t="shared" si="28"/>
        <v>-0.88111550280805395</v>
      </c>
      <c r="AO30" s="538">
        <f t="shared" si="29"/>
        <v>-0.88373510959849855</v>
      </c>
      <c r="AP30" s="539">
        <f t="shared" si="30"/>
        <v>-0.88099270864327073</v>
      </c>
      <c r="AQ30" s="537">
        <f>VLOOKUP($A30,[1]!LandfillTypicalNatlAverage,AQ$7,FALSE)</f>
        <v>5.0300153887500011E-2</v>
      </c>
      <c r="AR30" s="538">
        <f>VLOOKUP($A30,[1]!LandfillTypicalNatlAverage,AR$7,FALSE)</f>
        <v>2.1260880683258796E-2</v>
      </c>
      <c r="AS30" s="538">
        <f>VLOOKUP($A30,[1]!LandfillTypicalNatlAverage,AS$7,FALSE)</f>
        <v>1.4861917351220479E-2</v>
      </c>
      <c r="AT30" s="539">
        <f>VLOOKUP($A30,[1]!LandfillTypicalNatlAverage,AT$7,FALSE)</f>
        <v>1.8478379965056108E-2</v>
      </c>
      <c r="AU30" s="540">
        <f>-1*VLOOKUP($A30,[1]Landfilling!$N$27:$R$41,5,FALSE)</f>
        <v>-0.92306047294999993</v>
      </c>
      <c r="AV30" s="541">
        <f>VLOOKUP($A30,'[1]Post-Consumer Transport'!$C$33:$K$88,3,FALSE)+VLOOKUP($A30,'[1]Post-Consumer Transport'!$C$33:$K$88,4,FALSE)</f>
        <v>2.0254519141196047E-2</v>
      </c>
      <c r="AW30" s="542">
        <f t="shared" si="98"/>
        <v>-0.85250579992130393</v>
      </c>
      <c r="AX30" s="538">
        <f t="shared" si="32"/>
        <v>-0.88154507312554509</v>
      </c>
      <c r="AY30" s="538">
        <f t="shared" si="33"/>
        <v>-0.88794403645758346</v>
      </c>
      <c r="AZ30" s="539">
        <f t="shared" si="34"/>
        <v>-0.88432757384374783</v>
      </c>
      <c r="BB30" s="537">
        <f>VLOOKUP($A30,[1]!LandfillAggressiveK2,BB$7,FALSE)</f>
        <v>5.0300153887500011E-2</v>
      </c>
      <c r="BC30" s="538">
        <f>VLOOKUP($A30,[1]!LandfillAggressiveK2,BC$7,FALSE)</f>
        <v>2.2896120128042582E-2</v>
      </c>
      <c r="BD30" s="538">
        <f>VLOOKUP($A30,[1]!LandfillAggressiveK2,BD$7,FALSE)</f>
        <v>1.2018251342488795E-2</v>
      </c>
      <c r="BE30" s="539">
        <f>VLOOKUP($A30,[1]!LandfillAggressiveK2,BE$7,FALSE)</f>
        <v>1.6497148352281971E-2</v>
      </c>
      <c r="BF30" s="540">
        <f>-1*VLOOKUP($A30,[1]Landfilling!$N$27:$R$41,5,FALSE)</f>
        <v>-0.92306047294999993</v>
      </c>
      <c r="BG30" s="541">
        <f>VLOOKUP($A30,'[1]Post-Consumer Transport'!$C$33:$K$88,3,FALSE)+VLOOKUP($A30,'[1]Post-Consumer Transport'!$C$33:$K$88,4,FALSE)</f>
        <v>2.0254519141196047E-2</v>
      </c>
      <c r="BH30" s="542">
        <f t="shared" si="99"/>
        <v>-0.85250579992130393</v>
      </c>
      <c r="BI30" s="538">
        <f t="shared" si="36"/>
        <v>-0.87990983368076137</v>
      </c>
      <c r="BJ30" s="538">
        <f t="shared" si="37"/>
        <v>-0.89078770246631511</v>
      </c>
      <c r="BK30" s="539">
        <f t="shared" si="38"/>
        <v>-0.88630880545652191</v>
      </c>
      <c r="BL30" s="881">
        <f>VLOOKUP($A30,[1]!LandfillAggressiveK4,BL$7,FALSE)</f>
        <v>5.0300153887500011E-2</v>
      </c>
      <c r="BM30" s="882">
        <f>VLOOKUP($A30,[1]!LandfillAggressiveK4,BM$7,FALSE)</f>
        <v>1.988397026539181E-2</v>
      </c>
      <c r="BN30" s="882">
        <f>VLOOKUP($A30,[1]!LandfillAggressiveK4,BN$7,FALSE)</f>
        <v>1.330723916961526E-2</v>
      </c>
      <c r="BO30" s="883">
        <f>VLOOKUP($A30,[1]!LandfillAggressiveK4,BO$7,FALSE)</f>
        <v>1.7074876864416968E-2</v>
      </c>
      <c r="BP30" s="884">
        <f>-1*VLOOKUP($A30,[1]Landfilling!$N$27:$R$41,5,FALSE)</f>
        <v>-0.92306047294999993</v>
      </c>
      <c r="BQ30" s="885">
        <f>VLOOKUP($A30,'[1]Post-Consumer Transport'!$C$33:$K$88,3,FALSE)+VLOOKUP($A30,'[1]Post-Consumer Transport'!$C$33:$K$88,4,FALSE)</f>
        <v>2.0254519141196047E-2</v>
      </c>
      <c r="BR30" s="886">
        <f t="shared" si="100"/>
        <v>-0.85250579992130393</v>
      </c>
      <c r="BS30" s="882">
        <f t="shared" si="40"/>
        <v>-0.88292198354341211</v>
      </c>
      <c r="BT30" s="882">
        <f t="shared" si="41"/>
        <v>-0.88949871463918861</v>
      </c>
      <c r="BU30" s="883">
        <f t="shared" si="42"/>
        <v>-0.88573107694438691</v>
      </c>
      <c r="BV30" s="537">
        <f>VLOOKUP($A30,[1]!LandfillAggressiveK6,BV$7,FALSE)</f>
        <v>5.0300153887500011E-2</v>
      </c>
      <c r="BW30" s="538">
        <f>VLOOKUP($A30,[1]!LandfillAggressiveK6,BW$7,FALSE)</f>
        <v>1.9182405128169076E-2</v>
      </c>
      <c r="BX30" s="538">
        <f>VLOOKUP($A30,[1]!LandfillAggressiveK6,BX$7,FALSE)</f>
        <v>1.4142946681239063E-2</v>
      </c>
      <c r="BY30" s="539">
        <f>VLOOKUP($A30,[1]!LandfillAggressiveK6,BY$7,FALSE)</f>
        <v>1.7574509982484408E-2</v>
      </c>
      <c r="BZ30" s="540">
        <f>-1*VLOOKUP($A30,[1]Landfilling!$N$27:$R$41,5,FALSE)</f>
        <v>-0.92306047294999993</v>
      </c>
      <c r="CA30" s="541">
        <f>VLOOKUP($A30,'[1]Post-Consumer Transport'!$C$33:$K$88,3,FALSE)+VLOOKUP($A30,'[1]Post-Consumer Transport'!$C$33:$K$88,4,FALSE)</f>
        <v>2.0254519141196047E-2</v>
      </c>
      <c r="CB30" s="542">
        <f t="shared" si="101"/>
        <v>-0.85250579992130393</v>
      </c>
      <c r="CC30" s="538">
        <f t="shared" si="44"/>
        <v>-0.88362354868063486</v>
      </c>
      <c r="CD30" s="538">
        <f t="shared" si="45"/>
        <v>-0.88866300712756485</v>
      </c>
      <c r="CE30" s="539">
        <f t="shared" si="46"/>
        <v>-0.88523144382631946</v>
      </c>
      <c r="CF30" s="537">
        <f>VLOOKUP($A30,[1]!LandfillAggressiveK12,CF$7,FALSE)</f>
        <v>5.0300153887500011E-2</v>
      </c>
      <c r="CG30" s="538">
        <f>VLOOKUP($A30,[1]!LandfillAggressiveK12,CG$7,FALSE)</f>
        <v>1.9623981696673908E-2</v>
      </c>
      <c r="CH30" s="538">
        <f>VLOOKUP($A30,[1]!LandfillAggressiveK12,CH$7,FALSE)</f>
        <v>1.6904518799098961E-2</v>
      </c>
      <c r="CI30" s="539">
        <f>VLOOKUP($A30,[1]!LandfillAggressiveK12,CI$7,FALSE)</f>
        <v>1.978624675613062E-2</v>
      </c>
      <c r="CJ30" s="540">
        <f>-1*VLOOKUP($A30,[1]Landfilling!$N$27:$R$41,5,FALSE)</f>
        <v>-0.92306047294999993</v>
      </c>
      <c r="CK30" s="541">
        <f>VLOOKUP($A30,'[1]Post-Consumer Transport'!$C$33:$K$88,3,FALSE)+VLOOKUP($A30,'[1]Post-Consumer Transport'!$C$33:$K$88,4,FALSE)</f>
        <v>2.0254519141196047E-2</v>
      </c>
      <c r="CL30" s="542">
        <f t="shared" si="102"/>
        <v>-0.85250579992130393</v>
      </c>
      <c r="CM30" s="538">
        <f t="shared" si="48"/>
        <v>-0.88318197211213001</v>
      </c>
      <c r="CN30" s="538">
        <f t="shared" si="49"/>
        <v>-0.88590143500970497</v>
      </c>
      <c r="CO30" s="539">
        <f t="shared" si="50"/>
        <v>-0.8830197070526733</v>
      </c>
      <c r="CP30" s="537">
        <f>VLOOKUP($A30,[1]!LandfillAggressiveNatlAverage,CP$7,FALSE)</f>
        <v>5.0300153887500011E-2</v>
      </c>
      <c r="CQ30" s="538">
        <f>VLOOKUP($A30,[1]!LandfillAggressiveNatlAverage,CQ$7,FALSE)</f>
        <v>2.0172058109651631E-2</v>
      </c>
      <c r="CR30" s="538">
        <f>VLOOKUP($A30,[1]!LandfillAggressiveNatlAverage,CR$7,FALSE)</f>
        <v>1.3752645354415722E-2</v>
      </c>
      <c r="CS30" s="539">
        <f>VLOOKUP($A30,[1]!LandfillAggressiveNatlAverage,CS$7,FALSE)</f>
        <v>1.743581736268705E-2</v>
      </c>
      <c r="CT30" s="540">
        <f>-1*VLOOKUP($A30,[1]Landfilling!$N$27:$R$41,5,FALSE)</f>
        <v>-0.92306047294999993</v>
      </c>
      <c r="CU30" s="541">
        <f>VLOOKUP($A30,'[1]Post-Consumer Transport'!$C$33:$K$88,3,FALSE)+VLOOKUP($A30,'[1]Post-Consumer Transport'!$C$33:$K$88,4,FALSE)</f>
        <v>2.0254519141196047E-2</v>
      </c>
      <c r="CV30" s="542">
        <f t="shared" si="103"/>
        <v>-0.85250579992130393</v>
      </c>
      <c r="CW30" s="538">
        <f t="shared" si="52"/>
        <v>-0.88263389569915229</v>
      </c>
      <c r="CX30" s="538">
        <f t="shared" si="53"/>
        <v>-0.88905330845438824</v>
      </c>
      <c r="CY30" s="539">
        <f t="shared" si="54"/>
        <v>-0.88537013644611684</v>
      </c>
      <c r="DA30" s="537">
        <f>VLOOKUP($A30,[1]!LandfillWorstK2,DA$7,FALSE)</f>
        <v>5.0300153887500011E-2</v>
      </c>
      <c r="DB30" s="538">
        <f>VLOOKUP($A30,[1]!LandfillWorstK2,DB$7,FALSE)</f>
        <v>2.5164834099107837E-2</v>
      </c>
      <c r="DC30" s="538">
        <f>VLOOKUP($A30,[1]!LandfillWorstK2,DC$7,FALSE)</f>
        <v>1.4145393143585639E-2</v>
      </c>
      <c r="DD30" s="539">
        <f>VLOOKUP($A30,[1]!LandfillWorstK2,DD$7,FALSE)</f>
        <v>1.846272418255664E-2</v>
      </c>
      <c r="DE30" s="540">
        <f>-1*VLOOKUP($A30,[1]Landfilling!$N$27:$R$41,5,FALSE)</f>
        <v>-0.92306047294999993</v>
      </c>
      <c r="DF30" s="541">
        <f>VLOOKUP($A30,'[1]Post-Consumer Transport'!$C$33:$K$88,3,FALSE)+VLOOKUP($A30,'[1]Post-Consumer Transport'!$C$33:$K$88,4,FALSE)</f>
        <v>2.0254519141196047E-2</v>
      </c>
      <c r="DG30" s="542">
        <f t="shared" si="104"/>
        <v>-0.85250579992130393</v>
      </c>
      <c r="DH30" s="538">
        <f t="shared" si="56"/>
        <v>-0.87764111970969605</v>
      </c>
      <c r="DI30" s="538">
        <f t="shared" si="57"/>
        <v>-0.88866056066521826</v>
      </c>
      <c r="DJ30" s="539">
        <f t="shared" si="58"/>
        <v>-0.88434322962624723</v>
      </c>
      <c r="DK30" s="537">
        <f>VLOOKUP($A30,[1]!LandfillWorstK4,DK$7,FALSE)</f>
        <v>5.0300153887500011E-2</v>
      </c>
      <c r="DL30" s="538">
        <f>VLOOKUP($A30,[1]!LandfillWorstK4,DL$7,FALSE)</f>
        <v>2.4140161490836299E-2</v>
      </c>
      <c r="DM30" s="538">
        <f>VLOOKUP($A30,[1]!LandfillWorstK4,DM$7,FALSE)</f>
        <v>1.7406801230626611E-2</v>
      </c>
      <c r="DN30" s="539">
        <f>VLOOKUP($A30,[1]!LandfillWorstK4,DN$7,FALSE)</f>
        <v>2.0872050903093617E-2</v>
      </c>
      <c r="DO30" s="540">
        <f>-1*VLOOKUP($A30,[1]Landfilling!$N$27:$R$41,5,FALSE)</f>
        <v>-0.92306047294999993</v>
      </c>
      <c r="DP30" s="541">
        <f>VLOOKUP($A30,'[1]Post-Consumer Transport'!$C$33:$K$88,3,FALSE)+VLOOKUP($A30,'[1]Post-Consumer Transport'!$C$33:$K$88,4,FALSE)</f>
        <v>2.0254519141196047E-2</v>
      </c>
      <c r="DQ30" s="542">
        <f t="shared" si="105"/>
        <v>-0.85250579992130393</v>
      </c>
      <c r="DR30" s="538">
        <f t="shared" si="60"/>
        <v>-0.8786657923179676</v>
      </c>
      <c r="DS30" s="538">
        <f t="shared" si="61"/>
        <v>-0.88539915257817725</v>
      </c>
      <c r="DT30" s="539">
        <f t="shared" si="62"/>
        <v>-0.88193390290571028</v>
      </c>
      <c r="DU30" s="537">
        <f>VLOOKUP($A30,[1]!LandfillWorstK6,DU$7,FALSE)</f>
        <v>5.0300153887500011E-2</v>
      </c>
      <c r="DV30" s="538">
        <f>VLOOKUP($A30,[1]!LandfillWorstK6,DV$7,FALSE)</f>
        <v>2.5187858145390499E-2</v>
      </c>
      <c r="DW30" s="538">
        <f>VLOOKUP($A30,[1]!LandfillWorstK6,DW$7,FALSE)</f>
        <v>2.0159423844306541E-2</v>
      </c>
      <c r="DX30" s="539">
        <f>VLOOKUP($A30,[1]!LandfillWorstK6,DX$7,FALSE)</f>
        <v>2.3131983913698032E-2</v>
      </c>
      <c r="DY30" s="540">
        <f>-1*VLOOKUP($A30,[1]Landfilling!$N$27:$R$41,5,FALSE)</f>
        <v>-0.92306047294999993</v>
      </c>
      <c r="DZ30" s="541">
        <f>VLOOKUP($A30,'[1]Post-Consumer Transport'!$C$33:$K$88,3,FALSE)+VLOOKUP($A30,'[1]Post-Consumer Transport'!$C$33:$K$88,4,FALSE)</f>
        <v>2.0254519141196047E-2</v>
      </c>
      <c r="EA30" s="542">
        <f t="shared" si="106"/>
        <v>-0.85250579992130393</v>
      </c>
      <c r="EB30" s="538">
        <f t="shared" si="64"/>
        <v>-0.87761809566341342</v>
      </c>
      <c r="EC30" s="538">
        <f t="shared" si="65"/>
        <v>-0.88264652996449733</v>
      </c>
      <c r="ED30" s="539">
        <f t="shared" si="66"/>
        <v>-0.87967396989510582</v>
      </c>
      <c r="EE30" s="537">
        <f>VLOOKUP($A30,[1]!LandfillWorstK12,EE$7,FALSE)</f>
        <v>5.0300153887500011E-2</v>
      </c>
      <c r="EF30" s="538">
        <f>VLOOKUP($A30,[1]!LandfillWorstK12,EF$7,FALSE)</f>
        <v>2.9796955713425E-2</v>
      </c>
      <c r="EG30" s="538">
        <f>VLOOKUP($A30,[1]!LandfillWorstK12,EG$7,FALSE)</f>
        <v>2.7157248979712782E-2</v>
      </c>
      <c r="EH30" s="539">
        <f>VLOOKUP($A30,[1]!LandfillWorstK12,EH$7,FALSE)</f>
        <v>2.9268902811157113E-2</v>
      </c>
      <c r="EI30" s="540">
        <f>-1*VLOOKUP($A30,[1]Landfilling!$N$27:$R$41,5,FALSE)</f>
        <v>-0.92306047294999993</v>
      </c>
      <c r="EJ30" s="541">
        <f>VLOOKUP($A30,'[1]Post-Consumer Transport'!$C$33:$K$88,3,FALSE)+VLOOKUP($A30,'[1]Post-Consumer Transport'!$C$33:$K$88,4,FALSE)</f>
        <v>2.0254519141196047E-2</v>
      </c>
      <c r="EK30" s="542">
        <f t="shared" si="107"/>
        <v>-0.85250579992130393</v>
      </c>
      <c r="EL30" s="538">
        <f t="shared" si="68"/>
        <v>-0.87300899809537891</v>
      </c>
      <c r="EM30" s="538">
        <f t="shared" si="69"/>
        <v>-0.87564870482909107</v>
      </c>
      <c r="EN30" s="539">
        <f t="shared" si="70"/>
        <v>-0.87353705099764678</v>
      </c>
      <c r="EO30" s="537">
        <f>VLOOKUP($A30,[1]!LandfillWorstNatlAverage,EO$7,FALSE)</f>
        <v>5.0300153887500011E-2</v>
      </c>
      <c r="EP30" s="538">
        <f>VLOOKUP($A30,[1]!LandfillWorstNatlAverage,EP$7,FALSE)</f>
        <v>2.5341378759771258E-2</v>
      </c>
      <c r="EQ30" s="538">
        <f>VLOOKUP($A30,[1]!LandfillWorstNatlAverage,EQ$7,FALSE)</f>
        <v>1.8860892282349485E-2</v>
      </c>
      <c r="ER30" s="539">
        <f>VLOOKUP($A30,[1]!LandfillWorstNatlAverage,ER$7,FALSE)</f>
        <v>2.2158703217150987E-2</v>
      </c>
      <c r="ES30" s="540">
        <f>-1*VLOOKUP($A30,[1]Landfilling!$N$27:$R$41,5,FALSE)</f>
        <v>-0.92306047294999993</v>
      </c>
      <c r="ET30" s="541">
        <f>VLOOKUP($A30,'[1]Post-Consumer Transport'!$C$33:$K$88,3,FALSE)+VLOOKUP($A30,'[1]Post-Consumer Transport'!$C$33:$K$88,4,FALSE)</f>
        <v>2.0254519141196047E-2</v>
      </c>
      <c r="EU30" s="542">
        <f t="shared" si="108"/>
        <v>-0.85250579992130393</v>
      </c>
      <c r="EV30" s="538">
        <f t="shared" si="72"/>
        <v>-0.87746457504903264</v>
      </c>
      <c r="EW30" s="538">
        <f t="shared" si="73"/>
        <v>-0.88394506152645447</v>
      </c>
      <c r="EX30" s="539">
        <f t="shared" si="74"/>
        <v>-0.88064725059165294</v>
      </c>
      <c r="EZ30" s="537">
        <f>VLOOKUP($A30,[1]!LandfillCaliK2,EZ$7,FALSE)</f>
        <v>5.0300153887500011E-2</v>
      </c>
      <c r="FA30" s="538">
        <f>VLOOKUP($A30,[1]!LandfillCaliK2,FA$7,FALSE)</f>
        <v>1.0416169328463749E-2</v>
      </c>
      <c r="FB30" s="538">
        <f>VLOOKUP($A30,[1]!LandfillCaliK2,FB$7,FALSE)</f>
        <v>7.3999928329100901E-3</v>
      </c>
      <c r="FC30" s="539">
        <f>VLOOKUP($A30,[1]!LandfillCaliK2,FC$7,FALSE)</f>
        <v>1.1295746750323658E-2</v>
      </c>
      <c r="FD30" s="540">
        <f>-1*VLOOKUP($A30,[1]Landfilling!$N$27:$R$41,5,FALSE)</f>
        <v>-0.92306047294999993</v>
      </c>
      <c r="FE30" s="541">
        <f>VLOOKUP($A30,'[1]Post-Consumer Transport'!$C$33:$K$88,3,FALSE)+VLOOKUP($A30,'[1]Post-Consumer Transport'!$C$33:$K$88,4,FALSE)</f>
        <v>2.0254519141196047E-2</v>
      </c>
      <c r="FF30" s="542">
        <f t="shared" si="109"/>
        <v>-0.85250579992130393</v>
      </c>
      <c r="FG30" s="538">
        <f t="shared" si="76"/>
        <v>-0.89238978448034012</v>
      </c>
      <c r="FH30" s="538">
        <f t="shared" si="77"/>
        <v>-0.89540596097589387</v>
      </c>
      <c r="FI30" s="539">
        <f t="shared" si="78"/>
        <v>-0.89151020705848028</v>
      </c>
      <c r="FJ30" s="537">
        <f>VLOOKUP($A30,[1]!LandfillCaliK4,FJ$7,FALSE)</f>
        <v>5.0300153887500011E-2</v>
      </c>
      <c r="FK30" s="538">
        <f>VLOOKUP($A30,[1]!LandfillCaliK4,FK$7,FALSE)</f>
        <v>9.9319990077823099E-3</v>
      </c>
      <c r="FL30" s="538">
        <f>VLOOKUP($A30,[1]!LandfillCaliK4,FL$7,FALSE)</f>
        <v>9.2474149211970638E-3</v>
      </c>
      <c r="FM30" s="539">
        <f>VLOOKUP($A30,[1]!LandfillCaliK4,FM$7,FALSE)</f>
        <v>1.2633409373122517E-2</v>
      </c>
      <c r="FN30" s="540">
        <f>-1*VLOOKUP($A30,[1]Landfilling!$N$27:$R$41,5,FALSE)</f>
        <v>-0.92306047294999993</v>
      </c>
      <c r="FO30" s="541">
        <f>VLOOKUP($A30,'[1]Post-Consumer Transport'!$C$33:$K$88,3,FALSE)+VLOOKUP($A30,'[1]Post-Consumer Transport'!$C$33:$K$88,4,FALSE)</f>
        <v>2.0254519141196047E-2</v>
      </c>
      <c r="FP30" s="542">
        <f t="shared" si="110"/>
        <v>-0.85250579992130393</v>
      </c>
      <c r="FQ30" s="538">
        <f t="shared" si="80"/>
        <v>-0.89287395480102161</v>
      </c>
      <c r="FR30" s="538">
        <f t="shared" si="81"/>
        <v>-0.89355853888760683</v>
      </c>
      <c r="FS30" s="539">
        <f t="shared" si="82"/>
        <v>-0.89017254443568139</v>
      </c>
      <c r="FT30" s="537">
        <f>VLOOKUP($A30,[1]!LandfillCaliK6,FT$7,FALSE)</f>
        <v>5.0300153887500011E-2</v>
      </c>
      <c r="FU30" s="538">
        <f>VLOOKUP($A30,[1]!LandfillCaliK6,FU$7,FALSE)</f>
        <v>1.1144303228603193E-2</v>
      </c>
      <c r="FV30" s="538">
        <f>VLOOKUP($A30,[1]!LandfillCaliK6,FV$7,FALSE)</f>
        <v>1.0649223709825727E-2</v>
      </c>
      <c r="FW30" s="539">
        <f>VLOOKUP($A30,[1]!LandfillCaliK6,FW$7,FALSE)</f>
        <v>1.3776255712668124E-2</v>
      </c>
      <c r="FX30" s="540">
        <f>-1*VLOOKUP($A30,[1]Landfilling!$N$27:$R$41,5,FALSE)</f>
        <v>-0.92306047294999993</v>
      </c>
      <c r="FY30" s="541">
        <f>VLOOKUP($A30,'[1]Post-Consumer Transport'!$C$33:$K$88,3,FALSE)+VLOOKUP($A30,'[1]Post-Consumer Transport'!$C$33:$K$88,4,FALSE)</f>
        <v>2.0254519141196047E-2</v>
      </c>
      <c r="FZ30" s="542">
        <f t="shared" si="111"/>
        <v>-0.85250579992130393</v>
      </c>
      <c r="GA30" s="538">
        <f t="shared" si="84"/>
        <v>-0.89166165058020075</v>
      </c>
      <c r="GB30" s="538">
        <f t="shared" si="85"/>
        <v>-0.89215673009897822</v>
      </c>
      <c r="GC30" s="539">
        <f t="shared" si="86"/>
        <v>-0.88902969809613575</v>
      </c>
      <c r="GD30" s="537">
        <f>VLOOKUP($A30,[1]!LandfillCaliK12,GD$7,FALSE)</f>
        <v>5.0300153887500011E-2</v>
      </c>
      <c r="GE30" s="538">
        <f>VLOOKUP($A30,[1]!LandfillCaliK12,GE$7,FALSE)</f>
        <v>1.4271311323452354E-2</v>
      </c>
      <c r="GF30" s="538">
        <f>VLOOKUP($A30,[1]!LandfillCaliK12,GF$7,FALSE)</f>
        <v>1.4073644565014479E-2</v>
      </c>
      <c r="GG30" s="539">
        <f>VLOOKUP($A30,[1]!LandfillCaliK12,GG$7,FALSE)</f>
        <v>1.684208692543971E-2</v>
      </c>
      <c r="GH30" s="540">
        <f>-1*VLOOKUP($A30,[1]Landfilling!$N$27:$R$41,5,FALSE)</f>
        <v>-0.92306047294999993</v>
      </c>
      <c r="GI30" s="541">
        <f>VLOOKUP($A30,'[1]Post-Consumer Transport'!$C$33:$K$88,3,FALSE)+VLOOKUP($A30,'[1]Post-Consumer Transport'!$C$33:$K$88,4,FALSE)</f>
        <v>2.0254519141196047E-2</v>
      </c>
      <c r="GJ30" s="542">
        <f t="shared" si="112"/>
        <v>-0.85250579992130393</v>
      </c>
      <c r="GK30" s="538">
        <f t="shared" si="88"/>
        <v>-0.88853464248535152</v>
      </c>
      <c r="GL30" s="538">
        <f t="shared" si="89"/>
        <v>-0.88873230924378943</v>
      </c>
      <c r="GM30" s="539">
        <f t="shared" si="90"/>
        <v>-0.88596386688336415</v>
      </c>
      <c r="GN30" s="537">
        <f>VLOOKUP($A30,[1]!LandfillCaliNatlAverage,GN$7,FALSE)</f>
        <v>5.0300153887500011E-2</v>
      </c>
      <c r="GO30" s="538">
        <f>VLOOKUP($A30,[1]!LandfillCaliNatlAverage,GO$7,FALSE)</f>
        <v>1.0961021338242982E-2</v>
      </c>
      <c r="GP30" s="538">
        <f>VLOOKUP($A30,[1]!LandfillCaliNatlAverage,GP$7,FALSE)</f>
        <v>9.9366968800477917E-3</v>
      </c>
      <c r="GQ30" s="539">
        <f>VLOOKUP($A30,[1]!LandfillCaliNatlAverage,GQ$7,FALSE)</f>
        <v>1.3256454449347709E-2</v>
      </c>
      <c r="GR30" s="540">
        <f>-1*VLOOKUP($A30,[1]Landfilling!$N$27:$R$41,5,FALSE)</f>
        <v>-0.92306047294999993</v>
      </c>
      <c r="GS30" s="541">
        <f>VLOOKUP($A30,'[1]Post-Consumer Transport'!$C$33:$K$88,3,FALSE)+VLOOKUP($A30,'[1]Post-Consumer Transport'!$C$33:$K$88,4,FALSE)</f>
        <v>2.0254519141196047E-2</v>
      </c>
      <c r="GT30" s="542">
        <f t="shared" si="113"/>
        <v>-0.85250579992130393</v>
      </c>
      <c r="GU30" s="538">
        <f t="shared" si="92"/>
        <v>-0.89184493247056096</v>
      </c>
      <c r="GV30" s="538">
        <f t="shared" si="93"/>
        <v>-0.89286925692875607</v>
      </c>
      <c r="GW30" s="539">
        <f t="shared" si="94"/>
        <v>-0.88954949935945615</v>
      </c>
    </row>
    <row r="31" spans="1:205" x14ac:dyDescent="0.25">
      <c r="A31" s="494" t="s">
        <v>740</v>
      </c>
      <c r="B31" s="536" t="s">
        <v>740</v>
      </c>
      <c r="C31" s="537">
        <f>VLOOKUP($A31,[1]!LandfillTypicalK2,C$7,FALSE)</f>
        <v>1.4604355931627537</v>
      </c>
      <c r="D31" s="538">
        <f>VLOOKUP($A31,[1]!LandfillTypicalK2,D$7,FALSE)</f>
        <v>0.61093906080766192</v>
      </c>
      <c r="E31" s="538">
        <f>VLOOKUP($A31,[1]!LandfillTypicalK2,E$7,FALSE)</f>
        <v>0.39091228503316028</v>
      </c>
      <c r="F31" s="621">
        <f>VLOOKUP($A31,[1]!LandfillTypicalK2,F$7,FALSE)</f>
        <v>0.50820687968075151</v>
      </c>
      <c r="G31" s="540">
        <f>-1*VLOOKUP($A31,[1]Landfilling!$N$27:$R$41,5,FALSE)</f>
        <v>-8.6847687193783149E-2</v>
      </c>
      <c r="H31" s="541">
        <f>VLOOKUP($A31,'[1]Post-Consumer Transport'!$C$33:$K$88,3,FALSE)+VLOOKUP($A31,'[1]Post-Consumer Transport'!$C$33:$K$88,4,FALSE)</f>
        <v>2.0254519141196047E-2</v>
      </c>
      <c r="I31" s="542">
        <f>C31+G31+H31</f>
        <v>1.3938424251101666</v>
      </c>
      <c r="J31" s="538">
        <f t="shared" ref="J31:L35" si="114">D31+$G31+$H31</f>
        <v>0.54434589275507483</v>
      </c>
      <c r="K31" s="538">
        <f t="shared" si="114"/>
        <v>0.32431911698057314</v>
      </c>
      <c r="L31" s="539">
        <f t="shared" si="114"/>
        <v>0.44161371162816437</v>
      </c>
      <c r="M31" s="537">
        <f>VLOOKUP($A31,[1]!LandfillTypicalK4,M$7,FALSE)</f>
        <v>1.4604355931627537</v>
      </c>
      <c r="N31" s="538">
        <f>VLOOKUP($A31,[1]!LandfillTypicalK4,N$7,FALSE)</f>
        <v>0.60284663215621481</v>
      </c>
      <c r="O31" s="538">
        <f>VLOOKUP($A31,[1]!LandfillTypicalK4,O$7,FALSE)</f>
        <v>0.48730425971105434</v>
      </c>
      <c r="P31" s="539">
        <f>VLOOKUP($A31,[1]!LandfillTypicalK4,P$7,FALSE)</f>
        <v>0.58249049786793194</v>
      </c>
      <c r="Q31" s="540">
        <f>-1*VLOOKUP($A31,[1]Landfilling!$N$27:$R$41,5,FALSE)</f>
        <v>-8.6847687193783149E-2</v>
      </c>
      <c r="R31" s="541">
        <f>VLOOKUP($A31,'[1]Post-Consumer Transport'!$C$33:$K$88,3,FALSE)+VLOOKUP($A31,'[1]Post-Consumer Transport'!$C$33:$K$88,4,FALSE)</f>
        <v>2.0254519141196047E-2</v>
      </c>
      <c r="S31" s="542">
        <f>M31+Q31+R31</f>
        <v>1.3938424251101666</v>
      </c>
      <c r="T31" s="538">
        <f t="shared" ref="T31:V35" si="115">N31+$G31+$H31</f>
        <v>0.53625346410362773</v>
      </c>
      <c r="U31" s="538">
        <f t="shared" si="115"/>
        <v>0.42071109165846721</v>
      </c>
      <c r="V31" s="539">
        <f t="shared" si="115"/>
        <v>0.51589732981534486</v>
      </c>
      <c r="W31" s="537">
        <f>VLOOKUP($A31,[1]!LandfillTypicalK6,W$7,FALSE)</f>
        <v>1.4604355931627537</v>
      </c>
      <c r="X31" s="538">
        <f>VLOOKUP($A31,[1]!LandfillTypicalK6,X$7,FALSE)</f>
        <v>0.63241941267691126</v>
      </c>
      <c r="Y31" s="538">
        <f>VLOOKUP($A31,[1]!LandfillTypicalK6,Y$7,FALSE)</f>
        <v>0.55772619131168477</v>
      </c>
      <c r="Z31" s="539">
        <f>VLOOKUP($A31,[1]!LandfillTypicalK6,Z$7,FALSE)</f>
        <v>0.64073324941814747</v>
      </c>
      <c r="AA31" s="540">
        <f>-1*VLOOKUP($A31,[1]Landfilling!$N$27:$R$41,5,FALSE)</f>
        <v>-8.6847687193783149E-2</v>
      </c>
      <c r="AB31" s="541">
        <f>VLOOKUP($A31,'[1]Post-Consumer Transport'!$C$33:$K$88,3,FALSE)+VLOOKUP($A31,'[1]Post-Consumer Transport'!$C$33:$K$88,4,FALSE)</f>
        <v>2.0254519141196047E-2</v>
      </c>
      <c r="AC31" s="542">
        <f>W31+AA31+AB31</f>
        <v>1.3938424251101666</v>
      </c>
      <c r="AD31" s="538">
        <f t="shared" ref="AD31:AF35" si="116">X31+$G31+$H31</f>
        <v>0.56582624462432418</v>
      </c>
      <c r="AE31" s="538">
        <f t="shared" si="116"/>
        <v>0.49113302325909763</v>
      </c>
      <c r="AF31" s="539">
        <f t="shared" si="116"/>
        <v>0.57414008136556038</v>
      </c>
      <c r="AG31" s="537">
        <f>VLOOKUP($A31,[1]!LandfillTypicalK12,AG$7,FALSE)</f>
        <v>1.4604355931627537</v>
      </c>
      <c r="AH31" s="538">
        <f>VLOOKUP($A31,[1]!LandfillTypicalK12,AH$7,FALSE)</f>
        <v>0.7366202192348783</v>
      </c>
      <c r="AI31" s="538">
        <f>VLOOKUP($A31,[1]!LandfillTypicalK12,AI$7,FALSE)</f>
        <v>0.69885314743179283</v>
      </c>
      <c r="AJ31" s="539">
        <f>VLOOKUP($A31,[1]!LandfillTypicalK12,AJ$7,FALSE)</f>
        <v>0.76502280785334098</v>
      </c>
      <c r="AK31" s="540">
        <f>-1*VLOOKUP($A31,[1]Landfilling!$N$27:$R$41,5,FALSE)</f>
        <v>-8.6847687193783149E-2</v>
      </c>
      <c r="AL31" s="541">
        <f>VLOOKUP($A31,'[1]Post-Consumer Transport'!$C$33:$K$88,3,FALSE)+VLOOKUP($A31,'[1]Post-Consumer Transport'!$C$33:$K$88,4,FALSE)</f>
        <v>2.0254519141196047E-2</v>
      </c>
      <c r="AM31" s="542">
        <f>AG31+AK31+AL31</f>
        <v>1.3938424251101666</v>
      </c>
      <c r="AN31" s="538">
        <f t="shared" ref="AN31:AP35" si="117">AH31+$G31+$H31</f>
        <v>0.67002705118229122</v>
      </c>
      <c r="AO31" s="538">
        <f t="shared" si="117"/>
        <v>0.63225997937920575</v>
      </c>
      <c r="AP31" s="539">
        <f t="shared" si="117"/>
        <v>0.6984296398007539</v>
      </c>
      <c r="AQ31" s="537">
        <f>VLOOKUP($A31,[1]!LandfillTypicalNatlAverage,AQ$7,FALSE)</f>
        <v>1.4604355931627537</v>
      </c>
      <c r="AR31" s="538">
        <f>VLOOKUP($A31,[1]!LandfillTypicalNatlAverage,AR$7,FALSE)</f>
        <v>0.62999688938837684</v>
      </c>
      <c r="AS31" s="538">
        <f>VLOOKUP($A31,[1]!LandfillTypicalNatlAverage,AS$7,FALSE)</f>
        <v>0.51812416743540846</v>
      </c>
      <c r="AT31" s="539">
        <f>VLOOKUP($A31,[1]!LandfillTypicalNatlAverage,AT$7,FALSE)</f>
        <v>0.60982477611617536</v>
      </c>
      <c r="AU31" s="540">
        <f>-1*VLOOKUP($A31,[1]Landfilling!$N$27:$R$41,5,FALSE)</f>
        <v>-8.6847687193783149E-2</v>
      </c>
      <c r="AV31" s="541">
        <f>VLOOKUP($A31,'[1]Post-Consumer Transport'!$C$33:$K$88,3,FALSE)+VLOOKUP($A31,'[1]Post-Consumer Transport'!$C$33:$K$88,4,FALSE)</f>
        <v>2.0254519141196047E-2</v>
      </c>
      <c r="AW31" s="542">
        <f>AQ31+AU31+AV31</f>
        <v>1.3938424251101666</v>
      </c>
      <c r="AX31" s="538">
        <f t="shared" ref="AX31:AZ35" si="118">AR31+$G31+$H31</f>
        <v>0.56340372133578975</v>
      </c>
      <c r="AY31" s="538">
        <f t="shared" si="118"/>
        <v>0.45153099938282132</v>
      </c>
      <c r="AZ31" s="539">
        <f t="shared" si="118"/>
        <v>0.54323160806358828</v>
      </c>
      <c r="BB31" s="537">
        <f>VLOOKUP($A31,[1]!LandfillAggressiveK2,BB$7,FALSE)</f>
        <v>1.4604355931627537</v>
      </c>
      <c r="BC31" s="538">
        <f>VLOOKUP($A31,[1]!LandfillAggressiveK2,BC$7,FALSE)</f>
        <v>0.58385042883121196</v>
      </c>
      <c r="BD31" s="538">
        <f>VLOOKUP($A31,[1]!LandfillAggressiveK2,BD$7,FALSE)</f>
        <v>0.36209364961127732</v>
      </c>
      <c r="BE31" s="539">
        <f>VLOOKUP($A31,[1]!LandfillAggressiveK2,BE$7,FALSE)</f>
        <v>0.48202522898253586</v>
      </c>
      <c r="BF31" s="540">
        <f>-1*VLOOKUP($A31,[1]Landfilling!$N$27:$R$41,5,FALSE)</f>
        <v>-8.6847687193783149E-2</v>
      </c>
      <c r="BG31" s="541">
        <f>VLOOKUP($A31,'[1]Post-Consumer Transport'!$C$33:$K$88,3,FALSE)+VLOOKUP($A31,'[1]Post-Consumer Transport'!$C$33:$K$88,4,FALSE)</f>
        <v>2.0254519141196047E-2</v>
      </c>
      <c r="BH31" s="542">
        <f>BB31+BF31+BG31</f>
        <v>1.3938424251101666</v>
      </c>
      <c r="BI31" s="538">
        <f t="shared" ref="BI31:BK35" si="119">BC31+$G31+$H31</f>
        <v>0.51725726077862488</v>
      </c>
      <c r="BJ31" s="538">
        <f t="shared" si="119"/>
        <v>0.29550048155869019</v>
      </c>
      <c r="BK31" s="539">
        <f t="shared" si="119"/>
        <v>0.41543206092994872</v>
      </c>
      <c r="BL31" s="881">
        <f>VLOOKUP($A31,[1]!LandfillAggressiveK4,BL$7,FALSE)</f>
        <v>1.4604355931627537</v>
      </c>
      <c r="BM31" s="882">
        <f>VLOOKUP($A31,[1]!LandfillAggressiveK4,BM$7,FALSE)</f>
        <v>0.54793452008144916</v>
      </c>
      <c r="BN31" s="882">
        <f>VLOOKUP($A31,[1]!LandfillAggressiveK4,BN$7,FALSE)</f>
        <v>0.43536791644127987</v>
      </c>
      <c r="BO31" s="883">
        <f>VLOOKUP($A31,[1]!LandfillAggressiveK4,BO$7,FALSE)</f>
        <v>0.53376985510905972</v>
      </c>
      <c r="BP31" s="884">
        <f>-1*VLOOKUP($A31,[1]Landfilling!$N$27:$R$41,5,FALSE)</f>
        <v>-8.6847687193783149E-2</v>
      </c>
      <c r="BQ31" s="885">
        <f>VLOOKUP($A31,'[1]Post-Consumer Transport'!$C$33:$K$88,3,FALSE)+VLOOKUP($A31,'[1]Post-Consumer Transport'!$C$33:$K$88,4,FALSE)</f>
        <v>2.0254519141196047E-2</v>
      </c>
      <c r="BR31" s="886">
        <f>BL31+BP31+BQ31</f>
        <v>1.3938424251101666</v>
      </c>
      <c r="BS31" s="882">
        <f t="shared" ref="BS31:BU35" si="120">BM31+$G31+$H31</f>
        <v>0.48134135202886202</v>
      </c>
      <c r="BT31" s="882">
        <f t="shared" si="120"/>
        <v>0.36877474838869273</v>
      </c>
      <c r="BU31" s="883">
        <f t="shared" si="120"/>
        <v>0.46717668705647258</v>
      </c>
      <c r="BV31" s="537">
        <f>VLOOKUP($A31,[1]!LandfillAggressiveK6,BV$7,FALSE)</f>
        <v>1.4604355931627537</v>
      </c>
      <c r="BW31" s="538">
        <f>VLOOKUP($A31,[1]!LandfillAggressiveK6,BW$7,FALSE)</f>
        <v>0.56944278764609146</v>
      </c>
      <c r="BX31" s="538">
        <f>VLOOKUP($A31,[1]!LandfillAggressiveK6,BX$7,FALSE)</f>
        <v>0.4907274466408868</v>
      </c>
      <c r="BY31" s="539">
        <f>VLOOKUP($A31,[1]!LandfillAggressiveK6,BY$7,FALSE)</f>
        <v>0.57829643920148133</v>
      </c>
      <c r="BZ31" s="540">
        <f>-1*VLOOKUP($A31,[1]Landfilling!$N$27:$R$41,5,FALSE)</f>
        <v>-8.6847687193783149E-2</v>
      </c>
      <c r="CA31" s="541">
        <f>VLOOKUP($A31,'[1]Post-Consumer Transport'!$C$33:$K$88,3,FALSE)+VLOOKUP($A31,'[1]Post-Consumer Transport'!$C$33:$K$88,4,FALSE)</f>
        <v>2.0254519141196047E-2</v>
      </c>
      <c r="CB31" s="542">
        <f>BV31+BZ31+CA31</f>
        <v>1.3938424251101666</v>
      </c>
      <c r="CC31" s="538">
        <f t="shared" ref="CC31:CE35" si="121">BW31+$G31+$H31</f>
        <v>0.50284961959350438</v>
      </c>
      <c r="CD31" s="538">
        <f t="shared" si="121"/>
        <v>0.42413427858829966</v>
      </c>
      <c r="CE31" s="539">
        <f t="shared" si="121"/>
        <v>0.51170327114889425</v>
      </c>
      <c r="CF31" s="537">
        <f>VLOOKUP($A31,[1]!LandfillAggressiveK12,CF$7,FALSE)</f>
        <v>1.4604355931627537</v>
      </c>
      <c r="CG31" s="538">
        <f>VLOOKUP($A31,[1]!LandfillAggressiveK12,CG$7,FALSE)</f>
        <v>0.64841012393576436</v>
      </c>
      <c r="CH31" s="538">
        <f>VLOOKUP($A31,[1]!LandfillAggressiveK12,CH$7,FALSE)</f>
        <v>0.60873591037533392</v>
      </c>
      <c r="CI31" s="539">
        <f>VLOOKUP($A31,[1]!LandfillAggressiveK12,CI$7,FALSE)</f>
        <v>0.68099446376820949</v>
      </c>
      <c r="CJ31" s="540">
        <f>-1*VLOOKUP($A31,[1]Landfilling!$N$27:$R$41,5,FALSE)</f>
        <v>-8.6847687193783149E-2</v>
      </c>
      <c r="CK31" s="541">
        <f>VLOOKUP($A31,'[1]Post-Consumer Transport'!$C$33:$K$88,3,FALSE)+VLOOKUP($A31,'[1]Post-Consumer Transport'!$C$33:$K$88,4,FALSE)</f>
        <v>2.0254519141196047E-2</v>
      </c>
      <c r="CL31" s="542">
        <f>CF31+CJ31+CK31</f>
        <v>1.3938424251101666</v>
      </c>
      <c r="CM31" s="538">
        <f t="shared" ref="CM31:CO35" si="122">CG31+$G31+$H31</f>
        <v>0.58181695588317728</v>
      </c>
      <c r="CN31" s="538">
        <f t="shared" si="122"/>
        <v>0.54214274232274684</v>
      </c>
      <c r="CO31" s="539">
        <f t="shared" si="122"/>
        <v>0.61440129571562241</v>
      </c>
      <c r="CP31" s="537">
        <f>VLOOKUP($A31,[1]!LandfillAggressiveNatlAverage,CP$7,FALSE)</f>
        <v>1.4604355931627537</v>
      </c>
      <c r="CQ31" s="538">
        <f>VLOOKUP($A31,[1]!LandfillAggressiveNatlAverage,CQ$7,FALSE)</f>
        <v>0.57400516018590109</v>
      </c>
      <c r="CR31" s="538">
        <f>VLOOKUP($A31,[1]!LandfillAggressiveNatlAverage,CR$7,FALSE)</f>
        <v>0.46080262938072319</v>
      </c>
      <c r="CS31" s="539">
        <f>VLOOKUP($A31,[1]!LandfillAggressiveNatlAverage,CS$7,FALSE)</f>
        <v>0.55644381681165522</v>
      </c>
      <c r="CT31" s="540">
        <f>-1*VLOOKUP($A31,[1]Landfilling!$N$27:$R$41,5,FALSE)</f>
        <v>-8.6847687193783149E-2</v>
      </c>
      <c r="CU31" s="541">
        <f>VLOOKUP($A31,'[1]Post-Consumer Transport'!$C$33:$K$88,3,FALSE)+VLOOKUP($A31,'[1]Post-Consumer Transport'!$C$33:$K$88,4,FALSE)</f>
        <v>2.0254519141196047E-2</v>
      </c>
      <c r="CV31" s="542">
        <f>CP31+CT31+CU31</f>
        <v>1.3938424251101666</v>
      </c>
      <c r="CW31" s="538">
        <f t="shared" ref="CW31:CY35" si="123">CQ31+$G31+$H31</f>
        <v>0.507411992133314</v>
      </c>
      <c r="CX31" s="538">
        <f t="shared" si="123"/>
        <v>0.39420946132813606</v>
      </c>
      <c r="CY31" s="539">
        <f t="shared" si="123"/>
        <v>0.48985064875906809</v>
      </c>
      <c r="DA31" s="537">
        <f>VLOOKUP($A31,[1]!LandfillWorstK2,DA$7,FALSE)</f>
        <v>1.4604355931627537</v>
      </c>
      <c r="DB31" s="538">
        <f>VLOOKUP($A31,[1]!LandfillWorstK2,DB$7,FALSE)</f>
        <v>0.71594142845971198</v>
      </c>
      <c r="DC31" s="538">
        <f>VLOOKUP($A31,[1]!LandfillWorstK2,DC$7,FALSE)</f>
        <v>0.49762213819285644</v>
      </c>
      <c r="DD31" s="539">
        <f>VLOOKUP($A31,[1]!LandfillWorstK2,DD$7,FALSE)</f>
        <v>0.60541540391523474</v>
      </c>
      <c r="DE31" s="540">
        <f>-1*VLOOKUP($A31,[1]Landfilling!$N$27:$R$41,5,FALSE)</f>
        <v>-8.6847687193783149E-2</v>
      </c>
      <c r="DF31" s="541">
        <f>VLOOKUP($A31,'[1]Post-Consumer Transport'!$C$33:$K$88,3,FALSE)+VLOOKUP($A31,'[1]Post-Consumer Transport'!$C$33:$K$88,4,FALSE)</f>
        <v>2.0254519141196047E-2</v>
      </c>
      <c r="DG31" s="542">
        <f>DA31+DE31+DF31</f>
        <v>1.3938424251101666</v>
      </c>
      <c r="DH31" s="538">
        <f t="shared" ref="DH31:DJ35" si="124">DB31+$G31+$H31</f>
        <v>0.6493482604071249</v>
      </c>
      <c r="DI31" s="538">
        <f t="shared" si="124"/>
        <v>0.43102897014026931</v>
      </c>
      <c r="DJ31" s="539">
        <f t="shared" si="124"/>
        <v>0.53882223586264766</v>
      </c>
      <c r="DK31" s="537">
        <f>VLOOKUP($A31,[1]!LandfillWorstK4,DK$7,FALSE)</f>
        <v>1.4604355931627537</v>
      </c>
      <c r="DL31" s="538">
        <f>VLOOKUP($A31,[1]!LandfillWorstK4,DL$7,FALSE)</f>
        <v>0.78884455443470136</v>
      </c>
      <c r="DM31" s="538">
        <f>VLOOKUP($A31,[1]!LandfillWorstK4,DM$7,FALSE)</f>
        <v>0.67801352655471203</v>
      </c>
      <c r="DN31" s="539">
        <f>VLOOKUP($A31,[1]!LandfillWorstK4,DN$7,FALSE)</f>
        <v>0.75621848773107048</v>
      </c>
      <c r="DO31" s="540">
        <f>-1*VLOOKUP($A31,[1]Landfilling!$N$27:$R$41,5,FALSE)</f>
        <v>-8.6847687193783149E-2</v>
      </c>
      <c r="DP31" s="541">
        <f>VLOOKUP($A31,'[1]Post-Consumer Transport'!$C$33:$K$88,3,FALSE)+VLOOKUP($A31,'[1]Post-Consumer Transport'!$C$33:$K$88,4,FALSE)</f>
        <v>2.0254519141196047E-2</v>
      </c>
      <c r="DQ31" s="542">
        <f>DK31+DO31+DP31</f>
        <v>1.3938424251101666</v>
      </c>
      <c r="DR31" s="538">
        <f t="shared" ref="DR31:DT35" si="125">DL31+$G31+$H31</f>
        <v>0.72225138638211428</v>
      </c>
      <c r="DS31" s="538">
        <f t="shared" si="125"/>
        <v>0.61142035850212495</v>
      </c>
      <c r="DT31" s="539">
        <f t="shared" si="125"/>
        <v>0.68962531967848339</v>
      </c>
      <c r="DU31" s="537">
        <f>VLOOKUP($A31,[1]!LandfillWorstK6,DU$7,FALSE)</f>
        <v>1.4604355931627537</v>
      </c>
      <c r="DV31" s="538">
        <f>VLOOKUP($A31,[1]!LandfillWorstK6,DV$7,FALSE)</f>
        <v>0.88710437838799183</v>
      </c>
      <c r="DW31" s="538">
        <f>VLOOKUP($A31,[1]!LandfillWorstK6,DW$7,FALSE)</f>
        <v>0.81439058012451671</v>
      </c>
      <c r="DX31" s="539">
        <f>VLOOKUP($A31,[1]!LandfillWorstK6,DX$7,FALSE)</f>
        <v>0.87539765022273119</v>
      </c>
      <c r="DY31" s="540">
        <f>-1*VLOOKUP($A31,[1]Landfilling!$N$27:$R$41,5,FALSE)</f>
        <v>-8.6847687193783149E-2</v>
      </c>
      <c r="DZ31" s="541">
        <f>VLOOKUP($A31,'[1]Post-Consumer Transport'!$C$33:$K$88,3,FALSE)+VLOOKUP($A31,'[1]Post-Consumer Transport'!$C$33:$K$88,4,FALSE)</f>
        <v>2.0254519141196047E-2</v>
      </c>
      <c r="EA31" s="542">
        <f>DU31+DY31+DZ31</f>
        <v>1.3938424251101666</v>
      </c>
      <c r="EB31" s="538">
        <f t="shared" ref="EB31:ED35" si="126">DV31+$G31+$H31</f>
        <v>0.82051121033540475</v>
      </c>
      <c r="EC31" s="538">
        <f t="shared" si="126"/>
        <v>0.74779741207192962</v>
      </c>
      <c r="ED31" s="539">
        <f t="shared" si="126"/>
        <v>0.80880448217014411</v>
      </c>
      <c r="EE31" s="537">
        <f>VLOOKUP($A31,[1]!LandfillWorstK12,EE$7,FALSE)</f>
        <v>1.4604355931627537</v>
      </c>
      <c r="EF31" s="538">
        <f>VLOOKUP($A31,[1]!LandfillWorstK12,EF$7,FALSE)</f>
        <v>1.1034569105155063</v>
      </c>
      <c r="EG31" s="538">
        <f>VLOOKUP($A31,[1]!LandfillWorstK12,EG$7,FALSE)</f>
        <v>1.0684830730340442</v>
      </c>
      <c r="EH31" s="539">
        <f>VLOOKUP($A31,[1]!LandfillWorstK12,EH$7,FALSE)</f>
        <v>1.1041498549305746</v>
      </c>
      <c r="EI31" s="540">
        <f>-1*VLOOKUP($A31,[1]Landfilling!$N$27:$R$41,5,FALSE)</f>
        <v>-8.6847687193783149E-2</v>
      </c>
      <c r="EJ31" s="541">
        <f>VLOOKUP($A31,'[1]Post-Consumer Transport'!$C$33:$K$88,3,FALSE)+VLOOKUP($A31,'[1]Post-Consumer Transport'!$C$33:$K$88,4,FALSE)</f>
        <v>2.0254519141196047E-2</v>
      </c>
      <c r="EK31" s="542">
        <f>EE31+EI31+EJ31</f>
        <v>1.3938424251101666</v>
      </c>
      <c r="EL31" s="538">
        <f t="shared" ref="EL31:EN35" si="127">EF31+$G31+$H31</f>
        <v>1.0368637424629192</v>
      </c>
      <c r="EM31" s="538">
        <f t="shared" si="127"/>
        <v>1.0018899049814571</v>
      </c>
      <c r="EN31" s="539">
        <f t="shared" si="127"/>
        <v>1.0375566868779875</v>
      </c>
      <c r="EO31" s="537">
        <f>VLOOKUP($A31,[1]!LandfillWorstNatlAverage,EO$7,FALSE)</f>
        <v>1.4604355931627537</v>
      </c>
      <c r="EP31" s="538">
        <f>VLOOKUP($A31,[1]!LandfillWorstNatlAverage,EP$7,FALSE)</f>
        <v>0.84610995249258625</v>
      </c>
      <c r="EQ31" s="538">
        <f>VLOOKUP($A31,[1]!LandfillWorstNatlAverage,EQ$7,FALSE)</f>
        <v>0.73703317254746392</v>
      </c>
      <c r="ER31" s="539">
        <f>VLOOKUP($A31,[1]!LandfillWorstNatlAverage,ER$7,FALSE)</f>
        <v>0.80983364347192621</v>
      </c>
      <c r="ES31" s="540">
        <f>-1*VLOOKUP($A31,[1]Landfilling!$N$27:$R$41,5,FALSE)</f>
        <v>-8.6847687193783149E-2</v>
      </c>
      <c r="ET31" s="541">
        <f>VLOOKUP($A31,'[1]Post-Consumer Transport'!$C$33:$K$88,3,FALSE)+VLOOKUP($A31,'[1]Post-Consumer Transport'!$C$33:$K$88,4,FALSE)</f>
        <v>2.0254519141196047E-2</v>
      </c>
      <c r="EU31" s="542">
        <f>EO31+ES31+ET31</f>
        <v>1.3938424251101666</v>
      </c>
      <c r="EV31" s="538">
        <f t="shared" ref="EV31:EX35" si="128">EP31+$G31+$H31</f>
        <v>0.77951678443999917</v>
      </c>
      <c r="EW31" s="538">
        <f t="shared" si="128"/>
        <v>0.67044000449487684</v>
      </c>
      <c r="EX31" s="539">
        <f t="shared" si="128"/>
        <v>0.74324047541933913</v>
      </c>
      <c r="EZ31" s="537">
        <f>VLOOKUP($A31,[1]!LandfillCaliK2,EZ$7,FALSE)</f>
        <v>1.4604355931627537</v>
      </c>
      <c r="FA31" s="538">
        <f>VLOOKUP($A31,[1]!LandfillCaliK2,FA$7,FALSE)</f>
        <v>0.31145442668397677</v>
      </c>
      <c r="FB31" s="538">
        <f>VLOOKUP($A31,[1]!LandfillCaliK2,FB$7,FALSE)</f>
        <v>0.27338221896627918</v>
      </c>
      <c r="FC31" s="539">
        <f>VLOOKUP($A31,[1]!LandfillCaliK2,FC$7,FALSE)</f>
        <v>0.37459392822169946</v>
      </c>
      <c r="FD31" s="540">
        <f>-1*VLOOKUP($A31,[1]Landfilling!$N$27:$R$41,5,FALSE)</f>
        <v>-8.6847687193783149E-2</v>
      </c>
      <c r="FE31" s="541">
        <f>VLOOKUP($A31,'[1]Post-Consumer Transport'!$C$33:$K$88,3,FALSE)+VLOOKUP($A31,'[1]Post-Consumer Transport'!$C$33:$K$88,4,FALSE)</f>
        <v>2.0254519141196047E-2</v>
      </c>
      <c r="FF31" s="542">
        <f>EZ31+FD31+FE31</f>
        <v>1.3938424251101666</v>
      </c>
      <c r="FG31" s="538">
        <f t="shared" ref="FG31:FI35" si="129">FA31+$G31+$H31</f>
        <v>0.24486125863138966</v>
      </c>
      <c r="FH31" s="538">
        <f t="shared" si="129"/>
        <v>0.20678905091369207</v>
      </c>
      <c r="FI31" s="539">
        <f t="shared" si="129"/>
        <v>0.30800076016911232</v>
      </c>
      <c r="FJ31" s="537">
        <f>VLOOKUP($A31,[1]!LandfillCaliK4,FJ$7,FALSE)</f>
        <v>1.4604355931627537</v>
      </c>
      <c r="FK31" s="538">
        <f>VLOOKUP($A31,[1]!LandfillCaliK4,FK$7,FALSE)</f>
        <v>0.36385208598516378</v>
      </c>
      <c r="FL31" s="538">
        <f>VLOOKUP($A31,[1]!LandfillCaliK4,FL$7,FALSE)</f>
        <v>0.35805654738709547</v>
      </c>
      <c r="FM31" s="539">
        <f>VLOOKUP($A31,[1]!LandfillCaliK4,FM$7,FALSE)</f>
        <v>0.44771246061473657</v>
      </c>
      <c r="FN31" s="540">
        <f>-1*VLOOKUP($A31,[1]Landfilling!$N$27:$R$41,5,FALSE)</f>
        <v>-8.6847687193783149E-2</v>
      </c>
      <c r="FO31" s="541">
        <f>VLOOKUP($A31,'[1]Post-Consumer Transport'!$C$33:$K$88,3,FALSE)+VLOOKUP($A31,'[1]Post-Consumer Transport'!$C$33:$K$88,4,FALSE)</f>
        <v>2.0254519141196047E-2</v>
      </c>
      <c r="FP31" s="542">
        <f>FJ31+FN31+FO31</f>
        <v>1.3938424251101666</v>
      </c>
      <c r="FQ31" s="538">
        <f t="shared" ref="FQ31:FS35" si="130">FK31+$G31+$H31</f>
        <v>0.29725891793257664</v>
      </c>
      <c r="FR31" s="538">
        <f t="shared" si="130"/>
        <v>0.29146337933450833</v>
      </c>
      <c r="FS31" s="539">
        <f t="shared" si="130"/>
        <v>0.38111929256214944</v>
      </c>
      <c r="FT31" s="537">
        <f>VLOOKUP($A31,[1]!LandfillCaliK6,FT$7,FALSE)</f>
        <v>1.4604355931627537</v>
      </c>
      <c r="FU31" s="538">
        <f>VLOOKUP($A31,[1]!LandfillCaliK6,FU$7,FALSE)</f>
        <v>0.42954377730874072</v>
      </c>
      <c r="FV31" s="538">
        <f>VLOOKUP($A31,[1]!LandfillCaliK6,FV$7,FALSE)</f>
        <v>0.4252770474557353</v>
      </c>
      <c r="FW31" s="539">
        <f>VLOOKUP($A31,[1]!LandfillCaliK6,FW$7,FALSE)</f>
        <v>0.50695418795473701</v>
      </c>
      <c r="FX31" s="540">
        <f>-1*VLOOKUP($A31,[1]Landfilling!$N$27:$R$41,5,FALSE)</f>
        <v>-8.6847687193783149E-2</v>
      </c>
      <c r="FY31" s="541">
        <f>VLOOKUP($A31,'[1]Post-Consumer Transport'!$C$33:$K$88,3,FALSE)+VLOOKUP($A31,'[1]Post-Consumer Transport'!$C$33:$K$88,4,FALSE)</f>
        <v>2.0254519141196047E-2</v>
      </c>
      <c r="FZ31" s="542">
        <f>FT31+FX31+FY31</f>
        <v>1.3938424251101666</v>
      </c>
      <c r="GA31" s="538">
        <f t="shared" ref="GA31:GC35" si="131">FU31+$G31+$H31</f>
        <v>0.36295060925615358</v>
      </c>
      <c r="GB31" s="538">
        <f t="shared" si="131"/>
        <v>0.35868387940314816</v>
      </c>
      <c r="GC31" s="539">
        <f t="shared" si="131"/>
        <v>0.44036101990214988</v>
      </c>
      <c r="GD31" s="537">
        <f>VLOOKUP($A31,[1]!LandfillCaliK12,GD$7,FALSE)</f>
        <v>1.4604355931627537</v>
      </c>
      <c r="GE31" s="538">
        <f>VLOOKUP($A31,[1]!LandfillCaliK12,GE$7,FALSE)</f>
        <v>0.57703551197522696</v>
      </c>
      <c r="GF31" s="538">
        <f>VLOOKUP($A31,[1]!LandfillCaliK12,GF$7,FALSE)</f>
        <v>0.57573132639628677</v>
      </c>
      <c r="GG31" s="539">
        <f>VLOOKUP($A31,[1]!LandfillCaliK12,GG$7,FALSE)</f>
        <v>0.64477205905675872</v>
      </c>
      <c r="GH31" s="540">
        <f>-1*VLOOKUP($A31,[1]Landfilling!$N$27:$R$41,5,FALSE)</f>
        <v>-8.6847687193783149E-2</v>
      </c>
      <c r="GI31" s="541">
        <f>VLOOKUP($A31,'[1]Post-Consumer Transport'!$C$33:$K$88,3,FALSE)+VLOOKUP($A31,'[1]Post-Consumer Transport'!$C$33:$K$88,4,FALSE)</f>
        <v>2.0254519141196047E-2</v>
      </c>
      <c r="GJ31" s="542">
        <f>GD31+GH31+GI31</f>
        <v>1.3938424251101666</v>
      </c>
      <c r="GK31" s="538">
        <f t="shared" ref="GK31:GM35" si="132">GE31+$G31+$H31</f>
        <v>0.51044234392263987</v>
      </c>
      <c r="GL31" s="538">
        <f t="shared" si="132"/>
        <v>0.50913815834369969</v>
      </c>
      <c r="GM31" s="539">
        <f t="shared" si="132"/>
        <v>0.57817889100417164</v>
      </c>
      <c r="GN31" s="537">
        <f>VLOOKUP($A31,[1]!LandfillCaliNatlAverage,GN$7,FALSE)</f>
        <v>1.4604355931627537</v>
      </c>
      <c r="GO31" s="538">
        <f>VLOOKUP($A31,[1]!LandfillCaliNatlAverage,GO$7,FALSE)</f>
        <v>0.40169018185792288</v>
      </c>
      <c r="GP31" s="538">
        <f>VLOOKUP($A31,[1]!LandfillCaliNatlAverage,GP$7,FALSE)</f>
        <v>0.39051678513206234</v>
      </c>
      <c r="GQ31" s="539">
        <f>VLOOKUP($A31,[1]!LandfillCaliNatlAverage,GQ$7,FALSE)</f>
        <v>0.47714306391707151</v>
      </c>
      <c r="GR31" s="540">
        <f>-1*VLOOKUP($A31,[1]Landfilling!$N$27:$R$41,5,FALSE)</f>
        <v>-8.6847687193783149E-2</v>
      </c>
      <c r="GS31" s="541">
        <f>VLOOKUP($A31,'[1]Post-Consumer Transport'!$C$33:$K$88,3,FALSE)+VLOOKUP($A31,'[1]Post-Consumer Transport'!$C$33:$K$88,4,FALSE)</f>
        <v>2.0254519141196047E-2</v>
      </c>
      <c r="GT31" s="542">
        <f>GN31+GR31+GS31</f>
        <v>1.3938424251101666</v>
      </c>
      <c r="GU31" s="538">
        <f t="shared" ref="GU31:GW35" si="133">GO31+$G31+$H31</f>
        <v>0.33509701380533574</v>
      </c>
      <c r="GV31" s="538">
        <f t="shared" si="133"/>
        <v>0.3239236170794752</v>
      </c>
      <c r="GW31" s="539">
        <f t="shared" si="133"/>
        <v>0.41054989586448437</v>
      </c>
    </row>
    <row r="32" spans="1:205" x14ac:dyDescent="0.25">
      <c r="A32" s="494" t="str">
        <f>B32</f>
        <v>Food Waste (Non-Meat)</v>
      </c>
      <c r="B32" s="536" t="s">
        <v>682</v>
      </c>
      <c r="C32" s="537">
        <f>VLOOKUP($A32,[1]!LandfillTypicalK2,C$7,FALSE)</f>
        <v>1.4604355931627537</v>
      </c>
      <c r="D32" s="538">
        <f>VLOOKUP($A32,[1]!LandfillTypicalK2,D$7,FALSE)</f>
        <v>0.61093906080766192</v>
      </c>
      <c r="E32" s="538">
        <f>VLOOKUP($A32,[1]!LandfillTypicalK2,E$7,FALSE)</f>
        <v>0.39091228503316028</v>
      </c>
      <c r="F32" s="621">
        <f>VLOOKUP($A32,[1]!LandfillTypicalK2,F$7,FALSE)</f>
        <v>0.50820687968075151</v>
      </c>
      <c r="G32" s="540">
        <f>-1*VLOOKUP("Food Waste",[1]Landfilling!$N$27:$R$41,5,FALSE)</f>
        <v>-8.6847687193783149E-2</v>
      </c>
      <c r="H32" s="541">
        <f>VLOOKUP($A32,'[1]Post-Consumer Transport'!$C$33:$K$88,3,FALSE)+VLOOKUP($A32,'[1]Post-Consumer Transport'!$C$33:$K$88,4,FALSE)</f>
        <v>2.0254519141196047E-2</v>
      </c>
      <c r="I32" s="542">
        <f>C32+G32+H32</f>
        <v>1.3938424251101666</v>
      </c>
      <c r="J32" s="538">
        <f t="shared" si="114"/>
        <v>0.54434589275507483</v>
      </c>
      <c r="K32" s="538">
        <f t="shared" si="114"/>
        <v>0.32431911698057314</v>
      </c>
      <c r="L32" s="539">
        <f t="shared" si="114"/>
        <v>0.44161371162816437</v>
      </c>
      <c r="M32" s="537">
        <f>VLOOKUP($A32,[1]!LandfillTypicalK4,M$7,FALSE)</f>
        <v>1.4604355931627537</v>
      </c>
      <c r="N32" s="538">
        <f>VLOOKUP($A32,[1]!LandfillTypicalK4,N$7,FALSE)</f>
        <v>0.60284663215621481</v>
      </c>
      <c r="O32" s="538">
        <f>VLOOKUP($A32,[1]!LandfillTypicalK4,O$7,FALSE)</f>
        <v>0.48730425971105434</v>
      </c>
      <c r="P32" s="539">
        <f>VLOOKUP($A32,[1]!LandfillTypicalK4,P$7,FALSE)</f>
        <v>0.58249049786793194</v>
      </c>
      <c r="Q32" s="540">
        <f>-1*VLOOKUP("Food Waste",[1]Landfilling!$N$27:$R$41,5,FALSE)</f>
        <v>-8.6847687193783149E-2</v>
      </c>
      <c r="R32" s="541">
        <f>VLOOKUP($A32,'[1]Post-Consumer Transport'!$C$33:$K$88,3,FALSE)+VLOOKUP($A32,'[1]Post-Consumer Transport'!$C$33:$K$88,4,FALSE)</f>
        <v>2.0254519141196047E-2</v>
      </c>
      <c r="S32" s="542">
        <f>M32+Q32+R32</f>
        <v>1.3938424251101666</v>
      </c>
      <c r="T32" s="538">
        <f t="shared" si="115"/>
        <v>0.53625346410362773</v>
      </c>
      <c r="U32" s="538">
        <f t="shared" si="115"/>
        <v>0.42071109165846721</v>
      </c>
      <c r="V32" s="539">
        <f t="shared" si="115"/>
        <v>0.51589732981534486</v>
      </c>
      <c r="W32" s="537">
        <f>VLOOKUP($A32,[1]!LandfillTypicalK6,W$7,FALSE)</f>
        <v>1.4604355931627537</v>
      </c>
      <c r="X32" s="538">
        <f>VLOOKUP($A32,[1]!LandfillTypicalK6,X$7,FALSE)</f>
        <v>0.63241941267691126</v>
      </c>
      <c r="Y32" s="538">
        <f>VLOOKUP($A32,[1]!LandfillTypicalK6,Y$7,FALSE)</f>
        <v>0.55772619131168477</v>
      </c>
      <c r="Z32" s="539">
        <f>VLOOKUP($A32,[1]!LandfillTypicalK6,Z$7,FALSE)</f>
        <v>0.64073324941814747</v>
      </c>
      <c r="AA32" s="540">
        <f>-1*VLOOKUP("Food Waste",[1]Landfilling!$N$27:$R$41,5,FALSE)</f>
        <v>-8.6847687193783149E-2</v>
      </c>
      <c r="AB32" s="541">
        <f>VLOOKUP($A32,'[1]Post-Consumer Transport'!$C$33:$K$88,3,FALSE)+VLOOKUP($A32,'[1]Post-Consumer Transport'!$C$33:$K$88,4,FALSE)</f>
        <v>2.0254519141196047E-2</v>
      </c>
      <c r="AC32" s="542">
        <f>W32+AA32+AB32</f>
        <v>1.3938424251101666</v>
      </c>
      <c r="AD32" s="538">
        <f t="shared" si="116"/>
        <v>0.56582624462432418</v>
      </c>
      <c r="AE32" s="538">
        <f t="shared" si="116"/>
        <v>0.49113302325909763</v>
      </c>
      <c r="AF32" s="539">
        <f t="shared" si="116"/>
        <v>0.57414008136556038</v>
      </c>
      <c r="AG32" s="537">
        <f>VLOOKUP($A32,[1]!LandfillTypicalK12,AG$7,FALSE)</f>
        <v>1.4604355931627537</v>
      </c>
      <c r="AH32" s="538">
        <f>VLOOKUP($A32,[1]!LandfillTypicalK12,AH$7,FALSE)</f>
        <v>0.7366202192348783</v>
      </c>
      <c r="AI32" s="538">
        <f>VLOOKUP($A32,[1]!LandfillTypicalK12,AI$7,FALSE)</f>
        <v>0.69885314743179283</v>
      </c>
      <c r="AJ32" s="539">
        <f>VLOOKUP($A32,[1]!LandfillTypicalK12,AJ$7,FALSE)</f>
        <v>0.76502280785334098</v>
      </c>
      <c r="AK32" s="540">
        <f>-1*VLOOKUP("Food Waste",[1]Landfilling!$N$27:$R$41,5,FALSE)</f>
        <v>-8.6847687193783149E-2</v>
      </c>
      <c r="AL32" s="541">
        <f>VLOOKUP($A32,'[1]Post-Consumer Transport'!$C$33:$K$88,3,FALSE)+VLOOKUP($A32,'[1]Post-Consumer Transport'!$C$33:$K$88,4,FALSE)</f>
        <v>2.0254519141196047E-2</v>
      </c>
      <c r="AM32" s="542">
        <f>AG32+AK32+AL32</f>
        <v>1.3938424251101666</v>
      </c>
      <c r="AN32" s="538">
        <f t="shared" si="117"/>
        <v>0.67002705118229122</v>
      </c>
      <c r="AO32" s="538">
        <f t="shared" si="117"/>
        <v>0.63225997937920575</v>
      </c>
      <c r="AP32" s="539">
        <f t="shared" si="117"/>
        <v>0.6984296398007539</v>
      </c>
      <c r="AQ32" s="537">
        <f>VLOOKUP($A32,[1]!LandfillTypicalNatlAverage,AQ$7,FALSE)</f>
        <v>1.4604355931627537</v>
      </c>
      <c r="AR32" s="538">
        <f>VLOOKUP($A32,[1]!LandfillTypicalNatlAverage,AR$7,FALSE)</f>
        <v>0.62999688938837684</v>
      </c>
      <c r="AS32" s="538">
        <f>VLOOKUP($A32,[1]!LandfillTypicalNatlAverage,AS$7,FALSE)</f>
        <v>0.51812416743540846</v>
      </c>
      <c r="AT32" s="539">
        <f>VLOOKUP($A32,[1]!LandfillTypicalNatlAverage,AT$7,FALSE)</f>
        <v>0.60982477611617536</v>
      </c>
      <c r="AU32" s="540">
        <f>-1*VLOOKUP("Food Waste",[1]Landfilling!$N$27:$R$41,5,FALSE)</f>
        <v>-8.6847687193783149E-2</v>
      </c>
      <c r="AV32" s="541">
        <f>VLOOKUP($A32,'[1]Post-Consumer Transport'!$C$33:$K$88,3,FALSE)+VLOOKUP($A32,'[1]Post-Consumer Transport'!$C$33:$K$88,4,FALSE)</f>
        <v>2.0254519141196047E-2</v>
      </c>
      <c r="AW32" s="542">
        <f>AQ32+AU32+AV32</f>
        <v>1.3938424251101666</v>
      </c>
      <c r="AX32" s="538">
        <f t="shared" si="118"/>
        <v>0.56340372133578975</v>
      </c>
      <c r="AY32" s="538">
        <f t="shared" si="118"/>
        <v>0.45153099938282132</v>
      </c>
      <c r="AZ32" s="539">
        <f t="shared" si="118"/>
        <v>0.54323160806358828</v>
      </c>
      <c r="BB32" s="537">
        <f>VLOOKUP($A32,[1]!LandfillAggressiveK2,BB$7,FALSE)</f>
        <v>1.4604355931627537</v>
      </c>
      <c r="BC32" s="538">
        <f>VLOOKUP($A32,[1]!LandfillAggressiveK2,BC$7,FALSE)</f>
        <v>0.58385042883121196</v>
      </c>
      <c r="BD32" s="538">
        <f>VLOOKUP($A32,[1]!LandfillAggressiveK2,BD$7,FALSE)</f>
        <v>0.36209364961127732</v>
      </c>
      <c r="BE32" s="539">
        <f>VLOOKUP($A32,[1]!LandfillAggressiveK2,BE$7,FALSE)</f>
        <v>0.48202522898253586</v>
      </c>
      <c r="BF32" s="540">
        <f>-1*VLOOKUP("Food Waste",[1]Landfilling!$N$27:$R$41,5,FALSE)</f>
        <v>-8.6847687193783149E-2</v>
      </c>
      <c r="BG32" s="541">
        <f>VLOOKUP($A32,'[1]Post-Consumer Transport'!$C$33:$K$88,3,FALSE)+VLOOKUP($A32,'[1]Post-Consumer Transport'!$C$33:$K$88,4,FALSE)</f>
        <v>2.0254519141196047E-2</v>
      </c>
      <c r="BH32" s="542">
        <f>BB32+BF32+BG32</f>
        <v>1.3938424251101666</v>
      </c>
      <c r="BI32" s="538">
        <f t="shared" si="119"/>
        <v>0.51725726077862488</v>
      </c>
      <c r="BJ32" s="538">
        <f t="shared" si="119"/>
        <v>0.29550048155869019</v>
      </c>
      <c r="BK32" s="539">
        <f t="shared" si="119"/>
        <v>0.41543206092994872</v>
      </c>
      <c r="BL32" s="881">
        <f>VLOOKUP($A32,[1]!LandfillAggressiveK4,BL$7,FALSE)</f>
        <v>1.4604355931627537</v>
      </c>
      <c r="BM32" s="882">
        <f>VLOOKUP($A32,[1]!LandfillAggressiveK4,BM$7,FALSE)</f>
        <v>0.54793452008144916</v>
      </c>
      <c r="BN32" s="882">
        <f>VLOOKUP($A32,[1]!LandfillAggressiveK4,BN$7,FALSE)</f>
        <v>0.43536791644127987</v>
      </c>
      <c r="BO32" s="883">
        <f>VLOOKUP($A32,[1]!LandfillAggressiveK4,BO$7,FALSE)</f>
        <v>0.53376985510905972</v>
      </c>
      <c r="BP32" s="884">
        <f>-1*VLOOKUP("Food Waste",[1]Landfilling!$N$27:$R$41,5,FALSE)</f>
        <v>-8.6847687193783149E-2</v>
      </c>
      <c r="BQ32" s="885">
        <f>VLOOKUP($A32,'[1]Post-Consumer Transport'!$C$33:$K$88,3,FALSE)+VLOOKUP($A32,'[1]Post-Consumer Transport'!$C$33:$K$88,4,FALSE)</f>
        <v>2.0254519141196047E-2</v>
      </c>
      <c r="BR32" s="886">
        <f>BL32+BP32+BQ32</f>
        <v>1.3938424251101666</v>
      </c>
      <c r="BS32" s="882">
        <f t="shared" si="120"/>
        <v>0.48134135202886202</v>
      </c>
      <c r="BT32" s="882">
        <f t="shared" si="120"/>
        <v>0.36877474838869273</v>
      </c>
      <c r="BU32" s="883">
        <f t="shared" si="120"/>
        <v>0.46717668705647258</v>
      </c>
      <c r="BV32" s="537">
        <f>VLOOKUP($A32,[1]!LandfillAggressiveK6,BV$7,FALSE)</f>
        <v>1.4604355931627537</v>
      </c>
      <c r="BW32" s="538">
        <f>VLOOKUP($A32,[1]!LandfillAggressiveK6,BW$7,FALSE)</f>
        <v>0.56944278764609146</v>
      </c>
      <c r="BX32" s="538">
        <f>VLOOKUP($A32,[1]!LandfillAggressiveK6,BX$7,FALSE)</f>
        <v>0.4907274466408868</v>
      </c>
      <c r="BY32" s="539">
        <f>VLOOKUP($A32,[1]!LandfillAggressiveK6,BY$7,FALSE)</f>
        <v>0.57829643920148133</v>
      </c>
      <c r="BZ32" s="540">
        <f>-1*VLOOKUP("Food Waste",[1]Landfilling!$N$27:$R$41,5,FALSE)</f>
        <v>-8.6847687193783149E-2</v>
      </c>
      <c r="CA32" s="541">
        <f>VLOOKUP($A32,'[1]Post-Consumer Transport'!$C$33:$K$88,3,FALSE)+VLOOKUP($A32,'[1]Post-Consumer Transport'!$C$33:$K$88,4,FALSE)</f>
        <v>2.0254519141196047E-2</v>
      </c>
      <c r="CB32" s="542">
        <f>BV32+BZ32+CA32</f>
        <v>1.3938424251101666</v>
      </c>
      <c r="CC32" s="538">
        <f t="shared" si="121"/>
        <v>0.50284961959350438</v>
      </c>
      <c r="CD32" s="538">
        <f t="shared" si="121"/>
        <v>0.42413427858829966</v>
      </c>
      <c r="CE32" s="539">
        <f t="shared" si="121"/>
        <v>0.51170327114889425</v>
      </c>
      <c r="CF32" s="537">
        <f>VLOOKUP($A32,[1]!LandfillAggressiveK12,CF$7,FALSE)</f>
        <v>1.4604355931627537</v>
      </c>
      <c r="CG32" s="538">
        <f>VLOOKUP($A32,[1]!LandfillAggressiveK12,CG$7,FALSE)</f>
        <v>0.64841012393576436</v>
      </c>
      <c r="CH32" s="538">
        <f>VLOOKUP($A32,[1]!LandfillAggressiveK12,CH$7,FALSE)</f>
        <v>0.60873591037533392</v>
      </c>
      <c r="CI32" s="539">
        <f>VLOOKUP($A32,[1]!LandfillAggressiveK12,CI$7,FALSE)</f>
        <v>0.68099446376820949</v>
      </c>
      <c r="CJ32" s="540">
        <f>-1*VLOOKUP("Food Waste",[1]Landfilling!$N$27:$R$41,5,FALSE)</f>
        <v>-8.6847687193783149E-2</v>
      </c>
      <c r="CK32" s="541">
        <f>VLOOKUP($A32,'[1]Post-Consumer Transport'!$C$33:$K$88,3,FALSE)+VLOOKUP($A32,'[1]Post-Consumer Transport'!$C$33:$K$88,4,FALSE)</f>
        <v>2.0254519141196047E-2</v>
      </c>
      <c r="CL32" s="542">
        <f>CF32+CJ32+CK32</f>
        <v>1.3938424251101666</v>
      </c>
      <c r="CM32" s="538">
        <f t="shared" si="122"/>
        <v>0.58181695588317728</v>
      </c>
      <c r="CN32" s="538">
        <f t="shared" si="122"/>
        <v>0.54214274232274684</v>
      </c>
      <c r="CO32" s="539">
        <f t="shared" si="122"/>
        <v>0.61440129571562241</v>
      </c>
      <c r="CP32" s="537">
        <f>VLOOKUP($A32,[1]!LandfillAggressiveNatlAverage,CP$7,FALSE)</f>
        <v>1.4604355931627537</v>
      </c>
      <c r="CQ32" s="538">
        <f>VLOOKUP($A32,[1]!LandfillAggressiveNatlAverage,CQ$7,FALSE)</f>
        <v>0.57400516018590109</v>
      </c>
      <c r="CR32" s="538">
        <f>VLOOKUP($A32,[1]!LandfillAggressiveNatlAverage,CR$7,FALSE)</f>
        <v>0.46080262938072319</v>
      </c>
      <c r="CS32" s="539">
        <f>VLOOKUP($A32,[1]!LandfillAggressiveNatlAverage,CS$7,FALSE)</f>
        <v>0.55644381681165522</v>
      </c>
      <c r="CT32" s="540">
        <f>-1*VLOOKUP("Food Waste",[1]Landfilling!$N$27:$R$41,5,FALSE)</f>
        <v>-8.6847687193783149E-2</v>
      </c>
      <c r="CU32" s="541">
        <f>VLOOKUP($A32,'[1]Post-Consumer Transport'!$C$33:$K$88,3,FALSE)+VLOOKUP($A32,'[1]Post-Consumer Transport'!$C$33:$K$88,4,FALSE)</f>
        <v>2.0254519141196047E-2</v>
      </c>
      <c r="CV32" s="542">
        <f>CP32+CT32+CU32</f>
        <v>1.3938424251101666</v>
      </c>
      <c r="CW32" s="538">
        <f t="shared" si="123"/>
        <v>0.507411992133314</v>
      </c>
      <c r="CX32" s="538">
        <f t="shared" si="123"/>
        <v>0.39420946132813606</v>
      </c>
      <c r="CY32" s="539">
        <f t="shared" si="123"/>
        <v>0.48985064875906809</v>
      </c>
      <c r="DA32" s="537">
        <f>VLOOKUP($A32,[1]!LandfillWorstK2,DA$7,FALSE)</f>
        <v>1.4604355931627537</v>
      </c>
      <c r="DB32" s="538">
        <f>VLOOKUP($A32,[1]!LandfillWorstK2,DB$7,FALSE)</f>
        <v>0.71594142845971198</v>
      </c>
      <c r="DC32" s="538">
        <f>VLOOKUP($A32,[1]!LandfillWorstK2,DC$7,FALSE)</f>
        <v>0.49762213819285644</v>
      </c>
      <c r="DD32" s="539">
        <f>VLOOKUP($A32,[1]!LandfillWorstK2,DD$7,FALSE)</f>
        <v>0.60541540391523474</v>
      </c>
      <c r="DE32" s="540">
        <f>-1*VLOOKUP("Food Waste",[1]Landfilling!$N$27:$R$41,5,FALSE)</f>
        <v>-8.6847687193783149E-2</v>
      </c>
      <c r="DF32" s="541">
        <f>VLOOKUP($A32,'[1]Post-Consumer Transport'!$C$33:$K$88,3,FALSE)+VLOOKUP($A32,'[1]Post-Consumer Transport'!$C$33:$K$88,4,FALSE)</f>
        <v>2.0254519141196047E-2</v>
      </c>
      <c r="DG32" s="542">
        <f>DA32+DE32+DF32</f>
        <v>1.3938424251101666</v>
      </c>
      <c r="DH32" s="538">
        <f t="shared" si="124"/>
        <v>0.6493482604071249</v>
      </c>
      <c r="DI32" s="538">
        <f t="shared" si="124"/>
        <v>0.43102897014026931</v>
      </c>
      <c r="DJ32" s="539">
        <f t="shared" si="124"/>
        <v>0.53882223586264766</v>
      </c>
      <c r="DK32" s="537">
        <f>VLOOKUP($A32,[1]!LandfillWorstK4,DK$7,FALSE)</f>
        <v>1.4604355931627537</v>
      </c>
      <c r="DL32" s="538">
        <f>VLOOKUP($A32,[1]!LandfillWorstK4,DL$7,FALSE)</f>
        <v>0.78884455443470136</v>
      </c>
      <c r="DM32" s="538">
        <f>VLOOKUP($A32,[1]!LandfillWorstK4,DM$7,FALSE)</f>
        <v>0.67801352655471203</v>
      </c>
      <c r="DN32" s="539">
        <f>VLOOKUP($A32,[1]!LandfillWorstK4,DN$7,FALSE)</f>
        <v>0.75621848773107048</v>
      </c>
      <c r="DO32" s="540">
        <f>-1*VLOOKUP("Food Waste",[1]Landfilling!$N$27:$R$41,5,FALSE)</f>
        <v>-8.6847687193783149E-2</v>
      </c>
      <c r="DP32" s="541">
        <f>VLOOKUP($A32,'[1]Post-Consumer Transport'!$C$33:$K$88,3,FALSE)+VLOOKUP($A32,'[1]Post-Consumer Transport'!$C$33:$K$88,4,FALSE)</f>
        <v>2.0254519141196047E-2</v>
      </c>
      <c r="DQ32" s="542">
        <f>DK32+DO32+DP32</f>
        <v>1.3938424251101666</v>
      </c>
      <c r="DR32" s="538">
        <f t="shared" si="125"/>
        <v>0.72225138638211428</v>
      </c>
      <c r="DS32" s="538">
        <f t="shared" si="125"/>
        <v>0.61142035850212495</v>
      </c>
      <c r="DT32" s="539">
        <f t="shared" si="125"/>
        <v>0.68962531967848339</v>
      </c>
      <c r="DU32" s="537">
        <f>VLOOKUP($A32,[1]!LandfillWorstK6,DU$7,FALSE)</f>
        <v>1.4604355931627537</v>
      </c>
      <c r="DV32" s="538">
        <f>VLOOKUP($A32,[1]!LandfillWorstK6,DV$7,FALSE)</f>
        <v>0.88710437838799183</v>
      </c>
      <c r="DW32" s="538">
        <f>VLOOKUP($A32,[1]!LandfillWorstK6,DW$7,FALSE)</f>
        <v>0.81439058012451671</v>
      </c>
      <c r="DX32" s="539">
        <f>VLOOKUP($A32,[1]!LandfillWorstK6,DX$7,FALSE)</f>
        <v>0.87539765022273119</v>
      </c>
      <c r="DY32" s="540">
        <f>-1*VLOOKUP("Food Waste",[1]Landfilling!$N$27:$R$41,5,FALSE)</f>
        <v>-8.6847687193783149E-2</v>
      </c>
      <c r="DZ32" s="541">
        <f>VLOOKUP($A32,'[1]Post-Consumer Transport'!$C$33:$K$88,3,FALSE)+VLOOKUP($A32,'[1]Post-Consumer Transport'!$C$33:$K$88,4,FALSE)</f>
        <v>2.0254519141196047E-2</v>
      </c>
      <c r="EA32" s="542">
        <f>DU32+DY32+DZ32</f>
        <v>1.3938424251101666</v>
      </c>
      <c r="EB32" s="538">
        <f t="shared" si="126"/>
        <v>0.82051121033540475</v>
      </c>
      <c r="EC32" s="538">
        <f t="shared" si="126"/>
        <v>0.74779741207192962</v>
      </c>
      <c r="ED32" s="539">
        <f t="shared" si="126"/>
        <v>0.80880448217014411</v>
      </c>
      <c r="EE32" s="537">
        <f>VLOOKUP($A32,[1]!LandfillWorstK12,EE$7,FALSE)</f>
        <v>1.4604355931627537</v>
      </c>
      <c r="EF32" s="538">
        <f>VLOOKUP($A32,[1]!LandfillWorstK12,EF$7,FALSE)</f>
        <v>1.1034569105155063</v>
      </c>
      <c r="EG32" s="538">
        <f>VLOOKUP($A32,[1]!LandfillWorstK12,EG$7,FALSE)</f>
        <v>1.0684830730340442</v>
      </c>
      <c r="EH32" s="539">
        <f>VLOOKUP($A32,[1]!LandfillWorstK12,EH$7,FALSE)</f>
        <v>1.1041498549305746</v>
      </c>
      <c r="EI32" s="540">
        <f>-1*VLOOKUP("Food Waste",[1]Landfilling!$N$27:$R$41,5,FALSE)</f>
        <v>-8.6847687193783149E-2</v>
      </c>
      <c r="EJ32" s="541">
        <f>VLOOKUP($A32,'[1]Post-Consumer Transport'!$C$33:$K$88,3,FALSE)+VLOOKUP($A32,'[1]Post-Consumer Transport'!$C$33:$K$88,4,FALSE)</f>
        <v>2.0254519141196047E-2</v>
      </c>
      <c r="EK32" s="542">
        <f>EE32+EI32+EJ32</f>
        <v>1.3938424251101666</v>
      </c>
      <c r="EL32" s="538">
        <f t="shared" si="127"/>
        <v>1.0368637424629192</v>
      </c>
      <c r="EM32" s="538">
        <f t="shared" si="127"/>
        <v>1.0018899049814571</v>
      </c>
      <c r="EN32" s="539">
        <f t="shared" si="127"/>
        <v>1.0375566868779875</v>
      </c>
      <c r="EO32" s="537">
        <f>VLOOKUP($A32,[1]!LandfillWorstNatlAverage,EO$7,FALSE)</f>
        <v>1.4604355931627537</v>
      </c>
      <c r="EP32" s="538">
        <f>VLOOKUP($A32,[1]!LandfillWorstNatlAverage,EP$7,FALSE)</f>
        <v>0.84610995249258625</v>
      </c>
      <c r="EQ32" s="538">
        <f>VLOOKUP($A32,[1]!LandfillWorstNatlAverage,EQ$7,FALSE)</f>
        <v>0.73703317254746392</v>
      </c>
      <c r="ER32" s="539">
        <f>VLOOKUP($A32,[1]!LandfillWorstNatlAverage,ER$7,FALSE)</f>
        <v>0.80983364347192621</v>
      </c>
      <c r="ES32" s="540">
        <f>-1*VLOOKUP("Food Waste",[1]Landfilling!$N$27:$R$41,5,FALSE)</f>
        <v>-8.6847687193783149E-2</v>
      </c>
      <c r="ET32" s="541">
        <f>VLOOKUP($A32,'[1]Post-Consumer Transport'!$C$33:$K$88,3,FALSE)+VLOOKUP($A32,'[1]Post-Consumer Transport'!$C$33:$K$88,4,FALSE)</f>
        <v>2.0254519141196047E-2</v>
      </c>
      <c r="EU32" s="542">
        <f>EO32+ES32+ET32</f>
        <v>1.3938424251101666</v>
      </c>
      <c r="EV32" s="538">
        <f t="shared" si="128"/>
        <v>0.77951678443999917</v>
      </c>
      <c r="EW32" s="538">
        <f t="shared" si="128"/>
        <v>0.67044000449487684</v>
      </c>
      <c r="EX32" s="539">
        <f t="shared" si="128"/>
        <v>0.74324047541933913</v>
      </c>
      <c r="EZ32" s="537">
        <f>VLOOKUP($A32,[1]!LandfillCaliK2,EZ$7,FALSE)</f>
        <v>1.4604355931627537</v>
      </c>
      <c r="FA32" s="538">
        <f>VLOOKUP($A32,[1]!LandfillCaliK2,FA$7,FALSE)</f>
        <v>0.31145442668397677</v>
      </c>
      <c r="FB32" s="538">
        <f>VLOOKUP($A32,[1]!LandfillCaliK2,FB$7,FALSE)</f>
        <v>0.27338221896627918</v>
      </c>
      <c r="FC32" s="539">
        <f>VLOOKUP($A32,[1]!LandfillCaliK2,FC$7,FALSE)</f>
        <v>0.37459392822169946</v>
      </c>
      <c r="FD32" s="540">
        <f>-1*VLOOKUP("Food Waste",[1]Landfilling!$N$27:$R$41,5,FALSE)</f>
        <v>-8.6847687193783149E-2</v>
      </c>
      <c r="FE32" s="541">
        <f>VLOOKUP($A32,'[1]Post-Consumer Transport'!$C$33:$K$88,3,FALSE)+VLOOKUP($A32,'[1]Post-Consumer Transport'!$C$33:$K$88,4,FALSE)</f>
        <v>2.0254519141196047E-2</v>
      </c>
      <c r="FF32" s="542">
        <f>EZ32+FD32+FE32</f>
        <v>1.3938424251101666</v>
      </c>
      <c r="FG32" s="538">
        <f t="shared" si="129"/>
        <v>0.24486125863138966</v>
      </c>
      <c r="FH32" s="538">
        <f t="shared" si="129"/>
        <v>0.20678905091369207</v>
      </c>
      <c r="FI32" s="539">
        <f t="shared" si="129"/>
        <v>0.30800076016911232</v>
      </c>
      <c r="FJ32" s="537">
        <f>VLOOKUP($A32,[1]!LandfillCaliK4,FJ$7,FALSE)</f>
        <v>1.4604355931627537</v>
      </c>
      <c r="FK32" s="538">
        <f>VLOOKUP($A32,[1]!LandfillCaliK4,FK$7,FALSE)</f>
        <v>0.36385208598516378</v>
      </c>
      <c r="FL32" s="538">
        <f>VLOOKUP($A32,[1]!LandfillCaliK4,FL$7,FALSE)</f>
        <v>0.35805654738709547</v>
      </c>
      <c r="FM32" s="539">
        <f>VLOOKUP($A32,[1]!LandfillCaliK4,FM$7,FALSE)</f>
        <v>0.44771246061473657</v>
      </c>
      <c r="FN32" s="540">
        <f>-1*VLOOKUP("Food Waste",[1]Landfilling!$N$27:$R$41,5,FALSE)</f>
        <v>-8.6847687193783149E-2</v>
      </c>
      <c r="FO32" s="541">
        <f>VLOOKUP($A32,'[1]Post-Consumer Transport'!$C$33:$K$88,3,FALSE)+VLOOKUP($A32,'[1]Post-Consumer Transport'!$C$33:$K$88,4,FALSE)</f>
        <v>2.0254519141196047E-2</v>
      </c>
      <c r="FP32" s="542">
        <f>FJ32+FN32+FO32</f>
        <v>1.3938424251101666</v>
      </c>
      <c r="FQ32" s="538">
        <f t="shared" si="130"/>
        <v>0.29725891793257664</v>
      </c>
      <c r="FR32" s="538">
        <f t="shared" si="130"/>
        <v>0.29146337933450833</v>
      </c>
      <c r="FS32" s="539">
        <f t="shared" si="130"/>
        <v>0.38111929256214944</v>
      </c>
      <c r="FT32" s="537">
        <f>VLOOKUP($A32,[1]!LandfillCaliK6,FT$7,FALSE)</f>
        <v>1.4604355931627537</v>
      </c>
      <c r="FU32" s="538">
        <f>VLOOKUP($A32,[1]!LandfillCaliK6,FU$7,FALSE)</f>
        <v>0.42954377730874072</v>
      </c>
      <c r="FV32" s="538">
        <f>VLOOKUP($A32,[1]!LandfillCaliK6,FV$7,FALSE)</f>
        <v>0.4252770474557353</v>
      </c>
      <c r="FW32" s="539">
        <f>VLOOKUP($A32,[1]!LandfillCaliK6,FW$7,FALSE)</f>
        <v>0.50695418795473701</v>
      </c>
      <c r="FX32" s="540">
        <f>-1*VLOOKUP("Food Waste",[1]Landfilling!$N$27:$R$41,5,FALSE)</f>
        <v>-8.6847687193783149E-2</v>
      </c>
      <c r="FY32" s="541">
        <f>VLOOKUP($A32,'[1]Post-Consumer Transport'!$C$33:$K$88,3,FALSE)+VLOOKUP($A32,'[1]Post-Consumer Transport'!$C$33:$K$88,4,FALSE)</f>
        <v>2.0254519141196047E-2</v>
      </c>
      <c r="FZ32" s="542">
        <f>FT32+FX32+FY32</f>
        <v>1.3938424251101666</v>
      </c>
      <c r="GA32" s="538">
        <f t="shared" si="131"/>
        <v>0.36295060925615358</v>
      </c>
      <c r="GB32" s="538">
        <f t="shared" si="131"/>
        <v>0.35868387940314816</v>
      </c>
      <c r="GC32" s="539">
        <f t="shared" si="131"/>
        <v>0.44036101990214988</v>
      </c>
      <c r="GD32" s="537">
        <f>VLOOKUP($A32,[1]!LandfillCaliK12,GD$7,FALSE)</f>
        <v>1.4604355931627537</v>
      </c>
      <c r="GE32" s="538">
        <f>VLOOKUP($A32,[1]!LandfillCaliK12,GE$7,FALSE)</f>
        <v>0.57703551197522696</v>
      </c>
      <c r="GF32" s="538">
        <f>VLOOKUP($A32,[1]!LandfillCaliK12,GF$7,FALSE)</f>
        <v>0.57573132639628677</v>
      </c>
      <c r="GG32" s="539">
        <f>VLOOKUP($A32,[1]!LandfillCaliK12,GG$7,FALSE)</f>
        <v>0.64477205905675872</v>
      </c>
      <c r="GH32" s="540">
        <f>-1*VLOOKUP("Food Waste",[1]Landfilling!$N$27:$R$41,5,FALSE)</f>
        <v>-8.6847687193783149E-2</v>
      </c>
      <c r="GI32" s="541">
        <f>VLOOKUP($A32,'[1]Post-Consumer Transport'!$C$33:$K$88,3,FALSE)+VLOOKUP($A32,'[1]Post-Consumer Transport'!$C$33:$K$88,4,FALSE)</f>
        <v>2.0254519141196047E-2</v>
      </c>
      <c r="GJ32" s="542">
        <f>GD32+GH32+GI32</f>
        <v>1.3938424251101666</v>
      </c>
      <c r="GK32" s="538">
        <f t="shared" si="132"/>
        <v>0.51044234392263987</v>
      </c>
      <c r="GL32" s="538">
        <f t="shared" si="132"/>
        <v>0.50913815834369969</v>
      </c>
      <c r="GM32" s="539">
        <f t="shared" si="132"/>
        <v>0.57817889100417164</v>
      </c>
      <c r="GN32" s="537">
        <f>VLOOKUP($A32,[1]!LandfillCaliNatlAverage,GN$7,FALSE)</f>
        <v>1.4604355931627537</v>
      </c>
      <c r="GO32" s="538">
        <f>VLOOKUP($A32,[1]!LandfillCaliNatlAverage,GO$7,FALSE)</f>
        <v>0.40169018185792288</v>
      </c>
      <c r="GP32" s="538">
        <f>VLOOKUP($A32,[1]!LandfillCaliNatlAverage,GP$7,FALSE)</f>
        <v>0.39051678513206234</v>
      </c>
      <c r="GQ32" s="539">
        <f>VLOOKUP($A32,[1]!LandfillCaliNatlAverage,GQ$7,FALSE)</f>
        <v>0.47714306391707151</v>
      </c>
      <c r="GR32" s="540">
        <f>-1*VLOOKUP("Food Waste",[1]Landfilling!$N$27:$R$41,5,FALSE)</f>
        <v>-8.6847687193783149E-2</v>
      </c>
      <c r="GS32" s="541">
        <f>VLOOKUP($A32,'[1]Post-Consumer Transport'!$C$33:$K$88,3,FALSE)+VLOOKUP($A32,'[1]Post-Consumer Transport'!$C$33:$K$88,4,FALSE)</f>
        <v>2.0254519141196047E-2</v>
      </c>
      <c r="GT32" s="542">
        <f>GN32+GR32+GS32</f>
        <v>1.3938424251101666</v>
      </c>
      <c r="GU32" s="538">
        <f t="shared" si="133"/>
        <v>0.33509701380533574</v>
      </c>
      <c r="GV32" s="538">
        <f t="shared" si="133"/>
        <v>0.3239236170794752</v>
      </c>
      <c r="GW32" s="539">
        <f t="shared" si="133"/>
        <v>0.41054989586448437</v>
      </c>
    </row>
    <row r="33" spans="1:205" x14ac:dyDescent="0.25">
      <c r="A33" s="494" t="str">
        <f>B33</f>
        <v>Food Waste (Meat only)</v>
      </c>
      <c r="B33" s="536" t="s">
        <v>745</v>
      </c>
      <c r="C33" s="537">
        <f>VLOOKUP($A33,[1]!LandfillTypicalK2,C$7,FALSE)</f>
        <v>1.4604355931627537</v>
      </c>
      <c r="D33" s="538">
        <f>VLOOKUP($A33,[1]!LandfillTypicalK2,D$7,FALSE)</f>
        <v>0.61093906080766192</v>
      </c>
      <c r="E33" s="538">
        <f>VLOOKUP($A33,[1]!LandfillTypicalK2,E$7,FALSE)</f>
        <v>0.39091228503316028</v>
      </c>
      <c r="F33" s="621">
        <f>VLOOKUP($A33,[1]!LandfillTypicalK2,F$7,FALSE)</f>
        <v>0.50820687968075151</v>
      </c>
      <c r="G33" s="540">
        <f>-1*VLOOKUP("Food Waste",[1]Landfilling!$N$27:$R$41,5,FALSE)</f>
        <v>-8.6847687193783149E-2</v>
      </c>
      <c r="H33" s="541">
        <f>VLOOKUP($A33,'[1]Post-Consumer Transport'!$C$33:$K$88,3,FALSE)+VLOOKUP($A33,'[1]Post-Consumer Transport'!$C$33:$K$88,4,FALSE)</f>
        <v>2.0254519141196047E-2</v>
      </c>
      <c r="I33" s="542">
        <f>C33+G33+H33</f>
        <v>1.3938424251101666</v>
      </c>
      <c r="J33" s="538">
        <f t="shared" si="114"/>
        <v>0.54434589275507483</v>
      </c>
      <c r="K33" s="538">
        <f t="shared" si="114"/>
        <v>0.32431911698057314</v>
      </c>
      <c r="L33" s="539">
        <f t="shared" si="114"/>
        <v>0.44161371162816437</v>
      </c>
      <c r="M33" s="537">
        <f>VLOOKUP($A33,[1]!LandfillTypicalK4,M$7,FALSE)</f>
        <v>1.4604355931627537</v>
      </c>
      <c r="N33" s="538">
        <f>VLOOKUP($A33,[1]!LandfillTypicalK4,N$7,FALSE)</f>
        <v>0.60284663215621481</v>
      </c>
      <c r="O33" s="538">
        <f>VLOOKUP($A33,[1]!LandfillTypicalK4,O$7,FALSE)</f>
        <v>0.48730425971105434</v>
      </c>
      <c r="P33" s="539">
        <f>VLOOKUP($A33,[1]!LandfillTypicalK4,P$7,FALSE)</f>
        <v>0.58249049786793194</v>
      </c>
      <c r="Q33" s="540">
        <f>-1*VLOOKUP("Food Waste",[1]Landfilling!$N$27:$R$41,5,FALSE)</f>
        <v>-8.6847687193783149E-2</v>
      </c>
      <c r="R33" s="541">
        <f>VLOOKUP($A33,'[1]Post-Consumer Transport'!$C$33:$K$88,3,FALSE)+VLOOKUP($A33,'[1]Post-Consumer Transport'!$C$33:$K$88,4,FALSE)</f>
        <v>2.0254519141196047E-2</v>
      </c>
      <c r="S33" s="542">
        <f>M33+Q33+R33</f>
        <v>1.3938424251101666</v>
      </c>
      <c r="T33" s="538">
        <f t="shared" si="115"/>
        <v>0.53625346410362773</v>
      </c>
      <c r="U33" s="538">
        <f t="shared" si="115"/>
        <v>0.42071109165846721</v>
      </c>
      <c r="V33" s="539">
        <f t="shared" si="115"/>
        <v>0.51589732981534486</v>
      </c>
      <c r="W33" s="537">
        <f>VLOOKUP($A33,[1]!LandfillTypicalK6,W$7,FALSE)</f>
        <v>1.4604355931627537</v>
      </c>
      <c r="X33" s="538">
        <f>VLOOKUP($A33,[1]!LandfillTypicalK6,X$7,FALSE)</f>
        <v>0.63241941267691126</v>
      </c>
      <c r="Y33" s="538">
        <f>VLOOKUP($A33,[1]!LandfillTypicalK6,Y$7,FALSE)</f>
        <v>0.55772619131168477</v>
      </c>
      <c r="Z33" s="539">
        <f>VLOOKUP($A33,[1]!LandfillTypicalK6,Z$7,FALSE)</f>
        <v>0.64073324941814747</v>
      </c>
      <c r="AA33" s="540">
        <f>-1*VLOOKUP("Food Waste",[1]Landfilling!$N$27:$R$41,5,FALSE)</f>
        <v>-8.6847687193783149E-2</v>
      </c>
      <c r="AB33" s="541">
        <f>VLOOKUP($A33,'[1]Post-Consumer Transport'!$C$33:$K$88,3,FALSE)+VLOOKUP($A33,'[1]Post-Consumer Transport'!$C$33:$K$88,4,FALSE)</f>
        <v>2.0254519141196047E-2</v>
      </c>
      <c r="AC33" s="542">
        <f>W33+AA33+AB33</f>
        <v>1.3938424251101666</v>
      </c>
      <c r="AD33" s="538">
        <f t="shared" si="116"/>
        <v>0.56582624462432418</v>
      </c>
      <c r="AE33" s="538">
        <f t="shared" si="116"/>
        <v>0.49113302325909763</v>
      </c>
      <c r="AF33" s="539">
        <f t="shared" si="116"/>
        <v>0.57414008136556038</v>
      </c>
      <c r="AG33" s="537">
        <f>VLOOKUP($A33,[1]!LandfillTypicalK12,AG$7,FALSE)</f>
        <v>1.4604355931627537</v>
      </c>
      <c r="AH33" s="538">
        <f>VLOOKUP($A33,[1]!LandfillTypicalK12,AH$7,FALSE)</f>
        <v>0.7366202192348783</v>
      </c>
      <c r="AI33" s="538">
        <f>VLOOKUP($A33,[1]!LandfillTypicalK12,AI$7,FALSE)</f>
        <v>0.69885314743179283</v>
      </c>
      <c r="AJ33" s="539">
        <f>VLOOKUP($A33,[1]!LandfillTypicalK12,AJ$7,FALSE)</f>
        <v>0.76502280785334098</v>
      </c>
      <c r="AK33" s="540">
        <f>-1*VLOOKUP("Food Waste",[1]Landfilling!$N$27:$R$41,5,FALSE)</f>
        <v>-8.6847687193783149E-2</v>
      </c>
      <c r="AL33" s="541">
        <f>VLOOKUP($A33,'[1]Post-Consumer Transport'!$C$33:$K$88,3,FALSE)+VLOOKUP($A33,'[1]Post-Consumer Transport'!$C$33:$K$88,4,FALSE)</f>
        <v>2.0254519141196047E-2</v>
      </c>
      <c r="AM33" s="542">
        <f>AG33+AK33+AL33</f>
        <v>1.3938424251101666</v>
      </c>
      <c r="AN33" s="538">
        <f t="shared" si="117"/>
        <v>0.67002705118229122</v>
      </c>
      <c r="AO33" s="538">
        <f t="shared" si="117"/>
        <v>0.63225997937920575</v>
      </c>
      <c r="AP33" s="539">
        <f t="shared" si="117"/>
        <v>0.6984296398007539</v>
      </c>
      <c r="AQ33" s="537">
        <f>VLOOKUP($A33,[1]!LandfillTypicalNatlAverage,AQ$7,FALSE)</f>
        <v>1.4604355931627537</v>
      </c>
      <c r="AR33" s="538">
        <f>VLOOKUP($A33,[1]!LandfillTypicalNatlAverage,AR$7,FALSE)</f>
        <v>0.62999688938837684</v>
      </c>
      <c r="AS33" s="538">
        <f>VLOOKUP($A33,[1]!LandfillTypicalNatlAverage,AS$7,FALSE)</f>
        <v>0.51812416743540846</v>
      </c>
      <c r="AT33" s="539">
        <f>VLOOKUP($A33,[1]!LandfillTypicalNatlAverage,AT$7,FALSE)</f>
        <v>0.60982477611617536</v>
      </c>
      <c r="AU33" s="540">
        <f>-1*VLOOKUP("Food Waste",[1]Landfilling!$N$27:$R$41,5,FALSE)</f>
        <v>-8.6847687193783149E-2</v>
      </c>
      <c r="AV33" s="541">
        <f>VLOOKUP($A33,'[1]Post-Consumer Transport'!$C$33:$K$88,3,FALSE)+VLOOKUP($A33,'[1]Post-Consumer Transport'!$C$33:$K$88,4,FALSE)</f>
        <v>2.0254519141196047E-2</v>
      </c>
      <c r="AW33" s="542">
        <f>AQ33+AU33+AV33</f>
        <v>1.3938424251101666</v>
      </c>
      <c r="AX33" s="538">
        <f t="shared" si="118"/>
        <v>0.56340372133578975</v>
      </c>
      <c r="AY33" s="538">
        <f t="shared" si="118"/>
        <v>0.45153099938282132</v>
      </c>
      <c r="AZ33" s="539">
        <f t="shared" si="118"/>
        <v>0.54323160806358828</v>
      </c>
      <c r="BB33" s="537">
        <f>VLOOKUP($A33,[1]!LandfillAggressiveK2,BB$7,FALSE)</f>
        <v>1.4604355931627537</v>
      </c>
      <c r="BC33" s="538">
        <f>VLOOKUP($A33,[1]!LandfillAggressiveK2,BC$7,FALSE)</f>
        <v>0.58385042883121196</v>
      </c>
      <c r="BD33" s="538">
        <f>VLOOKUP($A33,[1]!LandfillAggressiveK2,BD$7,FALSE)</f>
        <v>0.36209364961127732</v>
      </c>
      <c r="BE33" s="539">
        <f>VLOOKUP($A33,[1]!LandfillAggressiveK2,BE$7,FALSE)</f>
        <v>0.48202522898253586</v>
      </c>
      <c r="BF33" s="540">
        <f>-1*VLOOKUP("Food Waste",[1]Landfilling!$N$27:$R$41,5,FALSE)</f>
        <v>-8.6847687193783149E-2</v>
      </c>
      <c r="BG33" s="541">
        <f>VLOOKUP($A33,'[1]Post-Consumer Transport'!$C$33:$K$88,3,FALSE)+VLOOKUP($A33,'[1]Post-Consumer Transport'!$C$33:$K$88,4,FALSE)</f>
        <v>2.0254519141196047E-2</v>
      </c>
      <c r="BH33" s="542">
        <f>BB33+BF33+BG33</f>
        <v>1.3938424251101666</v>
      </c>
      <c r="BI33" s="538">
        <f t="shared" si="119"/>
        <v>0.51725726077862488</v>
      </c>
      <c r="BJ33" s="538">
        <f t="shared" si="119"/>
        <v>0.29550048155869019</v>
      </c>
      <c r="BK33" s="539">
        <f t="shared" si="119"/>
        <v>0.41543206092994872</v>
      </c>
      <c r="BL33" s="881">
        <f>VLOOKUP($A33,[1]!LandfillAggressiveK4,BL$7,FALSE)</f>
        <v>1.4604355931627537</v>
      </c>
      <c r="BM33" s="882">
        <f>VLOOKUP($A33,[1]!LandfillAggressiveK4,BM$7,FALSE)</f>
        <v>0.54793452008144916</v>
      </c>
      <c r="BN33" s="882">
        <f>VLOOKUP($A33,[1]!LandfillAggressiveK4,BN$7,FALSE)</f>
        <v>0.43536791644127987</v>
      </c>
      <c r="BO33" s="883">
        <f>VLOOKUP($A33,[1]!LandfillAggressiveK4,BO$7,FALSE)</f>
        <v>0.53376985510905972</v>
      </c>
      <c r="BP33" s="884">
        <f>-1*VLOOKUP("Food Waste",[1]Landfilling!$N$27:$R$41,5,FALSE)</f>
        <v>-8.6847687193783149E-2</v>
      </c>
      <c r="BQ33" s="885">
        <f>VLOOKUP($A33,'[1]Post-Consumer Transport'!$C$33:$K$88,3,FALSE)+VLOOKUP($A33,'[1]Post-Consumer Transport'!$C$33:$K$88,4,FALSE)</f>
        <v>2.0254519141196047E-2</v>
      </c>
      <c r="BR33" s="886">
        <f>BL33+BP33+BQ33</f>
        <v>1.3938424251101666</v>
      </c>
      <c r="BS33" s="882">
        <f t="shared" si="120"/>
        <v>0.48134135202886202</v>
      </c>
      <c r="BT33" s="882">
        <f t="shared" si="120"/>
        <v>0.36877474838869273</v>
      </c>
      <c r="BU33" s="883">
        <f t="shared" si="120"/>
        <v>0.46717668705647258</v>
      </c>
      <c r="BV33" s="537">
        <f>VLOOKUP($A33,[1]!LandfillAggressiveK6,BV$7,FALSE)</f>
        <v>1.4604355931627537</v>
      </c>
      <c r="BW33" s="538">
        <f>VLOOKUP($A33,[1]!LandfillAggressiveK6,BW$7,FALSE)</f>
        <v>0.56944278764609146</v>
      </c>
      <c r="BX33" s="538">
        <f>VLOOKUP($A33,[1]!LandfillAggressiveK6,BX$7,FALSE)</f>
        <v>0.4907274466408868</v>
      </c>
      <c r="BY33" s="539">
        <f>VLOOKUP($A33,[1]!LandfillAggressiveK6,BY$7,FALSE)</f>
        <v>0.57829643920148133</v>
      </c>
      <c r="BZ33" s="540">
        <f>-1*VLOOKUP("Food Waste",[1]Landfilling!$N$27:$R$41,5,FALSE)</f>
        <v>-8.6847687193783149E-2</v>
      </c>
      <c r="CA33" s="541">
        <f>VLOOKUP($A33,'[1]Post-Consumer Transport'!$C$33:$K$88,3,FALSE)+VLOOKUP($A33,'[1]Post-Consumer Transport'!$C$33:$K$88,4,FALSE)</f>
        <v>2.0254519141196047E-2</v>
      </c>
      <c r="CB33" s="542">
        <f>BV33+BZ33+CA33</f>
        <v>1.3938424251101666</v>
      </c>
      <c r="CC33" s="538">
        <f t="shared" si="121"/>
        <v>0.50284961959350438</v>
      </c>
      <c r="CD33" s="538">
        <f t="shared" si="121"/>
        <v>0.42413427858829966</v>
      </c>
      <c r="CE33" s="539">
        <f t="shared" si="121"/>
        <v>0.51170327114889425</v>
      </c>
      <c r="CF33" s="537">
        <f>VLOOKUP($A33,[1]!LandfillAggressiveK12,CF$7,FALSE)</f>
        <v>1.4604355931627537</v>
      </c>
      <c r="CG33" s="538">
        <f>VLOOKUP($A33,[1]!LandfillAggressiveK12,CG$7,FALSE)</f>
        <v>0.64841012393576436</v>
      </c>
      <c r="CH33" s="538">
        <f>VLOOKUP($A33,[1]!LandfillAggressiveK12,CH$7,FALSE)</f>
        <v>0.60873591037533392</v>
      </c>
      <c r="CI33" s="539">
        <f>VLOOKUP($A33,[1]!LandfillAggressiveK12,CI$7,FALSE)</f>
        <v>0.68099446376820949</v>
      </c>
      <c r="CJ33" s="540">
        <f>-1*VLOOKUP("Food Waste",[1]Landfilling!$N$27:$R$41,5,FALSE)</f>
        <v>-8.6847687193783149E-2</v>
      </c>
      <c r="CK33" s="541">
        <f>VLOOKUP($A33,'[1]Post-Consumer Transport'!$C$33:$K$88,3,FALSE)+VLOOKUP($A33,'[1]Post-Consumer Transport'!$C$33:$K$88,4,FALSE)</f>
        <v>2.0254519141196047E-2</v>
      </c>
      <c r="CL33" s="542">
        <f>CF33+CJ33+CK33</f>
        <v>1.3938424251101666</v>
      </c>
      <c r="CM33" s="538">
        <f t="shared" si="122"/>
        <v>0.58181695588317728</v>
      </c>
      <c r="CN33" s="538">
        <f t="shared" si="122"/>
        <v>0.54214274232274684</v>
      </c>
      <c r="CO33" s="539">
        <f t="shared" si="122"/>
        <v>0.61440129571562241</v>
      </c>
      <c r="CP33" s="537">
        <f>VLOOKUP($A33,[1]!LandfillAggressiveNatlAverage,CP$7,FALSE)</f>
        <v>1.4604355931627537</v>
      </c>
      <c r="CQ33" s="538">
        <f>VLOOKUP($A33,[1]!LandfillAggressiveNatlAverage,CQ$7,FALSE)</f>
        <v>0.57400516018590109</v>
      </c>
      <c r="CR33" s="538">
        <f>VLOOKUP($A33,[1]!LandfillAggressiveNatlAverage,CR$7,FALSE)</f>
        <v>0.46080262938072319</v>
      </c>
      <c r="CS33" s="539">
        <f>VLOOKUP($A33,[1]!LandfillAggressiveNatlAverage,CS$7,FALSE)</f>
        <v>0.55644381681165522</v>
      </c>
      <c r="CT33" s="540">
        <f>-1*VLOOKUP("Food Waste",[1]Landfilling!$N$27:$R$41,5,FALSE)</f>
        <v>-8.6847687193783149E-2</v>
      </c>
      <c r="CU33" s="541">
        <f>VLOOKUP($A33,'[1]Post-Consumer Transport'!$C$33:$K$88,3,FALSE)+VLOOKUP($A33,'[1]Post-Consumer Transport'!$C$33:$K$88,4,FALSE)</f>
        <v>2.0254519141196047E-2</v>
      </c>
      <c r="CV33" s="542">
        <f>CP33+CT33+CU33</f>
        <v>1.3938424251101666</v>
      </c>
      <c r="CW33" s="538">
        <f t="shared" si="123"/>
        <v>0.507411992133314</v>
      </c>
      <c r="CX33" s="538">
        <f t="shared" si="123"/>
        <v>0.39420946132813606</v>
      </c>
      <c r="CY33" s="539">
        <f t="shared" si="123"/>
        <v>0.48985064875906809</v>
      </c>
      <c r="DA33" s="537">
        <f>VLOOKUP($A33,[1]!LandfillWorstK2,DA$7,FALSE)</f>
        <v>1.4604355931627537</v>
      </c>
      <c r="DB33" s="538">
        <f>VLOOKUP($A33,[1]!LandfillWorstK2,DB$7,FALSE)</f>
        <v>0.71594142845971198</v>
      </c>
      <c r="DC33" s="538">
        <f>VLOOKUP($A33,[1]!LandfillWorstK2,DC$7,FALSE)</f>
        <v>0.49762213819285644</v>
      </c>
      <c r="DD33" s="539">
        <f>VLOOKUP($A33,[1]!LandfillWorstK2,DD$7,FALSE)</f>
        <v>0.60541540391523474</v>
      </c>
      <c r="DE33" s="540">
        <f>-1*VLOOKUP("Food Waste",[1]Landfilling!$N$27:$R$41,5,FALSE)</f>
        <v>-8.6847687193783149E-2</v>
      </c>
      <c r="DF33" s="541">
        <f>VLOOKUP($A33,'[1]Post-Consumer Transport'!$C$33:$K$88,3,FALSE)+VLOOKUP($A33,'[1]Post-Consumer Transport'!$C$33:$K$88,4,FALSE)</f>
        <v>2.0254519141196047E-2</v>
      </c>
      <c r="DG33" s="542">
        <f>DA33+DE33+DF33</f>
        <v>1.3938424251101666</v>
      </c>
      <c r="DH33" s="538">
        <f t="shared" si="124"/>
        <v>0.6493482604071249</v>
      </c>
      <c r="DI33" s="538">
        <f t="shared" si="124"/>
        <v>0.43102897014026931</v>
      </c>
      <c r="DJ33" s="539">
        <f t="shared" si="124"/>
        <v>0.53882223586264766</v>
      </c>
      <c r="DK33" s="537">
        <f>VLOOKUP($A33,[1]!LandfillWorstK4,DK$7,FALSE)</f>
        <v>1.4604355931627537</v>
      </c>
      <c r="DL33" s="538">
        <f>VLOOKUP($A33,[1]!LandfillWorstK4,DL$7,FALSE)</f>
        <v>0.78884455443470136</v>
      </c>
      <c r="DM33" s="538">
        <f>VLOOKUP($A33,[1]!LandfillWorstK4,DM$7,FALSE)</f>
        <v>0.67801352655471203</v>
      </c>
      <c r="DN33" s="539">
        <f>VLOOKUP($A33,[1]!LandfillWorstK4,DN$7,FALSE)</f>
        <v>0.75621848773107048</v>
      </c>
      <c r="DO33" s="540">
        <f>-1*VLOOKUP("Food Waste",[1]Landfilling!$N$27:$R$41,5,FALSE)</f>
        <v>-8.6847687193783149E-2</v>
      </c>
      <c r="DP33" s="541">
        <f>VLOOKUP($A33,'[1]Post-Consumer Transport'!$C$33:$K$88,3,FALSE)+VLOOKUP($A33,'[1]Post-Consumer Transport'!$C$33:$K$88,4,FALSE)</f>
        <v>2.0254519141196047E-2</v>
      </c>
      <c r="DQ33" s="542">
        <f>DK33+DO33+DP33</f>
        <v>1.3938424251101666</v>
      </c>
      <c r="DR33" s="538">
        <f t="shared" si="125"/>
        <v>0.72225138638211428</v>
      </c>
      <c r="DS33" s="538">
        <f t="shared" si="125"/>
        <v>0.61142035850212495</v>
      </c>
      <c r="DT33" s="539">
        <f t="shared" si="125"/>
        <v>0.68962531967848339</v>
      </c>
      <c r="DU33" s="537">
        <f>VLOOKUP($A33,[1]!LandfillWorstK6,DU$7,FALSE)</f>
        <v>1.4604355931627537</v>
      </c>
      <c r="DV33" s="538">
        <f>VLOOKUP($A33,[1]!LandfillWorstK6,DV$7,FALSE)</f>
        <v>0.88710437838799183</v>
      </c>
      <c r="DW33" s="538">
        <f>VLOOKUP($A33,[1]!LandfillWorstK6,DW$7,FALSE)</f>
        <v>0.81439058012451671</v>
      </c>
      <c r="DX33" s="539">
        <f>VLOOKUP($A33,[1]!LandfillWorstK6,DX$7,FALSE)</f>
        <v>0.87539765022273119</v>
      </c>
      <c r="DY33" s="540">
        <f>-1*VLOOKUP("Food Waste",[1]Landfilling!$N$27:$R$41,5,FALSE)</f>
        <v>-8.6847687193783149E-2</v>
      </c>
      <c r="DZ33" s="541">
        <f>VLOOKUP($A33,'[1]Post-Consumer Transport'!$C$33:$K$88,3,FALSE)+VLOOKUP($A33,'[1]Post-Consumer Transport'!$C$33:$K$88,4,FALSE)</f>
        <v>2.0254519141196047E-2</v>
      </c>
      <c r="EA33" s="542">
        <f>DU33+DY33+DZ33</f>
        <v>1.3938424251101666</v>
      </c>
      <c r="EB33" s="538">
        <f t="shared" si="126"/>
        <v>0.82051121033540475</v>
      </c>
      <c r="EC33" s="538">
        <f t="shared" si="126"/>
        <v>0.74779741207192962</v>
      </c>
      <c r="ED33" s="539">
        <f t="shared" si="126"/>
        <v>0.80880448217014411</v>
      </c>
      <c r="EE33" s="537">
        <f>VLOOKUP($A33,[1]!LandfillWorstK12,EE$7,FALSE)</f>
        <v>1.4604355931627537</v>
      </c>
      <c r="EF33" s="538">
        <f>VLOOKUP($A33,[1]!LandfillWorstK12,EF$7,FALSE)</f>
        <v>1.1034569105155063</v>
      </c>
      <c r="EG33" s="538">
        <f>VLOOKUP($A33,[1]!LandfillWorstK12,EG$7,FALSE)</f>
        <v>1.0684830730340442</v>
      </c>
      <c r="EH33" s="539">
        <f>VLOOKUP($A33,[1]!LandfillWorstK12,EH$7,FALSE)</f>
        <v>1.1041498549305746</v>
      </c>
      <c r="EI33" s="540">
        <f>-1*VLOOKUP("Food Waste",[1]Landfilling!$N$27:$R$41,5,FALSE)</f>
        <v>-8.6847687193783149E-2</v>
      </c>
      <c r="EJ33" s="541">
        <f>VLOOKUP($A33,'[1]Post-Consumer Transport'!$C$33:$K$88,3,FALSE)+VLOOKUP($A33,'[1]Post-Consumer Transport'!$C$33:$K$88,4,FALSE)</f>
        <v>2.0254519141196047E-2</v>
      </c>
      <c r="EK33" s="542">
        <f>EE33+EI33+EJ33</f>
        <v>1.3938424251101666</v>
      </c>
      <c r="EL33" s="538">
        <f t="shared" si="127"/>
        <v>1.0368637424629192</v>
      </c>
      <c r="EM33" s="538">
        <f t="shared" si="127"/>
        <v>1.0018899049814571</v>
      </c>
      <c r="EN33" s="539">
        <f t="shared" si="127"/>
        <v>1.0375566868779875</v>
      </c>
      <c r="EO33" s="537">
        <f>VLOOKUP($A33,[1]!LandfillWorstNatlAverage,EO$7,FALSE)</f>
        <v>1.4604355931627537</v>
      </c>
      <c r="EP33" s="538">
        <f>VLOOKUP($A33,[1]!LandfillWorstNatlAverage,EP$7,FALSE)</f>
        <v>0.84610995249258625</v>
      </c>
      <c r="EQ33" s="538">
        <f>VLOOKUP($A33,[1]!LandfillWorstNatlAverage,EQ$7,FALSE)</f>
        <v>0.73703317254746392</v>
      </c>
      <c r="ER33" s="539">
        <f>VLOOKUP($A33,[1]!LandfillWorstNatlAverage,ER$7,FALSE)</f>
        <v>0.80983364347192621</v>
      </c>
      <c r="ES33" s="540">
        <f>-1*VLOOKUP("Food Waste",[1]Landfilling!$N$27:$R$41,5,FALSE)</f>
        <v>-8.6847687193783149E-2</v>
      </c>
      <c r="ET33" s="541">
        <f>VLOOKUP($A33,'[1]Post-Consumer Transport'!$C$33:$K$88,3,FALSE)+VLOOKUP($A33,'[1]Post-Consumer Transport'!$C$33:$K$88,4,FALSE)</f>
        <v>2.0254519141196047E-2</v>
      </c>
      <c r="EU33" s="542">
        <f>EO33+ES33+ET33</f>
        <v>1.3938424251101666</v>
      </c>
      <c r="EV33" s="538">
        <f t="shared" si="128"/>
        <v>0.77951678443999917</v>
      </c>
      <c r="EW33" s="538">
        <f t="shared" si="128"/>
        <v>0.67044000449487684</v>
      </c>
      <c r="EX33" s="539">
        <f t="shared" si="128"/>
        <v>0.74324047541933913</v>
      </c>
      <c r="EZ33" s="537">
        <f>VLOOKUP($A33,[1]!LandfillCaliK2,EZ$7,FALSE)</f>
        <v>1.4604355931627537</v>
      </c>
      <c r="FA33" s="538">
        <f>VLOOKUP($A33,[1]!LandfillCaliK2,FA$7,FALSE)</f>
        <v>0.31145442668397677</v>
      </c>
      <c r="FB33" s="538">
        <f>VLOOKUP($A33,[1]!LandfillCaliK2,FB$7,FALSE)</f>
        <v>0.27338221896627918</v>
      </c>
      <c r="FC33" s="539">
        <f>VLOOKUP($A33,[1]!LandfillCaliK2,FC$7,FALSE)</f>
        <v>0.37459392822169946</v>
      </c>
      <c r="FD33" s="540">
        <f>-1*VLOOKUP("Food Waste",[1]Landfilling!$N$27:$R$41,5,FALSE)</f>
        <v>-8.6847687193783149E-2</v>
      </c>
      <c r="FE33" s="541">
        <f>VLOOKUP($A33,'[1]Post-Consumer Transport'!$C$33:$K$88,3,FALSE)+VLOOKUP($A33,'[1]Post-Consumer Transport'!$C$33:$K$88,4,FALSE)</f>
        <v>2.0254519141196047E-2</v>
      </c>
      <c r="FF33" s="542">
        <f>EZ33+FD33+FE33</f>
        <v>1.3938424251101666</v>
      </c>
      <c r="FG33" s="538">
        <f t="shared" si="129"/>
        <v>0.24486125863138966</v>
      </c>
      <c r="FH33" s="538">
        <f t="shared" si="129"/>
        <v>0.20678905091369207</v>
      </c>
      <c r="FI33" s="539">
        <f t="shared" si="129"/>
        <v>0.30800076016911232</v>
      </c>
      <c r="FJ33" s="537">
        <f>VLOOKUP($A33,[1]!LandfillCaliK4,FJ$7,FALSE)</f>
        <v>1.4604355931627537</v>
      </c>
      <c r="FK33" s="538">
        <f>VLOOKUP($A33,[1]!LandfillCaliK4,FK$7,FALSE)</f>
        <v>0.36385208598516378</v>
      </c>
      <c r="FL33" s="538">
        <f>VLOOKUP($A33,[1]!LandfillCaliK4,FL$7,FALSE)</f>
        <v>0.35805654738709547</v>
      </c>
      <c r="FM33" s="539">
        <f>VLOOKUP($A33,[1]!LandfillCaliK4,FM$7,FALSE)</f>
        <v>0.44771246061473657</v>
      </c>
      <c r="FN33" s="540">
        <f>-1*VLOOKUP("Food Waste",[1]Landfilling!$N$27:$R$41,5,FALSE)</f>
        <v>-8.6847687193783149E-2</v>
      </c>
      <c r="FO33" s="541">
        <f>VLOOKUP($A33,'[1]Post-Consumer Transport'!$C$33:$K$88,3,FALSE)+VLOOKUP($A33,'[1]Post-Consumer Transport'!$C$33:$K$88,4,FALSE)</f>
        <v>2.0254519141196047E-2</v>
      </c>
      <c r="FP33" s="542">
        <f>FJ33+FN33+FO33</f>
        <v>1.3938424251101666</v>
      </c>
      <c r="FQ33" s="538">
        <f t="shared" si="130"/>
        <v>0.29725891793257664</v>
      </c>
      <c r="FR33" s="538">
        <f t="shared" si="130"/>
        <v>0.29146337933450833</v>
      </c>
      <c r="FS33" s="539">
        <f t="shared" si="130"/>
        <v>0.38111929256214944</v>
      </c>
      <c r="FT33" s="537">
        <f>VLOOKUP($A33,[1]!LandfillCaliK6,FT$7,FALSE)</f>
        <v>1.4604355931627537</v>
      </c>
      <c r="FU33" s="538">
        <f>VLOOKUP($A33,[1]!LandfillCaliK6,FU$7,FALSE)</f>
        <v>0.42954377730874072</v>
      </c>
      <c r="FV33" s="538">
        <f>VLOOKUP($A33,[1]!LandfillCaliK6,FV$7,FALSE)</f>
        <v>0.4252770474557353</v>
      </c>
      <c r="FW33" s="539">
        <f>VLOOKUP($A33,[1]!LandfillCaliK6,FW$7,FALSE)</f>
        <v>0.50695418795473701</v>
      </c>
      <c r="FX33" s="540">
        <f>-1*VLOOKUP("Food Waste",[1]Landfilling!$N$27:$R$41,5,FALSE)</f>
        <v>-8.6847687193783149E-2</v>
      </c>
      <c r="FY33" s="541">
        <f>VLOOKUP($A33,'[1]Post-Consumer Transport'!$C$33:$K$88,3,FALSE)+VLOOKUP($A33,'[1]Post-Consumer Transport'!$C$33:$K$88,4,FALSE)</f>
        <v>2.0254519141196047E-2</v>
      </c>
      <c r="FZ33" s="542">
        <f>FT33+FX33+FY33</f>
        <v>1.3938424251101666</v>
      </c>
      <c r="GA33" s="538">
        <f t="shared" si="131"/>
        <v>0.36295060925615358</v>
      </c>
      <c r="GB33" s="538">
        <f t="shared" si="131"/>
        <v>0.35868387940314816</v>
      </c>
      <c r="GC33" s="539">
        <f t="shared" si="131"/>
        <v>0.44036101990214988</v>
      </c>
      <c r="GD33" s="537">
        <f>VLOOKUP($A33,[1]!LandfillCaliK12,GD$7,FALSE)</f>
        <v>1.4604355931627537</v>
      </c>
      <c r="GE33" s="538">
        <f>VLOOKUP($A33,[1]!LandfillCaliK12,GE$7,FALSE)</f>
        <v>0.57703551197522696</v>
      </c>
      <c r="GF33" s="538">
        <f>VLOOKUP($A33,[1]!LandfillCaliK12,GF$7,FALSE)</f>
        <v>0.57573132639628677</v>
      </c>
      <c r="GG33" s="539">
        <f>VLOOKUP($A33,[1]!LandfillCaliK12,GG$7,FALSE)</f>
        <v>0.64477205905675872</v>
      </c>
      <c r="GH33" s="540">
        <f>-1*VLOOKUP("Food Waste",[1]Landfilling!$N$27:$R$41,5,FALSE)</f>
        <v>-8.6847687193783149E-2</v>
      </c>
      <c r="GI33" s="541">
        <f>VLOOKUP($A33,'[1]Post-Consumer Transport'!$C$33:$K$88,3,FALSE)+VLOOKUP($A33,'[1]Post-Consumer Transport'!$C$33:$K$88,4,FALSE)</f>
        <v>2.0254519141196047E-2</v>
      </c>
      <c r="GJ33" s="542">
        <f>GD33+GH33+GI33</f>
        <v>1.3938424251101666</v>
      </c>
      <c r="GK33" s="538">
        <f t="shared" si="132"/>
        <v>0.51044234392263987</v>
      </c>
      <c r="GL33" s="538">
        <f t="shared" si="132"/>
        <v>0.50913815834369969</v>
      </c>
      <c r="GM33" s="539">
        <f t="shared" si="132"/>
        <v>0.57817889100417164</v>
      </c>
      <c r="GN33" s="537">
        <f>VLOOKUP($A33,[1]!LandfillCaliNatlAverage,GN$7,FALSE)</f>
        <v>1.4604355931627537</v>
      </c>
      <c r="GO33" s="538">
        <f>VLOOKUP($A33,[1]!LandfillCaliNatlAverage,GO$7,FALSE)</f>
        <v>0.40169018185792288</v>
      </c>
      <c r="GP33" s="538">
        <f>VLOOKUP($A33,[1]!LandfillCaliNatlAverage,GP$7,FALSE)</f>
        <v>0.39051678513206234</v>
      </c>
      <c r="GQ33" s="539">
        <f>VLOOKUP($A33,[1]!LandfillCaliNatlAverage,GQ$7,FALSE)</f>
        <v>0.47714306391707151</v>
      </c>
      <c r="GR33" s="540">
        <f>-1*VLOOKUP("Food Waste",[1]Landfilling!$N$27:$R$41,5,FALSE)</f>
        <v>-8.6847687193783149E-2</v>
      </c>
      <c r="GS33" s="541">
        <f>VLOOKUP($A33,'[1]Post-Consumer Transport'!$C$33:$K$88,3,FALSE)+VLOOKUP($A33,'[1]Post-Consumer Transport'!$C$33:$K$88,4,FALSE)</f>
        <v>2.0254519141196047E-2</v>
      </c>
      <c r="GT33" s="542">
        <f>GN33+GR33+GS33</f>
        <v>1.3938424251101666</v>
      </c>
      <c r="GU33" s="538">
        <f t="shared" si="133"/>
        <v>0.33509701380533574</v>
      </c>
      <c r="GV33" s="538">
        <f t="shared" si="133"/>
        <v>0.3239236170794752</v>
      </c>
      <c r="GW33" s="539">
        <f t="shared" si="133"/>
        <v>0.41054989586448437</v>
      </c>
    </row>
    <row r="34" spans="1:205" x14ac:dyDescent="0.25">
      <c r="A34" s="494" t="str">
        <f>B34</f>
        <v>Beef</v>
      </c>
      <c r="B34" s="486" t="s">
        <v>741</v>
      </c>
      <c r="C34" s="537">
        <f>VLOOKUP($A34,[1]!LandfillTypicalK2,C$7,FALSE)</f>
        <v>1.4604355931627537</v>
      </c>
      <c r="D34" s="538">
        <f>VLOOKUP($A34,[1]!LandfillTypicalK2,D$7,FALSE)</f>
        <v>0.61093906080766192</v>
      </c>
      <c r="E34" s="538">
        <f>VLOOKUP($A34,[1]!LandfillTypicalK2,E$7,FALSE)</f>
        <v>0.39091228503316028</v>
      </c>
      <c r="F34" s="621">
        <f>VLOOKUP($A34,[1]!LandfillTypicalK2,F$7,FALSE)</f>
        <v>0.50820687968075151</v>
      </c>
      <c r="G34" s="540">
        <f>-1*VLOOKUP("Food Waste",[1]Landfilling!$N$27:$R$41,5,FALSE)</f>
        <v>-8.6847687193783149E-2</v>
      </c>
      <c r="H34" s="541">
        <f>VLOOKUP($A34,'[1]Post-Consumer Transport'!$C$33:$K$88,3,FALSE)+VLOOKUP($A34,'[1]Post-Consumer Transport'!$C$33:$K$88,4,FALSE)</f>
        <v>2.0254519141196047E-2</v>
      </c>
      <c r="I34" s="542">
        <f>C34+G34+H34</f>
        <v>1.3938424251101666</v>
      </c>
      <c r="J34" s="538">
        <f>D34+$G34+$H34</f>
        <v>0.54434589275507483</v>
      </c>
      <c r="K34" s="538">
        <f t="shared" si="114"/>
        <v>0.32431911698057314</v>
      </c>
      <c r="L34" s="539">
        <f t="shared" si="114"/>
        <v>0.44161371162816437</v>
      </c>
      <c r="M34" s="537">
        <f>VLOOKUP($A34,[1]!LandfillTypicalK4,M$7,FALSE)</f>
        <v>1.4604355931627537</v>
      </c>
      <c r="N34" s="538">
        <f>VLOOKUP($A34,[1]!LandfillTypicalK4,N$7,FALSE)</f>
        <v>0.60284663215621481</v>
      </c>
      <c r="O34" s="538">
        <f>VLOOKUP($A34,[1]!LandfillTypicalK4,O$7,FALSE)</f>
        <v>0.48730425971105434</v>
      </c>
      <c r="P34" s="539">
        <f>VLOOKUP($A34,[1]!LandfillTypicalK4,P$7,FALSE)</f>
        <v>0.58249049786793194</v>
      </c>
      <c r="Q34" s="540">
        <f>-1*VLOOKUP("Food Waste",[1]Landfilling!$N$27:$R$41,5,FALSE)</f>
        <v>-8.6847687193783149E-2</v>
      </c>
      <c r="R34" s="541">
        <f>VLOOKUP($A34,'[1]Post-Consumer Transport'!$C$33:$K$88,3,FALSE)+VLOOKUP($A34,'[1]Post-Consumer Transport'!$C$33:$K$88,4,FALSE)</f>
        <v>2.0254519141196047E-2</v>
      </c>
      <c r="S34" s="542">
        <f>M34+Q34+R34</f>
        <v>1.3938424251101666</v>
      </c>
      <c r="T34" s="538">
        <f t="shared" si="115"/>
        <v>0.53625346410362773</v>
      </c>
      <c r="U34" s="538">
        <f t="shared" si="115"/>
        <v>0.42071109165846721</v>
      </c>
      <c r="V34" s="539">
        <f t="shared" si="115"/>
        <v>0.51589732981534486</v>
      </c>
      <c r="W34" s="537">
        <f>VLOOKUP($A34,[1]!LandfillTypicalK6,W$7,FALSE)</f>
        <v>1.4604355931627537</v>
      </c>
      <c r="X34" s="538">
        <f>VLOOKUP($A34,[1]!LandfillTypicalK6,X$7,FALSE)</f>
        <v>0.63241941267691126</v>
      </c>
      <c r="Y34" s="538">
        <f>VLOOKUP($A34,[1]!LandfillTypicalK6,Y$7,FALSE)</f>
        <v>0.55772619131168477</v>
      </c>
      <c r="Z34" s="539">
        <f>VLOOKUP($A34,[1]!LandfillTypicalK6,Z$7,FALSE)</f>
        <v>0.64073324941814747</v>
      </c>
      <c r="AA34" s="540">
        <f>-1*VLOOKUP("Food Waste",[1]Landfilling!$N$27:$R$41,5,FALSE)</f>
        <v>-8.6847687193783149E-2</v>
      </c>
      <c r="AB34" s="541">
        <f>VLOOKUP($A34,'[1]Post-Consumer Transport'!$C$33:$K$88,3,FALSE)+VLOOKUP($A34,'[1]Post-Consumer Transport'!$C$33:$K$88,4,FALSE)</f>
        <v>2.0254519141196047E-2</v>
      </c>
      <c r="AC34" s="542">
        <f>W34+AA34+AB34</f>
        <v>1.3938424251101666</v>
      </c>
      <c r="AD34" s="538">
        <f t="shared" si="116"/>
        <v>0.56582624462432418</v>
      </c>
      <c r="AE34" s="538">
        <f t="shared" si="116"/>
        <v>0.49113302325909763</v>
      </c>
      <c r="AF34" s="539">
        <f t="shared" si="116"/>
        <v>0.57414008136556038</v>
      </c>
      <c r="AG34" s="537">
        <f>VLOOKUP($A34,[1]!LandfillTypicalK12,AG$7,FALSE)</f>
        <v>1.4604355931627537</v>
      </c>
      <c r="AH34" s="538">
        <f>VLOOKUP($A34,[1]!LandfillTypicalK12,AH$7,FALSE)</f>
        <v>0.7366202192348783</v>
      </c>
      <c r="AI34" s="538">
        <f>VLOOKUP($A34,[1]!LandfillTypicalK12,AI$7,FALSE)</f>
        <v>0.69885314743179283</v>
      </c>
      <c r="AJ34" s="539">
        <f>VLOOKUP($A34,[1]!LandfillTypicalK12,AJ$7,FALSE)</f>
        <v>0.76502280785334098</v>
      </c>
      <c r="AK34" s="540">
        <f>-1*VLOOKUP("Food Waste",[1]Landfilling!$N$27:$R$41,5,FALSE)</f>
        <v>-8.6847687193783149E-2</v>
      </c>
      <c r="AL34" s="541">
        <f>VLOOKUP($A34,'[1]Post-Consumer Transport'!$C$33:$K$88,3,FALSE)+VLOOKUP($A34,'[1]Post-Consumer Transport'!$C$33:$K$88,4,FALSE)</f>
        <v>2.0254519141196047E-2</v>
      </c>
      <c r="AM34" s="542">
        <f>AG34+AK34+AL34</f>
        <v>1.3938424251101666</v>
      </c>
      <c r="AN34" s="538">
        <f t="shared" si="117"/>
        <v>0.67002705118229122</v>
      </c>
      <c r="AO34" s="538">
        <f t="shared" si="117"/>
        <v>0.63225997937920575</v>
      </c>
      <c r="AP34" s="539">
        <f t="shared" si="117"/>
        <v>0.6984296398007539</v>
      </c>
      <c r="AQ34" s="537">
        <f>VLOOKUP($A34,[1]!LandfillTypicalNatlAverage,AQ$7,FALSE)</f>
        <v>1.4604355931627537</v>
      </c>
      <c r="AR34" s="538">
        <f>VLOOKUP($A34,[1]!LandfillTypicalNatlAverage,AR$7,FALSE)</f>
        <v>0.62999688938837684</v>
      </c>
      <c r="AS34" s="538">
        <f>VLOOKUP($A34,[1]!LandfillTypicalNatlAverage,AS$7,FALSE)</f>
        <v>0.51812416743540846</v>
      </c>
      <c r="AT34" s="539">
        <f>VLOOKUP($A34,[1]!LandfillTypicalNatlAverage,AT$7,FALSE)</f>
        <v>0.60982477611617536</v>
      </c>
      <c r="AU34" s="540">
        <f>-1*VLOOKUP("Food Waste",[1]Landfilling!$N$27:$R$41,5,FALSE)</f>
        <v>-8.6847687193783149E-2</v>
      </c>
      <c r="AV34" s="541">
        <f>VLOOKUP($A34,'[1]Post-Consumer Transport'!$C$33:$K$88,3,FALSE)+VLOOKUP($A34,'[1]Post-Consumer Transport'!$C$33:$K$88,4,FALSE)</f>
        <v>2.0254519141196047E-2</v>
      </c>
      <c r="AW34" s="542">
        <f>AQ34+AU34+AV34</f>
        <v>1.3938424251101666</v>
      </c>
      <c r="AX34" s="538">
        <f t="shared" si="118"/>
        <v>0.56340372133578975</v>
      </c>
      <c r="AY34" s="538">
        <f t="shared" si="118"/>
        <v>0.45153099938282132</v>
      </c>
      <c r="AZ34" s="539">
        <f t="shared" si="118"/>
        <v>0.54323160806358828</v>
      </c>
      <c r="BB34" s="537">
        <f>VLOOKUP($A34,[1]!LandfillAggressiveK2,BB$7,FALSE)</f>
        <v>1.4604355931627537</v>
      </c>
      <c r="BC34" s="538">
        <f>VLOOKUP($A34,[1]!LandfillAggressiveK2,BC$7,FALSE)</f>
        <v>0.58385042883121196</v>
      </c>
      <c r="BD34" s="538">
        <f>VLOOKUP($A34,[1]!LandfillAggressiveK2,BD$7,FALSE)</f>
        <v>0.36209364961127732</v>
      </c>
      <c r="BE34" s="539">
        <f>VLOOKUP($A34,[1]!LandfillAggressiveK2,BE$7,FALSE)</f>
        <v>0.48202522898253586</v>
      </c>
      <c r="BF34" s="540">
        <f>-1*VLOOKUP("Food Waste",[1]Landfilling!$N$27:$R$41,5,FALSE)</f>
        <v>-8.6847687193783149E-2</v>
      </c>
      <c r="BG34" s="541">
        <f>VLOOKUP($A34,'[1]Post-Consumer Transport'!$C$33:$K$88,3,FALSE)+VLOOKUP($A34,'[1]Post-Consumer Transport'!$C$33:$K$88,4,FALSE)</f>
        <v>2.0254519141196047E-2</v>
      </c>
      <c r="BH34" s="542">
        <f>BB34+BF34+BG34</f>
        <v>1.3938424251101666</v>
      </c>
      <c r="BI34" s="538">
        <f t="shared" si="119"/>
        <v>0.51725726077862488</v>
      </c>
      <c r="BJ34" s="538">
        <f t="shared" si="119"/>
        <v>0.29550048155869019</v>
      </c>
      <c r="BK34" s="539">
        <f t="shared" si="119"/>
        <v>0.41543206092994872</v>
      </c>
      <c r="BL34" s="881">
        <f>VLOOKUP($A34,[1]!LandfillAggressiveK4,BL$7,FALSE)</f>
        <v>1.4604355931627537</v>
      </c>
      <c r="BM34" s="882">
        <f>VLOOKUP($A34,[1]!LandfillAggressiveK4,BM$7,FALSE)</f>
        <v>0.54793452008144916</v>
      </c>
      <c r="BN34" s="882">
        <f>VLOOKUP($A34,[1]!LandfillAggressiveK4,BN$7,FALSE)</f>
        <v>0.43536791644127987</v>
      </c>
      <c r="BO34" s="883">
        <f>VLOOKUP($A34,[1]!LandfillAggressiveK4,BO$7,FALSE)</f>
        <v>0.53376985510905972</v>
      </c>
      <c r="BP34" s="884">
        <f>-1*VLOOKUP("Food Waste",[1]Landfilling!$N$27:$R$41,5,FALSE)</f>
        <v>-8.6847687193783149E-2</v>
      </c>
      <c r="BQ34" s="885">
        <f>VLOOKUP($A34,'[1]Post-Consumer Transport'!$C$33:$K$88,3,FALSE)+VLOOKUP($A34,'[1]Post-Consumer Transport'!$C$33:$K$88,4,FALSE)</f>
        <v>2.0254519141196047E-2</v>
      </c>
      <c r="BR34" s="886">
        <f>BL34+BP34+BQ34</f>
        <v>1.3938424251101666</v>
      </c>
      <c r="BS34" s="882">
        <f t="shared" si="120"/>
        <v>0.48134135202886202</v>
      </c>
      <c r="BT34" s="882">
        <f t="shared" si="120"/>
        <v>0.36877474838869273</v>
      </c>
      <c r="BU34" s="883">
        <f t="shared" si="120"/>
        <v>0.46717668705647258</v>
      </c>
      <c r="BV34" s="537">
        <f>VLOOKUP($A34,[1]!LandfillAggressiveK6,BV$7,FALSE)</f>
        <v>1.4604355931627537</v>
      </c>
      <c r="BW34" s="538">
        <f>VLOOKUP($A34,[1]!LandfillAggressiveK6,BW$7,FALSE)</f>
        <v>0.56944278764609146</v>
      </c>
      <c r="BX34" s="538">
        <f>VLOOKUP($A34,[1]!LandfillAggressiveK6,BX$7,FALSE)</f>
        <v>0.4907274466408868</v>
      </c>
      <c r="BY34" s="539">
        <f>VLOOKUP($A34,[1]!LandfillAggressiveK6,BY$7,FALSE)</f>
        <v>0.57829643920148133</v>
      </c>
      <c r="BZ34" s="540">
        <f>-1*VLOOKUP("Food Waste",[1]Landfilling!$N$27:$R$41,5,FALSE)</f>
        <v>-8.6847687193783149E-2</v>
      </c>
      <c r="CA34" s="541">
        <f>VLOOKUP($A34,'[1]Post-Consumer Transport'!$C$33:$K$88,3,FALSE)+VLOOKUP($A34,'[1]Post-Consumer Transport'!$C$33:$K$88,4,FALSE)</f>
        <v>2.0254519141196047E-2</v>
      </c>
      <c r="CB34" s="542">
        <f>BV34+BZ34+CA34</f>
        <v>1.3938424251101666</v>
      </c>
      <c r="CC34" s="538">
        <f t="shared" si="121"/>
        <v>0.50284961959350438</v>
      </c>
      <c r="CD34" s="538">
        <f t="shared" si="121"/>
        <v>0.42413427858829966</v>
      </c>
      <c r="CE34" s="539">
        <f t="shared" si="121"/>
        <v>0.51170327114889425</v>
      </c>
      <c r="CF34" s="537">
        <f>VLOOKUP($A34,[1]!LandfillAggressiveK12,CF$7,FALSE)</f>
        <v>1.4604355931627537</v>
      </c>
      <c r="CG34" s="538">
        <f>VLOOKUP($A34,[1]!LandfillAggressiveK12,CG$7,FALSE)</f>
        <v>0.64841012393576436</v>
      </c>
      <c r="CH34" s="538">
        <f>VLOOKUP($A34,[1]!LandfillAggressiveK12,CH$7,FALSE)</f>
        <v>0.60873591037533392</v>
      </c>
      <c r="CI34" s="539">
        <f>VLOOKUP($A34,[1]!LandfillAggressiveK12,CI$7,FALSE)</f>
        <v>0.68099446376820949</v>
      </c>
      <c r="CJ34" s="540">
        <f>-1*VLOOKUP("Food Waste",[1]Landfilling!$N$27:$R$41,5,FALSE)</f>
        <v>-8.6847687193783149E-2</v>
      </c>
      <c r="CK34" s="541">
        <f>VLOOKUP($A34,'[1]Post-Consumer Transport'!$C$33:$K$88,3,FALSE)+VLOOKUP($A34,'[1]Post-Consumer Transport'!$C$33:$K$88,4,FALSE)</f>
        <v>2.0254519141196047E-2</v>
      </c>
      <c r="CL34" s="542">
        <f>CF34+CJ34+CK34</f>
        <v>1.3938424251101666</v>
      </c>
      <c r="CM34" s="538">
        <f t="shared" si="122"/>
        <v>0.58181695588317728</v>
      </c>
      <c r="CN34" s="538">
        <f t="shared" si="122"/>
        <v>0.54214274232274684</v>
      </c>
      <c r="CO34" s="539">
        <f t="shared" si="122"/>
        <v>0.61440129571562241</v>
      </c>
      <c r="CP34" s="537">
        <f>VLOOKUP($A34,[1]!LandfillAggressiveNatlAverage,CP$7,FALSE)</f>
        <v>1.4604355931627537</v>
      </c>
      <c r="CQ34" s="538">
        <f>VLOOKUP($A34,[1]!LandfillAggressiveNatlAverage,CQ$7,FALSE)</f>
        <v>0.57400516018590109</v>
      </c>
      <c r="CR34" s="538">
        <f>VLOOKUP($A34,[1]!LandfillAggressiveNatlAverage,CR$7,FALSE)</f>
        <v>0.46080262938072319</v>
      </c>
      <c r="CS34" s="539">
        <f>VLOOKUP($A34,[1]!LandfillAggressiveNatlAverage,CS$7,FALSE)</f>
        <v>0.55644381681165522</v>
      </c>
      <c r="CT34" s="540">
        <f>-1*VLOOKUP("Food Waste",[1]Landfilling!$N$27:$R$41,5,FALSE)</f>
        <v>-8.6847687193783149E-2</v>
      </c>
      <c r="CU34" s="541">
        <f>VLOOKUP($A34,'[1]Post-Consumer Transport'!$C$33:$K$88,3,FALSE)+VLOOKUP($A34,'[1]Post-Consumer Transport'!$C$33:$K$88,4,FALSE)</f>
        <v>2.0254519141196047E-2</v>
      </c>
      <c r="CV34" s="542">
        <f>CP34+CT34+CU34</f>
        <v>1.3938424251101666</v>
      </c>
      <c r="CW34" s="538">
        <f t="shared" si="123"/>
        <v>0.507411992133314</v>
      </c>
      <c r="CX34" s="538">
        <f t="shared" si="123"/>
        <v>0.39420946132813606</v>
      </c>
      <c r="CY34" s="539">
        <f t="shared" si="123"/>
        <v>0.48985064875906809</v>
      </c>
      <c r="DA34" s="537">
        <f>VLOOKUP($A34,[1]!LandfillWorstK2,DA$7,FALSE)</f>
        <v>1.4604355931627537</v>
      </c>
      <c r="DB34" s="538">
        <f>VLOOKUP($A34,[1]!LandfillWorstK2,DB$7,FALSE)</f>
        <v>0.71594142845971198</v>
      </c>
      <c r="DC34" s="538">
        <f>VLOOKUP($A34,[1]!LandfillWorstK2,DC$7,FALSE)</f>
        <v>0.49762213819285644</v>
      </c>
      <c r="DD34" s="539">
        <f>VLOOKUP($A34,[1]!LandfillWorstK2,DD$7,FALSE)</f>
        <v>0.60541540391523474</v>
      </c>
      <c r="DE34" s="540">
        <f>-1*VLOOKUP("Food Waste",[1]Landfilling!$N$27:$R$41,5,FALSE)</f>
        <v>-8.6847687193783149E-2</v>
      </c>
      <c r="DF34" s="541">
        <f>VLOOKUP($A34,'[1]Post-Consumer Transport'!$C$33:$K$88,3,FALSE)+VLOOKUP($A34,'[1]Post-Consumer Transport'!$C$33:$K$88,4,FALSE)</f>
        <v>2.0254519141196047E-2</v>
      </c>
      <c r="DG34" s="542">
        <f>DA34+DE34+DF34</f>
        <v>1.3938424251101666</v>
      </c>
      <c r="DH34" s="538">
        <f t="shared" si="124"/>
        <v>0.6493482604071249</v>
      </c>
      <c r="DI34" s="538">
        <f t="shared" si="124"/>
        <v>0.43102897014026931</v>
      </c>
      <c r="DJ34" s="539">
        <f t="shared" si="124"/>
        <v>0.53882223586264766</v>
      </c>
      <c r="DK34" s="537">
        <f>VLOOKUP($A34,[1]!LandfillWorstK4,DK$7,FALSE)</f>
        <v>1.4604355931627537</v>
      </c>
      <c r="DL34" s="538">
        <f>VLOOKUP($A34,[1]!LandfillWorstK4,DL$7,FALSE)</f>
        <v>0.78884455443470136</v>
      </c>
      <c r="DM34" s="538">
        <f>VLOOKUP($A34,[1]!LandfillWorstK4,DM$7,FALSE)</f>
        <v>0.67801352655471203</v>
      </c>
      <c r="DN34" s="539">
        <f>VLOOKUP($A34,[1]!LandfillWorstK4,DN$7,FALSE)</f>
        <v>0.75621848773107048</v>
      </c>
      <c r="DO34" s="540">
        <f>-1*VLOOKUP("Food Waste",[1]Landfilling!$N$27:$R$41,5,FALSE)</f>
        <v>-8.6847687193783149E-2</v>
      </c>
      <c r="DP34" s="541">
        <f>VLOOKUP($A34,'[1]Post-Consumer Transport'!$C$33:$K$88,3,FALSE)+VLOOKUP($A34,'[1]Post-Consumer Transport'!$C$33:$K$88,4,FALSE)</f>
        <v>2.0254519141196047E-2</v>
      </c>
      <c r="DQ34" s="542">
        <f>DK34+DO34+DP34</f>
        <v>1.3938424251101666</v>
      </c>
      <c r="DR34" s="538">
        <f t="shared" si="125"/>
        <v>0.72225138638211428</v>
      </c>
      <c r="DS34" s="538">
        <f t="shared" si="125"/>
        <v>0.61142035850212495</v>
      </c>
      <c r="DT34" s="539">
        <f t="shared" si="125"/>
        <v>0.68962531967848339</v>
      </c>
      <c r="DU34" s="537">
        <f>VLOOKUP($A34,[1]!LandfillWorstK6,DU$7,FALSE)</f>
        <v>1.4604355931627537</v>
      </c>
      <c r="DV34" s="538">
        <f>VLOOKUP($A34,[1]!LandfillWorstK6,DV$7,FALSE)</f>
        <v>0.88710437838799183</v>
      </c>
      <c r="DW34" s="538">
        <f>VLOOKUP($A34,[1]!LandfillWorstK6,DW$7,FALSE)</f>
        <v>0.81439058012451671</v>
      </c>
      <c r="DX34" s="539">
        <f>VLOOKUP($A34,[1]!LandfillWorstK6,DX$7,FALSE)</f>
        <v>0.87539765022273119</v>
      </c>
      <c r="DY34" s="540">
        <f>-1*VLOOKUP("Food Waste",[1]Landfilling!$N$27:$R$41,5,FALSE)</f>
        <v>-8.6847687193783149E-2</v>
      </c>
      <c r="DZ34" s="541">
        <f>VLOOKUP($A34,'[1]Post-Consumer Transport'!$C$33:$K$88,3,FALSE)+VLOOKUP($A34,'[1]Post-Consumer Transport'!$C$33:$K$88,4,FALSE)</f>
        <v>2.0254519141196047E-2</v>
      </c>
      <c r="EA34" s="542">
        <f>DU34+DY34+DZ34</f>
        <v>1.3938424251101666</v>
      </c>
      <c r="EB34" s="538">
        <f t="shared" si="126"/>
        <v>0.82051121033540475</v>
      </c>
      <c r="EC34" s="538">
        <f t="shared" si="126"/>
        <v>0.74779741207192962</v>
      </c>
      <c r="ED34" s="539">
        <f t="shared" si="126"/>
        <v>0.80880448217014411</v>
      </c>
      <c r="EE34" s="537">
        <f>VLOOKUP($A34,[1]!LandfillWorstK12,EE$7,FALSE)</f>
        <v>1.4604355931627537</v>
      </c>
      <c r="EF34" s="538">
        <f>VLOOKUP($A34,[1]!LandfillWorstK12,EF$7,FALSE)</f>
        <v>1.1034569105155063</v>
      </c>
      <c r="EG34" s="538">
        <f>VLOOKUP($A34,[1]!LandfillWorstK12,EG$7,FALSE)</f>
        <v>1.0684830730340442</v>
      </c>
      <c r="EH34" s="539">
        <f>VLOOKUP($A34,[1]!LandfillWorstK12,EH$7,FALSE)</f>
        <v>1.1041498549305746</v>
      </c>
      <c r="EI34" s="540">
        <f>-1*VLOOKUP("Food Waste",[1]Landfilling!$N$27:$R$41,5,FALSE)</f>
        <v>-8.6847687193783149E-2</v>
      </c>
      <c r="EJ34" s="541">
        <f>VLOOKUP($A34,'[1]Post-Consumer Transport'!$C$33:$K$88,3,FALSE)+VLOOKUP($A34,'[1]Post-Consumer Transport'!$C$33:$K$88,4,FALSE)</f>
        <v>2.0254519141196047E-2</v>
      </c>
      <c r="EK34" s="542">
        <f>EE34+EI34+EJ34</f>
        <v>1.3938424251101666</v>
      </c>
      <c r="EL34" s="538">
        <f t="shared" si="127"/>
        <v>1.0368637424629192</v>
      </c>
      <c r="EM34" s="538">
        <f t="shared" si="127"/>
        <v>1.0018899049814571</v>
      </c>
      <c r="EN34" s="539">
        <f t="shared" si="127"/>
        <v>1.0375566868779875</v>
      </c>
      <c r="EO34" s="537">
        <f>VLOOKUP($A34,[1]!LandfillWorstNatlAverage,EO$7,FALSE)</f>
        <v>1.4604355931627537</v>
      </c>
      <c r="EP34" s="538">
        <f>VLOOKUP($A34,[1]!LandfillWorstNatlAverage,EP$7,FALSE)</f>
        <v>0.84610995249258625</v>
      </c>
      <c r="EQ34" s="538">
        <f>VLOOKUP($A34,[1]!LandfillWorstNatlAverage,EQ$7,FALSE)</f>
        <v>0.73703317254746392</v>
      </c>
      <c r="ER34" s="539">
        <f>VLOOKUP($A34,[1]!LandfillWorstNatlAverage,ER$7,FALSE)</f>
        <v>0.80983364347192621</v>
      </c>
      <c r="ES34" s="540">
        <f>-1*VLOOKUP("Food Waste",[1]Landfilling!$N$27:$R$41,5,FALSE)</f>
        <v>-8.6847687193783149E-2</v>
      </c>
      <c r="ET34" s="541">
        <f>VLOOKUP($A34,'[1]Post-Consumer Transport'!$C$33:$K$88,3,FALSE)+VLOOKUP($A34,'[1]Post-Consumer Transport'!$C$33:$K$88,4,FALSE)</f>
        <v>2.0254519141196047E-2</v>
      </c>
      <c r="EU34" s="542">
        <f>EO34+ES34+ET34</f>
        <v>1.3938424251101666</v>
      </c>
      <c r="EV34" s="538">
        <f t="shared" si="128"/>
        <v>0.77951678443999917</v>
      </c>
      <c r="EW34" s="538">
        <f t="shared" si="128"/>
        <v>0.67044000449487684</v>
      </c>
      <c r="EX34" s="539">
        <f t="shared" si="128"/>
        <v>0.74324047541933913</v>
      </c>
      <c r="EZ34" s="537">
        <f>VLOOKUP($A34,[1]!LandfillCaliK2,EZ$7,FALSE)</f>
        <v>1.4604355931627537</v>
      </c>
      <c r="FA34" s="538">
        <f>VLOOKUP($A34,[1]!LandfillCaliK2,FA$7,FALSE)</f>
        <v>0.31145442668397677</v>
      </c>
      <c r="FB34" s="538">
        <f>VLOOKUP($A34,[1]!LandfillCaliK2,FB$7,FALSE)</f>
        <v>0.27338221896627918</v>
      </c>
      <c r="FC34" s="539">
        <f>VLOOKUP($A34,[1]!LandfillCaliK2,FC$7,FALSE)</f>
        <v>0.37459392822169946</v>
      </c>
      <c r="FD34" s="540">
        <f>-1*VLOOKUP("Food Waste",[1]Landfilling!$N$27:$R$41,5,FALSE)</f>
        <v>-8.6847687193783149E-2</v>
      </c>
      <c r="FE34" s="541">
        <f>VLOOKUP($A34,'[1]Post-Consumer Transport'!$C$33:$K$88,3,FALSE)+VLOOKUP($A34,'[1]Post-Consumer Transport'!$C$33:$K$88,4,FALSE)</f>
        <v>2.0254519141196047E-2</v>
      </c>
      <c r="FF34" s="542">
        <f>EZ34+FD34+FE34</f>
        <v>1.3938424251101666</v>
      </c>
      <c r="FG34" s="538">
        <f t="shared" si="129"/>
        <v>0.24486125863138966</v>
      </c>
      <c r="FH34" s="538">
        <f t="shared" si="129"/>
        <v>0.20678905091369207</v>
      </c>
      <c r="FI34" s="539">
        <f t="shared" si="129"/>
        <v>0.30800076016911232</v>
      </c>
      <c r="FJ34" s="537">
        <f>VLOOKUP($A34,[1]!LandfillCaliK4,FJ$7,FALSE)</f>
        <v>1.4604355931627537</v>
      </c>
      <c r="FK34" s="538">
        <f>VLOOKUP($A34,[1]!LandfillCaliK4,FK$7,FALSE)</f>
        <v>0.36385208598516378</v>
      </c>
      <c r="FL34" s="538">
        <f>VLOOKUP($A34,[1]!LandfillCaliK4,FL$7,FALSE)</f>
        <v>0.35805654738709547</v>
      </c>
      <c r="FM34" s="539">
        <f>VLOOKUP($A34,[1]!LandfillCaliK4,FM$7,FALSE)</f>
        <v>0.44771246061473657</v>
      </c>
      <c r="FN34" s="540">
        <f>-1*VLOOKUP("Food Waste",[1]Landfilling!$N$27:$R$41,5,FALSE)</f>
        <v>-8.6847687193783149E-2</v>
      </c>
      <c r="FO34" s="541">
        <f>VLOOKUP($A34,'[1]Post-Consumer Transport'!$C$33:$K$88,3,FALSE)+VLOOKUP($A34,'[1]Post-Consumer Transport'!$C$33:$K$88,4,FALSE)</f>
        <v>2.0254519141196047E-2</v>
      </c>
      <c r="FP34" s="542">
        <f>FJ34+FN34+FO34</f>
        <v>1.3938424251101666</v>
      </c>
      <c r="FQ34" s="538">
        <f t="shared" si="130"/>
        <v>0.29725891793257664</v>
      </c>
      <c r="FR34" s="538">
        <f t="shared" si="130"/>
        <v>0.29146337933450833</v>
      </c>
      <c r="FS34" s="539">
        <f t="shared" si="130"/>
        <v>0.38111929256214944</v>
      </c>
      <c r="FT34" s="537">
        <f>VLOOKUP($A34,[1]!LandfillCaliK6,FT$7,FALSE)</f>
        <v>1.4604355931627537</v>
      </c>
      <c r="FU34" s="538">
        <f>VLOOKUP($A34,[1]!LandfillCaliK6,FU$7,FALSE)</f>
        <v>0.42954377730874072</v>
      </c>
      <c r="FV34" s="538">
        <f>VLOOKUP($A34,[1]!LandfillCaliK6,FV$7,FALSE)</f>
        <v>0.4252770474557353</v>
      </c>
      <c r="FW34" s="539">
        <f>VLOOKUP($A34,[1]!LandfillCaliK6,FW$7,FALSE)</f>
        <v>0.50695418795473701</v>
      </c>
      <c r="FX34" s="540">
        <f>-1*VLOOKUP("Food Waste",[1]Landfilling!$N$27:$R$41,5,FALSE)</f>
        <v>-8.6847687193783149E-2</v>
      </c>
      <c r="FY34" s="541">
        <f>VLOOKUP($A34,'[1]Post-Consumer Transport'!$C$33:$K$88,3,FALSE)+VLOOKUP($A34,'[1]Post-Consumer Transport'!$C$33:$K$88,4,FALSE)</f>
        <v>2.0254519141196047E-2</v>
      </c>
      <c r="FZ34" s="542">
        <f>FT34+FX34+FY34</f>
        <v>1.3938424251101666</v>
      </c>
      <c r="GA34" s="538">
        <f t="shared" si="131"/>
        <v>0.36295060925615358</v>
      </c>
      <c r="GB34" s="538">
        <f t="shared" si="131"/>
        <v>0.35868387940314816</v>
      </c>
      <c r="GC34" s="539">
        <f t="shared" si="131"/>
        <v>0.44036101990214988</v>
      </c>
      <c r="GD34" s="537">
        <f>VLOOKUP($A34,[1]!LandfillCaliK12,GD$7,FALSE)</f>
        <v>1.4604355931627537</v>
      </c>
      <c r="GE34" s="538">
        <f>VLOOKUP($A34,[1]!LandfillCaliK12,GE$7,FALSE)</f>
        <v>0.57703551197522696</v>
      </c>
      <c r="GF34" s="538">
        <f>VLOOKUP($A34,[1]!LandfillCaliK12,GF$7,FALSE)</f>
        <v>0.57573132639628677</v>
      </c>
      <c r="GG34" s="539">
        <f>VLOOKUP($A34,[1]!LandfillCaliK12,GG$7,FALSE)</f>
        <v>0.64477205905675872</v>
      </c>
      <c r="GH34" s="540">
        <f>-1*VLOOKUP("Food Waste",[1]Landfilling!$N$27:$R$41,5,FALSE)</f>
        <v>-8.6847687193783149E-2</v>
      </c>
      <c r="GI34" s="541">
        <f>VLOOKUP($A34,'[1]Post-Consumer Transport'!$C$33:$K$88,3,FALSE)+VLOOKUP($A34,'[1]Post-Consumer Transport'!$C$33:$K$88,4,FALSE)</f>
        <v>2.0254519141196047E-2</v>
      </c>
      <c r="GJ34" s="542">
        <f>GD34+GH34+GI34</f>
        <v>1.3938424251101666</v>
      </c>
      <c r="GK34" s="538">
        <f t="shared" si="132"/>
        <v>0.51044234392263987</v>
      </c>
      <c r="GL34" s="538">
        <f t="shared" si="132"/>
        <v>0.50913815834369969</v>
      </c>
      <c r="GM34" s="539">
        <f t="shared" si="132"/>
        <v>0.57817889100417164</v>
      </c>
      <c r="GN34" s="537">
        <f>VLOOKUP($A34,[1]!LandfillCaliNatlAverage,GN$7,FALSE)</f>
        <v>1.4604355931627537</v>
      </c>
      <c r="GO34" s="538">
        <f>VLOOKUP($A34,[1]!LandfillCaliNatlAverage,GO$7,FALSE)</f>
        <v>0.40169018185792288</v>
      </c>
      <c r="GP34" s="538">
        <f>VLOOKUP($A34,[1]!LandfillCaliNatlAverage,GP$7,FALSE)</f>
        <v>0.39051678513206234</v>
      </c>
      <c r="GQ34" s="539">
        <f>VLOOKUP($A34,[1]!LandfillCaliNatlAverage,GQ$7,FALSE)</f>
        <v>0.47714306391707151</v>
      </c>
      <c r="GR34" s="540">
        <f>-1*VLOOKUP("Food Waste",[1]Landfilling!$N$27:$R$41,5,FALSE)</f>
        <v>-8.6847687193783149E-2</v>
      </c>
      <c r="GS34" s="541">
        <f>VLOOKUP($A34,'[1]Post-Consumer Transport'!$C$33:$K$88,3,FALSE)+VLOOKUP($A34,'[1]Post-Consumer Transport'!$C$33:$K$88,4,FALSE)</f>
        <v>2.0254519141196047E-2</v>
      </c>
      <c r="GT34" s="542">
        <f>GN34+GR34+GS34</f>
        <v>1.3938424251101666</v>
      </c>
      <c r="GU34" s="538">
        <f t="shared" si="133"/>
        <v>0.33509701380533574</v>
      </c>
      <c r="GV34" s="538">
        <f t="shared" si="133"/>
        <v>0.3239236170794752</v>
      </c>
      <c r="GW34" s="539">
        <f t="shared" si="133"/>
        <v>0.41054989586448437</v>
      </c>
    </row>
    <row r="35" spans="1:205" x14ac:dyDescent="0.25">
      <c r="A35" s="494" t="str">
        <f>B35</f>
        <v>Poultry</v>
      </c>
      <c r="B35" s="536" t="s">
        <v>742</v>
      </c>
      <c r="C35" s="537">
        <f>VLOOKUP($A35,[1]!LandfillTypicalK2,C$7,FALSE)</f>
        <v>1.4604355931627537</v>
      </c>
      <c r="D35" s="538">
        <f>VLOOKUP($A35,[1]!LandfillTypicalK2,D$7,FALSE)</f>
        <v>0.61093906080766192</v>
      </c>
      <c r="E35" s="538">
        <f>VLOOKUP($A35,[1]!LandfillTypicalK2,E$7,FALSE)</f>
        <v>0.39091228503316028</v>
      </c>
      <c r="F35" s="621">
        <f>VLOOKUP($A35,[1]!LandfillTypicalK2,F$7,FALSE)</f>
        <v>0.50820687968075151</v>
      </c>
      <c r="G35" s="540">
        <f>-1*VLOOKUP("Food Waste",[1]Landfilling!$N$27:$R$41,5,FALSE)</f>
        <v>-8.6847687193783149E-2</v>
      </c>
      <c r="H35" s="541">
        <f>VLOOKUP($A35,'[1]Post-Consumer Transport'!$C$33:$K$88,3,FALSE)+VLOOKUP($A35,'[1]Post-Consumer Transport'!$C$33:$K$88,4,FALSE)</f>
        <v>2.0254519141196047E-2</v>
      </c>
      <c r="I35" s="542">
        <f>C35+G35+H35</f>
        <v>1.3938424251101666</v>
      </c>
      <c r="J35" s="538">
        <f t="shared" si="114"/>
        <v>0.54434589275507483</v>
      </c>
      <c r="K35" s="538">
        <f t="shared" si="114"/>
        <v>0.32431911698057314</v>
      </c>
      <c r="L35" s="539">
        <f t="shared" si="114"/>
        <v>0.44161371162816437</v>
      </c>
      <c r="M35" s="537">
        <f>VLOOKUP($A35,[1]!LandfillTypicalK4,M$7,FALSE)</f>
        <v>1.4604355931627537</v>
      </c>
      <c r="N35" s="538">
        <f>VLOOKUP($A35,[1]!LandfillTypicalK4,N$7,FALSE)</f>
        <v>0.60284663215621481</v>
      </c>
      <c r="O35" s="538">
        <f>VLOOKUP($A35,[1]!LandfillTypicalK4,O$7,FALSE)</f>
        <v>0.48730425971105434</v>
      </c>
      <c r="P35" s="539">
        <f>VLOOKUP($A35,[1]!LandfillTypicalK4,P$7,FALSE)</f>
        <v>0.58249049786793194</v>
      </c>
      <c r="Q35" s="540">
        <f>-1*VLOOKUP("Food Waste",[1]Landfilling!$N$27:$R$41,5,FALSE)</f>
        <v>-8.6847687193783149E-2</v>
      </c>
      <c r="R35" s="541">
        <f>VLOOKUP($A35,'[1]Post-Consumer Transport'!$C$33:$K$88,3,FALSE)+VLOOKUP($A35,'[1]Post-Consumer Transport'!$C$33:$K$88,4,FALSE)</f>
        <v>2.0254519141196047E-2</v>
      </c>
      <c r="S35" s="542">
        <f>M35+Q35+R35</f>
        <v>1.3938424251101666</v>
      </c>
      <c r="T35" s="538">
        <f t="shared" si="115"/>
        <v>0.53625346410362773</v>
      </c>
      <c r="U35" s="538">
        <f t="shared" si="115"/>
        <v>0.42071109165846721</v>
      </c>
      <c r="V35" s="539">
        <f t="shared" si="115"/>
        <v>0.51589732981534486</v>
      </c>
      <c r="W35" s="537">
        <f>VLOOKUP($A35,[1]!LandfillTypicalK6,W$7,FALSE)</f>
        <v>1.4604355931627537</v>
      </c>
      <c r="X35" s="538">
        <f>VLOOKUP($A35,[1]!LandfillTypicalK6,X$7,FALSE)</f>
        <v>0.63241941267691126</v>
      </c>
      <c r="Y35" s="538">
        <f>VLOOKUP($A35,[1]!LandfillTypicalK6,Y$7,FALSE)</f>
        <v>0.55772619131168477</v>
      </c>
      <c r="Z35" s="539">
        <f>VLOOKUP($A35,[1]!LandfillTypicalK6,Z$7,FALSE)</f>
        <v>0.64073324941814747</v>
      </c>
      <c r="AA35" s="540">
        <f>-1*VLOOKUP("Food Waste",[1]Landfilling!$N$27:$R$41,5,FALSE)</f>
        <v>-8.6847687193783149E-2</v>
      </c>
      <c r="AB35" s="541">
        <f>VLOOKUP($A35,'[1]Post-Consumer Transport'!$C$33:$K$88,3,FALSE)+VLOOKUP($A35,'[1]Post-Consumer Transport'!$C$33:$K$88,4,FALSE)</f>
        <v>2.0254519141196047E-2</v>
      </c>
      <c r="AC35" s="542">
        <f>W35+AA35+AB35</f>
        <v>1.3938424251101666</v>
      </c>
      <c r="AD35" s="538">
        <f t="shared" si="116"/>
        <v>0.56582624462432418</v>
      </c>
      <c r="AE35" s="538">
        <f t="shared" si="116"/>
        <v>0.49113302325909763</v>
      </c>
      <c r="AF35" s="539">
        <f t="shared" si="116"/>
        <v>0.57414008136556038</v>
      </c>
      <c r="AG35" s="537">
        <f>VLOOKUP($A35,[1]!LandfillTypicalK12,AG$7,FALSE)</f>
        <v>1.4604355931627537</v>
      </c>
      <c r="AH35" s="538">
        <f>VLOOKUP($A35,[1]!LandfillTypicalK12,AH$7,FALSE)</f>
        <v>0.7366202192348783</v>
      </c>
      <c r="AI35" s="538">
        <f>VLOOKUP($A35,[1]!LandfillTypicalK12,AI$7,FALSE)</f>
        <v>0.69885314743179283</v>
      </c>
      <c r="AJ35" s="539">
        <f>VLOOKUP($A35,[1]!LandfillTypicalK12,AJ$7,FALSE)</f>
        <v>0.76502280785334098</v>
      </c>
      <c r="AK35" s="540">
        <f>-1*VLOOKUP("Food Waste",[1]Landfilling!$N$27:$R$41,5,FALSE)</f>
        <v>-8.6847687193783149E-2</v>
      </c>
      <c r="AL35" s="541">
        <f>VLOOKUP($A35,'[1]Post-Consumer Transport'!$C$33:$K$88,3,FALSE)+VLOOKUP($A35,'[1]Post-Consumer Transport'!$C$33:$K$88,4,FALSE)</f>
        <v>2.0254519141196047E-2</v>
      </c>
      <c r="AM35" s="542">
        <f>AG35+AK35+AL35</f>
        <v>1.3938424251101666</v>
      </c>
      <c r="AN35" s="538">
        <f t="shared" si="117"/>
        <v>0.67002705118229122</v>
      </c>
      <c r="AO35" s="538">
        <f t="shared" si="117"/>
        <v>0.63225997937920575</v>
      </c>
      <c r="AP35" s="539">
        <f t="shared" si="117"/>
        <v>0.6984296398007539</v>
      </c>
      <c r="AQ35" s="537">
        <f>VLOOKUP($A35,[1]!LandfillTypicalNatlAverage,AQ$7,FALSE)</f>
        <v>1.4604355931627537</v>
      </c>
      <c r="AR35" s="538">
        <f>VLOOKUP($A35,[1]!LandfillTypicalNatlAverage,AR$7,FALSE)</f>
        <v>0.62999688938837684</v>
      </c>
      <c r="AS35" s="538">
        <f>VLOOKUP($A35,[1]!LandfillTypicalNatlAverage,AS$7,FALSE)</f>
        <v>0.51812416743540846</v>
      </c>
      <c r="AT35" s="539">
        <f>VLOOKUP($A35,[1]!LandfillTypicalNatlAverage,AT$7,FALSE)</f>
        <v>0.60982477611617536</v>
      </c>
      <c r="AU35" s="540">
        <f>-1*VLOOKUP("Food Waste",[1]Landfilling!$N$27:$R$41,5,FALSE)</f>
        <v>-8.6847687193783149E-2</v>
      </c>
      <c r="AV35" s="541">
        <f>VLOOKUP($A35,'[1]Post-Consumer Transport'!$C$33:$K$88,3,FALSE)+VLOOKUP($A35,'[1]Post-Consumer Transport'!$C$33:$K$88,4,FALSE)</f>
        <v>2.0254519141196047E-2</v>
      </c>
      <c r="AW35" s="542">
        <f>AQ35+AU35+AV35</f>
        <v>1.3938424251101666</v>
      </c>
      <c r="AX35" s="538">
        <f t="shared" si="118"/>
        <v>0.56340372133578975</v>
      </c>
      <c r="AY35" s="538">
        <f t="shared" si="118"/>
        <v>0.45153099938282132</v>
      </c>
      <c r="AZ35" s="539">
        <f t="shared" si="118"/>
        <v>0.54323160806358828</v>
      </c>
      <c r="BB35" s="537">
        <f>VLOOKUP($A35,[1]!LandfillAggressiveK2,BB$7,FALSE)</f>
        <v>1.4604355931627537</v>
      </c>
      <c r="BC35" s="538">
        <f>VLOOKUP($A35,[1]!LandfillAggressiveK2,BC$7,FALSE)</f>
        <v>0.58385042883121196</v>
      </c>
      <c r="BD35" s="538">
        <f>VLOOKUP($A35,[1]!LandfillAggressiveK2,BD$7,FALSE)</f>
        <v>0.36209364961127732</v>
      </c>
      <c r="BE35" s="539">
        <f>VLOOKUP($A35,[1]!LandfillAggressiveK2,BE$7,FALSE)</f>
        <v>0.48202522898253586</v>
      </c>
      <c r="BF35" s="540">
        <f>-1*VLOOKUP("Food Waste",[1]Landfilling!$N$27:$R$41,5,FALSE)</f>
        <v>-8.6847687193783149E-2</v>
      </c>
      <c r="BG35" s="541">
        <f>VLOOKUP($A35,'[1]Post-Consumer Transport'!$C$33:$K$88,3,FALSE)+VLOOKUP($A35,'[1]Post-Consumer Transport'!$C$33:$K$88,4,FALSE)</f>
        <v>2.0254519141196047E-2</v>
      </c>
      <c r="BH35" s="542">
        <f>BB35+BF35+BG35</f>
        <v>1.3938424251101666</v>
      </c>
      <c r="BI35" s="538">
        <f t="shared" si="119"/>
        <v>0.51725726077862488</v>
      </c>
      <c r="BJ35" s="538">
        <f t="shared" si="119"/>
        <v>0.29550048155869019</v>
      </c>
      <c r="BK35" s="539">
        <f t="shared" si="119"/>
        <v>0.41543206092994872</v>
      </c>
      <c r="BL35" s="881">
        <f>VLOOKUP($A35,[1]!LandfillAggressiveK4,BL$7,FALSE)</f>
        <v>1.4604355931627537</v>
      </c>
      <c r="BM35" s="882">
        <f>VLOOKUP($A35,[1]!LandfillAggressiveK4,BM$7,FALSE)</f>
        <v>0.54793452008144916</v>
      </c>
      <c r="BN35" s="882">
        <f>VLOOKUP($A35,[1]!LandfillAggressiveK4,BN$7,FALSE)</f>
        <v>0.43536791644127987</v>
      </c>
      <c r="BO35" s="883">
        <f>VLOOKUP($A35,[1]!LandfillAggressiveK4,BO$7,FALSE)</f>
        <v>0.53376985510905972</v>
      </c>
      <c r="BP35" s="884">
        <f>-1*VLOOKUP("Food Waste",[1]Landfilling!$N$27:$R$41,5,FALSE)</f>
        <v>-8.6847687193783149E-2</v>
      </c>
      <c r="BQ35" s="885">
        <f>VLOOKUP($A35,'[1]Post-Consumer Transport'!$C$33:$K$88,3,FALSE)+VLOOKUP($A35,'[1]Post-Consumer Transport'!$C$33:$K$88,4,FALSE)</f>
        <v>2.0254519141196047E-2</v>
      </c>
      <c r="BR35" s="886">
        <f>BL35+BP35+BQ35</f>
        <v>1.3938424251101666</v>
      </c>
      <c r="BS35" s="882">
        <f t="shared" si="120"/>
        <v>0.48134135202886202</v>
      </c>
      <c r="BT35" s="882">
        <f t="shared" si="120"/>
        <v>0.36877474838869273</v>
      </c>
      <c r="BU35" s="883">
        <f t="shared" si="120"/>
        <v>0.46717668705647258</v>
      </c>
      <c r="BV35" s="537">
        <f>VLOOKUP($A35,[1]!LandfillAggressiveK6,BV$7,FALSE)</f>
        <v>1.4604355931627537</v>
      </c>
      <c r="BW35" s="538">
        <f>VLOOKUP($A35,[1]!LandfillAggressiveK6,BW$7,FALSE)</f>
        <v>0.56944278764609146</v>
      </c>
      <c r="BX35" s="538">
        <f>VLOOKUP($A35,[1]!LandfillAggressiveK6,BX$7,FALSE)</f>
        <v>0.4907274466408868</v>
      </c>
      <c r="BY35" s="539">
        <f>VLOOKUP($A35,[1]!LandfillAggressiveK6,BY$7,FALSE)</f>
        <v>0.57829643920148133</v>
      </c>
      <c r="BZ35" s="540">
        <f>-1*VLOOKUP("Food Waste",[1]Landfilling!$N$27:$R$41,5,FALSE)</f>
        <v>-8.6847687193783149E-2</v>
      </c>
      <c r="CA35" s="541">
        <f>VLOOKUP($A35,'[1]Post-Consumer Transport'!$C$33:$K$88,3,FALSE)+VLOOKUP($A35,'[1]Post-Consumer Transport'!$C$33:$K$88,4,FALSE)</f>
        <v>2.0254519141196047E-2</v>
      </c>
      <c r="CB35" s="542">
        <f>BV35+BZ35+CA35</f>
        <v>1.3938424251101666</v>
      </c>
      <c r="CC35" s="538">
        <f t="shared" si="121"/>
        <v>0.50284961959350438</v>
      </c>
      <c r="CD35" s="538">
        <f t="shared" si="121"/>
        <v>0.42413427858829966</v>
      </c>
      <c r="CE35" s="539">
        <f t="shared" si="121"/>
        <v>0.51170327114889425</v>
      </c>
      <c r="CF35" s="537">
        <f>VLOOKUP($A35,[1]!LandfillAggressiveK12,CF$7,FALSE)</f>
        <v>1.4604355931627537</v>
      </c>
      <c r="CG35" s="538">
        <f>VLOOKUP($A35,[1]!LandfillAggressiveK12,CG$7,FALSE)</f>
        <v>0.64841012393576436</v>
      </c>
      <c r="CH35" s="538">
        <f>VLOOKUP($A35,[1]!LandfillAggressiveK12,CH$7,FALSE)</f>
        <v>0.60873591037533392</v>
      </c>
      <c r="CI35" s="539">
        <f>VLOOKUP($A35,[1]!LandfillAggressiveK12,CI$7,FALSE)</f>
        <v>0.68099446376820949</v>
      </c>
      <c r="CJ35" s="540">
        <f>-1*VLOOKUP("Food Waste",[1]Landfilling!$N$27:$R$41,5,FALSE)</f>
        <v>-8.6847687193783149E-2</v>
      </c>
      <c r="CK35" s="541">
        <f>VLOOKUP($A35,'[1]Post-Consumer Transport'!$C$33:$K$88,3,FALSE)+VLOOKUP($A35,'[1]Post-Consumer Transport'!$C$33:$K$88,4,FALSE)</f>
        <v>2.0254519141196047E-2</v>
      </c>
      <c r="CL35" s="542">
        <f>CF35+CJ35+CK35</f>
        <v>1.3938424251101666</v>
      </c>
      <c r="CM35" s="538">
        <f t="shared" si="122"/>
        <v>0.58181695588317728</v>
      </c>
      <c r="CN35" s="538">
        <f t="shared" si="122"/>
        <v>0.54214274232274684</v>
      </c>
      <c r="CO35" s="539">
        <f t="shared" si="122"/>
        <v>0.61440129571562241</v>
      </c>
      <c r="CP35" s="537">
        <f>VLOOKUP($A35,[1]!LandfillAggressiveNatlAverage,CP$7,FALSE)</f>
        <v>1.4604355931627537</v>
      </c>
      <c r="CQ35" s="538">
        <f>VLOOKUP($A35,[1]!LandfillAggressiveNatlAverage,CQ$7,FALSE)</f>
        <v>0.57400516018590109</v>
      </c>
      <c r="CR35" s="538">
        <f>VLOOKUP($A35,[1]!LandfillAggressiveNatlAverage,CR$7,FALSE)</f>
        <v>0.46080262938072319</v>
      </c>
      <c r="CS35" s="539">
        <f>VLOOKUP($A35,[1]!LandfillAggressiveNatlAverage,CS$7,FALSE)</f>
        <v>0.55644381681165522</v>
      </c>
      <c r="CT35" s="540">
        <f>-1*VLOOKUP("Food Waste",[1]Landfilling!$N$27:$R$41,5,FALSE)</f>
        <v>-8.6847687193783149E-2</v>
      </c>
      <c r="CU35" s="541">
        <f>VLOOKUP($A35,'[1]Post-Consumer Transport'!$C$33:$K$88,3,FALSE)+VLOOKUP($A35,'[1]Post-Consumer Transport'!$C$33:$K$88,4,FALSE)</f>
        <v>2.0254519141196047E-2</v>
      </c>
      <c r="CV35" s="542">
        <f>CP35+CT35+CU35</f>
        <v>1.3938424251101666</v>
      </c>
      <c r="CW35" s="538">
        <f t="shared" si="123"/>
        <v>0.507411992133314</v>
      </c>
      <c r="CX35" s="538">
        <f t="shared" si="123"/>
        <v>0.39420946132813606</v>
      </c>
      <c r="CY35" s="539">
        <f t="shared" si="123"/>
        <v>0.48985064875906809</v>
      </c>
      <c r="DA35" s="537">
        <f>VLOOKUP($A35,[1]!LandfillWorstK2,DA$7,FALSE)</f>
        <v>1.4604355931627537</v>
      </c>
      <c r="DB35" s="538">
        <f>VLOOKUP($A35,[1]!LandfillWorstK2,DB$7,FALSE)</f>
        <v>0.71594142845971198</v>
      </c>
      <c r="DC35" s="538">
        <f>VLOOKUP($A35,[1]!LandfillWorstK2,DC$7,FALSE)</f>
        <v>0.49762213819285644</v>
      </c>
      <c r="DD35" s="539">
        <f>VLOOKUP($A35,[1]!LandfillWorstK2,DD$7,FALSE)</f>
        <v>0.60541540391523474</v>
      </c>
      <c r="DE35" s="540">
        <f>-1*VLOOKUP("Food Waste",[1]Landfilling!$N$27:$R$41,5,FALSE)</f>
        <v>-8.6847687193783149E-2</v>
      </c>
      <c r="DF35" s="541">
        <f>VLOOKUP($A35,'[1]Post-Consumer Transport'!$C$33:$K$88,3,FALSE)+VLOOKUP($A35,'[1]Post-Consumer Transport'!$C$33:$K$88,4,FALSE)</f>
        <v>2.0254519141196047E-2</v>
      </c>
      <c r="DG35" s="542">
        <f>DA35+DE35+DF35</f>
        <v>1.3938424251101666</v>
      </c>
      <c r="DH35" s="538">
        <f t="shared" si="124"/>
        <v>0.6493482604071249</v>
      </c>
      <c r="DI35" s="538">
        <f t="shared" si="124"/>
        <v>0.43102897014026931</v>
      </c>
      <c r="DJ35" s="539">
        <f t="shared" si="124"/>
        <v>0.53882223586264766</v>
      </c>
      <c r="DK35" s="537">
        <f>VLOOKUP($A35,[1]!LandfillWorstK4,DK$7,FALSE)</f>
        <v>1.4604355931627537</v>
      </c>
      <c r="DL35" s="538">
        <f>VLOOKUP($A35,[1]!LandfillWorstK4,DL$7,FALSE)</f>
        <v>0.78884455443470136</v>
      </c>
      <c r="DM35" s="538">
        <f>VLOOKUP($A35,[1]!LandfillWorstK4,DM$7,FALSE)</f>
        <v>0.67801352655471203</v>
      </c>
      <c r="DN35" s="539">
        <f>VLOOKUP($A35,[1]!LandfillWorstK4,DN$7,FALSE)</f>
        <v>0.75621848773107048</v>
      </c>
      <c r="DO35" s="540">
        <f>-1*VLOOKUP("Food Waste",[1]Landfilling!$N$27:$R$41,5,FALSE)</f>
        <v>-8.6847687193783149E-2</v>
      </c>
      <c r="DP35" s="541">
        <f>VLOOKUP($A35,'[1]Post-Consumer Transport'!$C$33:$K$88,3,FALSE)+VLOOKUP($A35,'[1]Post-Consumer Transport'!$C$33:$K$88,4,FALSE)</f>
        <v>2.0254519141196047E-2</v>
      </c>
      <c r="DQ35" s="542">
        <f>DK35+DO35+DP35</f>
        <v>1.3938424251101666</v>
      </c>
      <c r="DR35" s="538">
        <f t="shared" si="125"/>
        <v>0.72225138638211428</v>
      </c>
      <c r="DS35" s="538">
        <f t="shared" si="125"/>
        <v>0.61142035850212495</v>
      </c>
      <c r="DT35" s="539">
        <f t="shared" si="125"/>
        <v>0.68962531967848339</v>
      </c>
      <c r="DU35" s="537">
        <f>VLOOKUP($A35,[1]!LandfillWorstK6,DU$7,FALSE)</f>
        <v>1.4604355931627537</v>
      </c>
      <c r="DV35" s="538">
        <f>VLOOKUP($A35,[1]!LandfillWorstK6,DV$7,FALSE)</f>
        <v>0.88710437838799183</v>
      </c>
      <c r="DW35" s="538">
        <f>VLOOKUP($A35,[1]!LandfillWorstK6,DW$7,FALSE)</f>
        <v>0.81439058012451671</v>
      </c>
      <c r="DX35" s="539">
        <f>VLOOKUP($A35,[1]!LandfillWorstK6,DX$7,FALSE)</f>
        <v>0.87539765022273119</v>
      </c>
      <c r="DY35" s="540">
        <f>-1*VLOOKUP("Food Waste",[1]Landfilling!$N$27:$R$41,5,FALSE)</f>
        <v>-8.6847687193783149E-2</v>
      </c>
      <c r="DZ35" s="541">
        <f>VLOOKUP($A35,'[1]Post-Consumer Transport'!$C$33:$K$88,3,FALSE)+VLOOKUP($A35,'[1]Post-Consumer Transport'!$C$33:$K$88,4,FALSE)</f>
        <v>2.0254519141196047E-2</v>
      </c>
      <c r="EA35" s="542">
        <f>DU35+DY35+DZ35</f>
        <v>1.3938424251101666</v>
      </c>
      <c r="EB35" s="538">
        <f t="shared" si="126"/>
        <v>0.82051121033540475</v>
      </c>
      <c r="EC35" s="538">
        <f t="shared" si="126"/>
        <v>0.74779741207192962</v>
      </c>
      <c r="ED35" s="539">
        <f t="shared" si="126"/>
        <v>0.80880448217014411</v>
      </c>
      <c r="EE35" s="537">
        <f>VLOOKUP($A35,[1]!LandfillWorstK12,EE$7,FALSE)</f>
        <v>1.4604355931627537</v>
      </c>
      <c r="EF35" s="538">
        <f>VLOOKUP($A35,[1]!LandfillWorstK12,EF$7,FALSE)</f>
        <v>1.1034569105155063</v>
      </c>
      <c r="EG35" s="538">
        <f>VLOOKUP($A35,[1]!LandfillWorstK12,EG$7,FALSE)</f>
        <v>1.0684830730340442</v>
      </c>
      <c r="EH35" s="539">
        <f>VLOOKUP($A35,[1]!LandfillWorstK12,EH$7,FALSE)</f>
        <v>1.1041498549305746</v>
      </c>
      <c r="EI35" s="540">
        <f>-1*VLOOKUP("Food Waste",[1]Landfilling!$N$27:$R$41,5,FALSE)</f>
        <v>-8.6847687193783149E-2</v>
      </c>
      <c r="EJ35" s="541">
        <f>VLOOKUP($A35,'[1]Post-Consumer Transport'!$C$33:$K$88,3,FALSE)+VLOOKUP($A35,'[1]Post-Consumer Transport'!$C$33:$K$88,4,FALSE)</f>
        <v>2.0254519141196047E-2</v>
      </c>
      <c r="EK35" s="542">
        <f>EE35+EI35+EJ35</f>
        <v>1.3938424251101666</v>
      </c>
      <c r="EL35" s="538">
        <f t="shared" si="127"/>
        <v>1.0368637424629192</v>
      </c>
      <c r="EM35" s="538">
        <f t="shared" si="127"/>
        <v>1.0018899049814571</v>
      </c>
      <c r="EN35" s="539">
        <f t="shared" si="127"/>
        <v>1.0375566868779875</v>
      </c>
      <c r="EO35" s="537">
        <f>VLOOKUP($A35,[1]!LandfillWorstNatlAverage,EO$7,FALSE)</f>
        <v>1.4604355931627537</v>
      </c>
      <c r="EP35" s="538">
        <f>VLOOKUP($A35,[1]!LandfillWorstNatlAverage,EP$7,FALSE)</f>
        <v>0.84610995249258625</v>
      </c>
      <c r="EQ35" s="538">
        <f>VLOOKUP($A35,[1]!LandfillWorstNatlAverage,EQ$7,FALSE)</f>
        <v>0.73703317254746392</v>
      </c>
      <c r="ER35" s="539">
        <f>VLOOKUP($A35,[1]!LandfillWorstNatlAverage,ER$7,FALSE)</f>
        <v>0.80983364347192621</v>
      </c>
      <c r="ES35" s="540">
        <f>-1*VLOOKUP("Food Waste",[1]Landfilling!$N$27:$R$41,5,FALSE)</f>
        <v>-8.6847687193783149E-2</v>
      </c>
      <c r="ET35" s="541">
        <f>VLOOKUP($A35,'[1]Post-Consumer Transport'!$C$33:$K$88,3,FALSE)+VLOOKUP($A35,'[1]Post-Consumer Transport'!$C$33:$K$88,4,FALSE)</f>
        <v>2.0254519141196047E-2</v>
      </c>
      <c r="EU35" s="542">
        <f>EO35+ES35+ET35</f>
        <v>1.3938424251101666</v>
      </c>
      <c r="EV35" s="538">
        <f t="shared" si="128"/>
        <v>0.77951678443999917</v>
      </c>
      <c r="EW35" s="538">
        <f t="shared" si="128"/>
        <v>0.67044000449487684</v>
      </c>
      <c r="EX35" s="539">
        <f t="shared" si="128"/>
        <v>0.74324047541933913</v>
      </c>
      <c r="EZ35" s="537">
        <f>VLOOKUP($A35,[1]!LandfillCaliK2,EZ$7,FALSE)</f>
        <v>1.4604355931627537</v>
      </c>
      <c r="FA35" s="538">
        <f>VLOOKUP($A35,[1]!LandfillCaliK2,FA$7,FALSE)</f>
        <v>0.31145442668397677</v>
      </c>
      <c r="FB35" s="538">
        <f>VLOOKUP($A35,[1]!LandfillCaliK2,FB$7,FALSE)</f>
        <v>0.27338221896627918</v>
      </c>
      <c r="FC35" s="539">
        <f>VLOOKUP($A35,[1]!LandfillCaliK2,FC$7,FALSE)</f>
        <v>0.37459392822169946</v>
      </c>
      <c r="FD35" s="540">
        <f>-1*VLOOKUP("Food Waste",[1]Landfilling!$N$27:$R$41,5,FALSE)</f>
        <v>-8.6847687193783149E-2</v>
      </c>
      <c r="FE35" s="541">
        <f>VLOOKUP($A35,'[1]Post-Consumer Transport'!$C$33:$K$88,3,FALSE)+VLOOKUP($A35,'[1]Post-Consumer Transport'!$C$33:$K$88,4,FALSE)</f>
        <v>2.0254519141196047E-2</v>
      </c>
      <c r="FF35" s="542">
        <f>EZ35+FD35+FE35</f>
        <v>1.3938424251101666</v>
      </c>
      <c r="FG35" s="538">
        <f t="shared" si="129"/>
        <v>0.24486125863138966</v>
      </c>
      <c r="FH35" s="538">
        <f t="shared" si="129"/>
        <v>0.20678905091369207</v>
      </c>
      <c r="FI35" s="539">
        <f t="shared" si="129"/>
        <v>0.30800076016911232</v>
      </c>
      <c r="FJ35" s="537">
        <f>VLOOKUP($A35,[1]!LandfillCaliK4,FJ$7,FALSE)</f>
        <v>1.4604355931627537</v>
      </c>
      <c r="FK35" s="538">
        <f>VLOOKUP($A35,[1]!LandfillCaliK4,FK$7,FALSE)</f>
        <v>0.36385208598516378</v>
      </c>
      <c r="FL35" s="538">
        <f>VLOOKUP($A35,[1]!LandfillCaliK4,FL$7,FALSE)</f>
        <v>0.35805654738709547</v>
      </c>
      <c r="FM35" s="539">
        <f>VLOOKUP($A35,[1]!LandfillCaliK4,FM$7,FALSE)</f>
        <v>0.44771246061473657</v>
      </c>
      <c r="FN35" s="540">
        <f>-1*VLOOKUP("Food Waste",[1]Landfilling!$N$27:$R$41,5,FALSE)</f>
        <v>-8.6847687193783149E-2</v>
      </c>
      <c r="FO35" s="541">
        <f>VLOOKUP($A35,'[1]Post-Consumer Transport'!$C$33:$K$88,3,FALSE)+VLOOKUP($A35,'[1]Post-Consumer Transport'!$C$33:$K$88,4,FALSE)</f>
        <v>2.0254519141196047E-2</v>
      </c>
      <c r="FP35" s="542">
        <f>FJ35+FN35+FO35</f>
        <v>1.3938424251101666</v>
      </c>
      <c r="FQ35" s="538">
        <f t="shared" si="130"/>
        <v>0.29725891793257664</v>
      </c>
      <c r="FR35" s="538">
        <f t="shared" si="130"/>
        <v>0.29146337933450833</v>
      </c>
      <c r="FS35" s="539">
        <f t="shared" si="130"/>
        <v>0.38111929256214944</v>
      </c>
      <c r="FT35" s="537">
        <f>VLOOKUP($A35,[1]!LandfillCaliK6,FT$7,FALSE)</f>
        <v>1.4604355931627537</v>
      </c>
      <c r="FU35" s="538">
        <f>VLOOKUP($A35,[1]!LandfillCaliK6,FU$7,FALSE)</f>
        <v>0.42954377730874072</v>
      </c>
      <c r="FV35" s="538">
        <f>VLOOKUP($A35,[1]!LandfillCaliK6,FV$7,FALSE)</f>
        <v>0.4252770474557353</v>
      </c>
      <c r="FW35" s="539">
        <f>VLOOKUP($A35,[1]!LandfillCaliK6,FW$7,FALSE)</f>
        <v>0.50695418795473701</v>
      </c>
      <c r="FX35" s="540">
        <f>-1*VLOOKUP("Food Waste",[1]Landfilling!$N$27:$R$41,5,FALSE)</f>
        <v>-8.6847687193783149E-2</v>
      </c>
      <c r="FY35" s="541">
        <f>VLOOKUP($A35,'[1]Post-Consumer Transport'!$C$33:$K$88,3,FALSE)+VLOOKUP($A35,'[1]Post-Consumer Transport'!$C$33:$K$88,4,FALSE)</f>
        <v>2.0254519141196047E-2</v>
      </c>
      <c r="FZ35" s="542">
        <f>FT35+FX35+FY35</f>
        <v>1.3938424251101666</v>
      </c>
      <c r="GA35" s="538">
        <f t="shared" si="131"/>
        <v>0.36295060925615358</v>
      </c>
      <c r="GB35" s="538">
        <f t="shared" si="131"/>
        <v>0.35868387940314816</v>
      </c>
      <c r="GC35" s="539">
        <f t="shared" si="131"/>
        <v>0.44036101990214988</v>
      </c>
      <c r="GD35" s="537">
        <f>VLOOKUP($A35,[1]!LandfillCaliK12,GD$7,FALSE)</f>
        <v>1.4604355931627537</v>
      </c>
      <c r="GE35" s="538">
        <f>VLOOKUP($A35,[1]!LandfillCaliK12,GE$7,FALSE)</f>
        <v>0.57703551197522696</v>
      </c>
      <c r="GF35" s="538">
        <f>VLOOKUP($A35,[1]!LandfillCaliK12,GF$7,FALSE)</f>
        <v>0.57573132639628677</v>
      </c>
      <c r="GG35" s="539">
        <f>VLOOKUP($A35,[1]!LandfillCaliK12,GG$7,FALSE)</f>
        <v>0.64477205905675872</v>
      </c>
      <c r="GH35" s="540">
        <f>-1*VLOOKUP("Food Waste",[1]Landfilling!$N$27:$R$41,5,FALSE)</f>
        <v>-8.6847687193783149E-2</v>
      </c>
      <c r="GI35" s="541">
        <f>VLOOKUP($A35,'[1]Post-Consumer Transport'!$C$33:$K$88,3,FALSE)+VLOOKUP($A35,'[1]Post-Consumer Transport'!$C$33:$K$88,4,FALSE)</f>
        <v>2.0254519141196047E-2</v>
      </c>
      <c r="GJ35" s="542">
        <f>GD35+GH35+GI35</f>
        <v>1.3938424251101666</v>
      </c>
      <c r="GK35" s="538">
        <f t="shared" si="132"/>
        <v>0.51044234392263987</v>
      </c>
      <c r="GL35" s="538">
        <f t="shared" si="132"/>
        <v>0.50913815834369969</v>
      </c>
      <c r="GM35" s="539">
        <f t="shared" si="132"/>
        <v>0.57817889100417164</v>
      </c>
      <c r="GN35" s="537">
        <f>VLOOKUP($A35,[1]!LandfillCaliNatlAverage,GN$7,FALSE)</f>
        <v>1.4604355931627537</v>
      </c>
      <c r="GO35" s="538">
        <f>VLOOKUP($A35,[1]!LandfillCaliNatlAverage,GO$7,FALSE)</f>
        <v>0.40169018185792288</v>
      </c>
      <c r="GP35" s="538">
        <f>VLOOKUP($A35,[1]!LandfillCaliNatlAverage,GP$7,FALSE)</f>
        <v>0.39051678513206234</v>
      </c>
      <c r="GQ35" s="539">
        <f>VLOOKUP($A35,[1]!LandfillCaliNatlAverage,GQ$7,FALSE)</f>
        <v>0.47714306391707151</v>
      </c>
      <c r="GR35" s="540">
        <f>-1*VLOOKUP("Food Waste",[1]Landfilling!$N$27:$R$41,5,FALSE)</f>
        <v>-8.6847687193783149E-2</v>
      </c>
      <c r="GS35" s="541">
        <f>VLOOKUP($A35,'[1]Post-Consumer Transport'!$C$33:$K$88,3,FALSE)+VLOOKUP($A35,'[1]Post-Consumer Transport'!$C$33:$K$88,4,FALSE)</f>
        <v>2.0254519141196047E-2</v>
      </c>
      <c r="GT35" s="542">
        <f>GN35+GR35+GS35</f>
        <v>1.3938424251101666</v>
      </c>
      <c r="GU35" s="538">
        <f t="shared" si="133"/>
        <v>0.33509701380533574</v>
      </c>
      <c r="GV35" s="538">
        <f t="shared" si="133"/>
        <v>0.3239236170794752</v>
      </c>
      <c r="GW35" s="539">
        <f t="shared" si="133"/>
        <v>0.41054989586448437</v>
      </c>
    </row>
    <row r="36" spans="1:205" x14ac:dyDescent="0.25">
      <c r="A36" s="494" t="str">
        <f t="shared" si="16"/>
        <v>Grains</v>
      </c>
      <c r="B36" s="536" t="s">
        <v>649</v>
      </c>
      <c r="C36" s="537">
        <f>VLOOKUP($A36,[1]!LandfillTypicalK2,C$7,FALSE)</f>
        <v>1.4604355931627537</v>
      </c>
      <c r="D36" s="538">
        <f>VLOOKUP($A36,[1]!LandfillTypicalK2,D$7,FALSE)</f>
        <v>0.61093906080766192</v>
      </c>
      <c r="E36" s="538">
        <f>VLOOKUP($A36,[1]!LandfillTypicalK2,E$7,FALSE)</f>
        <v>0.39091228503316028</v>
      </c>
      <c r="F36" s="621">
        <f>VLOOKUP($A36,[1]!LandfillTypicalK2,F$7,FALSE)</f>
        <v>0.50820687968075151</v>
      </c>
      <c r="G36" s="540">
        <f>-1*VLOOKUP("Food Waste",[1]Landfilling!$N$27:$R$41,5,FALSE)</f>
        <v>-8.6847687193783149E-2</v>
      </c>
      <c r="H36" s="541">
        <f>VLOOKUP($A36,'[1]Post-Consumer Transport'!$C$33:$K$88,3,FALSE)+VLOOKUP($A36,'[1]Post-Consumer Transport'!$C$33:$K$88,4,FALSE)</f>
        <v>2.0254519141196047E-2</v>
      </c>
      <c r="I36" s="542">
        <f t="shared" ref="I36:I46" si="134">C36+G36+H36</f>
        <v>1.3938424251101666</v>
      </c>
      <c r="J36" s="538">
        <f t="shared" ref="J36:J46" si="135">D36+$G36+$H36</f>
        <v>0.54434589275507483</v>
      </c>
      <c r="K36" s="538">
        <f t="shared" ref="K36:K46" si="136">E36+$G36+$H36</f>
        <v>0.32431911698057314</v>
      </c>
      <c r="L36" s="539">
        <f t="shared" ref="L36:L46" si="137">F36+$G36+$H36</f>
        <v>0.44161371162816437</v>
      </c>
      <c r="M36" s="537">
        <f>VLOOKUP($A36,[1]!LandfillTypicalK4,M$7,FALSE)</f>
        <v>1.4604355931627537</v>
      </c>
      <c r="N36" s="538">
        <f>VLOOKUP($A36,[1]!LandfillTypicalK4,N$7,FALSE)</f>
        <v>0.60284663215621481</v>
      </c>
      <c r="O36" s="538">
        <f>VLOOKUP($A36,[1]!LandfillTypicalK4,O$7,FALSE)</f>
        <v>0.48730425971105434</v>
      </c>
      <c r="P36" s="539">
        <f>VLOOKUP($A36,[1]!LandfillTypicalK4,P$7,FALSE)</f>
        <v>0.58249049786793194</v>
      </c>
      <c r="Q36" s="540">
        <f>-1*VLOOKUP("Food Waste",[1]Landfilling!$N$27:$R$41,5,FALSE)</f>
        <v>-8.6847687193783149E-2</v>
      </c>
      <c r="R36" s="541">
        <f>VLOOKUP($A36,'[1]Post-Consumer Transport'!$C$33:$K$88,3,FALSE)+VLOOKUP($A36,'[1]Post-Consumer Transport'!$C$33:$K$88,4,FALSE)</f>
        <v>2.0254519141196047E-2</v>
      </c>
      <c r="S36" s="542">
        <f t="shared" si="95"/>
        <v>1.3938424251101666</v>
      </c>
      <c r="T36" s="538">
        <f t="shared" si="20"/>
        <v>0.53625346410362773</v>
      </c>
      <c r="U36" s="538">
        <f t="shared" si="21"/>
        <v>0.42071109165846721</v>
      </c>
      <c r="V36" s="539">
        <f t="shared" si="22"/>
        <v>0.51589732981534486</v>
      </c>
      <c r="W36" s="537">
        <f>VLOOKUP($A36,[1]!LandfillTypicalK6,W$7,FALSE)</f>
        <v>1.4604355931627537</v>
      </c>
      <c r="X36" s="538">
        <f>VLOOKUP($A36,[1]!LandfillTypicalK6,X$7,FALSE)</f>
        <v>0.63241941267691126</v>
      </c>
      <c r="Y36" s="538">
        <f>VLOOKUP($A36,[1]!LandfillTypicalK6,Y$7,FALSE)</f>
        <v>0.55772619131168477</v>
      </c>
      <c r="Z36" s="539">
        <f>VLOOKUP($A36,[1]!LandfillTypicalK6,Z$7,FALSE)</f>
        <v>0.64073324941814747</v>
      </c>
      <c r="AA36" s="540">
        <f>-1*VLOOKUP("Food Waste",[1]Landfilling!$N$27:$R$41,5,FALSE)</f>
        <v>-8.6847687193783149E-2</v>
      </c>
      <c r="AB36" s="541">
        <f>VLOOKUP($A36,'[1]Post-Consumer Transport'!$C$33:$K$88,3,FALSE)+VLOOKUP($A36,'[1]Post-Consumer Transport'!$C$33:$K$88,4,FALSE)</f>
        <v>2.0254519141196047E-2</v>
      </c>
      <c r="AC36" s="542">
        <f t="shared" si="96"/>
        <v>1.3938424251101666</v>
      </c>
      <c r="AD36" s="538">
        <f t="shared" si="24"/>
        <v>0.56582624462432418</v>
      </c>
      <c r="AE36" s="538">
        <f t="shared" si="25"/>
        <v>0.49113302325909763</v>
      </c>
      <c r="AF36" s="539">
        <f t="shared" si="26"/>
        <v>0.57414008136556038</v>
      </c>
      <c r="AG36" s="537">
        <f>VLOOKUP($A36,[1]!LandfillTypicalK12,AG$7,FALSE)</f>
        <v>1.4604355931627537</v>
      </c>
      <c r="AH36" s="538">
        <f>VLOOKUP($A36,[1]!LandfillTypicalK12,AH$7,FALSE)</f>
        <v>0.7366202192348783</v>
      </c>
      <c r="AI36" s="538">
        <f>VLOOKUP($A36,[1]!LandfillTypicalK12,AI$7,FALSE)</f>
        <v>0.69885314743179283</v>
      </c>
      <c r="AJ36" s="539">
        <f>VLOOKUP($A36,[1]!LandfillTypicalK12,AJ$7,FALSE)</f>
        <v>0.76502280785334098</v>
      </c>
      <c r="AK36" s="540">
        <f>-1*VLOOKUP("Food Waste",[1]Landfilling!$N$27:$R$41,5,FALSE)</f>
        <v>-8.6847687193783149E-2</v>
      </c>
      <c r="AL36" s="541">
        <f>VLOOKUP($A36,'[1]Post-Consumer Transport'!$C$33:$K$88,3,FALSE)+VLOOKUP($A36,'[1]Post-Consumer Transport'!$C$33:$K$88,4,FALSE)</f>
        <v>2.0254519141196047E-2</v>
      </c>
      <c r="AM36" s="542">
        <f t="shared" si="97"/>
        <v>1.3938424251101666</v>
      </c>
      <c r="AN36" s="538">
        <f t="shared" si="28"/>
        <v>0.67002705118229122</v>
      </c>
      <c r="AO36" s="538">
        <f t="shared" si="29"/>
        <v>0.63225997937920575</v>
      </c>
      <c r="AP36" s="539">
        <f t="shared" si="30"/>
        <v>0.6984296398007539</v>
      </c>
      <c r="AQ36" s="537">
        <f>VLOOKUP($A36,[1]!LandfillTypicalNatlAverage,AQ$7,FALSE)</f>
        <v>1.4604355931627537</v>
      </c>
      <c r="AR36" s="538">
        <f>VLOOKUP($A36,[1]!LandfillTypicalNatlAverage,AR$7,FALSE)</f>
        <v>0.62999688938837684</v>
      </c>
      <c r="AS36" s="538">
        <f>VLOOKUP($A36,[1]!LandfillTypicalNatlAverage,AS$7,FALSE)</f>
        <v>0.51812416743540846</v>
      </c>
      <c r="AT36" s="539">
        <f>VLOOKUP($A36,[1]!LandfillTypicalNatlAverage,AT$7,FALSE)</f>
        <v>0.60982477611617536</v>
      </c>
      <c r="AU36" s="540">
        <f>-1*VLOOKUP("Food Waste",[1]Landfilling!$N$27:$R$41,5,FALSE)</f>
        <v>-8.6847687193783149E-2</v>
      </c>
      <c r="AV36" s="541">
        <f>VLOOKUP($A36,'[1]Post-Consumer Transport'!$C$33:$K$88,3,FALSE)+VLOOKUP($A36,'[1]Post-Consumer Transport'!$C$33:$K$88,4,FALSE)</f>
        <v>2.0254519141196047E-2</v>
      </c>
      <c r="AW36" s="542">
        <f t="shared" si="98"/>
        <v>1.3938424251101666</v>
      </c>
      <c r="AX36" s="538">
        <f t="shared" si="32"/>
        <v>0.56340372133578975</v>
      </c>
      <c r="AY36" s="538">
        <f t="shared" si="33"/>
        <v>0.45153099938282132</v>
      </c>
      <c r="AZ36" s="539">
        <f t="shared" si="34"/>
        <v>0.54323160806358828</v>
      </c>
      <c r="BB36" s="537">
        <f>VLOOKUP($A36,[1]!LandfillAggressiveK2,BB$7,FALSE)</f>
        <v>1.4604355931627537</v>
      </c>
      <c r="BC36" s="538">
        <f>VLOOKUP($A36,[1]!LandfillAggressiveK2,BC$7,FALSE)</f>
        <v>0.58385042883121196</v>
      </c>
      <c r="BD36" s="538">
        <f>VLOOKUP($A36,[1]!LandfillAggressiveK2,BD$7,FALSE)</f>
        <v>0.36209364961127732</v>
      </c>
      <c r="BE36" s="539">
        <f>VLOOKUP($A36,[1]!LandfillAggressiveK2,BE$7,FALSE)</f>
        <v>0.48202522898253586</v>
      </c>
      <c r="BF36" s="540">
        <f>-1*VLOOKUP("Food Waste",[1]Landfilling!$N$27:$R$41,5,FALSE)</f>
        <v>-8.6847687193783149E-2</v>
      </c>
      <c r="BG36" s="541">
        <f>VLOOKUP($A36,'[1]Post-Consumer Transport'!$C$33:$K$88,3,FALSE)+VLOOKUP($A36,'[1]Post-Consumer Transport'!$C$33:$K$88,4,FALSE)</f>
        <v>2.0254519141196047E-2</v>
      </c>
      <c r="BH36" s="542">
        <f t="shared" si="99"/>
        <v>1.3938424251101666</v>
      </c>
      <c r="BI36" s="538">
        <f t="shared" si="36"/>
        <v>0.51725726077862488</v>
      </c>
      <c r="BJ36" s="538">
        <f t="shared" si="37"/>
        <v>0.29550048155869019</v>
      </c>
      <c r="BK36" s="539">
        <f t="shared" si="38"/>
        <v>0.41543206092994872</v>
      </c>
      <c r="BL36" s="881">
        <f>VLOOKUP($A36,[1]!LandfillAggressiveK4,BL$7,FALSE)</f>
        <v>1.4604355931627537</v>
      </c>
      <c r="BM36" s="882">
        <f>VLOOKUP($A36,[1]!LandfillAggressiveK4,BM$7,FALSE)</f>
        <v>0.54793452008144916</v>
      </c>
      <c r="BN36" s="882">
        <f>VLOOKUP($A36,[1]!LandfillAggressiveK4,BN$7,FALSE)</f>
        <v>0.43536791644127987</v>
      </c>
      <c r="BO36" s="883">
        <f>VLOOKUP($A36,[1]!LandfillAggressiveK4,BO$7,FALSE)</f>
        <v>0.53376985510905972</v>
      </c>
      <c r="BP36" s="884">
        <f>-1*VLOOKUP("Food Waste",[1]Landfilling!$N$27:$R$41,5,FALSE)</f>
        <v>-8.6847687193783149E-2</v>
      </c>
      <c r="BQ36" s="885">
        <f>VLOOKUP($A36,'[1]Post-Consumer Transport'!$C$33:$K$88,3,FALSE)+VLOOKUP($A36,'[1]Post-Consumer Transport'!$C$33:$K$88,4,FALSE)</f>
        <v>2.0254519141196047E-2</v>
      </c>
      <c r="BR36" s="886">
        <f t="shared" si="100"/>
        <v>1.3938424251101666</v>
      </c>
      <c r="BS36" s="882">
        <f t="shared" si="40"/>
        <v>0.48134135202886202</v>
      </c>
      <c r="BT36" s="882">
        <f t="shared" si="41"/>
        <v>0.36877474838869273</v>
      </c>
      <c r="BU36" s="883">
        <f t="shared" si="42"/>
        <v>0.46717668705647258</v>
      </c>
      <c r="BV36" s="537">
        <f>VLOOKUP($A36,[1]!LandfillAggressiveK6,BV$7,FALSE)</f>
        <v>1.4604355931627537</v>
      </c>
      <c r="BW36" s="538">
        <f>VLOOKUP($A36,[1]!LandfillAggressiveK6,BW$7,FALSE)</f>
        <v>0.56944278764609146</v>
      </c>
      <c r="BX36" s="538">
        <f>VLOOKUP($A36,[1]!LandfillAggressiveK6,BX$7,FALSE)</f>
        <v>0.4907274466408868</v>
      </c>
      <c r="BY36" s="539">
        <f>VLOOKUP($A36,[1]!LandfillAggressiveK6,BY$7,FALSE)</f>
        <v>0.57829643920148133</v>
      </c>
      <c r="BZ36" s="540">
        <f>-1*VLOOKUP("Food Waste",[1]Landfilling!$N$27:$R$41,5,FALSE)</f>
        <v>-8.6847687193783149E-2</v>
      </c>
      <c r="CA36" s="541">
        <f>VLOOKUP($A36,'[1]Post-Consumer Transport'!$C$33:$K$88,3,FALSE)+VLOOKUP($A36,'[1]Post-Consumer Transport'!$C$33:$K$88,4,FALSE)</f>
        <v>2.0254519141196047E-2</v>
      </c>
      <c r="CB36" s="542">
        <f t="shared" si="101"/>
        <v>1.3938424251101666</v>
      </c>
      <c r="CC36" s="538">
        <f t="shared" si="44"/>
        <v>0.50284961959350438</v>
      </c>
      <c r="CD36" s="538">
        <f t="shared" si="45"/>
        <v>0.42413427858829966</v>
      </c>
      <c r="CE36" s="539">
        <f t="shared" si="46"/>
        <v>0.51170327114889425</v>
      </c>
      <c r="CF36" s="537">
        <f>VLOOKUP($A36,[1]!LandfillAggressiveK12,CF$7,FALSE)</f>
        <v>1.4604355931627537</v>
      </c>
      <c r="CG36" s="538">
        <f>VLOOKUP($A36,[1]!LandfillAggressiveK12,CG$7,FALSE)</f>
        <v>0.64841012393576436</v>
      </c>
      <c r="CH36" s="538">
        <f>VLOOKUP($A36,[1]!LandfillAggressiveK12,CH$7,FALSE)</f>
        <v>0.60873591037533392</v>
      </c>
      <c r="CI36" s="539">
        <f>VLOOKUP($A36,[1]!LandfillAggressiveK12,CI$7,FALSE)</f>
        <v>0.68099446376820949</v>
      </c>
      <c r="CJ36" s="540">
        <f>-1*VLOOKUP("Food Waste",[1]Landfilling!$N$27:$R$41,5,FALSE)</f>
        <v>-8.6847687193783149E-2</v>
      </c>
      <c r="CK36" s="541">
        <f>VLOOKUP($A36,'[1]Post-Consumer Transport'!$C$33:$K$88,3,FALSE)+VLOOKUP($A36,'[1]Post-Consumer Transport'!$C$33:$K$88,4,FALSE)</f>
        <v>2.0254519141196047E-2</v>
      </c>
      <c r="CL36" s="542">
        <f t="shared" si="102"/>
        <v>1.3938424251101666</v>
      </c>
      <c r="CM36" s="538">
        <f t="shared" si="48"/>
        <v>0.58181695588317728</v>
      </c>
      <c r="CN36" s="538">
        <f t="shared" si="49"/>
        <v>0.54214274232274684</v>
      </c>
      <c r="CO36" s="539">
        <f t="shared" si="50"/>
        <v>0.61440129571562241</v>
      </c>
      <c r="CP36" s="537">
        <f>VLOOKUP($A36,[1]!LandfillAggressiveNatlAverage,CP$7,FALSE)</f>
        <v>1.4604355931627537</v>
      </c>
      <c r="CQ36" s="538">
        <f>VLOOKUP($A36,[1]!LandfillAggressiveNatlAverage,CQ$7,FALSE)</f>
        <v>0.57400516018590109</v>
      </c>
      <c r="CR36" s="538">
        <f>VLOOKUP($A36,[1]!LandfillAggressiveNatlAverage,CR$7,FALSE)</f>
        <v>0.46080262938072319</v>
      </c>
      <c r="CS36" s="539">
        <f>VLOOKUP($A36,[1]!LandfillAggressiveNatlAverage,CS$7,FALSE)</f>
        <v>0.55644381681165522</v>
      </c>
      <c r="CT36" s="540">
        <f>-1*VLOOKUP("Food Waste",[1]Landfilling!$N$27:$R$41,5,FALSE)</f>
        <v>-8.6847687193783149E-2</v>
      </c>
      <c r="CU36" s="541">
        <f>VLOOKUP($A36,'[1]Post-Consumer Transport'!$C$33:$K$88,3,FALSE)+VLOOKUP($A36,'[1]Post-Consumer Transport'!$C$33:$K$88,4,FALSE)</f>
        <v>2.0254519141196047E-2</v>
      </c>
      <c r="CV36" s="542">
        <f t="shared" si="103"/>
        <v>1.3938424251101666</v>
      </c>
      <c r="CW36" s="538">
        <f t="shared" si="52"/>
        <v>0.507411992133314</v>
      </c>
      <c r="CX36" s="538">
        <f t="shared" si="53"/>
        <v>0.39420946132813606</v>
      </c>
      <c r="CY36" s="539">
        <f t="shared" si="54"/>
        <v>0.48985064875906809</v>
      </c>
      <c r="DA36" s="537">
        <f>VLOOKUP($A36,[1]!LandfillWorstK2,DA$7,FALSE)</f>
        <v>1.4604355931627537</v>
      </c>
      <c r="DB36" s="538">
        <f>VLOOKUP($A36,[1]!LandfillWorstK2,DB$7,FALSE)</f>
        <v>0.71594142845971198</v>
      </c>
      <c r="DC36" s="538">
        <f>VLOOKUP($A36,[1]!LandfillWorstK2,DC$7,FALSE)</f>
        <v>0.49762213819285644</v>
      </c>
      <c r="DD36" s="539">
        <f>VLOOKUP($A36,[1]!LandfillWorstK2,DD$7,FALSE)</f>
        <v>0.60541540391523474</v>
      </c>
      <c r="DE36" s="540">
        <f>-1*VLOOKUP("Food Waste",[1]Landfilling!$N$27:$R$41,5,FALSE)</f>
        <v>-8.6847687193783149E-2</v>
      </c>
      <c r="DF36" s="541">
        <f>VLOOKUP($A36,'[1]Post-Consumer Transport'!$C$33:$K$88,3,FALSE)+VLOOKUP($A36,'[1]Post-Consumer Transport'!$C$33:$K$88,4,FALSE)</f>
        <v>2.0254519141196047E-2</v>
      </c>
      <c r="DG36" s="542">
        <f t="shared" si="104"/>
        <v>1.3938424251101666</v>
      </c>
      <c r="DH36" s="538">
        <f t="shared" si="56"/>
        <v>0.6493482604071249</v>
      </c>
      <c r="DI36" s="538">
        <f t="shared" si="57"/>
        <v>0.43102897014026931</v>
      </c>
      <c r="DJ36" s="539">
        <f t="shared" si="58"/>
        <v>0.53882223586264766</v>
      </c>
      <c r="DK36" s="537">
        <f>VLOOKUP($A36,[1]!LandfillWorstK4,DK$7,FALSE)</f>
        <v>1.4604355931627537</v>
      </c>
      <c r="DL36" s="538">
        <f>VLOOKUP($A36,[1]!LandfillWorstK4,DL$7,FALSE)</f>
        <v>0.78884455443470136</v>
      </c>
      <c r="DM36" s="538">
        <f>VLOOKUP($A36,[1]!LandfillWorstK4,DM$7,FALSE)</f>
        <v>0.67801352655471203</v>
      </c>
      <c r="DN36" s="539">
        <f>VLOOKUP($A36,[1]!LandfillWorstK4,DN$7,FALSE)</f>
        <v>0.75621848773107048</v>
      </c>
      <c r="DO36" s="540">
        <f>-1*VLOOKUP("Food Waste",[1]Landfilling!$N$27:$R$41,5,FALSE)</f>
        <v>-8.6847687193783149E-2</v>
      </c>
      <c r="DP36" s="541">
        <f>VLOOKUP($A36,'[1]Post-Consumer Transport'!$C$33:$K$88,3,FALSE)+VLOOKUP($A36,'[1]Post-Consumer Transport'!$C$33:$K$88,4,FALSE)</f>
        <v>2.0254519141196047E-2</v>
      </c>
      <c r="DQ36" s="542">
        <f t="shared" si="105"/>
        <v>1.3938424251101666</v>
      </c>
      <c r="DR36" s="538">
        <f t="shared" si="60"/>
        <v>0.72225138638211428</v>
      </c>
      <c r="DS36" s="538">
        <f t="shared" si="61"/>
        <v>0.61142035850212495</v>
      </c>
      <c r="DT36" s="539">
        <f t="shared" si="62"/>
        <v>0.68962531967848339</v>
      </c>
      <c r="DU36" s="537">
        <f>VLOOKUP($A36,[1]!LandfillWorstK6,DU$7,FALSE)</f>
        <v>1.4604355931627537</v>
      </c>
      <c r="DV36" s="538">
        <f>VLOOKUP($A36,[1]!LandfillWorstK6,DV$7,FALSE)</f>
        <v>0.88710437838799183</v>
      </c>
      <c r="DW36" s="538">
        <f>VLOOKUP($A36,[1]!LandfillWorstK6,DW$7,FALSE)</f>
        <v>0.81439058012451671</v>
      </c>
      <c r="DX36" s="539">
        <f>VLOOKUP($A36,[1]!LandfillWorstK6,DX$7,FALSE)</f>
        <v>0.87539765022273119</v>
      </c>
      <c r="DY36" s="540">
        <f>-1*VLOOKUP("Food Waste",[1]Landfilling!$N$27:$R$41,5,FALSE)</f>
        <v>-8.6847687193783149E-2</v>
      </c>
      <c r="DZ36" s="541">
        <f>VLOOKUP($A36,'[1]Post-Consumer Transport'!$C$33:$K$88,3,FALSE)+VLOOKUP($A36,'[1]Post-Consumer Transport'!$C$33:$K$88,4,FALSE)</f>
        <v>2.0254519141196047E-2</v>
      </c>
      <c r="EA36" s="542">
        <f t="shared" si="106"/>
        <v>1.3938424251101666</v>
      </c>
      <c r="EB36" s="538">
        <f t="shared" si="64"/>
        <v>0.82051121033540475</v>
      </c>
      <c r="EC36" s="538">
        <f t="shared" si="65"/>
        <v>0.74779741207192962</v>
      </c>
      <c r="ED36" s="539">
        <f t="shared" si="66"/>
        <v>0.80880448217014411</v>
      </c>
      <c r="EE36" s="537">
        <f>VLOOKUP($A36,[1]!LandfillWorstK12,EE$7,FALSE)</f>
        <v>1.4604355931627537</v>
      </c>
      <c r="EF36" s="538">
        <f>VLOOKUP($A36,[1]!LandfillWorstK12,EF$7,FALSE)</f>
        <v>1.1034569105155063</v>
      </c>
      <c r="EG36" s="538">
        <f>VLOOKUP($A36,[1]!LandfillWorstK12,EG$7,FALSE)</f>
        <v>1.0684830730340442</v>
      </c>
      <c r="EH36" s="539">
        <f>VLOOKUP($A36,[1]!LandfillWorstK12,EH$7,FALSE)</f>
        <v>1.1041498549305746</v>
      </c>
      <c r="EI36" s="540">
        <f>-1*VLOOKUP("Food Waste",[1]Landfilling!$N$27:$R$41,5,FALSE)</f>
        <v>-8.6847687193783149E-2</v>
      </c>
      <c r="EJ36" s="541">
        <f>VLOOKUP($A36,'[1]Post-Consumer Transport'!$C$33:$K$88,3,FALSE)+VLOOKUP($A36,'[1]Post-Consumer Transport'!$C$33:$K$88,4,FALSE)</f>
        <v>2.0254519141196047E-2</v>
      </c>
      <c r="EK36" s="542">
        <f t="shared" si="107"/>
        <v>1.3938424251101666</v>
      </c>
      <c r="EL36" s="538">
        <f t="shared" si="68"/>
        <v>1.0368637424629192</v>
      </c>
      <c r="EM36" s="538">
        <f t="shared" si="69"/>
        <v>1.0018899049814571</v>
      </c>
      <c r="EN36" s="539">
        <f t="shared" si="70"/>
        <v>1.0375566868779875</v>
      </c>
      <c r="EO36" s="537">
        <f>VLOOKUP($A36,[1]!LandfillWorstNatlAverage,EO$7,FALSE)</f>
        <v>1.4604355931627537</v>
      </c>
      <c r="EP36" s="538">
        <f>VLOOKUP($A36,[1]!LandfillWorstNatlAverage,EP$7,FALSE)</f>
        <v>0.84610995249258625</v>
      </c>
      <c r="EQ36" s="538">
        <f>VLOOKUP($A36,[1]!LandfillWorstNatlAverage,EQ$7,FALSE)</f>
        <v>0.73703317254746392</v>
      </c>
      <c r="ER36" s="539">
        <f>VLOOKUP($A36,[1]!LandfillWorstNatlAverage,ER$7,FALSE)</f>
        <v>0.80983364347192621</v>
      </c>
      <c r="ES36" s="540">
        <f>-1*VLOOKUP("Food Waste",[1]Landfilling!$N$27:$R$41,5,FALSE)</f>
        <v>-8.6847687193783149E-2</v>
      </c>
      <c r="ET36" s="541">
        <f>VLOOKUP($A36,'[1]Post-Consumer Transport'!$C$33:$K$88,3,FALSE)+VLOOKUP($A36,'[1]Post-Consumer Transport'!$C$33:$K$88,4,FALSE)</f>
        <v>2.0254519141196047E-2</v>
      </c>
      <c r="EU36" s="542">
        <f t="shared" si="108"/>
        <v>1.3938424251101666</v>
      </c>
      <c r="EV36" s="538">
        <f t="shared" si="72"/>
        <v>0.77951678443999917</v>
      </c>
      <c r="EW36" s="538">
        <f t="shared" si="73"/>
        <v>0.67044000449487684</v>
      </c>
      <c r="EX36" s="539">
        <f t="shared" si="74"/>
        <v>0.74324047541933913</v>
      </c>
      <c r="EZ36" s="537">
        <f>VLOOKUP($A36,[1]!LandfillCaliK2,EZ$7,FALSE)</f>
        <v>1.4604355931627537</v>
      </c>
      <c r="FA36" s="538">
        <f>VLOOKUP($A36,[1]!LandfillCaliK2,FA$7,FALSE)</f>
        <v>0.31145442668397677</v>
      </c>
      <c r="FB36" s="538">
        <f>VLOOKUP($A36,[1]!LandfillCaliK2,FB$7,FALSE)</f>
        <v>0.27338221896627918</v>
      </c>
      <c r="FC36" s="539">
        <f>VLOOKUP($A36,[1]!LandfillCaliK2,FC$7,FALSE)</f>
        <v>0.37459392822169946</v>
      </c>
      <c r="FD36" s="540">
        <f>-1*VLOOKUP("Food Waste",[1]Landfilling!$N$27:$R$41,5,FALSE)</f>
        <v>-8.6847687193783149E-2</v>
      </c>
      <c r="FE36" s="541">
        <f>VLOOKUP($A36,'[1]Post-Consumer Transport'!$C$33:$K$88,3,FALSE)+VLOOKUP($A36,'[1]Post-Consumer Transport'!$C$33:$K$88,4,FALSE)</f>
        <v>2.0254519141196047E-2</v>
      </c>
      <c r="FF36" s="542">
        <f t="shared" si="109"/>
        <v>1.3938424251101666</v>
      </c>
      <c r="FG36" s="538">
        <f t="shared" si="76"/>
        <v>0.24486125863138966</v>
      </c>
      <c r="FH36" s="538">
        <f t="shared" si="77"/>
        <v>0.20678905091369207</v>
      </c>
      <c r="FI36" s="539">
        <f t="shared" si="78"/>
        <v>0.30800076016911232</v>
      </c>
      <c r="FJ36" s="537">
        <f>VLOOKUP($A36,[1]!LandfillCaliK4,FJ$7,FALSE)</f>
        <v>1.4604355931627537</v>
      </c>
      <c r="FK36" s="538">
        <f>VLOOKUP($A36,[1]!LandfillCaliK4,FK$7,FALSE)</f>
        <v>0.36385208598516378</v>
      </c>
      <c r="FL36" s="538">
        <f>VLOOKUP($A36,[1]!LandfillCaliK4,FL$7,FALSE)</f>
        <v>0.35805654738709547</v>
      </c>
      <c r="FM36" s="539">
        <f>VLOOKUP($A36,[1]!LandfillCaliK4,FM$7,FALSE)</f>
        <v>0.44771246061473657</v>
      </c>
      <c r="FN36" s="540">
        <f>-1*VLOOKUP("Food Waste",[1]Landfilling!$N$27:$R$41,5,FALSE)</f>
        <v>-8.6847687193783149E-2</v>
      </c>
      <c r="FO36" s="541">
        <f>VLOOKUP($A36,'[1]Post-Consumer Transport'!$C$33:$K$88,3,FALSE)+VLOOKUP($A36,'[1]Post-Consumer Transport'!$C$33:$K$88,4,FALSE)</f>
        <v>2.0254519141196047E-2</v>
      </c>
      <c r="FP36" s="542">
        <f t="shared" si="110"/>
        <v>1.3938424251101666</v>
      </c>
      <c r="FQ36" s="538">
        <f t="shared" si="80"/>
        <v>0.29725891793257664</v>
      </c>
      <c r="FR36" s="538">
        <f t="shared" si="81"/>
        <v>0.29146337933450833</v>
      </c>
      <c r="FS36" s="539">
        <f t="shared" si="82"/>
        <v>0.38111929256214944</v>
      </c>
      <c r="FT36" s="537">
        <f>VLOOKUP($A36,[1]!LandfillCaliK6,FT$7,FALSE)</f>
        <v>1.4604355931627537</v>
      </c>
      <c r="FU36" s="538">
        <f>VLOOKUP($A36,[1]!LandfillCaliK6,FU$7,FALSE)</f>
        <v>0.42954377730874072</v>
      </c>
      <c r="FV36" s="538">
        <f>VLOOKUP($A36,[1]!LandfillCaliK6,FV$7,FALSE)</f>
        <v>0.4252770474557353</v>
      </c>
      <c r="FW36" s="539">
        <f>VLOOKUP($A36,[1]!LandfillCaliK6,FW$7,FALSE)</f>
        <v>0.50695418795473701</v>
      </c>
      <c r="FX36" s="540">
        <f>-1*VLOOKUP("Food Waste",[1]Landfilling!$N$27:$R$41,5,FALSE)</f>
        <v>-8.6847687193783149E-2</v>
      </c>
      <c r="FY36" s="541">
        <f>VLOOKUP($A36,'[1]Post-Consumer Transport'!$C$33:$K$88,3,FALSE)+VLOOKUP($A36,'[1]Post-Consumer Transport'!$C$33:$K$88,4,FALSE)</f>
        <v>2.0254519141196047E-2</v>
      </c>
      <c r="FZ36" s="542">
        <f t="shared" si="111"/>
        <v>1.3938424251101666</v>
      </c>
      <c r="GA36" s="538">
        <f t="shared" si="84"/>
        <v>0.36295060925615358</v>
      </c>
      <c r="GB36" s="538">
        <f t="shared" si="85"/>
        <v>0.35868387940314816</v>
      </c>
      <c r="GC36" s="539">
        <f t="shared" si="86"/>
        <v>0.44036101990214988</v>
      </c>
      <c r="GD36" s="537">
        <f>VLOOKUP($A36,[1]!LandfillCaliK12,GD$7,FALSE)</f>
        <v>1.4604355931627537</v>
      </c>
      <c r="GE36" s="538">
        <f>VLOOKUP($A36,[1]!LandfillCaliK12,GE$7,FALSE)</f>
        <v>0.57703551197522696</v>
      </c>
      <c r="GF36" s="538">
        <f>VLOOKUP($A36,[1]!LandfillCaliK12,GF$7,FALSE)</f>
        <v>0.57573132639628677</v>
      </c>
      <c r="GG36" s="539">
        <f>VLOOKUP($A36,[1]!LandfillCaliK12,GG$7,FALSE)</f>
        <v>0.64477205905675872</v>
      </c>
      <c r="GH36" s="540">
        <f>-1*VLOOKUP("Food Waste",[1]Landfilling!$N$27:$R$41,5,FALSE)</f>
        <v>-8.6847687193783149E-2</v>
      </c>
      <c r="GI36" s="541">
        <f>VLOOKUP($A36,'[1]Post-Consumer Transport'!$C$33:$K$88,3,FALSE)+VLOOKUP($A36,'[1]Post-Consumer Transport'!$C$33:$K$88,4,FALSE)</f>
        <v>2.0254519141196047E-2</v>
      </c>
      <c r="GJ36" s="542">
        <f t="shared" si="112"/>
        <v>1.3938424251101666</v>
      </c>
      <c r="GK36" s="538">
        <f t="shared" si="88"/>
        <v>0.51044234392263987</v>
      </c>
      <c r="GL36" s="538">
        <f t="shared" si="89"/>
        <v>0.50913815834369969</v>
      </c>
      <c r="GM36" s="539">
        <f t="shared" si="90"/>
        <v>0.57817889100417164</v>
      </c>
      <c r="GN36" s="537">
        <f>VLOOKUP($A36,[1]!LandfillCaliNatlAverage,GN$7,FALSE)</f>
        <v>1.4604355931627537</v>
      </c>
      <c r="GO36" s="538">
        <f>VLOOKUP($A36,[1]!LandfillCaliNatlAverage,GO$7,FALSE)</f>
        <v>0.40169018185792288</v>
      </c>
      <c r="GP36" s="538">
        <f>VLOOKUP($A36,[1]!LandfillCaliNatlAverage,GP$7,FALSE)</f>
        <v>0.39051678513206234</v>
      </c>
      <c r="GQ36" s="539">
        <f>VLOOKUP($A36,[1]!LandfillCaliNatlAverage,GQ$7,FALSE)</f>
        <v>0.47714306391707151</v>
      </c>
      <c r="GR36" s="540">
        <f>-1*VLOOKUP("Food Waste",[1]Landfilling!$N$27:$R$41,5,FALSE)</f>
        <v>-8.6847687193783149E-2</v>
      </c>
      <c r="GS36" s="541">
        <f>VLOOKUP($A36,'[1]Post-Consumer Transport'!$C$33:$K$88,3,FALSE)+VLOOKUP($A36,'[1]Post-Consumer Transport'!$C$33:$K$88,4,FALSE)</f>
        <v>2.0254519141196047E-2</v>
      </c>
      <c r="GT36" s="542">
        <f t="shared" si="113"/>
        <v>1.3938424251101666</v>
      </c>
      <c r="GU36" s="538">
        <f t="shared" si="92"/>
        <v>0.33509701380533574</v>
      </c>
      <c r="GV36" s="538">
        <f t="shared" si="93"/>
        <v>0.3239236170794752</v>
      </c>
      <c r="GW36" s="539">
        <f t="shared" si="94"/>
        <v>0.41054989586448437</v>
      </c>
    </row>
    <row r="37" spans="1:205" x14ac:dyDescent="0.25">
      <c r="A37" s="494" t="str">
        <f t="shared" si="16"/>
        <v>Bread</v>
      </c>
      <c r="B37" s="536" t="s">
        <v>645</v>
      </c>
      <c r="C37" s="537">
        <f>VLOOKUP($A37,[1]!LandfillTypicalK2,C$7,FALSE)</f>
        <v>1.4604355931627537</v>
      </c>
      <c r="D37" s="538">
        <f>VLOOKUP($A37,[1]!LandfillTypicalK2,D$7,FALSE)</f>
        <v>0.61093906080766192</v>
      </c>
      <c r="E37" s="538">
        <f>VLOOKUP($A37,[1]!LandfillTypicalK2,E$7,FALSE)</f>
        <v>0.39091228503316028</v>
      </c>
      <c r="F37" s="621">
        <f>VLOOKUP($A37,[1]!LandfillTypicalK2,F$7,FALSE)</f>
        <v>0.50820687968075151</v>
      </c>
      <c r="G37" s="540">
        <f>-1*VLOOKUP("Food Waste",[1]Landfilling!$N$27:$R$41,5,FALSE)</f>
        <v>-8.6847687193783149E-2</v>
      </c>
      <c r="H37" s="541">
        <f>VLOOKUP($A37,'[1]Post-Consumer Transport'!$C$33:$K$88,3,FALSE)+VLOOKUP($A37,'[1]Post-Consumer Transport'!$C$33:$K$88,4,FALSE)</f>
        <v>2.0254519141196047E-2</v>
      </c>
      <c r="I37" s="542">
        <f t="shared" si="134"/>
        <v>1.3938424251101666</v>
      </c>
      <c r="J37" s="538">
        <f t="shared" si="135"/>
        <v>0.54434589275507483</v>
      </c>
      <c r="K37" s="538">
        <f t="shared" si="136"/>
        <v>0.32431911698057314</v>
      </c>
      <c r="L37" s="539">
        <f t="shared" si="137"/>
        <v>0.44161371162816437</v>
      </c>
      <c r="M37" s="537">
        <f>VLOOKUP($A37,[1]!LandfillTypicalK4,M$7,FALSE)</f>
        <v>1.4604355931627537</v>
      </c>
      <c r="N37" s="538">
        <f>VLOOKUP($A37,[1]!LandfillTypicalK4,N$7,FALSE)</f>
        <v>0.60284663215621481</v>
      </c>
      <c r="O37" s="538">
        <f>VLOOKUP($A37,[1]!LandfillTypicalK4,O$7,FALSE)</f>
        <v>0.48730425971105434</v>
      </c>
      <c r="P37" s="539">
        <f>VLOOKUP($A37,[1]!LandfillTypicalK4,P$7,FALSE)</f>
        <v>0.58249049786793194</v>
      </c>
      <c r="Q37" s="540">
        <f>-1*VLOOKUP("Food Waste",[1]Landfilling!$N$27:$R$41,5,FALSE)</f>
        <v>-8.6847687193783149E-2</v>
      </c>
      <c r="R37" s="541">
        <f>VLOOKUP($A37,'[1]Post-Consumer Transport'!$C$33:$K$88,3,FALSE)+VLOOKUP($A37,'[1]Post-Consumer Transport'!$C$33:$K$88,4,FALSE)</f>
        <v>2.0254519141196047E-2</v>
      </c>
      <c r="S37" s="542">
        <f t="shared" si="95"/>
        <v>1.3938424251101666</v>
      </c>
      <c r="T37" s="538">
        <f t="shared" si="20"/>
        <v>0.53625346410362773</v>
      </c>
      <c r="U37" s="538">
        <f t="shared" si="21"/>
        <v>0.42071109165846721</v>
      </c>
      <c r="V37" s="539">
        <f t="shared" si="22"/>
        <v>0.51589732981534486</v>
      </c>
      <c r="W37" s="537">
        <f>VLOOKUP($A37,[1]!LandfillTypicalK6,W$7,FALSE)</f>
        <v>1.4604355931627537</v>
      </c>
      <c r="X37" s="538">
        <f>VLOOKUP($A37,[1]!LandfillTypicalK6,X$7,FALSE)</f>
        <v>0.63241941267691126</v>
      </c>
      <c r="Y37" s="538">
        <f>VLOOKUP($A37,[1]!LandfillTypicalK6,Y$7,FALSE)</f>
        <v>0.55772619131168477</v>
      </c>
      <c r="Z37" s="539">
        <f>VLOOKUP($A37,[1]!LandfillTypicalK6,Z$7,FALSE)</f>
        <v>0.64073324941814747</v>
      </c>
      <c r="AA37" s="540">
        <f>-1*VLOOKUP("Food Waste",[1]Landfilling!$N$27:$R$41,5,FALSE)</f>
        <v>-8.6847687193783149E-2</v>
      </c>
      <c r="AB37" s="541">
        <f>VLOOKUP($A37,'[1]Post-Consumer Transport'!$C$33:$K$88,3,FALSE)+VLOOKUP($A37,'[1]Post-Consumer Transport'!$C$33:$K$88,4,FALSE)</f>
        <v>2.0254519141196047E-2</v>
      </c>
      <c r="AC37" s="542">
        <f t="shared" si="96"/>
        <v>1.3938424251101666</v>
      </c>
      <c r="AD37" s="538">
        <f t="shared" si="24"/>
        <v>0.56582624462432418</v>
      </c>
      <c r="AE37" s="538">
        <f t="shared" si="25"/>
        <v>0.49113302325909763</v>
      </c>
      <c r="AF37" s="539">
        <f t="shared" si="26"/>
        <v>0.57414008136556038</v>
      </c>
      <c r="AG37" s="537">
        <f>VLOOKUP($A37,[1]!LandfillTypicalK12,AG$7,FALSE)</f>
        <v>1.4604355931627537</v>
      </c>
      <c r="AH37" s="538">
        <f>VLOOKUP($A37,[1]!LandfillTypicalK12,AH$7,FALSE)</f>
        <v>0.7366202192348783</v>
      </c>
      <c r="AI37" s="538">
        <f>VLOOKUP($A37,[1]!LandfillTypicalK12,AI$7,FALSE)</f>
        <v>0.69885314743179283</v>
      </c>
      <c r="AJ37" s="539">
        <f>VLOOKUP($A37,[1]!LandfillTypicalK12,AJ$7,FALSE)</f>
        <v>0.76502280785334098</v>
      </c>
      <c r="AK37" s="540">
        <f>-1*VLOOKUP("Food Waste",[1]Landfilling!$N$27:$R$41,5,FALSE)</f>
        <v>-8.6847687193783149E-2</v>
      </c>
      <c r="AL37" s="541">
        <f>VLOOKUP($A37,'[1]Post-Consumer Transport'!$C$33:$K$88,3,FALSE)+VLOOKUP($A37,'[1]Post-Consumer Transport'!$C$33:$K$88,4,FALSE)</f>
        <v>2.0254519141196047E-2</v>
      </c>
      <c r="AM37" s="542">
        <f t="shared" si="97"/>
        <v>1.3938424251101666</v>
      </c>
      <c r="AN37" s="538">
        <f t="shared" si="28"/>
        <v>0.67002705118229122</v>
      </c>
      <c r="AO37" s="538">
        <f t="shared" si="29"/>
        <v>0.63225997937920575</v>
      </c>
      <c r="AP37" s="539">
        <f t="shared" si="30"/>
        <v>0.6984296398007539</v>
      </c>
      <c r="AQ37" s="537">
        <f>VLOOKUP($A37,[1]!LandfillTypicalNatlAverage,AQ$7,FALSE)</f>
        <v>1.4604355931627537</v>
      </c>
      <c r="AR37" s="538">
        <f>VLOOKUP($A37,[1]!LandfillTypicalNatlAverage,AR$7,FALSE)</f>
        <v>0.62999688938837684</v>
      </c>
      <c r="AS37" s="538">
        <f>VLOOKUP($A37,[1]!LandfillTypicalNatlAverage,AS$7,FALSE)</f>
        <v>0.51812416743540846</v>
      </c>
      <c r="AT37" s="539">
        <f>VLOOKUP($A37,[1]!LandfillTypicalNatlAverage,AT$7,FALSE)</f>
        <v>0.60982477611617536</v>
      </c>
      <c r="AU37" s="540">
        <f>-1*VLOOKUP("Food Waste",[1]Landfilling!$N$27:$R$41,5,FALSE)</f>
        <v>-8.6847687193783149E-2</v>
      </c>
      <c r="AV37" s="541">
        <f>VLOOKUP($A37,'[1]Post-Consumer Transport'!$C$33:$K$88,3,FALSE)+VLOOKUP($A37,'[1]Post-Consumer Transport'!$C$33:$K$88,4,FALSE)</f>
        <v>2.0254519141196047E-2</v>
      </c>
      <c r="AW37" s="542">
        <f t="shared" si="98"/>
        <v>1.3938424251101666</v>
      </c>
      <c r="AX37" s="538">
        <f t="shared" si="32"/>
        <v>0.56340372133578975</v>
      </c>
      <c r="AY37" s="538">
        <f t="shared" si="33"/>
        <v>0.45153099938282132</v>
      </c>
      <c r="AZ37" s="539">
        <f t="shared" si="34"/>
        <v>0.54323160806358828</v>
      </c>
      <c r="BB37" s="537">
        <f>VLOOKUP($A37,[1]!LandfillAggressiveK2,BB$7,FALSE)</f>
        <v>1.4604355931627537</v>
      </c>
      <c r="BC37" s="538">
        <f>VLOOKUP($A37,[1]!LandfillAggressiveK2,BC$7,FALSE)</f>
        <v>0.58385042883121196</v>
      </c>
      <c r="BD37" s="538">
        <f>VLOOKUP($A37,[1]!LandfillAggressiveK2,BD$7,FALSE)</f>
        <v>0.36209364961127732</v>
      </c>
      <c r="BE37" s="539">
        <f>VLOOKUP($A37,[1]!LandfillAggressiveK2,BE$7,FALSE)</f>
        <v>0.48202522898253586</v>
      </c>
      <c r="BF37" s="540">
        <f>-1*VLOOKUP("Food Waste",[1]Landfilling!$N$27:$R$41,5,FALSE)</f>
        <v>-8.6847687193783149E-2</v>
      </c>
      <c r="BG37" s="541">
        <f>VLOOKUP($A37,'[1]Post-Consumer Transport'!$C$33:$K$88,3,FALSE)+VLOOKUP($A37,'[1]Post-Consumer Transport'!$C$33:$K$88,4,FALSE)</f>
        <v>2.0254519141196047E-2</v>
      </c>
      <c r="BH37" s="542">
        <f t="shared" si="99"/>
        <v>1.3938424251101666</v>
      </c>
      <c r="BI37" s="538">
        <f t="shared" si="36"/>
        <v>0.51725726077862488</v>
      </c>
      <c r="BJ37" s="538">
        <f t="shared" si="37"/>
        <v>0.29550048155869019</v>
      </c>
      <c r="BK37" s="539">
        <f t="shared" si="38"/>
        <v>0.41543206092994872</v>
      </c>
      <c r="BL37" s="881">
        <f>VLOOKUP($A37,[1]!LandfillAggressiveK4,BL$7,FALSE)</f>
        <v>1.4604355931627537</v>
      </c>
      <c r="BM37" s="882">
        <f>VLOOKUP($A37,[1]!LandfillAggressiveK4,BM$7,FALSE)</f>
        <v>0.54793452008144916</v>
      </c>
      <c r="BN37" s="882">
        <f>VLOOKUP($A37,[1]!LandfillAggressiveK4,BN$7,FALSE)</f>
        <v>0.43536791644127987</v>
      </c>
      <c r="BO37" s="883">
        <f>VLOOKUP($A37,[1]!LandfillAggressiveK4,BO$7,FALSE)</f>
        <v>0.53376985510905972</v>
      </c>
      <c r="BP37" s="884">
        <f>-1*VLOOKUP("Food Waste",[1]Landfilling!$N$27:$R$41,5,FALSE)</f>
        <v>-8.6847687193783149E-2</v>
      </c>
      <c r="BQ37" s="885">
        <f>VLOOKUP($A37,'[1]Post-Consumer Transport'!$C$33:$K$88,3,FALSE)+VLOOKUP($A37,'[1]Post-Consumer Transport'!$C$33:$K$88,4,FALSE)</f>
        <v>2.0254519141196047E-2</v>
      </c>
      <c r="BR37" s="886">
        <f t="shared" si="100"/>
        <v>1.3938424251101666</v>
      </c>
      <c r="BS37" s="882">
        <f t="shared" si="40"/>
        <v>0.48134135202886202</v>
      </c>
      <c r="BT37" s="882">
        <f t="shared" si="41"/>
        <v>0.36877474838869273</v>
      </c>
      <c r="BU37" s="883">
        <f t="shared" si="42"/>
        <v>0.46717668705647258</v>
      </c>
      <c r="BV37" s="537">
        <f>VLOOKUP($A37,[1]!LandfillAggressiveK6,BV$7,FALSE)</f>
        <v>1.4604355931627537</v>
      </c>
      <c r="BW37" s="538">
        <f>VLOOKUP($A37,[1]!LandfillAggressiveK6,BW$7,FALSE)</f>
        <v>0.56944278764609146</v>
      </c>
      <c r="BX37" s="538">
        <f>VLOOKUP($A37,[1]!LandfillAggressiveK6,BX$7,FALSE)</f>
        <v>0.4907274466408868</v>
      </c>
      <c r="BY37" s="539">
        <f>VLOOKUP($A37,[1]!LandfillAggressiveK6,BY$7,FALSE)</f>
        <v>0.57829643920148133</v>
      </c>
      <c r="BZ37" s="540">
        <f>-1*VLOOKUP("Food Waste",[1]Landfilling!$N$27:$R$41,5,FALSE)</f>
        <v>-8.6847687193783149E-2</v>
      </c>
      <c r="CA37" s="541">
        <f>VLOOKUP($A37,'[1]Post-Consumer Transport'!$C$33:$K$88,3,FALSE)+VLOOKUP($A37,'[1]Post-Consumer Transport'!$C$33:$K$88,4,FALSE)</f>
        <v>2.0254519141196047E-2</v>
      </c>
      <c r="CB37" s="542">
        <f t="shared" si="101"/>
        <v>1.3938424251101666</v>
      </c>
      <c r="CC37" s="538">
        <f t="shared" si="44"/>
        <v>0.50284961959350438</v>
      </c>
      <c r="CD37" s="538">
        <f t="shared" si="45"/>
        <v>0.42413427858829966</v>
      </c>
      <c r="CE37" s="539">
        <f t="shared" si="46"/>
        <v>0.51170327114889425</v>
      </c>
      <c r="CF37" s="537">
        <f>VLOOKUP($A37,[1]!LandfillAggressiveK12,CF$7,FALSE)</f>
        <v>1.4604355931627537</v>
      </c>
      <c r="CG37" s="538">
        <f>VLOOKUP($A37,[1]!LandfillAggressiveK12,CG$7,FALSE)</f>
        <v>0.64841012393576436</v>
      </c>
      <c r="CH37" s="538">
        <f>VLOOKUP($A37,[1]!LandfillAggressiveK12,CH$7,FALSE)</f>
        <v>0.60873591037533392</v>
      </c>
      <c r="CI37" s="539">
        <f>VLOOKUP($A37,[1]!LandfillAggressiveK12,CI$7,FALSE)</f>
        <v>0.68099446376820949</v>
      </c>
      <c r="CJ37" s="540">
        <f>-1*VLOOKUP("Food Waste",[1]Landfilling!$N$27:$R$41,5,FALSE)</f>
        <v>-8.6847687193783149E-2</v>
      </c>
      <c r="CK37" s="541">
        <f>VLOOKUP($A37,'[1]Post-Consumer Transport'!$C$33:$K$88,3,FALSE)+VLOOKUP($A37,'[1]Post-Consumer Transport'!$C$33:$K$88,4,FALSE)</f>
        <v>2.0254519141196047E-2</v>
      </c>
      <c r="CL37" s="542">
        <f t="shared" si="102"/>
        <v>1.3938424251101666</v>
      </c>
      <c r="CM37" s="538">
        <f t="shared" si="48"/>
        <v>0.58181695588317728</v>
      </c>
      <c r="CN37" s="538">
        <f t="shared" si="49"/>
        <v>0.54214274232274684</v>
      </c>
      <c r="CO37" s="539">
        <f t="shared" si="50"/>
        <v>0.61440129571562241</v>
      </c>
      <c r="CP37" s="537">
        <f>VLOOKUP($A37,[1]!LandfillAggressiveNatlAverage,CP$7,FALSE)</f>
        <v>1.4604355931627537</v>
      </c>
      <c r="CQ37" s="538">
        <f>VLOOKUP($A37,[1]!LandfillAggressiveNatlAverage,CQ$7,FALSE)</f>
        <v>0.57400516018590109</v>
      </c>
      <c r="CR37" s="538">
        <f>VLOOKUP($A37,[1]!LandfillAggressiveNatlAverage,CR$7,FALSE)</f>
        <v>0.46080262938072319</v>
      </c>
      <c r="CS37" s="539">
        <f>VLOOKUP($A37,[1]!LandfillAggressiveNatlAverage,CS$7,FALSE)</f>
        <v>0.55644381681165522</v>
      </c>
      <c r="CT37" s="540">
        <f>-1*VLOOKUP("Food Waste",[1]Landfilling!$N$27:$R$41,5,FALSE)</f>
        <v>-8.6847687193783149E-2</v>
      </c>
      <c r="CU37" s="541">
        <f>VLOOKUP($A37,'[1]Post-Consumer Transport'!$C$33:$K$88,3,FALSE)+VLOOKUP($A37,'[1]Post-Consumer Transport'!$C$33:$K$88,4,FALSE)</f>
        <v>2.0254519141196047E-2</v>
      </c>
      <c r="CV37" s="542">
        <f t="shared" si="103"/>
        <v>1.3938424251101666</v>
      </c>
      <c r="CW37" s="538">
        <f t="shared" si="52"/>
        <v>0.507411992133314</v>
      </c>
      <c r="CX37" s="538">
        <f t="shared" si="53"/>
        <v>0.39420946132813606</v>
      </c>
      <c r="CY37" s="539">
        <f t="shared" si="54"/>
        <v>0.48985064875906809</v>
      </c>
      <c r="DA37" s="537">
        <f>VLOOKUP($A37,[1]!LandfillWorstK2,DA$7,FALSE)</f>
        <v>1.4604355931627537</v>
      </c>
      <c r="DB37" s="538">
        <f>VLOOKUP($A37,[1]!LandfillWorstK2,DB$7,FALSE)</f>
        <v>0.71594142845971198</v>
      </c>
      <c r="DC37" s="538">
        <f>VLOOKUP($A37,[1]!LandfillWorstK2,DC$7,FALSE)</f>
        <v>0.49762213819285644</v>
      </c>
      <c r="DD37" s="539">
        <f>VLOOKUP($A37,[1]!LandfillWorstK2,DD$7,FALSE)</f>
        <v>0.60541540391523474</v>
      </c>
      <c r="DE37" s="540">
        <f>-1*VLOOKUP("Food Waste",[1]Landfilling!$N$27:$R$41,5,FALSE)</f>
        <v>-8.6847687193783149E-2</v>
      </c>
      <c r="DF37" s="541">
        <f>VLOOKUP($A37,'[1]Post-Consumer Transport'!$C$33:$K$88,3,FALSE)+VLOOKUP($A37,'[1]Post-Consumer Transport'!$C$33:$K$88,4,FALSE)</f>
        <v>2.0254519141196047E-2</v>
      </c>
      <c r="DG37" s="542">
        <f t="shared" si="104"/>
        <v>1.3938424251101666</v>
      </c>
      <c r="DH37" s="538">
        <f t="shared" si="56"/>
        <v>0.6493482604071249</v>
      </c>
      <c r="DI37" s="538">
        <f t="shared" si="57"/>
        <v>0.43102897014026931</v>
      </c>
      <c r="DJ37" s="539">
        <f t="shared" si="58"/>
        <v>0.53882223586264766</v>
      </c>
      <c r="DK37" s="537">
        <f>VLOOKUP($A37,[1]!LandfillWorstK4,DK$7,FALSE)</f>
        <v>1.4604355931627537</v>
      </c>
      <c r="DL37" s="538">
        <f>VLOOKUP($A37,[1]!LandfillWorstK4,DL$7,FALSE)</f>
        <v>0.78884455443470136</v>
      </c>
      <c r="DM37" s="538">
        <f>VLOOKUP($A37,[1]!LandfillWorstK4,DM$7,FALSE)</f>
        <v>0.67801352655471203</v>
      </c>
      <c r="DN37" s="539">
        <f>VLOOKUP($A37,[1]!LandfillWorstK4,DN$7,FALSE)</f>
        <v>0.75621848773107048</v>
      </c>
      <c r="DO37" s="540">
        <f>-1*VLOOKUP("Food Waste",[1]Landfilling!$N$27:$R$41,5,FALSE)</f>
        <v>-8.6847687193783149E-2</v>
      </c>
      <c r="DP37" s="541">
        <f>VLOOKUP($A37,'[1]Post-Consumer Transport'!$C$33:$K$88,3,FALSE)+VLOOKUP($A37,'[1]Post-Consumer Transport'!$C$33:$K$88,4,FALSE)</f>
        <v>2.0254519141196047E-2</v>
      </c>
      <c r="DQ37" s="542">
        <f t="shared" si="105"/>
        <v>1.3938424251101666</v>
      </c>
      <c r="DR37" s="538">
        <f t="shared" si="60"/>
        <v>0.72225138638211428</v>
      </c>
      <c r="DS37" s="538">
        <f t="shared" si="61"/>
        <v>0.61142035850212495</v>
      </c>
      <c r="DT37" s="539">
        <f t="shared" si="62"/>
        <v>0.68962531967848339</v>
      </c>
      <c r="DU37" s="537">
        <f>VLOOKUP($A37,[1]!LandfillWorstK6,DU$7,FALSE)</f>
        <v>1.4604355931627537</v>
      </c>
      <c r="DV37" s="538">
        <f>VLOOKUP($A37,[1]!LandfillWorstK6,DV$7,FALSE)</f>
        <v>0.88710437838799183</v>
      </c>
      <c r="DW37" s="538">
        <f>VLOOKUP($A37,[1]!LandfillWorstK6,DW$7,FALSE)</f>
        <v>0.81439058012451671</v>
      </c>
      <c r="DX37" s="539">
        <f>VLOOKUP($A37,[1]!LandfillWorstK6,DX$7,FALSE)</f>
        <v>0.87539765022273119</v>
      </c>
      <c r="DY37" s="540">
        <f>-1*VLOOKUP("Food Waste",[1]Landfilling!$N$27:$R$41,5,FALSE)</f>
        <v>-8.6847687193783149E-2</v>
      </c>
      <c r="DZ37" s="541">
        <f>VLOOKUP($A37,'[1]Post-Consumer Transport'!$C$33:$K$88,3,FALSE)+VLOOKUP($A37,'[1]Post-Consumer Transport'!$C$33:$K$88,4,FALSE)</f>
        <v>2.0254519141196047E-2</v>
      </c>
      <c r="EA37" s="542">
        <f t="shared" si="106"/>
        <v>1.3938424251101666</v>
      </c>
      <c r="EB37" s="538">
        <f t="shared" si="64"/>
        <v>0.82051121033540475</v>
      </c>
      <c r="EC37" s="538">
        <f t="shared" si="65"/>
        <v>0.74779741207192962</v>
      </c>
      <c r="ED37" s="539">
        <f t="shared" si="66"/>
        <v>0.80880448217014411</v>
      </c>
      <c r="EE37" s="537">
        <f>VLOOKUP($A37,[1]!LandfillWorstK12,EE$7,FALSE)</f>
        <v>1.4604355931627537</v>
      </c>
      <c r="EF37" s="538">
        <f>VLOOKUP($A37,[1]!LandfillWorstK12,EF$7,FALSE)</f>
        <v>1.1034569105155063</v>
      </c>
      <c r="EG37" s="538">
        <f>VLOOKUP($A37,[1]!LandfillWorstK12,EG$7,FALSE)</f>
        <v>1.0684830730340442</v>
      </c>
      <c r="EH37" s="539">
        <f>VLOOKUP($A37,[1]!LandfillWorstK12,EH$7,FALSE)</f>
        <v>1.1041498549305746</v>
      </c>
      <c r="EI37" s="540">
        <f>-1*VLOOKUP("Food Waste",[1]Landfilling!$N$27:$R$41,5,FALSE)</f>
        <v>-8.6847687193783149E-2</v>
      </c>
      <c r="EJ37" s="541">
        <f>VLOOKUP($A37,'[1]Post-Consumer Transport'!$C$33:$K$88,3,FALSE)+VLOOKUP($A37,'[1]Post-Consumer Transport'!$C$33:$K$88,4,FALSE)</f>
        <v>2.0254519141196047E-2</v>
      </c>
      <c r="EK37" s="542">
        <f t="shared" si="107"/>
        <v>1.3938424251101666</v>
      </c>
      <c r="EL37" s="538">
        <f t="shared" si="68"/>
        <v>1.0368637424629192</v>
      </c>
      <c r="EM37" s="538">
        <f t="shared" si="69"/>
        <v>1.0018899049814571</v>
      </c>
      <c r="EN37" s="539">
        <f t="shared" si="70"/>
        <v>1.0375566868779875</v>
      </c>
      <c r="EO37" s="537">
        <f>VLOOKUP($A37,[1]!LandfillWorstNatlAverage,EO$7,FALSE)</f>
        <v>1.4604355931627537</v>
      </c>
      <c r="EP37" s="538">
        <f>VLOOKUP($A37,[1]!LandfillWorstNatlAverage,EP$7,FALSE)</f>
        <v>0.84610995249258625</v>
      </c>
      <c r="EQ37" s="538">
        <f>VLOOKUP($A37,[1]!LandfillWorstNatlAverage,EQ$7,FALSE)</f>
        <v>0.73703317254746392</v>
      </c>
      <c r="ER37" s="539">
        <f>VLOOKUP($A37,[1]!LandfillWorstNatlAverage,ER$7,FALSE)</f>
        <v>0.80983364347192621</v>
      </c>
      <c r="ES37" s="540">
        <f>-1*VLOOKUP("Food Waste",[1]Landfilling!$N$27:$R$41,5,FALSE)</f>
        <v>-8.6847687193783149E-2</v>
      </c>
      <c r="ET37" s="541">
        <f>VLOOKUP($A37,'[1]Post-Consumer Transport'!$C$33:$K$88,3,FALSE)+VLOOKUP($A37,'[1]Post-Consumer Transport'!$C$33:$K$88,4,FALSE)</f>
        <v>2.0254519141196047E-2</v>
      </c>
      <c r="EU37" s="542">
        <f t="shared" si="108"/>
        <v>1.3938424251101666</v>
      </c>
      <c r="EV37" s="538">
        <f t="shared" si="72"/>
        <v>0.77951678443999917</v>
      </c>
      <c r="EW37" s="538">
        <f t="shared" si="73"/>
        <v>0.67044000449487684</v>
      </c>
      <c r="EX37" s="539">
        <f t="shared" si="74"/>
        <v>0.74324047541933913</v>
      </c>
      <c r="EZ37" s="537">
        <f>VLOOKUP($A37,[1]!LandfillCaliK2,EZ$7,FALSE)</f>
        <v>1.4604355931627537</v>
      </c>
      <c r="FA37" s="538">
        <f>VLOOKUP($A37,[1]!LandfillCaliK2,FA$7,FALSE)</f>
        <v>0.31145442668397677</v>
      </c>
      <c r="FB37" s="538">
        <f>VLOOKUP($A37,[1]!LandfillCaliK2,FB$7,FALSE)</f>
        <v>0.27338221896627918</v>
      </c>
      <c r="FC37" s="539">
        <f>VLOOKUP($A37,[1]!LandfillCaliK2,FC$7,FALSE)</f>
        <v>0.37459392822169946</v>
      </c>
      <c r="FD37" s="540">
        <f>-1*VLOOKUP("Food Waste",[1]Landfilling!$N$27:$R$41,5,FALSE)</f>
        <v>-8.6847687193783149E-2</v>
      </c>
      <c r="FE37" s="541">
        <f>VLOOKUP($A37,'[1]Post-Consumer Transport'!$C$33:$K$88,3,FALSE)+VLOOKUP($A37,'[1]Post-Consumer Transport'!$C$33:$K$88,4,FALSE)</f>
        <v>2.0254519141196047E-2</v>
      </c>
      <c r="FF37" s="542">
        <f t="shared" si="109"/>
        <v>1.3938424251101666</v>
      </c>
      <c r="FG37" s="538">
        <f t="shared" si="76"/>
        <v>0.24486125863138966</v>
      </c>
      <c r="FH37" s="538">
        <f t="shared" si="77"/>
        <v>0.20678905091369207</v>
      </c>
      <c r="FI37" s="539">
        <f t="shared" si="78"/>
        <v>0.30800076016911232</v>
      </c>
      <c r="FJ37" s="537">
        <f>VLOOKUP($A37,[1]!LandfillCaliK4,FJ$7,FALSE)</f>
        <v>1.4604355931627537</v>
      </c>
      <c r="FK37" s="538">
        <f>VLOOKUP($A37,[1]!LandfillCaliK4,FK$7,FALSE)</f>
        <v>0.36385208598516378</v>
      </c>
      <c r="FL37" s="538">
        <f>VLOOKUP($A37,[1]!LandfillCaliK4,FL$7,FALSE)</f>
        <v>0.35805654738709547</v>
      </c>
      <c r="FM37" s="539">
        <f>VLOOKUP($A37,[1]!LandfillCaliK4,FM$7,FALSE)</f>
        <v>0.44771246061473657</v>
      </c>
      <c r="FN37" s="540">
        <f>-1*VLOOKUP("Food Waste",[1]Landfilling!$N$27:$R$41,5,FALSE)</f>
        <v>-8.6847687193783149E-2</v>
      </c>
      <c r="FO37" s="541">
        <f>VLOOKUP($A37,'[1]Post-Consumer Transport'!$C$33:$K$88,3,FALSE)+VLOOKUP($A37,'[1]Post-Consumer Transport'!$C$33:$K$88,4,FALSE)</f>
        <v>2.0254519141196047E-2</v>
      </c>
      <c r="FP37" s="542">
        <f t="shared" si="110"/>
        <v>1.3938424251101666</v>
      </c>
      <c r="FQ37" s="538">
        <f t="shared" si="80"/>
        <v>0.29725891793257664</v>
      </c>
      <c r="FR37" s="538">
        <f t="shared" si="81"/>
        <v>0.29146337933450833</v>
      </c>
      <c r="FS37" s="539">
        <f t="shared" si="82"/>
        <v>0.38111929256214944</v>
      </c>
      <c r="FT37" s="537">
        <f>VLOOKUP($A37,[1]!LandfillCaliK6,FT$7,FALSE)</f>
        <v>1.4604355931627537</v>
      </c>
      <c r="FU37" s="538">
        <f>VLOOKUP($A37,[1]!LandfillCaliK6,FU$7,FALSE)</f>
        <v>0.42954377730874072</v>
      </c>
      <c r="FV37" s="538">
        <f>VLOOKUP($A37,[1]!LandfillCaliK6,FV$7,FALSE)</f>
        <v>0.4252770474557353</v>
      </c>
      <c r="FW37" s="539">
        <f>VLOOKUP($A37,[1]!LandfillCaliK6,FW$7,FALSE)</f>
        <v>0.50695418795473701</v>
      </c>
      <c r="FX37" s="540">
        <f>-1*VLOOKUP("Food Waste",[1]Landfilling!$N$27:$R$41,5,FALSE)</f>
        <v>-8.6847687193783149E-2</v>
      </c>
      <c r="FY37" s="541">
        <f>VLOOKUP($A37,'[1]Post-Consumer Transport'!$C$33:$K$88,3,FALSE)+VLOOKUP($A37,'[1]Post-Consumer Transport'!$C$33:$K$88,4,FALSE)</f>
        <v>2.0254519141196047E-2</v>
      </c>
      <c r="FZ37" s="542">
        <f t="shared" si="111"/>
        <v>1.3938424251101666</v>
      </c>
      <c r="GA37" s="538">
        <f t="shared" si="84"/>
        <v>0.36295060925615358</v>
      </c>
      <c r="GB37" s="538">
        <f t="shared" si="85"/>
        <v>0.35868387940314816</v>
      </c>
      <c r="GC37" s="539">
        <f t="shared" si="86"/>
        <v>0.44036101990214988</v>
      </c>
      <c r="GD37" s="537">
        <f>VLOOKUP($A37,[1]!LandfillCaliK12,GD$7,FALSE)</f>
        <v>1.4604355931627537</v>
      </c>
      <c r="GE37" s="538">
        <f>VLOOKUP($A37,[1]!LandfillCaliK12,GE$7,FALSE)</f>
        <v>0.57703551197522696</v>
      </c>
      <c r="GF37" s="538">
        <f>VLOOKUP($A37,[1]!LandfillCaliK12,GF$7,FALSE)</f>
        <v>0.57573132639628677</v>
      </c>
      <c r="GG37" s="539">
        <f>VLOOKUP($A37,[1]!LandfillCaliK12,GG$7,FALSE)</f>
        <v>0.64477205905675872</v>
      </c>
      <c r="GH37" s="540">
        <f>-1*VLOOKUP("Food Waste",[1]Landfilling!$N$27:$R$41,5,FALSE)</f>
        <v>-8.6847687193783149E-2</v>
      </c>
      <c r="GI37" s="541">
        <f>VLOOKUP($A37,'[1]Post-Consumer Transport'!$C$33:$K$88,3,FALSE)+VLOOKUP($A37,'[1]Post-Consumer Transport'!$C$33:$K$88,4,FALSE)</f>
        <v>2.0254519141196047E-2</v>
      </c>
      <c r="GJ37" s="542">
        <f t="shared" si="112"/>
        <v>1.3938424251101666</v>
      </c>
      <c r="GK37" s="538">
        <f t="shared" si="88"/>
        <v>0.51044234392263987</v>
      </c>
      <c r="GL37" s="538">
        <f t="shared" si="89"/>
        <v>0.50913815834369969</v>
      </c>
      <c r="GM37" s="539">
        <f t="shared" si="90"/>
        <v>0.57817889100417164</v>
      </c>
      <c r="GN37" s="537">
        <f>VLOOKUP($A37,[1]!LandfillCaliNatlAverage,GN$7,FALSE)</f>
        <v>1.4604355931627537</v>
      </c>
      <c r="GO37" s="538">
        <f>VLOOKUP($A37,[1]!LandfillCaliNatlAverage,GO$7,FALSE)</f>
        <v>0.40169018185792288</v>
      </c>
      <c r="GP37" s="538">
        <f>VLOOKUP($A37,[1]!LandfillCaliNatlAverage,GP$7,FALSE)</f>
        <v>0.39051678513206234</v>
      </c>
      <c r="GQ37" s="539">
        <f>VLOOKUP($A37,[1]!LandfillCaliNatlAverage,GQ$7,FALSE)</f>
        <v>0.47714306391707151</v>
      </c>
      <c r="GR37" s="540">
        <f>-1*VLOOKUP("Food Waste",[1]Landfilling!$N$27:$R$41,5,FALSE)</f>
        <v>-8.6847687193783149E-2</v>
      </c>
      <c r="GS37" s="541">
        <f>VLOOKUP($A37,'[1]Post-Consumer Transport'!$C$33:$K$88,3,FALSE)+VLOOKUP($A37,'[1]Post-Consumer Transport'!$C$33:$K$88,4,FALSE)</f>
        <v>2.0254519141196047E-2</v>
      </c>
      <c r="GT37" s="542">
        <f t="shared" si="113"/>
        <v>1.3938424251101666</v>
      </c>
      <c r="GU37" s="538">
        <f t="shared" si="92"/>
        <v>0.33509701380533574</v>
      </c>
      <c r="GV37" s="538">
        <f t="shared" si="93"/>
        <v>0.3239236170794752</v>
      </c>
      <c r="GW37" s="539">
        <f t="shared" si="94"/>
        <v>0.41054989586448437</v>
      </c>
    </row>
    <row r="38" spans="1:205" x14ac:dyDescent="0.25">
      <c r="A38" s="494" t="str">
        <f t="shared" si="16"/>
        <v>Fruits and Vegetables</v>
      </c>
      <c r="B38" s="536" t="s">
        <v>647</v>
      </c>
      <c r="C38" s="537">
        <f>VLOOKUP($A38,[1]!LandfillTypicalK2,C$7,FALSE)</f>
        <v>1.4604355931627537</v>
      </c>
      <c r="D38" s="538">
        <f>VLOOKUP($A38,[1]!LandfillTypicalK2,D$7,FALSE)</f>
        <v>0.61093906080766192</v>
      </c>
      <c r="E38" s="538">
        <f>VLOOKUP($A38,[1]!LandfillTypicalK2,E$7,FALSE)</f>
        <v>0.39091228503316028</v>
      </c>
      <c r="F38" s="621">
        <f>VLOOKUP($A38,[1]!LandfillTypicalK2,F$7,FALSE)</f>
        <v>0.50820687968075151</v>
      </c>
      <c r="G38" s="540">
        <f>-1*VLOOKUP("Food Waste",[1]Landfilling!$N$27:$R$41,5,FALSE)</f>
        <v>-8.6847687193783149E-2</v>
      </c>
      <c r="H38" s="541">
        <f>VLOOKUP($A38,'[1]Post-Consumer Transport'!$C$33:$K$88,3,FALSE)+VLOOKUP($A38,'[1]Post-Consumer Transport'!$C$33:$K$88,4,FALSE)</f>
        <v>2.0254519141196047E-2</v>
      </c>
      <c r="I38" s="542">
        <f t="shared" si="134"/>
        <v>1.3938424251101666</v>
      </c>
      <c r="J38" s="538">
        <f t="shared" si="135"/>
        <v>0.54434589275507483</v>
      </c>
      <c r="K38" s="538">
        <f t="shared" si="136"/>
        <v>0.32431911698057314</v>
      </c>
      <c r="L38" s="539">
        <f t="shared" si="137"/>
        <v>0.44161371162816437</v>
      </c>
      <c r="M38" s="537">
        <f>VLOOKUP($A38,[1]!LandfillTypicalK4,M$7,FALSE)</f>
        <v>1.4604355931627537</v>
      </c>
      <c r="N38" s="538">
        <f>VLOOKUP($A38,[1]!LandfillTypicalK4,N$7,FALSE)</f>
        <v>0.60284663215621481</v>
      </c>
      <c r="O38" s="538">
        <f>VLOOKUP($A38,[1]!LandfillTypicalK4,O$7,FALSE)</f>
        <v>0.48730425971105434</v>
      </c>
      <c r="P38" s="539">
        <f>VLOOKUP($A38,[1]!LandfillTypicalK4,P$7,FALSE)</f>
        <v>0.58249049786793194</v>
      </c>
      <c r="Q38" s="540">
        <f>-1*VLOOKUP("Food Waste",[1]Landfilling!$N$27:$R$41,5,FALSE)</f>
        <v>-8.6847687193783149E-2</v>
      </c>
      <c r="R38" s="541">
        <f>VLOOKUP($A38,'[1]Post-Consumer Transport'!$C$33:$K$88,3,FALSE)+VLOOKUP($A38,'[1]Post-Consumer Transport'!$C$33:$K$88,4,FALSE)</f>
        <v>2.0254519141196047E-2</v>
      </c>
      <c r="S38" s="542">
        <f t="shared" si="95"/>
        <v>1.3938424251101666</v>
      </c>
      <c r="T38" s="538">
        <f t="shared" si="20"/>
        <v>0.53625346410362773</v>
      </c>
      <c r="U38" s="538">
        <f t="shared" si="21"/>
        <v>0.42071109165846721</v>
      </c>
      <c r="V38" s="539">
        <f t="shared" si="22"/>
        <v>0.51589732981534486</v>
      </c>
      <c r="W38" s="537">
        <f>VLOOKUP($A38,[1]!LandfillTypicalK6,W$7,FALSE)</f>
        <v>1.4604355931627537</v>
      </c>
      <c r="X38" s="538">
        <f>VLOOKUP($A38,[1]!LandfillTypicalK6,X$7,FALSE)</f>
        <v>0.63241941267691126</v>
      </c>
      <c r="Y38" s="538">
        <f>VLOOKUP($A38,[1]!LandfillTypicalK6,Y$7,FALSE)</f>
        <v>0.55772619131168477</v>
      </c>
      <c r="Z38" s="539">
        <f>VLOOKUP($A38,[1]!LandfillTypicalK6,Z$7,FALSE)</f>
        <v>0.64073324941814747</v>
      </c>
      <c r="AA38" s="540">
        <f>-1*VLOOKUP("Food Waste",[1]Landfilling!$N$27:$R$41,5,FALSE)</f>
        <v>-8.6847687193783149E-2</v>
      </c>
      <c r="AB38" s="541">
        <f>VLOOKUP($A38,'[1]Post-Consumer Transport'!$C$33:$K$88,3,FALSE)+VLOOKUP($A38,'[1]Post-Consumer Transport'!$C$33:$K$88,4,FALSE)</f>
        <v>2.0254519141196047E-2</v>
      </c>
      <c r="AC38" s="542">
        <f t="shared" si="96"/>
        <v>1.3938424251101666</v>
      </c>
      <c r="AD38" s="538">
        <f t="shared" si="24"/>
        <v>0.56582624462432418</v>
      </c>
      <c r="AE38" s="538">
        <f t="shared" si="25"/>
        <v>0.49113302325909763</v>
      </c>
      <c r="AF38" s="539">
        <f t="shared" si="26"/>
        <v>0.57414008136556038</v>
      </c>
      <c r="AG38" s="537">
        <f>VLOOKUP($A38,[1]!LandfillTypicalK12,AG$7,FALSE)</f>
        <v>1.4604355931627537</v>
      </c>
      <c r="AH38" s="538">
        <f>VLOOKUP($A38,[1]!LandfillTypicalK12,AH$7,FALSE)</f>
        <v>0.7366202192348783</v>
      </c>
      <c r="AI38" s="538">
        <f>VLOOKUP($A38,[1]!LandfillTypicalK12,AI$7,FALSE)</f>
        <v>0.69885314743179283</v>
      </c>
      <c r="AJ38" s="539">
        <f>VLOOKUP($A38,[1]!LandfillTypicalK12,AJ$7,FALSE)</f>
        <v>0.76502280785334098</v>
      </c>
      <c r="AK38" s="540">
        <f>-1*VLOOKUP("Food Waste",[1]Landfilling!$N$27:$R$41,5,FALSE)</f>
        <v>-8.6847687193783149E-2</v>
      </c>
      <c r="AL38" s="541">
        <f>VLOOKUP($A38,'[1]Post-Consumer Transport'!$C$33:$K$88,3,FALSE)+VLOOKUP($A38,'[1]Post-Consumer Transport'!$C$33:$K$88,4,FALSE)</f>
        <v>2.0254519141196047E-2</v>
      </c>
      <c r="AM38" s="542">
        <f t="shared" si="97"/>
        <v>1.3938424251101666</v>
      </c>
      <c r="AN38" s="538">
        <f t="shared" si="28"/>
        <v>0.67002705118229122</v>
      </c>
      <c r="AO38" s="538">
        <f t="shared" si="29"/>
        <v>0.63225997937920575</v>
      </c>
      <c r="AP38" s="539">
        <f t="shared" si="30"/>
        <v>0.6984296398007539</v>
      </c>
      <c r="AQ38" s="537">
        <f>VLOOKUP($A38,[1]!LandfillTypicalNatlAverage,AQ$7,FALSE)</f>
        <v>1.4604355931627537</v>
      </c>
      <c r="AR38" s="538">
        <f>VLOOKUP($A38,[1]!LandfillTypicalNatlAverage,AR$7,FALSE)</f>
        <v>0.62999688938837684</v>
      </c>
      <c r="AS38" s="538">
        <f>VLOOKUP($A38,[1]!LandfillTypicalNatlAverage,AS$7,FALSE)</f>
        <v>0.51812416743540846</v>
      </c>
      <c r="AT38" s="539">
        <f>VLOOKUP($A38,[1]!LandfillTypicalNatlAverage,AT$7,FALSE)</f>
        <v>0.60982477611617536</v>
      </c>
      <c r="AU38" s="540">
        <f>-1*VLOOKUP("Food Waste",[1]Landfilling!$N$27:$R$41,5,FALSE)</f>
        <v>-8.6847687193783149E-2</v>
      </c>
      <c r="AV38" s="541">
        <f>VLOOKUP($A38,'[1]Post-Consumer Transport'!$C$33:$K$88,3,FALSE)+VLOOKUP($A38,'[1]Post-Consumer Transport'!$C$33:$K$88,4,FALSE)</f>
        <v>2.0254519141196047E-2</v>
      </c>
      <c r="AW38" s="542">
        <f t="shared" si="98"/>
        <v>1.3938424251101666</v>
      </c>
      <c r="AX38" s="538">
        <f t="shared" si="32"/>
        <v>0.56340372133578975</v>
      </c>
      <c r="AY38" s="538">
        <f t="shared" si="33"/>
        <v>0.45153099938282132</v>
      </c>
      <c r="AZ38" s="539">
        <f t="shared" si="34"/>
        <v>0.54323160806358828</v>
      </c>
      <c r="BB38" s="537">
        <f>VLOOKUP($A38,[1]!LandfillAggressiveK2,BB$7,FALSE)</f>
        <v>1.4604355931627537</v>
      </c>
      <c r="BC38" s="538">
        <f>VLOOKUP($A38,[1]!LandfillAggressiveK2,BC$7,FALSE)</f>
        <v>0.58385042883121196</v>
      </c>
      <c r="BD38" s="538">
        <f>VLOOKUP($A38,[1]!LandfillAggressiveK2,BD$7,FALSE)</f>
        <v>0.36209364961127732</v>
      </c>
      <c r="BE38" s="539">
        <f>VLOOKUP($A38,[1]!LandfillAggressiveK2,BE$7,FALSE)</f>
        <v>0.48202522898253586</v>
      </c>
      <c r="BF38" s="540">
        <f>-1*VLOOKUP("Food Waste",[1]Landfilling!$N$27:$R$41,5,FALSE)</f>
        <v>-8.6847687193783149E-2</v>
      </c>
      <c r="BG38" s="541">
        <f>VLOOKUP($A38,'[1]Post-Consumer Transport'!$C$33:$K$88,3,FALSE)+VLOOKUP($A38,'[1]Post-Consumer Transport'!$C$33:$K$88,4,FALSE)</f>
        <v>2.0254519141196047E-2</v>
      </c>
      <c r="BH38" s="542">
        <f t="shared" si="99"/>
        <v>1.3938424251101666</v>
      </c>
      <c r="BI38" s="538">
        <f t="shared" si="36"/>
        <v>0.51725726077862488</v>
      </c>
      <c r="BJ38" s="538">
        <f t="shared" si="37"/>
        <v>0.29550048155869019</v>
      </c>
      <c r="BK38" s="539">
        <f t="shared" si="38"/>
        <v>0.41543206092994872</v>
      </c>
      <c r="BL38" s="881">
        <f>VLOOKUP($A38,[1]!LandfillAggressiveK4,BL$7,FALSE)</f>
        <v>1.4604355931627537</v>
      </c>
      <c r="BM38" s="882">
        <f>VLOOKUP($A38,[1]!LandfillAggressiveK4,BM$7,FALSE)</f>
        <v>0.54793452008144916</v>
      </c>
      <c r="BN38" s="882">
        <f>VLOOKUP($A38,[1]!LandfillAggressiveK4,BN$7,FALSE)</f>
        <v>0.43536791644127987</v>
      </c>
      <c r="BO38" s="883">
        <f>VLOOKUP($A38,[1]!LandfillAggressiveK4,BO$7,FALSE)</f>
        <v>0.53376985510905972</v>
      </c>
      <c r="BP38" s="884">
        <f>-1*VLOOKUP("Food Waste",[1]Landfilling!$N$27:$R$41,5,FALSE)</f>
        <v>-8.6847687193783149E-2</v>
      </c>
      <c r="BQ38" s="885">
        <f>VLOOKUP($A38,'[1]Post-Consumer Transport'!$C$33:$K$88,3,FALSE)+VLOOKUP($A38,'[1]Post-Consumer Transport'!$C$33:$K$88,4,FALSE)</f>
        <v>2.0254519141196047E-2</v>
      </c>
      <c r="BR38" s="886">
        <f t="shared" si="100"/>
        <v>1.3938424251101666</v>
      </c>
      <c r="BS38" s="882">
        <f t="shared" si="40"/>
        <v>0.48134135202886202</v>
      </c>
      <c r="BT38" s="882">
        <f t="shared" si="41"/>
        <v>0.36877474838869273</v>
      </c>
      <c r="BU38" s="883">
        <f t="shared" si="42"/>
        <v>0.46717668705647258</v>
      </c>
      <c r="BV38" s="537">
        <f>VLOOKUP($A38,[1]!LandfillAggressiveK6,BV$7,FALSE)</f>
        <v>1.4604355931627537</v>
      </c>
      <c r="BW38" s="538">
        <f>VLOOKUP($A38,[1]!LandfillAggressiveK6,BW$7,FALSE)</f>
        <v>0.56944278764609146</v>
      </c>
      <c r="BX38" s="538">
        <f>VLOOKUP($A38,[1]!LandfillAggressiveK6,BX$7,FALSE)</f>
        <v>0.4907274466408868</v>
      </c>
      <c r="BY38" s="539">
        <f>VLOOKUP($A38,[1]!LandfillAggressiveK6,BY$7,FALSE)</f>
        <v>0.57829643920148133</v>
      </c>
      <c r="BZ38" s="540">
        <f>-1*VLOOKUP("Food Waste",[1]Landfilling!$N$27:$R$41,5,FALSE)</f>
        <v>-8.6847687193783149E-2</v>
      </c>
      <c r="CA38" s="541">
        <f>VLOOKUP($A38,'[1]Post-Consumer Transport'!$C$33:$K$88,3,FALSE)+VLOOKUP($A38,'[1]Post-Consumer Transport'!$C$33:$K$88,4,FALSE)</f>
        <v>2.0254519141196047E-2</v>
      </c>
      <c r="CB38" s="542">
        <f t="shared" si="101"/>
        <v>1.3938424251101666</v>
      </c>
      <c r="CC38" s="538">
        <f t="shared" si="44"/>
        <v>0.50284961959350438</v>
      </c>
      <c r="CD38" s="538">
        <f t="shared" si="45"/>
        <v>0.42413427858829966</v>
      </c>
      <c r="CE38" s="539">
        <f t="shared" si="46"/>
        <v>0.51170327114889425</v>
      </c>
      <c r="CF38" s="537">
        <f>VLOOKUP($A38,[1]!LandfillAggressiveK12,CF$7,FALSE)</f>
        <v>1.4604355931627537</v>
      </c>
      <c r="CG38" s="538">
        <f>VLOOKUP($A38,[1]!LandfillAggressiveK12,CG$7,FALSE)</f>
        <v>0.64841012393576436</v>
      </c>
      <c r="CH38" s="538">
        <f>VLOOKUP($A38,[1]!LandfillAggressiveK12,CH$7,FALSE)</f>
        <v>0.60873591037533392</v>
      </c>
      <c r="CI38" s="539">
        <f>VLOOKUP($A38,[1]!LandfillAggressiveK12,CI$7,FALSE)</f>
        <v>0.68099446376820949</v>
      </c>
      <c r="CJ38" s="540">
        <f>-1*VLOOKUP("Food Waste",[1]Landfilling!$N$27:$R$41,5,FALSE)</f>
        <v>-8.6847687193783149E-2</v>
      </c>
      <c r="CK38" s="541">
        <f>VLOOKUP($A38,'[1]Post-Consumer Transport'!$C$33:$K$88,3,FALSE)+VLOOKUP($A38,'[1]Post-Consumer Transport'!$C$33:$K$88,4,FALSE)</f>
        <v>2.0254519141196047E-2</v>
      </c>
      <c r="CL38" s="542">
        <f t="shared" si="102"/>
        <v>1.3938424251101666</v>
      </c>
      <c r="CM38" s="538">
        <f t="shared" si="48"/>
        <v>0.58181695588317728</v>
      </c>
      <c r="CN38" s="538">
        <f t="shared" si="49"/>
        <v>0.54214274232274684</v>
      </c>
      <c r="CO38" s="539">
        <f t="shared" si="50"/>
        <v>0.61440129571562241</v>
      </c>
      <c r="CP38" s="537">
        <f>VLOOKUP($A38,[1]!LandfillAggressiveNatlAverage,CP$7,FALSE)</f>
        <v>1.4604355931627537</v>
      </c>
      <c r="CQ38" s="538">
        <f>VLOOKUP($A38,[1]!LandfillAggressiveNatlAverage,CQ$7,FALSE)</f>
        <v>0.57400516018590109</v>
      </c>
      <c r="CR38" s="538">
        <f>VLOOKUP($A38,[1]!LandfillAggressiveNatlAverage,CR$7,FALSE)</f>
        <v>0.46080262938072319</v>
      </c>
      <c r="CS38" s="539">
        <f>VLOOKUP($A38,[1]!LandfillAggressiveNatlAverage,CS$7,FALSE)</f>
        <v>0.55644381681165522</v>
      </c>
      <c r="CT38" s="540">
        <f>-1*VLOOKUP("Food Waste",[1]Landfilling!$N$27:$R$41,5,FALSE)</f>
        <v>-8.6847687193783149E-2</v>
      </c>
      <c r="CU38" s="541">
        <f>VLOOKUP($A38,'[1]Post-Consumer Transport'!$C$33:$K$88,3,FALSE)+VLOOKUP($A38,'[1]Post-Consumer Transport'!$C$33:$K$88,4,FALSE)</f>
        <v>2.0254519141196047E-2</v>
      </c>
      <c r="CV38" s="542">
        <f t="shared" si="103"/>
        <v>1.3938424251101666</v>
      </c>
      <c r="CW38" s="538">
        <f t="shared" si="52"/>
        <v>0.507411992133314</v>
      </c>
      <c r="CX38" s="538">
        <f t="shared" si="53"/>
        <v>0.39420946132813606</v>
      </c>
      <c r="CY38" s="539">
        <f t="shared" si="54"/>
        <v>0.48985064875906809</v>
      </c>
      <c r="DA38" s="537">
        <f>VLOOKUP($A38,[1]!LandfillWorstK2,DA$7,FALSE)</f>
        <v>1.4604355931627537</v>
      </c>
      <c r="DB38" s="538">
        <f>VLOOKUP($A38,[1]!LandfillWorstK2,DB$7,FALSE)</f>
        <v>0.71594142845971198</v>
      </c>
      <c r="DC38" s="538">
        <f>VLOOKUP($A38,[1]!LandfillWorstK2,DC$7,FALSE)</f>
        <v>0.49762213819285644</v>
      </c>
      <c r="DD38" s="539">
        <f>VLOOKUP($A38,[1]!LandfillWorstK2,DD$7,FALSE)</f>
        <v>0.60541540391523474</v>
      </c>
      <c r="DE38" s="540">
        <f>-1*VLOOKUP("Food Waste",[1]Landfilling!$N$27:$R$41,5,FALSE)</f>
        <v>-8.6847687193783149E-2</v>
      </c>
      <c r="DF38" s="541">
        <f>VLOOKUP($A38,'[1]Post-Consumer Transport'!$C$33:$K$88,3,FALSE)+VLOOKUP($A38,'[1]Post-Consumer Transport'!$C$33:$K$88,4,FALSE)</f>
        <v>2.0254519141196047E-2</v>
      </c>
      <c r="DG38" s="542">
        <f t="shared" si="104"/>
        <v>1.3938424251101666</v>
      </c>
      <c r="DH38" s="538">
        <f t="shared" si="56"/>
        <v>0.6493482604071249</v>
      </c>
      <c r="DI38" s="538">
        <f t="shared" si="57"/>
        <v>0.43102897014026931</v>
      </c>
      <c r="DJ38" s="539">
        <f t="shared" si="58"/>
        <v>0.53882223586264766</v>
      </c>
      <c r="DK38" s="537">
        <f>VLOOKUP($A38,[1]!LandfillWorstK4,DK$7,FALSE)</f>
        <v>1.4604355931627537</v>
      </c>
      <c r="DL38" s="538">
        <f>VLOOKUP($A38,[1]!LandfillWorstK4,DL$7,FALSE)</f>
        <v>0.78884455443470136</v>
      </c>
      <c r="DM38" s="538">
        <f>VLOOKUP($A38,[1]!LandfillWorstK4,DM$7,FALSE)</f>
        <v>0.67801352655471203</v>
      </c>
      <c r="DN38" s="539">
        <f>VLOOKUP($A38,[1]!LandfillWorstK4,DN$7,FALSE)</f>
        <v>0.75621848773107048</v>
      </c>
      <c r="DO38" s="540">
        <f>-1*VLOOKUP("Food Waste",[1]Landfilling!$N$27:$R$41,5,FALSE)</f>
        <v>-8.6847687193783149E-2</v>
      </c>
      <c r="DP38" s="541">
        <f>VLOOKUP($A38,'[1]Post-Consumer Transport'!$C$33:$K$88,3,FALSE)+VLOOKUP($A38,'[1]Post-Consumer Transport'!$C$33:$K$88,4,FALSE)</f>
        <v>2.0254519141196047E-2</v>
      </c>
      <c r="DQ38" s="542">
        <f t="shared" si="105"/>
        <v>1.3938424251101666</v>
      </c>
      <c r="DR38" s="538">
        <f t="shared" si="60"/>
        <v>0.72225138638211428</v>
      </c>
      <c r="DS38" s="538">
        <f t="shared" si="61"/>
        <v>0.61142035850212495</v>
      </c>
      <c r="DT38" s="539">
        <f t="shared" si="62"/>
        <v>0.68962531967848339</v>
      </c>
      <c r="DU38" s="537">
        <f>VLOOKUP($A38,[1]!LandfillWorstK6,DU$7,FALSE)</f>
        <v>1.4604355931627537</v>
      </c>
      <c r="DV38" s="538">
        <f>VLOOKUP($A38,[1]!LandfillWorstK6,DV$7,FALSE)</f>
        <v>0.88710437838799183</v>
      </c>
      <c r="DW38" s="538">
        <f>VLOOKUP($A38,[1]!LandfillWorstK6,DW$7,FALSE)</f>
        <v>0.81439058012451671</v>
      </c>
      <c r="DX38" s="539">
        <f>VLOOKUP($A38,[1]!LandfillWorstK6,DX$7,FALSE)</f>
        <v>0.87539765022273119</v>
      </c>
      <c r="DY38" s="540">
        <f>-1*VLOOKUP("Food Waste",[1]Landfilling!$N$27:$R$41,5,FALSE)</f>
        <v>-8.6847687193783149E-2</v>
      </c>
      <c r="DZ38" s="541">
        <f>VLOOKUP($A38,'[1]Post-Consumer Transport'!$C$33:$K$88,3,FALSE)+VLOOKUP($A38,'[1]Post-Consumer Transport'!$C$33:$K$88,4,FALSE)</f>
        <v>2.0254519141196047E-2</v>
      </c>
      <c r="EA38" s="542">
        <f t="shared" si="106"/>
        <v>1.3938424251101666</v>
      </c>
      <c r="EB38" s="538">
        <f t="shared" si="64"/>
        <v>0.82051121033540475</v>
      </c>
      <c r="EC38" s="538">
        <f t="shared" si="65"/>
        <v>0.74779741207192962</v>
      </c>
      <c r="ED38" s="539">
        <f t="shared" si="66"/>
        <v>0.80880448217014411</v>
      </c>
      <c r="EE38" s="537">
        <f>VLOOKUP($A38,[1]!LandfillWorstK12,EE$7,FALSE)</f>
        <v>1.4604355931627537</v>
      </c>
      <c r="EF38" s="538">
        <f>VLOOKUP($A38,[1]!LandfillWorstK12,EF$7,FALSE)</f>
        <v>1.1034569105155063</v>
      </c>
      <c r="EG38" s="538">
        <f>VLOOKUP($A38,[1]!LandfillWorstK12,EG$7,FALSE)</f>
        <v>1.0684830730340442</v>
      </c>
      <c r="EH38" s="539">
        <f>VLOOKUP($A38,[1]!LandfillWorstK12,EH$7,FALSE)</f>
        <v>1.1041498549305746</v>
      </c>
      <c r="EI38" s="540">
        <f>-1*VLOOKUP("Food Waste",[1]Landfilling!$N$27:$R$41,5,FALSE)</f>
        <v>-8.6847687193783149E-2</v>
      </c>
      <c r="EJ38" s="541">
        <f>VLOOKUP($A38,'[1]Post-Consumer Transport'!$C$33:$K$88,3,FALSE)+VLOOKUP($A38,'[1]Post-Consumer Transport'!$C$33:$K$88,4,FALSE)</f>
        <v>2.0254519141196047E-2</v>
      </c>
      <c r="EK38" s="542">
        <f t="shared" si="107"/>
        <v>1.3938424251101666</v>
      </c>
      <c r="EL38" s="538">
        <f t="shared" si="68"/>
        <v>1.0368637424629192</v>
      </c>
      <c r="EM38" s="538">
        <f t="shared" si="69"/>
        <v>1.0018899049814571</v>
      </c>
      <c r="EN38" s="539">
        <f t="shared" si="70"/>
        <v>1.0375566868779875</v>
      </c>
      <c r="EO38" s="537">
        <f>VLOOKUP($A38,[1]!LandfillWorstNatlAverage,EO$7,FALSE)</f>
        <v>1.4604355931627537</v>
      </c>
      <c r="EP38" s="538">
        <f>VLOOKUP($A38,[1]!LandfillWorstNatlAverage,EP$7,FALSE)</f>
        <v>0.84610995249258625</v>
      </c>
      <c r="EQ38" s="538">
        <f>VLOOKUP($A38,[1]!LandfillWorstNatlAverage,EQ$7,FALSE)</f>
        <v>0.73703317254746392</v>
      </c>
      <c r="ER38" s="539">
        <f>VLOOKUP($A38,[1]!LandfillWorstNatlAverage,ER$7,FALSE)</f>
        <v>0.80983364347192621</v>
      </c>
      <c r="ES38" s="540">
        <f>-1*VLOOKUP("Food Waste",[1]Landfilling!$N$27:$R$41,5,FALSE)</f>
        <v>-8.6847687193783149E-2</v>
      </c>
      <c r="ET38" s="541">
        <f>VLOOKUP($A38,'[1]Post-Consumer Transport'!$C$33:$K$88,3,FALSE)+VLOOKUP($A38,'[1]Post-Consumer Transport'!$C$33:$K$88,4,FALSE)</f>
        <v>2.0254519141196047E-2</v>
      </c>
      <c r="EU38" s="542">
        <f t="shared" si="108"/>
        <v>1.3938424251101666</v>
      </c>
      <c r="EV38" s="538">
        <f t="shared" si="72"/>
        <v>0.77951678443999917</v>
      </c>
      <c r="EW38" s="538">
        <f t="shared" si="73"/>
        <v>0.67044000449487684</v>
      </c>
      <c r="EX38" s="539">
        <f t="shared" si="74"/>
        <v>0.74324047541933913</v>
      </c>
      <c r="EZ38" s="537">
        <f>VLOOKUP($A38,[1]!LandfillCaliK2,EZ$7,FALSE)</f>
        <v>1.4604355931627537</v>
      </c>
      <c r="FA38" s="538">
        <f>VLOOKUP($A38,[1]!LandfillCaliK2,FA$7,FALSE)</f>
        <v>0.31145442668397677</v>
      </c>
      <c r="FB38" s="538">
        <f>VLOOKUP($A38,[1]!LandfillCaliK2,FB$7,FALSE)</f>
        <v>0.27338221896627918</v>
      </c>
      <c r="FC38" s="539">
        <f>VLOOKUP($A38,[1]!LandfillCaliK2,FC$7,FALSE)</f>
        <v>0.37459392822169946</v>
      </c>
      <c r="FD38" s="540">
        <f>-1*VLOOKUP("Food Waste",[1]Landfilling!$N$27:$R$41,5,FALSE)</f>
        <v>-8.6847687193783149E-2</v>
      </c>
      <c r="FE38" s="541">
        <f>VLOOKUP($A38,'[1]Post-Consumer Transport'!$C$33:$K$88,3,FALSE)+VLOOKUP($A38,'[1]Post-Consumer Transport'!$C$33:$K$88,4,FALSE)</f>
        <v>2.0254519141196047E-2</v>
      </c>
      <c r="FF38" s="542">
        <f t="shared" si="109"/>
        <v>1.3938424251101666</v>
      </c>
      <c r="FG38" s="538">
        <f t="shared" si="76"/>
        <v>0.24486125863138966</v>
      </c>
      <c r="FH38" s="538">
        <f t="shared" si="77"/>
        <v>0.20678905091369207</v>
      </c>
      <c r="FI38" s="539">
        <f t="shared" si="78"/>
        <v>0.30800076016911232</v>
      </c>
      <c r="FJ38" s="537">
        <f>VLOOKUP($A38,[1]!LandfillCaliK4,FJ$7,FALSE)</f>
        <v>1.4604355931627537</v>
      </c>
      <c r="FK38" s="538">
        <f>VLOOKUP($A38,[1]!LandfillCaliK4,FK$7,FALSE)</f>
        <v>0.36385208598516378</v>
      </c>
      <c r="FL38" s="538">
        <f>VLOOKUP($A38,[1]!LandfillCaliK4,FL$7,FALSE)</f>
        <v>0.35805654738709547</v>
      </c>
      <c r="FM38" s="539">
        <f>VLOOKUP($A38,[1]!LandfillCaliK4,FM$7,FALSE)</f>
        <v>0.44771246061473657</v>
      </c>
      <c r="FN38" s="540">
        <f>-1*VLOOKUP("Food Waste",[1]Landfilling!$N$27:$R$41,5,FALSE)</f>
        <v>-8.6847687193783149E-2</v>
      </c>
      <c r="FO38" s="541">
        <f>VLOOKUP($A38,'[1]Post-Consumer Transport'!$C$33:$K$88,3,FALSE)+VLOOKUP($A38,'[1]Post-Consumer Transport'!$C$33:$K$88,4,FALSE)</f>
        <v>2.0254519141196047E-2</v>
      </c>
      <c r="FP38" s="542">
        <f t="shared" si="110"/>
        <v>1.3938424251101666</v>
      </c>
      <c r="FQ38" s="538">
        <f t="shared" si="80"/>
        <v>0.29725891793257664</v>
      </c>
      <c r="FR38" s="538">
        <f t="shared" si="81"/>
        <v>0.29146337933450833</v>
      </c>
      <c r="FS38" s="539">
        <f t="shared" si="82"/>
        <v>0.38111929256214944</v>
      </c>
      <c r="FT38" s="537">
        <f>VLOOKUP($A38,[1]!LandfillCaliK6,FT$7,FALSE)</f>
        <v>1.4604355931627537</v>
      </c>
      <c r="FU38" s="538">
        <f>VLOOKUP($A38,[1]!LandfillCaliK6,FU$7,FALSE)</f>
        <v>0.42954377730874072</v>
      </c>
      <c r="FV38" s="538">
        <f>VLOOKUP($A38,[1]!LandfillCaliK6,FV$7,FALSE)</f>
        <v>0.4252770474557353</v>
      </c>
      <c r="FW38" s="539">
        <f>VLOOKUP($A38,[1]!LandfillCaliK6,FW$7,FALSE)</f>
        <v>0.50695418795473701</v>
      </c>
      <c r="FX38" s="540">
        <f>-1*VLOOKUP("Food Waste",[1]Landfilling!$N$27:$R$41,5,FALSE)</f>
        <v>-8.6847687193783149E-2</v>
      </c>
      <c r="FY38" s="541">
        <f>VLOOKUP($A38,'[1]Post-Consumer Transport'!$C$33:$K$88,3,FALSE)+VLOOKUP($A38,'[1]Post-Consumer Transport'!$C$33:$K$88,4,FALSE)</f>
        <v>2.0254519141196047E-2</v>
      </c>
      <c r="FZ38" s="542">
        <f t="shared" si="111"/>
        <v>1.3938424251101666</v>
      </c>
      <c r="GA38" s="538">
        <f t="shared" si="84"/>
        <v>0.36295060925615358</v>
      </c>
      <c r="GB38" s="538">
        <f t="shared" si="85"/>
        <v>0.35868387940314816</v>
      </c>
      <c r="GC38" s="539">
        <f t="shared" si="86"/>
        <v>0.44036101990214988</v>
      </c>
      <c r="GD38" s="537">
        <f>VLOOKUP($A38,[1]!LandfillCaliK12,GD$7,FALSE)</f>
        <v>1.4604355931627537</v>
      </c>
      <c r="GE38" s="538">
        <f>VLOOKUP($A38,[1]!LandfillCaliK12,GE$7,FALSE)</f>
        <v>0.57703551197522696</v>
      </c>
      <c r="GF38" s="538">
        <f>VLOOKUP($A38,[1]!LandfillCaliK12,GF$7,FALSE)</f>
        <v>0.57573132639628677</v>
      </c>
      <c r="GG38" s="539">
        <f>VLOOKUP($A38,[1]!LandfillCaliK12,GG$7,FALSE)</f>
        <v>0.64477205905675872</v>
      </c>
      <c r="GH38" s="540">
        <f>-1*VLOOKUP("Food Waste",[1]Landfilling!$N$27:$R$41,5,FALSE)</f>
        <v>-8.6847687193783149E-2</v>
      </c>
      <c r="GI38" s="541">
        <f>VLOOKUP($A38,'[1]Post-Consumer Transport'!$C$33:$K$88,3,FALSE)+VLOOKUP($A38,'[1]Post-Consumer Transport'!$C$33:$K$88,4,FALSE)</f>
        <v>2.0254519141196047E-2</v>
      </c>
      <c r="GJ38" s="542">
        <f t="shared" si="112"/>
        <v>1.3938424251101666</v>
      </c>
      <c r="GK38" s="538">
        <f t="shared" si="88"/>
        <v>0.51044234392263987</v>
      </c>
      <c r="GL38" s="538">
        <f t="shared" si="89"/>
        <v>0.50913815834369969</v>
      </c>
      <c r="GM38" s="539">
        <f t="shared" si="90"/>
        <v>0.57817889100417164</v>
      </c>
      <c r="GN38" s="537">
        <f>VLOOKUP($A38,[1]!LandfillCaliNatlAverage,GN$7,FALSE)</f>
        <v>1.4604355931627537</v>
      </c>
      <c r="GO38" s="538">
        <f>VLOOKUP($A38,[1]!LandfillCaliNatlAverage,GO$7,FALSE)</f>
        <v>0.40169018185792288</v>
      </c>
      <c r="GP38" s="538">
        <f>VLOOKUP($A38,[1]!LandfillCaliNatlAverage,GP$7,FALSE)</f>
        <v>0.39051678513206234</v>
      </c>
      <c r="GQ38" s="539">
        <f>VLOOKUP($A38,[1]!LandfillCaliNatlAverage,GQ$7,FALSE)</f>
        <v>0.47714306391707151</v>
      </c>
      <c r="GR38" s="540">
        <f>-1*VLOOKUP("Food Waste",[1]Landfilling!$N$27:$R$41,5,FALSE)</f>
        <v>-8.6847687193783149E-2</v>
      </c>
      <c r="GS38" s="541">
        <f>VLOOKUP($A38,'[1]Post-Consumer Transport'!$C$33:$K$88,3,FALSE)+VLOOKUP($A38,'[1]Post-Consumer Transport'!$C$33:$K$88,4,FALSE)</f>
        <v>2.0254519141196047E-2</v>
      </c>
      <c r="GT38" s="542">
        <f t="shared" si="113"/>
        <v>1.3938424251101666</v>
      </c>
      <c r="GU38" s="538">
        <f t="shared" si="92"/>
        <v>0.33509701380533574</v>
      </c>
      <c r="GV38" s="538">
        <f t="shared" si="93"/>
        <v>0.3239236170794752</v>
      </c>
      <c r="GW38" s="539">
        <f t="shared" si="94"/>
        <v>0.41054989586448437</v>
      </c>
    </row>
    <row r="39" spans="1:205" x14ac:dyDescent="0.25">
      <c r="A39" s="494" t="str">
        <f t="shared" si="16"/>
        <v>Dairy Products</v>
      </c>
      <c r="B39" s="536" t="s">
        <v>648</v>
      </c>
      <c r="C39" s="537">
        <f>VLOOKUP($A39,[1]!LandfillTypicalK2,C$7,FALSE)</f>
        <v>1.4604355931627537</v>
      </c>
      <c r="D39" s="538">
        <f>VLOOKUP($A39,[1]!LandfillTypicalK2,D$7,FALSE)</f>
        <v>0.61093906080766192</v>
      </c>
      <c r="E39" s="538">
        <f>VLOOKUP($A39,[1]!LandfillTypicalK2,E$7,FALSE)</f>
        <v>0.39091228503316028</v>
      </c>
      <c r="F39" s="621">
        <f>VLOOKUP($A39,[1]!LandfillTypicalK2,F$7,FALSE)</f>
        <v>0.50820687968075151</v>
      </c>
      <c r="G39" s="540">
        <f>-1*VLOOKUP("Food Waste",[1]Landfilling!$N$27:$R$41,5,FALSE)</f>
        <v>-8.6847687193783149E-2</v>
      </c>
      <c r="H39" s="541">
        <f>VLOOKUP($A39,'[1]Post-Consumer Transport'!$C$33:$K$88,3,FALSE)+VLOOKUP($A39,'[1]Post-Consumer Transport'!$C$33:$K$88,4,FALSE)</f>
        <v>2.0254519141196047E-2</v>
      </c>
      <c r="I39" s="542">
        <f t="shared" si="134"/>
        <v>1.3938424251101666</v>
      </c>
      <c r="J39" s="538">
        <f t="shared" si="135"/>
        <v>0.54434589275507483</v>
      </c>
      <c r="K39" s="538">
        <f t="shared" si="136"/>
        <v>0.32431911698057314</v>
      </c>
      <c r="L39" s="539">
        <f t="shared" si="137"/>
        <v>0.44161371162816437</v>
      </c>
      <c r="M39" s="537">
        <f>VLOOKUP($A39,[1]!LandfillTypicalK4,M$7,FALSE)</f>
        <v>1.4604355931627537</v>
      </c>
      <c r="N39" s="538">
        <f>VLOOKUP($A39,[1]!LandfillTypicalK4,N$7,FALSE)</f>
        <v>0.60284663215621481</v>
      </c>
      <c r="O39" s="538">
        <f>VLOOKUP($A39,[1]!LandfillTypicalK4,O$7,FALSE)</f>
        <v>0.48730425971105434</v>
      </c>
      <c r="P39" s="539">
        <f>VLOOKUP($A39,[1]!LandfillTypicalK4,P$7,FALSE)</f>
        <v>0.58249049786793194</v>
      </c>
      <c r="Q39" s="540">
        <f>-1*VLOOKUP("Food Waste",[1]Landfilling!$N$27:$R$41,5,FALSE)</f>
        <v>-8.6847687193783149E-2</v>
      </c>
      <c r="R39" s="541">
        <f>VLOOKUP($A39,'[1]Post-Consumer Transport'!$C$33:$K$88,3,FALSE)+VLOOKUP($A39,'[1]Post-Consumer Transport'!$C$33:$K$88,4,FALSE)</f>
        <v>2.0254519141196047E-2</v>
      </c>
      <c r="S39" s="542">
        <f t="shared" si="95"/>
        <v>1.3938424251101666</v>
      </c>
      <c r="T39" s="538">
        <f t="shared" si="20"/>
        <v>0.53625346410362773</v>
      </c>
      <c r="U39" s="538">
        <f t="shared" si="21"/>
        <v>0.42071109165846721</v>
      </c>
      <c r="V39" s="539">
        <f t="shared" si="22"/>
        <v>0.51589732981534486</v>
      </c>
      <c r="W39" s="537">
        <f>VLOOKUP($A39,[1]!LandfillTypicalK6,W$7,FALSE)</f>
        <v>1.4604355931627537</v>
      </c>
      <c r="X39" s="538">
        <f>VLOOKUP($A39,[1]!LandfillTypicalK6,X$7,FALSE)</f>
        <v>0.63241941267691126</v>
      </c>
      <c r="Y39" s="538">
        <f>VLOOKUP($A39,[1]!LandfillTypicalK6,Y$7,FALSE)</f>
        <v>0.55772619131168477</v>
      </c>
      <c r="Z39" s="539">
        <f>VLOOKUP($A39,[1]!LandfillTypicalK6,Z$7,FALSE)</f>
        <v>0.64073324941814747</v>
      </c>
      <c r="AA39" s="540">
        <f>-1*VLOOKUP("Food Waste",[1]Landfilling!$N$27:$R$41,5,FALSE)</f>
        <v>-8.6847687193783149E-2</v>
      </c>
      <c r="AB39" s="541">
        <f>VLOOKUP($A39,'[1]Post-Consumer Transport'!$C$33:$K$88,3,FALSE)+VLOOKUP($A39,'[1]Post-Consumer Transport'!$C$33:$K$88,4,FALSE)</f>
        <v>2.0254519141196047E-2</v>
      </c>
      <c r="AC39" s="542">
        <f t="shared" si="96"/>
        <v>1.3938424251101666</v>
      </c>
      <c r="AD39" s="538">
        <f t="shared" si="24"/>
        <v>0.56582624462432418</v>
      </c>
      <c r="AE39" s="538">
        <f t="shared" si="25"/>
        <v>0.49113302325909763</v>
      </c>
      <c r="AF39" s="539">
        <f t="shared" si="26"/>
        <v>0.57414008136556038</v>
      </c>
      <c r="AG39" s="537">
        <f>VLOOKUP($A39,[1]!LandfillTypicalK12,AG$7,FALSE)</f>
        <v>1.4604355931627537</v>
      </c>
      <c r="AH39" s="538">
        <f>VLOOKUP($A39,[1]!LandfillTypicalK12,AH$7,FALSE)</f>
        <v>0.7366202192348783</v>
      </c>
      <c r="AI39" s="538">
        <f>VLOOKUP($A39,[1]!LandfillTypicalK12,AI$7,FALSE)</f>
        <v>0.69885314743179283</v>
      </c>
      <c r="AJ39" s="539">
        <f>VLOOKUP($A39,[1]!LandfillTypicalK12,AJ$7,FALSE)</f>
        <v>0.76502280785334098</v>
      </c>
      <c r="AK39" s="540">
        <f>-1*VLOOKUP("Food Waste",[1]Landfilling!$N$27:$R$41,5,FALSE)</f>
        <v>-8.6847687193783149E-2</v>
      </c>
      <c r="AL39" s="541">
        <f>VLOOKUP($A39,'[1]Post-Consumer Transport'!$C$33:$K$88,3,FALSE)+VLOOKUP($A39,'[1]Post-Consumer Transport'!$C$33:$K$88,4,FALSE)</f>
        <v>2.0254519141196047E-2</v>
      </c>
      <c r="AM39" s="542">
        <f t="shared" si="97"/>
        <v>1.3938424251101666</v>
      </c>
      <c r="AN39" s="538">
        <f t="shared" si="28"/>
        <v>0.67002705118229122</v>
      </c>
      <c r="AO39" s="538">
        <f t="shared" si="29"/>
        <v>0.63225997937920575</v>
      </c>
      <c r="AP39" s="539">
        <f t="shared" si="30"/>
        <v>0.6984296398007539</v>
      </c>
      <c r="AQ39" s="537">
        <f>VLOOKUP($A39,[1]!LandfillTypicalNatlAverage,AQ$7,FALSE)</f>
        <v>1.4604355931627537</v>
      </c>
      <c r="AR39" s="538">
        <f>VLOOKUP($A39,[1]!LandfillTypicalNatlAverage,AR$7,FALSE)</f>
        <v>0.62999688938837684</v>
      </c>
      <c r="AS39" s="538">
        <f>VLOOKUP($A39,[1]!LandfillTypicalNatlAverage,AS$7,FALSE)</f>
        <v>0.51812416743540846</v>
      </c>
      <c r="AT39" s="539">
        <f>VLOOKUP($A39,[1]!LandfillTypicalNatlAverage,AT$7,FALSE)</f>
        <v>0.60982477611617536</v>
      </c>
      <c r="AU39" s="540">
        <f>-1*VLOOKUP("Food Waste",[1]Landfilling!$N$27:$R$41,5,FALSE)</f>
        <v>-8.6847687193783149E-2</v>
      </c>
      <c r="AV39" s="541">
        <f>VLOOKUP($A39,'[1]Post-Consumer Transport'!$C$33:$K$88,3,FALSE)+VLOOKUP($A39,'[1]Post-Consumer Transport'!$C$33:$K$88,4,FALSE)</f>
        <v>2.0254519141196047E-2</v>
      </c>
      <c r="AW39" s="542">
        <f t="shared" si="98"/>
        <v>1.3938424251101666</v>
      </c>
      <c r="AX39" s="538">
        <f t="shared" si="32"/>
        <v>0.56340372133578975</v>
      </c>
      <c r="AY39" s="538">
        <f t="shared" si="33"/>
        <v>0.45153099938282132</v>
      </c>
      <c r="AZ39" s="539">
        <f t="shared" si="34"/>
        <v>0.54323160806358828</v>
      </c>
      <c r="BB39" s="537">
        <f>VLOOKUP($A39,[1]!LandfillAggressiveK2,BB$7,FALSE)</f>
        <v>1.4604355931627537</v>
      </c>
      <c r="BC39" s="538">
        <f>VLOOKUP($A39,[1]!LandfillAggressiveK2,BC$7,FALSE)</f>
        <v>0.58385042883121196</v>
      </c>
      <c r="BD39" s="538">
        <f>VLOOKUP($A39,[1]!LandfillAggressiveK2,BD$7,FALSE)</f>
        <v>0.36209364961127732</v>
      </c>
      <c r="BE39" s="539">
        <f>VLOOKUP($A39,[1]!LandfillAggressiveK2,BE$7,FALSE)</f>
        <v>0.48202522898253586</v>
      </c>
      <c r="BF39" s="540">
        <f>-1*VLOOKUP("Food Waste",[1]Landfilling!$N$27:$R$41,5,FALSE)</f>
        <v>-8.6847687193783149E-2</v>
      </c>
      <c r="BG39" s="541">
        <f>VLOOKUP($A39,'[1]Post-Consumer Transport'!$C$33:$K$88,3,FALSE)+VLOOKUP($A39,'[1]Post-Consumer Transport'!$C$33:$K$88,4,FALSE)</f>
        <v>2.0254519141196047E-2</v>
      </c>
      <c r="BH39" s="542">
        <f t="shared" si="99"/>
        <v>1.3938424251101666</v>
      </c>
      <c r="BI39" s="538">
        <f t="shared" si="36"/>
        <v>0.51725726077862488</v>
      </c>
      <c r="BJ39" s="538">
        <f t="shared" si="37"/>
        <v>0.29550048155869019</v>
      </c>
      <c r="BK39" s="539">
        <f t="shared" si="38"/>
        <v>0.41543206092994872</v>
      </c>
      <c r="BL39" s="881">
        <f>VLOOKUP($A39,[1]!LandfillAggressiveK4,BL$7,FALSE)</f>
        <v>1.4604355931627537</v>
      </c>
      <c r="BM39" s="882">
        <f>VLOOKUP($A39,[1]!LandfillAggressiveK4,BM$7,FALSE)</f>
        <v>0.54793452008144916</v>
      </c>
      <c r="BN39" s="882">
        <f>VLOOKUP($A39,[1]!LandfillAggressiveK4,BN$7,FALSE)</f>
        <v>0.43536791644127987</v>
      </c>
      <c r="BO39" s="883">
        <f>VLOOKUP($A39,[1]!LandfillAggressiveK4,BO$7,FALSE)</f>
        <v>0.53376985510905972</v>
      </c>
      <c r="BP39" s="884">
        <f>-1*VLOOKUP("Food Waste",[1]Landfilling!$N$27:$R$41,5,FALSE)</f>
        <v>-8.6847687193783149E-2</v>
      </c>
      <c r="BQ39" s="885">
        <f>VLOOKUP($A39,'[1]Post-Consumer Transport'!$C$33:$K$88,3,FALSE)+VLOOKUP($A39,'[1]Post-Consumer Transport'!$C$33:$K$88,4,FALSE)</f>
        <v>2.0254519141196047E-2</v>
      </c>
      <c r="BR39" s="886">
        <f t="shared" si="100"/>
        <v>1.3938424251101666</v>
      </c>
      <c r="BS39" s="882">
        <f t="shared" si="40"/>
        <v>0.48134135202886202</v>
      </c>
      <c r="BT39" s="882">
        <f t="shared" si="41"/>
        <v>0.36877474838869273</v>
      </c>
      <c r="BU39" s="883">
        <f t="shared" si="42"/>
        <v>0.46717668705647258</v>
      </c>
      <c r="BV39" s="537">
        <f>VLOOKUP($A39,[1]!LandfillAggressiveK6,BV$7,FALSE)</f>
        <v>1.4604355931627537</v>
      </c>
      <c r="BW39" s="538">
        <f>VLOOKUP($A39,[1]!LandfillAggressiveK6,BW$7,FALSE)</f>
        <v>0.56944278764609146</v>
      </c>
      <c r="BX39" s="538">
        <f>VLOOKUP($A39,[1]!LandfillAggressiveK6,BX$7,FALSE)</f>
        <v>0.4907274466408868</v>
      </c>
      <c r="BY39" s="539">
        <f>VLOOKUP($A39,[1]!LandfillAggressiveK6,BY$7,FALSE)</f>
        <v>0.57829643920148133</v>
      </c>
      <c r="BZ39" s="540">
        <f>-1*VLOOKUP("Food Waste",[1]Landfilling!$N$27:$R$41,5,FALSE)</f>
        <v>-8.6847687193783149E-2</v>
      </c>
      <c r="CA39" s="541">
        <f>VLOOKUP($A39,'[1]Post-Consumer Transport'!$C$33:$K$88,3,FALSE)+VLOOKUP($A39,'[1]Post-Consumer Transport'!$C$33:$K$88,4,FALSE)</f>
        <v>2.0254519141196047E-2</v>
      </c>
      <c r="CB39" s="542">
        <f t="shared" si="101"/>
        <v>1.3938424251101666</v>
      </c>
      <c r="CC39" s="538">
        <f t="shared" si="44"/>
        <v>0.50284961959350438</v>
      </c>
      <c r="CD39" s="538">
        <f t="shared" si="45"/>
        <v>0.42413427858829966</v>
      </c>
      <c r="CE39" s="539">
        <f t="shared" si="46"/>
        <v>0.51170327114889425</v>
      </c>
      <c r="CF39" s="537">
        <f>VLOOKUP($A39,[1]!LandfillAggressiveK12,CF$7,FALSE)</f>
        <v>1.4604355931627537</v>
      </c>
      <c r="CG39" s="538">
        <f>VLOOKUP($A39,[1]!LandfillAggressiveK12,CG$7,FALSE)</f>
        <v>0.64841012393576436</v>
      </c>
      <c r="CH39" s="538">
        <f>VLOOKUP($A39,[1]!LandfillAggressiveK12,CH$7,FALSE)</f>
        <v>0.60873591037533392</v>
      </c>
      <c r="CI39" s="539">
        <f>VLOOKUP($A39,[1]!LandfillAggressiveK12,CI$7,FALSE)</f>
        <v>0.68099446376820949</v>
      </c>
      <c r="CJ39" s="540">
        <f>-1*VLOOKUP("Food Waste",[1]Landfilling!$N$27:$R$41,5,FALSE)</f>
        <v>-8.6847687193783149E-2</v>
      </c>
      <c r="CK39" s="541">
        <f>VLOOKUP($A39,'[1]Post-Consumer Transport'!$C$33:$K$88,3,FALSE)+VLOOKUP($A39,'[1]Post-Consumer Transport'!$C$33:$K$88,4,FALSE)</f>
        <v>2.0254519141196047E-2</v>
      </c>
      <c r="CL39" s="542">
        <f t="shared" si="102"/>
        <v>1.3938424251101666</v>
      </c>
      <c r="CM39" s="538">
        <f t="shared" si="48"/>
        <v>0.58181695588317728</v>
      </c>
      <c r="CN39" s="538">
        <f t="shared" si="49"/>
        <v>0.54214274232274684</v>
      </c>
      <c r="CO39" s="539">
        <f t="shared" si="50"/>
        <v>0.61440129571562241</v>
      </c>
      <c r="CP39" s="537">
        <f>VLOOKUP($A39,[1]!LandfillAggressiveNatlAverage,CP$7,FALSE)</f>
        <v>1.4604355931627537</v>
      </c>
      <c r="CQ39" s="538">
        <f>VLOOKUP($A39,[1]!LandfillAggressiveNatlAverage,CQ$7,FALSE)</f>
        <v>0.57400516018590109</v>
      </c>
      <c r="CR39" s="538">
        <f>VLOOKUP($A39,[1]!LandfillAggressiveNatlAverage,CR$7,FALSE)</f>
        <v>0.46080262938072319</v>
      </c>
      <c r="CS39" s="539">
        <f>VLOOKUP($A39,[1]!LandfillAggressiveNatlAverage,CS$7,FALSE)</f>
        <v>0.55644381681165522</v>
      </c>
      <c r="CT39" s="540">
        <f>-1*VLOOKUP("Food Waste",[1]Landfilling!$N$27:$R$41,5,FALSE)</f>
        <v>-8.6847687193783149E-2</v>
      </c>
      <c r="CU39" s="541">
        <f>VLOOKUP($A39,'[1]Post-Consumer Transport'!$C$33:$K$88,3,FALSE)+VLOOKUP($A39,'[1]Post-Consumer Transport'!$C$33:$K$88,4,FALSE)</f>
        <v>2.0254519141196047E-2</v>
      </c>
      <c r="CV39" s="542">
        <f t="shared" si="103"/>
        <v>1.3938424251101666</v>
      </c>
      <c r="CW39" s="538">
        <f t="shared" si="52"/>
        <v>0.507411992133314</v>
      </c>
      <c r="CX39" s="538">
        <f t="shared" si="53"/>
        <v>0.39420946132813606</v>
      </c>
      <c r="CY39" s="539">
        <f t="shared" si="54"/>
        <v>0.48985064875906809</v>
      </c>
      <c r="DA39" s="537">
        <f>VLOOKUP($A39,[1]!LandfillWorstK2,DA$7,FALSE)</f>
        <v>1.4604355931627537</v>
      </c>
      <c r="DB39" s="538">
        <f>VLOOKUP($A39,[1]!LandfillWorstK2,DB$7,FALSE)</f>
        <v>0.71594142845971198</v>
      </c>
      <c r="DC39" s="538">
        <f>VLOOKUP($A39,[1]!LandfillWorstK2,DC$7,FALSE)</f>
        <v>0.49762213819285644</v>
      </c>
      <c r="DD39" s="539">
        <f>VLOOKUP($A39,[1]!LandfillWorstK2,DD$7,FALSE)</f>
        <v>0.60541540391523474</v>
      </c>
      <c r="DE39" s="540">
        <f>-1*VLOOKUP("Food Waste",[1]Landfilling!$N$27:$R$41,5,FALSE)</f>
        <v>-8.6847687193783149E-2</v>
      </c>
      <c r="DF39" s="541">
        <f>VLOOKUP($A39,'[1]Post-Consumer Transport'!$C$33:$K$88,3,FALSE)+VLOOKUP($A39,'[1]Post-Consumer Transport'!$C$33:$K$88,4,FALSE)</f>
        <v>2.0254519141196047E-2</v>
      </c>
      <c r="DG39" s="542">
        <f t="shared" si="104"/>
        <v>1.3938424251101666</v>
      </c>
      <c r="DH39" s="538">
        <f t="shared" si="56"/>
        <v>0.6493482604071249</v>
      </c>
      <c r="DI39" s="538">
        <f t="shared" si="57"/>
        <v>0.43102897014026931</v>
      </c>
      <c r="DJ39" s="539">
        <f t="shared" si="58"/>
        <v>0.53882223586264766</v>
      </c>
      <c r="DK39" s="537">
        <f>VLOOKUP($A39,[1]!LandfillWorstK4,DK$7,FALSE)</f>
        <v>1.4604355931627537</v>
      </c>
      <c r="DL39" s="538">
        <f>VLOOKUP($A39,[1]!LandfillWorstK4,DL$7,FALSE)</f>
        <v>0.78884455443470136</v>
      </c>
      <c r="DM39" s="538">
        <f>VLOOKUP($A39,[1]!LandfillWorstK4,DM$7,FALSE)</f>
        <v>0.67801352655471203</v>
      </c>
      <c r="DN39" s="539">
        <f>VLOOKUP($A39,[1]!LandfillWorstK4,DN$7,FALSE)</f>
        <v>0.75621848773107048</v>
      </c>
      <c r="DO39" s="540">
        <f>-1*VLOOKUP("Food Waste",[1]Landfilling!$N$27:$R$41,5,FALSE)</f>
        <v>-8.6847687193783149E-2</v>
      </c>
      <c r="DP39" s="541">
        <f>VLOOKUP($A39,'[1]Post-Consumer Transport'!$C$33:$K$88,3,FALSE)+VLOOKUP($A39,'[1]Post-Consumer Transport'!$C$33:$K$88,4,FALSE)</f>
        <v>2.0254519141196047E-2</v>
      </c>
      <c r="DQ39" s="542">
        <f t="shared" si="105"/>
        <v>1.3938424251101666</v>
      </c>
      <c r="DR39" s="538">
        <f t="shared" si="60"/>
        <v>0.72225138638211428</v>
      </c>
      <c r="DS39" s="538">
        <f t="shared" si="61"/>
        <v>0.61142035850212495</v>
      </c>
      <c r="DT39" s="539">
        <f t="shared" si="62"/>
        <v>0.68962531967848339</v>
      </c>
      <c r="DU39" s="537">
        <f>VLOOKUP($A39,[1]!LandfillWorstK6,DU$7,FALSE)</f>
        <v>1.4604355931627537</v>
      </c>
      <c r="DV39" s="538">
        <f>VLOOKUP($A39,[1]!LandfillWorstK6,DV$7,FALSE)</f>
        <v>0.88710437838799183</v>
      </c>
      <c r="DW39" s="538">
        <f>VLOOKUP($A39,[1]!LandfillWorstK6,DW$7,FALSE)</f>
        <v>0.81439058012451671</v>
      </c>
      <c r="DX39" s="539">
        <f>VLOOKUP($A39,[1]!LandfillWorstK6,DX$7,FALSE)</f>
        <v>0.87539765022273119</v>
      </c>
      <c r="DY39" s="540">
        <f>-1*VLOOKUP("Food Waste",[1]Landfilling!$N$27:$R$41,5,FALSE)</f>
        <v>-8.6847687193783149E-2</v>
      </c>
      <c r="DZ39" s="541">
        <f>VLOOKUP($A39,'[1]Post-Consumer Transport'!$C$33:$K$88,3,FALSE)+VLOOKUP($A39,'[1]Post-Consumer Transport'!$C$33:$K$88,4,FALSE)</f>
        <v>2.0254519141196047E-2</v>
      </c>
      <c r="EA39" s="542">
        <f t="shared" si="106"/>
        <v>1.3938424251101666</v>
      </c>
      <c r="EB39" s="538">
        <f t="shared" si="64"/>
        <v>0.82051121033540475</v>
      </c>
      <c r="EC39" s="538">
        <f t="shared" si="65"/>
        <v>0.74779741207192962</v>
      </c>
      <c r="ED39" s="539">
        <f t="shared" si="66"/>
        <v>0.80880448217014411</v>
      </c>
      <c r="EE39" s="537">
        <f>VLOOKUP($A39,[1]!LandfillWorstK12,EE$7,FALSE)</f>
        <v>1.4604355931627537</v>
      </c>
      <c r="EF39" s="538">
        <f>VLOOKUP($A39,[1]!LandfillWorstK12,EF$7,FALSE)</f>
        <v>1.1034569105155063</v>
      </c>
      <c r="EG39" s="538">
        <f>VLOOKUP($A39,[1]!LandfillWorstK12,EG$7,FALSE)</f>
        <v>1.0684830730340442</v>
      </c>
      <c r="EH39" s="539">
        <f>VLOOKUP($A39,[1]!LandfillWorstK12,EH$7,FALSE)</f>
        <v>1.1041498549305746</v>
      </c>
      <c r="EI39" s="540">
        <f>-1*VLOOKUP("Food Waste",[1]Landfilling!$N$27:$R$41,5,FALSE)</f>
        <v>-8.6847687193783149E-2</v>
      </c>
      <c r="EJ39" s="541">
        <f>VLOOKUP($A39,'[1]Post-Consumer Transport'!$C$33:$K$88,3,FALSE)+VLOOKUP($A39,'[1]Post-Consumer Transport'!$C$33:$K$88,4,FALSE)</f>
        <v>2.0254519141196047E-2</v>
      </c>
      <c r="EK39" s="542">
        <f t="shared" si="107"/>
        <v>1.3938424251101666</v>
      </c>
      <c r="EL39" s="538">
        <f t="shared" si="68"/>
        <v>1.0368637424629192</v>
      </c>
      <c r="EM39" s="538">
        <f t="shared" si="69"/>
        <v>1.0018899049814571</v>
      </c>
      <c r="EN39" s="539">
        <f t="shared" si="70"/>
        <v>1.0375566868779875</v>
      </c>
      <c r="EO39" s="537">
        <f>VLOOKUP($A39,[1]!LandfillWorstNatlAverage,EO$7,FALSE)</f>
        <v>1.4604355931627537</v>
      </c>
      <c r="EP39" s="538">
        <f>VLOOKUP($A39,[1]!LandfillWorstNatlAverage,EP$7,FALSE)</f>
        <v>0.84610995249258625</v>
      </c>
      <c r="EQ39" s="538">
        <f>VLOOKUP($A39,[1]!LandfillWorstNatlAverage,EQ$7,FALSE)</f>
        <v>0.73703317254746392</v>
      </c>
      <c r="ER39" s="539">
        <f>VLOOKUP($A39,[1]!LandfillWorstNatlAverage,ER$7,FALSE)</f>
        <v>0.80983364347192621</v>
      </c>
      <c r="ES39" s="540">
        <f>-1*VLOOKUP("Food Waste",[1]Landfilling!$N$27:$R$41,5,FALSE)</f>
        <v>-8.6847687193783149E-2</v>
      </c>
      <c r="ET39" s="541">
        <f>VLOOKUP($A39,'[1]Post-Consumer Transport'!$C$33:$K$88,3,FALSE)+VLOOKUP($A39,'[1]Post-Consumer Transport'!$C$33:$K$88,4,FALSE)</f>
        <v>2.0254519141196047E-2</v>
      </c>
      <c r="EU39" s="542">
        <f t="shared" si="108"/>
        <v>1.3938424251101666</v>
      </c>
      <c r="EV39" s="538">
        <f t="shared" si="72"/>
        <v>0.77951678443999917</v>
      </c>
      <c r="EW39" s="538">
        <f t="shared" si="73"/>
        <v>0.67044000449487684</v>
      </c>
      <c r="EX39" s="539">
        <f t="shared" si="74"/>
        <v>0.74324047541933913</v>
      </c>
      <c r="EZ39" s="537">
        <f>VLOOKUP($A39,[1]!LandfillCaliK2,EZ$7,FALSE)</f>
        <v>1.4604355931627537</v>
      </c>
      <c r="FA39" s="538">
        <f>VLOOKUP($A39,[1]!LandfillCaliK2,FA$7,FALSE)</f>
        <v>0.31145442668397677</v>
      </c>
      <c r="FB39" s="538">
        <f>VLOOKUP($A39,[1]!LandfillCaliK2,FB$7,FALSE)</f>
        <v>0.27338221896627918</v>
      </c>
      <c r="FC39" s="539">
        <f>VLOOKUP($A39,[1]!LandfillCaliK2,FC$7,FALSE)</f>
        <v>0.37459392822169946</v>
      </c>
      <c r="FD39" s="540">
        <f>-1*VLOOKUP("Food Waste",[1]Landfilling!$N$27:$R$41,5,FALSE)</f>
        <v>-8.6847687193783149E-2</v>
      </c>
      <c r="FE39" s="541">
        <f>VLOOKUP($A39,'[1]Post-Consumer Transport'!$C$33:$K$88,3,FALSE)+VLOOKUP($A39,'[1]Post-Consumer Transport'!$C$33:$K$88,4,FALSE)</f>
        <v>2.0254519141196047E-2</v>
      </c>
      <c r="FF39" s="542">
        <f t="shared" si="109"/>
        <v>1.3938424251101666</v>
      </c>
      <c r="FG39" s="538">
        <f t="shared" si="76"/>
        <v>0.24486125863138966</v>
      </c>
      <c r="FH39" s="538">
        <f t="shared" si="77"/>
        <v>0.20678905091369207</v>
      </c>
      <c r="FI39" s="539">
        <f t="shared" si="78"/>
        <v>0.30800076016911232</v>
      </c>
      <c r="FJ39" s="537">
        <f>VLOOKUP($A39,[1]!LandfillCaliK4,FJ$7,FALSE)</f>
        <v>1.4604355931627537</v>
      </c>
      <c r="FK39" s="538">
        <f>VLOOKUP($A39,[1]!LandfillCaliK4,FK$7,FALSE)</f>
        <v>0.36385208598516378</v>
      </c>
      <c r="FL39" s="538">
        <f>VLOOKUP($A39,[1]!LandfillCaliK4,FL$7,FALSE)</f>
        <v>0.35805654738709547</v>
      </c>
      <c r="FM39" s="539">
        <f>VLOOKUP($A39,[1]!LandfillCaliK4,FM$7,FALSE)</f>
        <v>0.44771246061473657</v>
      </c>
      <c r="FN39" s="540">
        <f>-1*VLOOKUP("Food Waste",[1]Landfilling!$N$27:$R$41,5,FALSE)</f>
        <v>-8.6847687193783149E-2</v>
      </c>
      <c r="FO39" s="541">
        <f>VLOOKUP($A39,'[1]Post-Consumer Transport'!$C$33:$K$88,3,FALSE)+VLOOKUP($A39,'[1]Post-Consumer Transport'!$C$33:$K$88,4,FALSE)</f>
        <v>2.0254519141196047E-2</v>
      </c>
      <c r="FP39" s="542">
        <f t="shared" si="110"/>
        <v>1.3938424251101666</v>
      </c>
      <c r="FQ39" s="538">
        <f t="shared" si="80"/>
        <v>0.29725891793257664</v>
      </c>
      <c r="FR39" s="538">
        <f t="shared" si="81"/>
        <v>0.29146337933450833</v>
      </c>
      <c r="FS39" s="539">
        <f t="shared" si="82"/>
        <v>0.38111929256214944</v>
      </c>
      <c r="FT39" s="537">
        <f>VLOOKUP($A39,[1]!LandfillCaliK6,FT$7,FALSE)</f>
        <v>1.4604355931627537</v>
      </c>
      <c r="FU39" s="538">
        <f>VLOOKUP($A39,[1]!LandfillCaliK6,FU$7,FALSE)</f>
        <v>0.42954377730874072</v>
      </c>
      <c r="FV39" s="538">
        <f>VLOOKUP($A39,[1]!LandfillCaliK6,FV$7,FALSE)</f>
        <v>0.4252770474557353</v>
      </c>
      <c r="FW39" s="539">
        <f>VLOOKUP($A39,[1]!LandfillCaliK6,FW$7,FALSE)</f>
        <v>0.50695418795473701</v>
      </c>
      <c r="FX39" s="540">
        <f>-1*VLOOKUP("Food Waste",[1]Landfilling!$N$27:$R$41,5,FALSE)</f>
        <v>-8.6847687193783149E-2</v>
      </c>
      <c r="FY39" s="541">
        <f>VLOOKUP($A39,'[1]Post-Consumer Transport'!$C$33:$K$88,3,FALSE)+VLOOKUP($A39,'[1]Post-Consumer Transport'!$C$33:$K$88,4,FALSE)</f>
        <v>2.0254519141196047E-2</v>
      </c>
      <c r="FZ39" s="542">
        <f t="shared" si="111"/>
        <v>1.3938424251101666</v>
      </c>
      <c r="GA39" s="538">
        <f t="shared" si="84"/>
        <v>0.36295060925615358</v>
      </c>
      <c r="GB39" s="538">
        <f t="shared" si="85"/>
        <v>0.35868387940314816</v>
      </c>
      <c r="GC39" s="539">
        <f t="shared" si="86"/>
        <v>0.44036101990214988</v>
      </c>
      <c r="GD39" s="537">
        <f>VLOOKUP($A39,[1]!LandfillCaliK12,GD$7,FALSE)</f>
        <v>1.4604355931627537</v>
      </c>
      <c r="GE39" s="538">
        <f>VLOOKUP($A39,[1]!LandfillCaliK12,GE$7,FALSE)</f>
        <v>0.57703551197522696</v>
      </c>
      <c r="GF39" s="538">
        <f>VLOOKUP($A39,[1]!LandfillCaliK12,GF$7,FALSE)</f>
        <v>0.57573132639628677</v>
      </c>
      <c r="GG39" s="539">
        <f>VLOOKUP($A39,[1]!LandfillCaliK12,GG$7,FALSE)</f>
        <v>0.64477205905675872</v>
      </c>
      <c r="GH39" s="540">
        <f>-1*VLOOKUP("Food Waste",[1]Landfilling!$N$27:$R$41,5,FALSE)</f>
        <v>-8.6847687193783149E-2</v>
      </c>
      <c r="GI39" s="541">
        <f>VLOOKUP($A39,'[1]Post-Consumer Transport'!$C$33:$K$88,3,FALSE)+VLOOKUP($A39,'[1]Post-Consumer Transport'!$C$33:$K$88,4,FALSE)</f>
        <v>2.0254519141196047E-2</v>
      </c>
      <c r="GJ39" s="542">
        <f t="shared" si="112"/>
        <v>1.3938424251101666</v>
      </c>
      <c r="GK39" s="538">
        <f t="shared" si="88"/>
        <v>0.51044234392263987</v>
      </c>
      <c r="GL39" s="538">
        <f t="shared" si="89"/>
        <v>0.50913815834369969</v>
      </c>
      <c r="GM39" s="539">
        <f t="shared" si="90"/>
        <v>0.57817889100417164</v>
      </c>
      <c r="GN39" s="537">
        <f>VLOOKUP($A39,[1]!LandfillCaliNatlAverage,GN$7,FALSE)</f>
        <v>1.4604355931627537</v>
      </c>
      <c r="GO39" s="538">
        <f>VLOOKUP($A39,[1]!LandfillCaliNatlAverage,GO$7,FALSE)</f>
        <v>0.40169018185792288</v>
      </c>
      <c r="GP39" s="538">
        <f>VLOOKUP($A39,[1]!LandfillCaliNatlAverage,GP$7,FALSE)</f>
        <v>0.39051678513206234</v>
      </c>
      <c r="GQ39" s="539">
        <f>VLOOKUP($A39,[1]!LandfillCaliNatlAverage,GQ$7,FALSE)</f>
        <v>0.47714306391707151</v>
      </c>
      <c r="GR39" s="540">
        <f>-1*VLOOKUP("Food Waste",[1]Landfilling!$N$27:$R$41,5,FALSE)</f>
        <v>-8.6847687193783149E-2</v>
      </c>
      <c r="GS39" s="541">
        <f>VLOOKUP($A39,'[1]Post-Consumer Transport'!$C$33:$K$88,3,FALSE)+VLOOKUP($A39,'[1]Post-Consumer Transport'!$C$33:$K$88,4,FALSE)</f>
        <v>2.0254519141196047E-2</v>
      </c>
      <c r="GT39" s="542">
        <f t="shared" si="113"/>
        <v>1.3938424251101666</v>
      </c>
      <c r="GU39" s="538">
        <f t="shared" si="92"/>
        <v>0.33509701380533574</v>
      </c>
      <c r="GV39" s="538">
        <f t="shared" si="93"/>
        <v>0.3239236170794752</v>
      </c>
      <c r="GW39" s="539">
        <f t="shared" si="94"/>
        <v>0.41054989586448437</v>
      </c>
    </row>
    <row r="40" spans="1:205" x14ac:dyDescent="0.25">
      <c r="A40" s="494" t="str">
        <f t="shared" si="16"/>
        <v>Yard Trimmings</v>
      </c>
      <c r="B40" s="536" t="s">
        <v>580</v>
      </c>
      <c r="C40" s="537">
        <f>VLOOKUP($A40,[1]!LandfillTypicalK2,C$7,FALSE)</f>
        <v>0.7292880804478501</v>
      </c>
      <c r="D40" s="538">
        <f>VLOOKUP($A40,[1]!LandfillTypicalK2,D$7,FALSE)</f>
        <v>0.32531572624965333</v>
      </c>
      <c r="E40" s="538">
        <f>VLOOKUP($A40,[1]!LandfillTypicalK2,E$7,FALSE)</f>
        <v>0.22169709074850033</v>
      </c>
      <c r="F40" s="621">
        <f>VLOOKUP($A40,[1]!LandfillTypicalK2,F$7,FALSE)</f>
        <v>0.27821009741664093</v>
      </c>
      <c r="G40" s="540">
        <f>-1*VLOOKUP($A40,[1]Landfilling!$N$27:$R$41,5,FALSE)</f>
        <v>-0.53546654877228339</v>
      </c>
      <c r="H40" s="541">
        <f>VLOOKUP($A40,'[1]Post-Consumer Transport'!$C$33:$K$88,3,FALSE)+VLOOKUP($A40,'[1]Post-Consumer Transport'!$C$33:$K$88,4,FALSE)</f>
        <v>2.0254519141196047E-2</v>
      </c>
      <c r="I40" s="542">
        <f t="shared" si="134"/>
        <v>0.21407605081676276</v>
      </c>
      <c r="J40" s="538">
        <f t="shared" si="135"/>
        <v>-0.18989630338143401</v>
      </c>
      <c r="K40" s="538">
        <f t="shared" si="136"/>
        <v>-0.29351493888258706</v>
      </c>
      <c r="L40" s="539">
        <f t="shared" si="137"/>
        <v>-0.2370019322144464</v>
      </c>
      <c r="M40" s="537">
        <f>VLOOKUP($A40,[1]!LandfillTypicalK4,M$7,FALSE)</f>
        <v>0.7292880804478501</v>
      </c>
      <c r="N40" s="538">
        <f>VLOOKUP($A40,[1]!LandfillTypicalK4,N$7,FALSE)</f>
        <v>0.33885096073830895</v>
      </c>
      <c r="O40" s="538">
        <f>VLOOKUP($A40,[1]!LandfillTypicalK4,O$7,FALSE)</f>
        <v>0.27971900080922102</v>
      </c>
      <c r="P40" s="539">
        <f>VLOOKUP($A40,[1]!LandfillTypicalK4,P$7,FALSE)</f>
        <v>0.32548241165249708</v>
      </c>
      <c r="Q40" s="540">
        <f>-1*VLOOKUP($A40,[1]Landfilling!$N$27:$R$41,5,FALSE)</f>
        <v>-0.53546654877228339</v>
      </c>
      <c r="R40" s="541">
        <f>VLOOKUP($A40,'[1]Post-Consumer Transport'!$C$33:$K$88,3,FALSE)+VLOOKUP($A40,'[1]Post-Consumer Transport'!$C$33:$K$88,4,FALSE)</f>
        <v>2.0254519141196047E-2</v>
      </c>
      <c r="S40" s="542">
        <f t="shared" si="95"/>
        <v>0.21407605081676276</v>
      </c>
      <c r="T40" s="538">
        <f t="shared" si="20"/>
        <v>-0.17636106889277839</v>
      </c>
      <c r="U40" s="538">
        <f t="shared" si="21"/>
        <v>-0.23549302882186632</v>
      </c>
      <c r="V40" s="539">
        <f t="shared" si="22"/>
        <v>-0.18972961797859025</v>
      </c>
      <c r="W40" s="537">
        <f>VLOOKUP($A40,[1]!LandfillTypicalK6,W$7,FALSE)</f>
        <v>0.7292880804478501</v>
      </c>
      <c r="X40" s="538">
        <f>VLOOKUP($A40,[1]!LandfillTypicalK6,X$7,FALSE)</f>
        <v>0.35588269178083498</v>
      </c>
      <c r="Y40" s="538">
        <f>VLOOKUP($A40,[1]!LandfillTypicalK6,Y$7,FALSE)</f>
        <v>0.31413107972774057</v>
      </c>
      <c r="Z40" s="539">
        <f>VLOOKUP($A40,[1]!LandfillTypicalK6,Z$7,FALSE)</f>
        <v>0.35427434272863212</v>
      </c>
      <c r="AA40" s="540">
        <f>-1*VLOOKUP($A40,[1]Landfilling!$N$27:$R$41,5,FALSE)</f>
        <v>-0.53546654877228339</v>
      </c>
      <c r="AB40" s="541">
        <f>VLOOKUP($A40,'[1]Post-Consumer Transport'!$C$33:$K$88,3,FALSE)+VLOOKUP($A40,'[1]Post-Consumer Transport'!$C$33:$K$88,4,FALSE)</f>
        <v>2.0254519141196047E-2</v>
      </c>
      <c r="AC40" s="542">
        <f t="shared" si="96"/>
        <v>0.21407605081676276</v>
      </c>
      <c r="AD40" s="538">
        <f t="shared" si="24"/>
        <v>-0.15932933785025236</v>
      </c>
      <c r="AE40" s="538">
        <f t="shared" si="25"/>
        <v>-0.20108094990334677</v>
      </c>
      <c r="AF40" s="539">
        <f t="shared" si="26"/>
        <v>-0.16093768690245522</v>
      </c>
      <c r="AG40" s="537">
        <f>VLOOKUP($A40,[1]!LandfillTypicalK12,AG$7,FALSE)</f>
        <v>0.7292880804478501</v>
      </c>
      <c r="AH40" s="538">
        <f>VLOOKUP($A40,[1]!LandfillTypicalK12,AH$7,FALSE)</f>
        <v>0.39273889797449135</v>
      </c>
      <c r="AI40" s="538">
        <f>VLOOKUP($A40,[1]!LandfillTypicalK12,AI$7,FALSE)</f>
        <v>0.36805689248013385</v>
      </c>
      <c r="AJ40" s="539">
        <f>VLOOKUP($A40,[1]!LandfillTypicalK12,AJ$7,FALSE)</f>
        <v>0.40086945779841854</v>
      </c>
      <c r="AK40" s="540">
        <f>-1*VLOOKUP($A40,[1]Landfilling!$N$27:$R$41,5,FALSE)</f>
        <v>-0.53546654877228339</v>
      </c>
      <c r="AL40" s="541">
        <f>VLOOKUP($A40,'[1]Post-Consumer Transport'!$C$33:$K$88,3,FALSE)+VLOOKUP($A40,'[1]Post-Consumer Transport'!$C$33:$K$88,4,FALSE)</f>
        <v>2.0254519141196047E-2</v>
      </c>
      <c r="AM40" s="542">
        <f t="shared" si="97"/>
        <v>0.21407605081676276</v>
      </c>
      <c r="AN40" s="538">
        <f t="shared" si="28"/>
        <v>-0.12247313165659598</v>
      </c>
      <c r="AO40" s="538">
        <f t="shared" si="29"/>
        <v>-0.14715513715095349</v>
      </c>
      <c r="AP40" s="539">
        <f t="shared" si="30"/>
        <v>-0.1143425718326688</v>
      </c>
      <c r="AQ40" s="537">
        <f>VLOOKUP($A40,[1]!LandfillTypicalNatlAverage,AQ$7,FALSE)</f>
        <v>0.7292880804478501</v>
      </c>
      <c r="AR40" s="538">
        <f>VLOOKUP($A40,[1]!LandfillTypicalNatlAverage,AR$7,FALSE)</f>
        <v>0.34853274902267434</v>
      </c>
      <c r="AS40" s="538">
        <f>VLOOKUP($A40,[1]!LandfillTypicalNatlAverage,AS$7,FALSE)</f>
        <v>0.2910917723996797</v>
      </c>
      <c r="AT40" s="539">
        <f>VLOOKUP($A40,[1]!LandfillTypicalNatlAverage,AT$7,FALSE)</f>
        <v>0.3354001370922095</v>
      </c>
      <c r="AU40" s="540">
        <f>-1*VLOOKUP($A40,[1]Landfilling!$N$27:$R$41,5,FALSE)</f>
        <v>-0.53546654877228339</v>
      </c>
      <c r="AV40" s="541">
        <f>VLOOKUP($A40,'[1]Post-Consumer Transport'!$C$33:$K$88,3,FALSE)+VLOOKUP($A40,'[1]Post-Consumer Transport'!$C$33:$K$88,4,FALSE)</f>
        <v>2.0254519141196047E-2</v>
      </c>
      <c r="AW40" s="542">
        <f t="shared" si="98"/>
        <v>0.21407605081676276</v>
      </c>
      <c r="AX40" s="538">
        <f t="shared" si="32"/>
        <v>-0.166679280608413</v>
      </c>
      <c r="AY40" s="538">
        <f t="shared" si="33"/>
        <v>-0.22412025723140763</v>
      </c>
      <c r="AZ40" s="539">
        <f t="shared" si="34"/>
        <v>-0.17981189253887783</v>
      </c>
      <c r="BB40" s="537">
        <f>VLOOKUP($A40,[1]!LandfillAggressiveK2,BB$7,FALSE)</f>
        <v>0.7292880804478501</v>
      </c>
      <c r="BC40" s="538">
        <f>VLOOKUP($A40,[1]!LandfillAggressiveK2,BC$7,FALSE)</f>
        <v>0.30791730198461104</v>
      </c>
      <c r="BD40" s="538">
        <f>VLOOKUP($A40,[1]!LandfillAggressiveK2,BD$7,FALSE)</f>
        <v>0.204248396302038</v>
      </c>
      <c r="BE40" s="539">
        <f>VLOOKUP($A40,[1]!LandfillAggressiveK2,BE$7,FALSE)</f>
        <v>0.26229236776484965</v>
      </c>
      <c r="BF40" s="540">
        <f>-1*VLOOKUP($A40,[1]Landfilling!$N$27:$R$41,5,FALSE)</f>
        <v>-0.53546654877228339</v>
      </c>
      <c r="BG40" s="541">
        <f>VLOOKUP($A40,'[1]Post-Consumer Transport'!$C$33:$K$88,3,FALSE)+VLOOKUP($A40,'[1]Post-Consumer Transport'!$C$33:$K$88,4,FALSE)</f>
        <v>2.0254519141196047E-2</v>
      </c>
      <c r="BH40" s="542">
        <f t="shared" si="99"/>
        <v>0.21407605081676276</v>
      </c>
      <c r="BI40" s="538">
        <f t="shared" si="36"/>
        <v>-0.2072947276464763</v>
      </c>
      <c r="BJ40" s="538">
        <f t="shared" si="37"/>
        <v>-0.31096363332904936</v>
      </c>
      <c r="BK40" s="539">
        <f t="shared" si="38"/>
        <v>-0.25291966186623771</v>
      </c>
      <c r="BL40" s="881">
        <f>VLOOKUP($A40,[1]!LandfillAggressiveK4,BL$7,FALSE)</f>
        <v>0.7292880804478501</v>
      </c>
      <c r="BM40" s="882">
        <f>VLOOKUP($A40,[1]!LandfillAggressiveK4,BM$7,FALSE)</f>
        <v>0.30950702092312443</v>
      </c>
      <c r="BN40" s="882">
        <f>VLOOKUP($A40,[1]!LandfillAggressiveK4,BN$7,FALSE)</f>
        <v>0.25194721818865479</v>
      </c>
      <c r="BO40" s="883">
        <f>VLOOKUP($A40,[1]!LandfillAggressiveK4,BO$7,FALSE)</f>
        <v>0.29958071166358297</v>
      </c>
      <c r="BP40" s="884">
        <f>-1*VLOOKUP($A40,[1]Landfilling!$N$27:$R$41,5,FALSE)</f>
        <v>-0.53546654877228339</v>
      </c>
      <c r="BQ40" s="885">
        <f>VLOOKUP($A40,'[1]Post-Consumer Transport'!$C$33:$K$88,3,FALSE)+VLOOKUP($A40,'[1]Post-Consumer Transport'!$C$33:$K$88,4,FALSE)</f>
        <v>2.0254519141196047E-2</v>
      </c>
      <c r="BR40" s="886">
        <f t="shared" si="100"/>
        <v>0.21407605081676276</v>
      </c>
      <c r="BS40" s="882">
        <f t="shared" si="40"/>
        <v>-0.20570500870796291</v>
      </c>
      <c r="BT40" s="882">
        <f t="shared" si="41"/>
        <v>-0.26326481144243258</v>
      </c>
      <c r="BU40" s="883">
        <f t="shared" si="42"/>
        <v>-0.21563131796750437</v>
      </c>
      <c r="BV40" s="537">
        <f>VLOOKUP($A40,[1]!LandfillAggressiveK6,BV$7,FALSE)</f>
        <v>0.7292880804478501</v>
      </c>
      <c r="BW40" s="538">
        <f>VLOOKUP($A40,[1]!LandfillAggressiveK6,BW$7,FALSE)</f>
        <v>0.32414977689058183</v>
      </c>
      <c r="BX40" s="538">
        <f>VLOOKUP($A40,[1]!LandfillAggressiveK6,BX$7,FALSE)</f>
        <v>0.2802965026880998</v>
      </c>
      <c r="BY40" s="539">
        <f>VLOOKUP($A40,[1]!LandfillAggressiveK6,BY$7,FALSE)</f>
        <v>0.32290428045764563</v>
      </c>
      <c r="BZ40" s="540">
        <f>-1*VLOOKUP($A40,[1]Landfilling!$N$27:$R$41,5,FALSE)</f>
        <v>-0.53546654877228339</v>
      </c>
      <c r="CA40" s="541">
        <f>VLOOKUP($A40,'[1]Post-Consumer Transport'!$C$33:$K$88,3,FALSE)+VLOOKUP($A40,'[1]Post-Consumer Transport'!$C$33:$K$88,4,FALSE)</f>
        <v>2.0254519141196047E-2</v>
      </c>
      <c r="CB40" s="542">
        <f t="shared" si="101"/>
        <v>0.21407605081676276</v>
      </c>
      <c r="CC40" s="538">
        <f t="shared" si="44"/>
        <v>-0.19106225274050551</v>
      </c>
      <c r="CD40" s="538">
        <f t="shared" si="45"/>
        <v>-0.23491552694298753</v>
      </c>
      <c r="CE40" s="539">
        <f t="shared" si="46"/>
        <v>-0.19230774917344171</v>
      </c>
      <c r="CF40" s="537">
        <f>VLOOKUP($A40,[1]!LandfillAggressiveK12,CF$7,FALSE)</f>
        <v>0.7292880804478501</v>
      </c>
      <c r="CG40" s="538">
        <f>VLOOKUP($A40,[1]!LandfillAggressiveK12,CG$7,FALSE)</f>
        <v>0.35693238535326421</v>
      </c>
      <c r="CH40" s="538">
        <f>VLOOKUP($A40,[1]!LandfillAggressiveK12,CH$7,FALSE)</f>
        <v>0.33021388145580471</v>
      </c>
      <c r="CI40" s="539">
        <f>VLOOKUP($A40,[1]!LandfillAggressiveK12,CI$7,FALSE)</f>
        <v>0.36583454429434936</v>
      </c>
      <c r="CJ40" s="540">
        <f>-1*VLOOKUP($A40,[1]Landfilling!$N$27:$R$41,5,FALSE)</f>
        <v>-0.53546654877228339</v>
      </c>
      <c r="CK40" s="541">
        <f>VLOOKUP($A40,'[1]Post-Consumer Transport'!$C$33:$K$88,3,FALSE)+VLOOKUP($A40,'[1]Post-Consumer Transport'!$C$33:$K$88,4,FALSE)</f>
        <v>2.0254519141196047E-2</v>
      </c>
      <c r="CL40" s="542">
        <f t="shared" si="102"/>
        <v>0.21407605081676276</v>
      </c>
      <c r="CM40" s="538">
        <f t="shared" si="48"/>
        <v>-0.15827964427782312</v>
      </c>
      <c r="CN40" s="538">
        <f t="shared" si="49"/>
        <v>-0.18499814817528262</v>
      </c>
      <c r="CO40" s="539">
        <f t="shared" si="50"/>
        <v>-0.14937748533673798</v>
      </c>
      <c r="CP40" s="537">
        <f>VLOOKUP($A40,[1]!LandfillAggressiveNatlAverage,CP$7,FALSE)</f>
        <v>0.7292880804478501</v>
      </c>
      <c r="CQ40" s="538">
        <f>VLOOKUP($A40,[1]!LandfillAggressiveNatlAverage,CQ$7,FALSE)</f>
        <v>0.31994978628106074</v>
      </c>
      <c r="CR40" s="538">
        <f>VLOOKUP($A40,[1]!LandfillAggressiveNatlAverage,CR$7,FALSE)</f>
        <v>0.26188567606731827</v>
      </c>
      <c r="CS40" s="539">
        <f>VLOOKUP($A40,[1]!LandfillAggressiveNatlAverage,CS$7,FALSE)</f>
        <v>0.30833441292127267</v>
      </c>
      <c r="CT40" s="540">
        <f>-1*VLOOKUP($A40,[1]Landfilling!$N$27:$R$41,5,FALSE)</f>
        <v>-0.53546654877228339</v>
      </c>
      <c r="CU40" s="541">
        <f>VLOOKUP($A40,'[1]Post-Consumer Transport'!$C$33:$K$88,3,FALSE)+VLOOKUP($A40,'[1]Post-Consumer Transport'!$C$33:$K$88,4,FALSE)</f>
        <v>2.0254519141196047E-2</v>
      </c>
      <c r="CV40" s="542">
        <f t="shared" si="103"/>
        <v>0.21407605081676276</v>
      </c>
      <c r="CW40" s="538">
        <f t="shared" si="52"/>
        <v>-0.19526224335002659</v>
      </c>
      <c r="CX40" s="538">
        <f t="shared" si="53"/>
        <v>-0.25332635356376909</v>
      </c>
      <c r="CY40" s="539">
        <f t="shared" si="54"/>
        <v>-0.20687761670981467</v>
      </c>
      <c r="DA40" s="537">
        <f>VLOOKUP($A40,[1]!LandfillWorstK2,DA$7,FALSE)</f>
        <v>0.7292880804478501</v>
      </c>
      <c r="DB40" s="538">
        <f>VLOOKUP($A40,[1]!LandfillWorstK2,DB$7,FALSE)</f>
        <v>0.39142472650105231</v>
      </c>
      <c r="DC40" s="538">
        <f>VLOOKUP($A40,[1]!LandfillWorstK2,DC$7,FALSE)</f>
        <v>0.2890445981056281</v>
      </c>
      <c r="DD40" s="539">
        <f>VLOOKUP($A40,[1]!LandfillWorstK2,DD$7,FALSE)</f>
        <v>0.33934909316713524</v>
      </c>
      <c r="DE40" s="540">
        <f>-1*VLOOKUP($A40,[1]Landfilling!$N$27:$R$41,5,FALSE)</f>
        <v>-0.53546654877228339</v>
      </c>
      <c r="DF40" s="541">
        <f>VLOOKUP($A40,'[1]Post-Consumer Transport'!$C$33:$K$88,3,FALSE)+VLOOKUP($A40,'[1]Post-Consumer Transport'!$C$33:$K$88,4,FALSE)</f>
        <v>2.0254519141196047E-2</v>
      </c>
      <c r="DG40" s="542">
        <f t="shared" si="104"/>
        <v>0.21407605081676276</v>
      </c>
      <c r="DH40" s="538">
        <f t="shared" si="56"/>
        <v>-0.12378730313003503</v>
      </c>
      <c r="DI40" s="538">
        <f t="shared" si="57"/>
        <v>-0.22616743152545923</v>
      </c>
      <c r="DJ40" s="539">
        <f t="shared" si="58"/>
        <v>-0.1758629364639521</v>
      </c>
      <c r="DK40" s="537">
        <f>VLOOKUP($A40,[1]!LandfillWorstK4,DK$7,FALSE)</f>
        <v>0.7292880804478501</v>
      </c>
      <c r="DL40" s="538">
        <f>VLOOKUP($A40,[1]!LandfillWorstK4,DL$7,FALSE)</f>
        <v>0.44475547528962273</v>
      </c>
      <c r="DM40" s="538">
        <f>VLOOKUP($A40,[1]!LandfillWorstK4,DM$7,FALSE)</f>
        <v>0.38750220849007416</v>
      </c>
      <c r="DN40" s="539">
        <f>VLOOKUP($A40,[1]!LandfillWorstK4,DN$7,FALSE)</f>
        <v>0.42351302950507297</v>
      </c>
      <c r="DO40" s="540">
        <f>-1*VLOOKUP($A40,[1]Landfilling!$N$27:$R$41,5,FALSE)</f>
        <v>-0.53546654877228339</v>
      </c>
      <c r="DP40" s="541">
        <f>VLOOKUP($A40,'[1]Post-Consumer Transport'!$C$33:$K$88,3,FALSE)+VLOOKUP($A40,'[1]Post-Consumer Transport'!$C$33:$K$88,4,FALSE)</f>
        <v>2.0254519141196047E-2</v>
      </c>
      <c r="DQ40" s="542">
        <f t="shared" si="105"/>
        <v>0.21407605081676276</v>
      </c>
      <c r="DR40" s="538">
        <f t="shared" si="60"/>
        <v>-7.0456554341464611E-2</v>
      </c>
      <c r="DS40" s="538">
        <f t="shared" si="61"/>
        <v>-0.12770982114101317</v>
      </c>
      <c r="DT40" s="539">
        <f t="shared" si="62"/>
        <v>-9.1699000126014368E-2</v>
      </c>
      <c r="DU40" s="537">
        <f>VLOOKUP($A40,[1]!LandfillWorstK6,DU$7,FALSE)</f>
        <v>0.7292880804478501</v>
      </c>
      <c r="DV40" s="538">
        <f>VLOOKUP($A40,[1]!LandfillWorstK6,DV$7,FALSE)</f>
        <v>0.48965840157549551</v>
      </c>
      <c r="DW40" s="538">
        <f>VLOOKUP($A40,[1]!LandfillWorstK6,DW$7,FALSE)</f>
        <v>0.44713566154603623</v>
      </c>
      <c r="DX40" s="539">
        <f>VLOOKUP($A40,[1]!LandfillWorstK6,DX$7,FALSE)</f>
        <v>0.47579693483549801</v>
      </c>
      <c r="DY40" s="540">
        <f>-1*VLOOKUP($A40,[1]Landfilling!$N$27:$R$41,5,FALSE)</f>
        <v>-0.53546654877228339</v>
      </c>
      <c r="DZ40" s="541">
        <f>VLOOKUP($A40,'[1]Post-Consumer Transport'!$C$33:$K$88,3,FALSE)+VLOOKUP($A40,'[1]Post-Consumer Transport'!$C$33:$K$88,4,FALSE)</f>
        <v>2.0254519141196047E-2</v>
      </c>
      <c r="EA40" s="542">
        <f t="shared" si="106"/>
        <v>0.21407605081676276</v>
      </c>
      <c r="EB40" s="538">
        <f t="shared" si="64"/>
        <v>-2.5553628055591839E-2</v>
      </c>
      <c r="EC40" s="538">
        <f t="shared" si="65"/>
        <v>-6.8076368085051103E-2</v>
      </c>
      <c r="ED40" s="539">
        <f t="shared" si="66"/>
        <v>-3.9415094795589335E-2</v>
      </c>
      <c r="EE40" s="537">
        <f>VLOOKUP($A40,[1]!LandfillWorstK12,EE$7,FALSE)</f>
        <v>0.7292880804478501</v>
      </c>
      <c r="EF40" s="538">
        <f>VLOOKUP($A40,[1]!LandfillWorstK12,EF$7,FALSE)</f>
        <v>0.56177408391082051</v>
      </c>
      <c r="EG40" s="538">
        <f>VLOOKUP($A40,[1]!LandfillWorstK12,EG$7,FALSE)</f>
        <v>0.53755921254975014</v>
      </c>
      <c r="EH40" s="539">
        <f>VLOOKUP($A40,[1]!LandfillWorstK12,EH$7,FALSE)</f>
        <v>0.55613880977148156</v>
      </c>
      <c r="EI40" s="540">
        <f>-1*VLOOKUP($A40,[1]Landfilling!$N$27:$R$41,5,FALSE)</f>
        <v>-0.53546654877228339</v>
      </c>
      <c r="EJ40" s="541">
        <f>VLOOKUP($A40,'[1]Post-Consumer Transport'!$C$33:$K$88,3,FALSE)+VLOOKUP($A40,'[1]Post-Consumer Transport'!$C$33:$K$88,4,FALSE)</f>
        <v>2.0254519141196047E-2</v>
      </c>
      <c r="EK40" s="542">
        <f t="shared" si="107"/>
        <v>0.21407605081676276</v>
      </c>
      <c r="EL40" s="538">
        <f t="shared" si="68"/>
        <v>4.6562054279733166E-2</v>
      </c>
      <c r="EM40" s="538">
        <f t="shared" si="69"/>
        <v>2.2347182918662799E-2</v>
      </c>
      <c r="EN40" s="539">
        <f t="shared" si="70"/>
        <v>4.0926780140394213E-2</v>
      </c>
      <c r="EO40" s="537">
        <f>VLOOKUP($A40,[1]!LandfillWorstNatlAverage,EO$7,FALSE)</f>
        <v>0.7292880804478501</v>
      </c>
      <c r="EP40" s="538">
        <f>VLOOKUP($A40,[1]!LandfillWorstNatlAverage,EP$7,FALSE)</f>
        <v>0.46424628909752214</v>
      </c>
      <c r="EQ40" s="538">
        <f>VLOOKUP($A40,[1]!LandfillWorstNatlAverage,EQ$7,FALSE)</f>
        <v>0.40732573602515293</v>
      </c>
      <c r="ER40" s="539">
        <f>VLOOKUP($A40,[1]!LandfillWorstNatlAverage,ER$7,FALSE)</f>
        <v>0.44143150535493098</v>
      </c>
      <c r="ES40" s="540">
        <f>-1*VLOOKUP($A40,[1]Landfilling!$N$27:$R$41,5,FALSE)</f>
        <v>-0.53546654877228339</v>
      </c>
      <c r="ET40" s="541">
        <f>VLOOKUP($A40,'[1]Post-Consumer Transport'!$C$33:$K$88,3,FALSE)+VLOOKUP($A40,'[1]Post-Consumer Transport'!$C$33:$K$88,4,FALSE)</f>
        <v>2.0254519141196047E-2</v>
      </c>
      <c r="EU40" s="542">
        <f t="shared" si="108"/>
        <v>0.21407605081676276</v>
      </c>
      <c r="EV40" s="538">
        <f t="shared" si="72"/>
        <v>-5.0965740533565208E-2</v>
      </c>
      <c r="EW40" s="538">
        <f t="shared" si="73"/>
        <v>-0.10788629360593441</v>
      </c>
      <c r="EX40" s="539">
        <f t="shared" si="74"/>
        <v>-7.3780524276156362E-2</v>
      </c>
      <c r="EZ40" s="537">
        <f>VLOOKUP($A40,[1]!LandfillCaliK2,EZ$7,FALSE)</f>
        <v>0.7292880804478501</v>
      </c>
      <c r="FA40" s="538">
        <f>VLOOKUP($A40,[1]!LandfillCaliK2,FA$7,FALSE)</f>
        <v>0.17803411930460195</v>
      </c>
      <c r="FB40" s="538">
        <f>VLOOKUP($A40,[1]!LandfillCaliK2,FB$7,FALSE)</f>
        <v>0.15028781327188334</v>
      </c>
      <c r="FC40" s="539">
        <f>VLOOKUP($A40,[1]!LandfillCaliK2,FC$7,FALSE)</f>
        <v>0.20281410725943594</v>
      </c>
      <c r="FD40" s="540">
        <f>-1*VLOOKUP($A40,[1]Landfilling!$N$27:$R$41,5,FALSE)</f>
        <v>-0.53546654877228339</v>
      </c>
      <c r="FE40" s="541">
        <f>VLOOKUP($A40,'[1]Post-Consumer Transport'!$C$33:$K$88,3,FALSE)+VLOOKUP($A40,'[1]Post-Consumer Transport'!$C$33:$K$88,4,FALSE)</f>
        <v>2.0254519141196047E-2</v>
      </c>
      <c r="FF40" s="542">
        <f t="shared" si="109"/>
        <v>0.21407605081676276</v>
      </c>
      <c r="FG40" s="538">
        <f t="shared" si="76"/>
        <v>-0.33717791032648542</v>
      </c>
      <c r="FH40" s="538">
        <f t="shared" si="77"/>
        <v>-0.36492421635920402</v>
      </c>
      <c r="FI40" s="539">
        <f t="shared" si="78"/>
        <v>-0.31239792237165143</v>
      </c>
      <c r="FJ40" s="537">
        <f>VLOOKUP($A40,[1]!LandfillCaliK4,FJ$7,FALSE)</f>
        <v>0.7292880804478501</v>
      </c>
      <c r="FK40" s="538">
        <f>VLOOKUP($A40,[1]!LandfillCaliK4,FK$7,FALSE)</f>
        <v>0.2118178743457316</v>
      </c>
      <c r="FL40" s="538">
        <f>VLOOKUP($A40,[1]!LandfillCaliK4,FL$7,FALSE)</f>
        <v>0.20415711674051146</v>
      </c>
      <c r="FM40" s="539">
        <f>VLOOKUP($A40,[1]!LandfillCaliK4,FM$7,FALSE)</f>
        <v>0.24982396870292958</v>
      </c>
      <c r="FN40" s="540">
        <f>-1*VLOOKUP($A40,[1]Landfilling!$N$27:$R$41,5,FALSE)</f>
        <v>-0.53546654877228339</v>
      </c>
      <c r="FO40" s="541">
        <f>VLOOKUP($A40,'[1]Post-Consumer Transport'!$C$33:$K$88,3,FALSE)+VLOOKUP($A40,'[1]Post-Consumer Transport'!$C$33:$K$88,4,FALSE)</f>
        <v>2.0254519141196047E-2</v>
      </c>
      <c r="FP40" s="542">
        <f t="shared" si="110"/>
        <v>0.21407605081676276</v>
      </c>
      <c r="FQ40" s="538">
        <f t="shared" si="80"/>
        <v>-0.30339415528535574</v>
      </c>
      <c r="FR40" s="538">
        <f t="shared" si="81"/>
        <v>-0.31105491289057591</v>
      </c>
      <c r="FS40" s="539">
        <f t="shared" si="82"/>
        <v>-0.26538806092815781</v>
      </c>
      <c r="FT40" s="537">
        <f>VLOOKUP($A40,[1]!LandfillCaliK6,FT$7,FALSE)</f>
        <v>0.7292880804478501</v>
      </c>
      <c r="FU40" s="538">
        <f>VLOOKUP($A40,[1]!LandfillCaliK6,FU$7,FALSE)</f>
        <v>0.24962529137949527</v>
      </c>
      <c r="FV40" s="538">
        <f>VLOOKUP($A40,[1]!LandfillCaliK6,FV$7,FALSE)</f>
        <v>0.2438307739736903</v>
      </c>
      <c r="FW40" s="539">
        <f>VLOOKUP($A40,[1]!LandfillCaliK6,FW$7,FALSE)</f>
        <v>0.28476169550881852</v>
      </c>
      <c r="FX40" s="540">
        <f>-1*VLOOKUP($A40,[1]Landfilling!$N$27:$R$41,5,FALSE)</f>
        <v>-0.53546654877228339</v>
      </c>
      <c r="FY40" s="541">
        <f>VLOOKUP($A40,'[1]Post-Consumer Transport'!$C$33:$K$88,3,FALSE)+VLOOKUP($A40,'[1]Post-Consumer Transport'!$C$33:$K$88,4,FALSE)</f>
        <v>2.0254519141196047E-2</v>
      </c>
      <c r="FZ40" s="542">
        <f t="shared" si="111"/>
        <v>0.21407605081676276</v>
      </c>
      <c r="GA40" s="538">
        <f t="shared" si="84"/>
        <v>-0.26558673825159207</v>
      </c>
      <c r="GB40" s="538">
        <f t="shared" si="85"/>
        <v>-0.27138125565739707</v>
      </c>
      <c r="GC40" s="539">
        <f t="shared" si="86"/>
        <v>-0.23045033412226881</v>
      </c>
      <c r="GD40" s="537">
        <f>VLOOKUP($A40,[1]!LandfillCaliK12,GD$7,FALSE)</f>
        <v>0.7292880804478501</v>
      </c>
      <c r="GE40" s="538">
        <f>VLOOKUP($A40,[1]!LandfillCaliK12,GE$7,FALSE)</f>
        <v>0.31975158722510644</v>
      </c>
      <c r="GF40" s="538">
        <f>VLOOKUP($A40,[1]!LandfillCaliK12,GF$7,FALSE)</f>
        <v>0.31645224574185854</v>
      </c>
      <c r="GG40" s="539">
        <f>VLOOKUP($A40,[1]!LandfillCaliK12,GG$7,FALSE)</f>
        <v>0.35037942851216775</v>
      </c>
      <c r="GH40" s="540">
        <f>-1*VLOOKUP($A40,[1]Landfilling!$N$27:$R$41,5,FALSE)</f>
        <v>-0.53546654877228339</v>
      </c>
      <c r="GI40" s="541">
        <f>VLOOKUP($A40,'[1]Post-Consumer Transport'!$C$33:$K$88,3,FALSE)+VLOOKUP($A40,'[1]Post-Consumer Transport'!$C$33:$K$88,4,FALSE)</f>
        <v>2.0254519141196047E-2</v>
      </c>
      <c r="GJ40" s="542">
        <f t="shared" si="112"/>
        <v>0.21407605081676276</v>
      </c>
      <c r="GK40" s="538">
        <f t="shared" si="88"/>
        <v>-0.1954604424059809</v>
      </c>
      <c r="GL40" s="538">
        <f t="shared" si="89"/>
        <v>-0.1987597838892288</v>
      </c>
      <c r="GM40" s="539">
        <f t="shared" si="90"/>
        <v>-0.16483260111891959</v>
      </c>
      <c r="GN40" s="537">
        <f>VLOOKUP($A40,[1]!LandfillCaliNatlAverage,GN$7,FALSE)</f>
        <v>0.7292880804478501</v>
      </c>
      <c r="GO40" s="538">
        <f>VLOOKUP($A40,[1]!LandfillCaliNatlAverage,GO$7,FALSE)</f>
        <v>0.23139334302632009</v>
      </c>
      <c r="GP40" s="538">
        <f>VLOOKUP($A40,[1]!LandfillCaliNatlAverage,GP$7,FALSE)</f>
        <v>0.22091864206975703</v>
      </c>
      <c r="GQ40" s="539">
        <f>VLOOKUP($A40,[1]!LandfillCaliNatlAverage,GQ$7,FALSE)</f>
        <v>0.26483694811237501</v>
      </c>
      <c r="GR40" s="540">
        <f>-1*VLOOKUP($A40,[1]Landfilling!$N$27:$R$41,5,FALSE)</f>
        <v>-0.53546654877228339</v>
      </c>
      <c r="GS40" s="541">
        <f>VLOOKUP($A40,'[1]Post-Consumer Transport'!$C$33:$K$88,3,FALSE)+VLOOKUP($A40,'[1]Post-Consumer Transport'!$C$33:$K$88,4,FALSE)</f>
        <v>2.0254519141196047E-2</v>
      </c>
      <c r="GT40" s="542">
        <f t="shared" si="113"/>
        <v>0.21407605081676276</v>
      </c>
      <c r="GU40" s="538">
        <f t="shared" si="92"/>
        <v>-0.28381868660476728</v>
      </c>
      <c r="GV40" s="538">
        <f t="shared" si="93"/>
        <v>-0.29429338756133033</v>
      </c>
      <c r="GW40" s="539">
        <f t="shared" si="94"/>
        <v>-0.25037508151871235</v>
      </c>
    </row>
    <row r="41" spans="1:205" x14ac:dyDescent="0.25">
      <c r="A41" s="494" t="str">
        <f t="shared" si="16"/>
        <v>Grass</v>
      </c>
      <c r="B41" s="536" t="s">
        <v>521</v>
      </c>
      <c r="C41" s="537">
        <f>VLOOKUP($A41,[1]!LandfillTypicalK2,C$7,FALSE)</f>
        <v>0.51192434878200022</v>
      </c>
      <c r="D41" s="538">
        <f>VLOOKUP($A41,[1]!LandfillTypicalK2,D$7,FALSE)</f>
        <v>0.2148074104675084</v>
      </c>
      <c r="E41" s="538">
        <f>VLOOKUP($A41,[1]!LandfillTypicalK2,E$7,FALSE)</f>
        <v>0.17073306254507428</v>
      </c>
      <c r="F41" s="621">
        <f>VLOOKUP($A41,[1]!LandfillTypicalK2,F$7,FALSE)</f>
        <v>0.20650269737622221</v>
      </c>
      <c r="G41" s="540">
        <f>-1*VLOOKUP($A41,[1]Landfilling!$N$27:$R$41,5,FALSE)</f>
        <v>-0.14369806281600003</v>
      </c>
      <c r="H41" s="541">
        <f>VLOOKUP($A41,'[1]Post-Consumer Transport'!$C$33:$K$88,3,FALSE)+VLOOKUP($A41,'[1]Post-Consumer Transport'!$C$33:$K$88,4,FALSE)</f>
        <v>2.0254519141196047E-2</v>
      </c>
      <c r="I41" s="542">
        <f t="shared" si="134"/>
        <v>0.38848080510719618</v>
      </c>
      <c r="J41" s="538">
        <f t="shared" si="135"/>
        <v>9.1363866792704418E-2</v>
      </c>
      <c r="K41" s="538">
        <f t="shared" si="136"/>
        <v>4.7289518870270296E-2</v>
      </c>
      <c r="L41" s="539">
        <f t="shared" si="137"/>
        <v>8.3059153701418226E-2</v>
      </c>
      <c r="M41" s="537">
        <f>VLOOKUP($A41,[1]!LandfillTypicalK4,M$7,FALSE)</f>
        <v>0.51192434878200022</v>
      </c>
      <c r="N41" s="538">
        <f>VLOOKUP($A41,[1]!LandfillTypicalK4,N$7,FALSE)</f>
        <v>0.23783280395691178</v>
      </c>
      <c r="O41" s="538">
        <f>VLOOKUP($A41,[1]!LandfillTypicalK4,O$7,FALSE)</f>
        <v>0.21692135891450343</v>
      </c>
      <c r="P41" s="539">
        <f>VLOOKUP($A41,[1]!LandfillTypicalK4,P$7,FALSE)</f>
        <v>0.24527997653113706</v>
      </c>
      <c r="Q41" s="540">
        <f>-1*VLOOKUP($A41,[1]Landfilling!$N$27:$R$41,5,FALSE)</f>
        <v>-0.14369806281600003</v>
      </c>
      <c r="R41" s="541">
        <f>VLOOKUP($A41,'[1]Post-Consumer Transport'!$C$33:$K$88,3,FALSE)+VLOOKUP($A41,'[1]Post-Consumer Transport'!$C$33:$K$88,4,FALSE)</f>
        <v>2.0254519141196047E-2</v>
      </c>
      <c r="S41" s="542">
        <f t="shared" si="95"/>
        <v>0.38848080510719618</v>
      </c>
      <c r="T41" s="538">
        <f t="shared" si="20"/>
        <v>0.1143892602821078</v>
      </c>
      <c r="U41" s="538">
        <f t="shared" si="21"/>
        <v>9.3477815239699447E-2</v>
      </c>
      <c r="V41" s="539">
        <f t="shared" si="22"/>
        <v>0.12183643285633308</v>
      </c>
      <c r="W41" s="537">
        <f>VLOOKUP($A41,[1]!LandfillTypicalK6,W$7,FALSE)</f>
        <v>0.51192434878200022</v>
      </c>
      <c r="X41" s="538">
        <f>VLOOKUP($A41,[1]!LandfillTypicalK6,X$7,FALSE)</f>
        <v>0.25911395550703542</v>
      </c>
      <c r="Y41" s="538">
        <f>VLOOKUP($A41,[1]!LandfillTypicalK6,Y$7,FALSE)</f>
        <v>0.24618933474504984</v>
      </c>
      <c r="Z41" s="539">
        <f>VLOOKUP($A41,[1]!LandfillTypicalK6,Z$7,FALSE)</f>
        <v>0.27056670629315149</v>
      </c>
      <c r="AA41" s="540">
        <f>-1*VLOOKUP($A41,[1]Landfilling!$N$27:$R$41,5,FALSE)</f>
        <v>-0.14369806281600003</v>
      </c>
      <c r="AB41" s="541">
        <f>VLOOKUP($A41,'[1]Post-Consumer Transport'!$C$33:$K$88,3,FALSE)+VLOOKUP($A41,'[1]Post-Consumer Transport'!$C$33:$K$88,4,FALSE)</f>
        <v>2.0254519141196047E-2</v>
      </c>
      <c r="AC41" s="542">
        <f t="shared" si="96"/>
        <v>0.38848080510719618</v>
      </c>
      <c r="AD41" s="538">
        <f t="shared" si="24"/>
        <v>0.13567041183223144</v>
      </c>
      <c r="AE41" s="538">
        <f t="shared" si="25"/>
        <v>0.12274579107024586</v>
      </c>
      <c r="AF41" s="539">
        <f t="shared" si="26"/>
        <v>0.14712316261834751</v>
      </c>
      <c r="AG41" s="537">
        <f>VLOOKUP($A41,[1]!LandfillTypicalK12,AG$7,FALSE)</f>
        <v>0.51192434878200022</v>
      </c>
      <c r="AH41" s="538">
        <f>VLOOKUP($A41,[1]!LandfillTypicalK12,AH$7,FALSE)</f>
        <v>0.30057671630873867</v>
      </c>
      <c r="AI41" s="538">
        <f>VLOOKUP($A41,[1]!LandfillTypicalK12,AI$7,FALSE)</f>
        <v>0.29416337864778258</v>
      </c>
      <c r="AJ41" s="539">
        <f>VLOOKUP($A41,[1]!LandfillTypicalK12,AJ$7,FALSE)</f>
        <v>0.31328281779596967</v>
      </c>
      <c r="AK41" s="540">
        <f>-1*VLOOKUP($A41,[1]Landfilling!$N$27:$R$41,5,FALSE)</f>
        <v>-0.14369806281600003</v>
      </c>
      <c r="AL41" s="541">
        <f>VLOOKUP($A41,'[1]Post-Consumer Transport'!$C$33:$K$88,3,FALSE)+VLOOKUP($A41,'[1]Post-Consumer Transport'!$C$33:$K$88,4,FALSE)</f>
        <v>2.0254519141196047E-2</v>
      </c>
      <c r="AM41" s="542">
        <f t="shared" si="97"/>
        <v>0.38848080510719618</v>
      </c>
      <c r="AN41" s="538">
        <f t="shared" si="28"/>
        <v>0.17713317263393469</v>
      </c>
      <c r="AO41" s="538">
        <f t="shared" si="29"/>
        <v>0.1707198349729786</v>
      </c>
      <c r="AP41" s="539">
        <f t="shared" si="30"/>
        <v>0.18983927412116569</v>
      </c>
      <c r="AQ41" s="537">
        <f>VLOOKUP($A41,[1]!LandfillTypicalNatlAverage,AQ$7,FALSE)</f>
        <v>0.51192434878200022</v>
      </c>
      <c r="AR41" s="538">
        <f>VLOOKUP($A41,[1]!LandfillTypicalNatlAverage,AR$7,FALSE)</f>
        <v>0.24824866978131463</v>
      </c>
      <c r="AS41" s="538">
        <f>VLOOKUP($A41,[1]!LandfillTypicalNatlAverage,AS$7,FALSE)</f>
        <v>0.22743703968030007</v>
      </c>
      <c r="AT41" s="539">
        <f>VLOOKUP($A41,[1]!LandfillTypicalNatlAverage,AT$7,FALSE)</f>
        <v>0.25471765075882524</v>
      </c>
      <c r="AU41" s="540">
        <f>-1*VLOOKUP($A41,[1]Landfilling!$N$27:$R$41,5,FALSE)</f>
        <v>-0.14369806281600003</v>
      </c>
      <c r="AV41" s="541">
        <f>VLOOKUP($A41,'[1]Post-Consumer Transport'!$C$33:$K$88,3,FALSE)+VLOOKUP($A41,'[1]Post-Consumer Transport'!$C$33:$K$88,4,FALSE)</f>
        <v>2.0254519141196047E-2</v>
      </c>
      <c r="AW41" s="542">
        <f t="shared" si="98"/>
        <v>0.38848080510719618</v>
      </c>
      <c r="AX41" s="538">
        <f t="shared" si="32"/>
        <v>0.12480512610651065</v>
      </c>
      <c r="AY41" s="538">
        <f t="shared" si="33"/>
        <v>0.10399349600549609</v>
      </c>
      <c r="AZ41" s="539">
        <f t="shared" si="34"/>
        <v>0.13127410708402126</v>
      </c>
      <c r="BB41" s="537">
        <f>VLOOKUP($A41,[1]!LandfillAggressiveK2,BB$7,FALSE)</f>
        <v>0.51192434878200022</v>
      </c>
      <c r="BC41" s="538">
        <f>VLOOKUP($A41,[1]!LandfillAggressiveK2,BC$7,FALSE)</f>
        <v>0.19728746273513448</v>
      </c>
      <c r="BD41" s="538">
        <f>VLOOKUP($A41,[1]!LandfillAggressiveK2,BD$7,FALSE)</f>
        <v>0.15227488876894277</v>
      </c>
      <c r="BE41" s="539">
        <f>VLOOKUP($A41,[1]!LandfillAggressiveK2,BE$7,FALSE)</f>
        <v>0.18974984622767921</v>
      </c>
      <c r="BF41" s="540">
        <f>-1*VLOOKUP($A41,[1]Landfilling!$N$27:$R$41,5,FALSE)</f>
        <v>-0.14369806281600003</v>
      </c>
      <c r="BG41" s="541">
        <f>VLOOKUP($A41,'[1]Post-Consumer Transport'!$C$33:$K$88,3,FALSE)+VLOOKUP($A41,'[1]Post-Consumer Transport'!$C$33:$K$88,4,FALSE)</f>
        <v>2.0254519141196047E-2</v>
      </c>
      <c r="BH41" s="542">
        <f t="shared" si="99"/>
        <v>0.38848080510719618</v>
      </c>
      <c r="BI41" s="538">
        <f t="shared" si="36"/>
        <v>7.3843919060330498E-2</v>
      </c>
      <c r="BJ41" s="538">
        <f t="shared" si="37"/>
        <v>2.8831345094138781E-2</v>
      </c>
      <c r="BK41" s="539">
        <f t="shared" si="38"/>
        <v>6.6306302552875229E-2</v>
      </c>
      <c r="BL41" s="881">
        <f>VLOOKUP($A41,[1]!LandfillAggressiveK4,BL$7,FALSE)</f>
        <v>0.51192434878200022</v>
      </c>
      <c r="BM41" s="882">
        <f>VLOOKUP($A41,[1]!LandfillAggressiveK4,BM$7,FALSE)</f>
        <v>0.20940249184403972</v>
      </c>
      <c r="BN41" s="882">
        <f>VLOOKUP($A41,[1]!LandfillAggressiveK4,BN$7,FALSE)</f>
        <v>0.18891330791164801</v>
      </c>
      <c r="BO41" s="883">
        <f>VLOOKUP($A41,[1]!LandfillAggressiveK4,BO$7,FALSE)</f>
        <v>0.21936533151296037</v>
      </c>
      <c r="BP41" s="884">
        <f>-1*VLOOKUP($A41,[1]Landfilling!$N$27:$R$41,5,FALSE)</f>
        <v>-0.14369806281600003</v>
      </c>
      <c r="BQ41" s="885">
        <f>VLOOKUP($A41,'[1]Post-Consumer Transport'!$C$33:$K$88,3,FALSE)+VLOOKUP($A41,'[1]Post-Consumer Transport'!$C$33:$K$88,4,FALSE)</f>
        <v>2.0254519141196047E-2</v>
      </c>
      <c r="BR41" s="886">
        <f t="shared" si="100"/>
        <v>0.38848080510719618</v>
      </c>
      <c r="BS41" s="882">
        <f t="shared" si="40"/>
        <v>8.5958948169235744E-2</v>
      </c>
      <c r="BT41" s="882">
        <f t="shared" si="41"/>
        <v>6.546976423684403E-2</v>
      </c>
      <c r="BU41" s="883">
        <f t="shared" si="42"/>
        <v>9.5921787838156386E-2</v>
      </c>
      <c r="BV41" s="537">
        <f>VLOOKUP($A41,[1]!LandfillAggressiveK6,BV$7,FALSE)</f>
        <v>0.51192434878200022</v>
      </c>
      <c r="BW41" s="538">
        <f>VLOOKUP($A41,[1]!LandfillAggressiveK6,BW$7,FALSE)</f>
        <v>0.22846012878600602</v>
      </c>
      <c r="BX41" s="538">
        <f>VLOOKUP($A41,[1]!LandfillAggressiveK6,BX$7,FALSE)</f>
        <v>0.21457201558197442</v>
      </c>
      <c r="BY41" s="539">
        <f>VLOOKUP($A41,[1]!LandfillAggressiveK6,BY$7,FALSE)</f>
        <v>0.24121216661931036</v>
      </c>
      <c r="BZ41" s="540">
        <f>-1*VLOOKUP($A41,[1]Landfilling!$N$27:$R$41,5,FALSE)</f>
        <v>-0.14369806281600003</v>
      </c>
      <c r="CA41" s="541">
        <f>VLOOKUP($A41,'[1]Post-Consumer Transport'!$C$33:$K$88,3,FALSE)+VLOOKUP($A41,'[1]Post-Consumer Transport'!$C$33:$K$88,4,FALSE)</f>
        <v>2.0254519141196047E-2</v>
      </c>
      <c r="CB41" s="542">
        <f t="shared" si="101"/>
        <v>0.38848080510719618</v>
      </c>
      <c r="CC41" s="538">
        <f t="shared" si="44"/>
        <v>0.10501658511120204</v>
      </c>
      <c r="CD41" s="538">
        <f t="shared" si="45"/>
        <v>9.1128471907170439E-2</v>
      </c>
      <c r="CE41" s="539">
        <f t="shared" si="46"/>
        <v>0.11776862294450638</v>
      </c>
      <c r="CF41" s="537">
        <f>VLOOKUP($A41,[1]!LandfillAggressiveK12,CF$7,FALSE)</f>
        <v>0.51192434878200022</v>
      </c>
      <c r="CG41" s="538">
        <f>VLOOKUP($A41,[1]!LandfillAggressiveK12,CG$7,FALSE)</f>
        <v>0.26856727075392001</v>
      </c>
      <c r="CH41" s="538">
        <f>VLOOKUP($A41,[1]!LandfillAggressiveK12,CH$7,FALSE)</f>
        <v>0.26151609062271558</v>
      </c>
      <c r="CI41" s="539">
        <f>VLOOKUP($A41,[1]!LandfillAggressiveK12,CI$7,FALSE)</f>
        <v>0.28301276931330294</v>
      </c>
      <c r="CJ41" s="540">
        <f>-1*VLOOKUP($A41,[1]Landfilling!$N$27:$R$41,5,FALSE)</f>
        <v>-0.14369806281600003</v>
      </c>
      <c r="CK41" s="541">
        <f>VLOOKUP($A41,'[1]Post-Consumer Transport'!$C$33:$K$88,3,FALSE)+VLOOKUP($A41,'[1]Post-Consumer Transport'!$C$33:$K$88,4,FALSE)</f>
        <v>2.0254519141196047E-2</v>
      </c>
      <c r="CL41" s="542">
        <f t="shared" si="102"/>
        <v>0.38848080510719618</v>
      </c>
      <c r="CM41" s="538">
        <f t="shared" si="48"/>
        <v>0.14512372707911603</v>
      </c>
      <c r="CN41" s="538">
        <f t="shared" si="49"/>
        <v>0.1380725469479116</v>
      </c>
      <c r="CO41" s="539">
        <f t="shared" si="50"/>
        <v>0.15956922563849896</v>
      </c>
      <c r="CP41" s="537">
        <f>VLOOKUP($A41,[1]!LandfillAggressiveNatlAverage,CP$7,FALSE)</f>
        <v>0.51192434878200022</v>
      </c>
      <c r="CQ41" s="538">
        <f>VLOOKUP($A41,[1]!LandfillAggressiveNatlAverage,CQ$7,FALSE)</f>
        <v>0.22072865269639486</v>
      </c>
      <c r="CR41" s="538">
        <f>VLOOKUP($A41,[1]!LandfillAggressiveNatlAverage,CR$7,FALSE)</f>
        <v>0.19939163120671785</v>
      </c>
      <c r="CS41" s="539">
        <f>VLOOKUP($A41,[1]!LandfillAggressiveNatlAverage,CS$7,FALSE)</f>
        <v>0.22878602746464827</v>
      </c>
      <c r="CT41" s="540">
        <f>-1*VLOOKUP($A41,[1]Landfilling!$N$27:$R$41,5,FALSE)</f>
        <v>-0.14369806281600003</v>
      </c>
      <c r="CU41" s="541">
        <f>VLOOKUP($A41,'[1]Post-Consumer Transport'!$C$33:$K$88,3,FALSE)+VLOOKUP($A41,'[1]Post-Consumer Transport'!$C$33:$K$88,4,FALSE)</f>
        <v>2.0254519141196047E-2</v>
      </c>
      <c r="CV41" s="542">
        <f t="shared" si="103"/>
        <v>0.38848080510719618</v>
      </c>
      <c r="CW41" s="538">
        <f t="shared" si="52"/>
        <v>9.7285109021590876E-2</v>
      </c>
      <c r="CX41" s="538">
        <f t="shared" si="53"/>
        <v>7.5948087531913872E-2</v>
      </c>
      <c r="CY41" s="539">
        <f t="shared" si="54"/>
        <v>0.10534248378984429</v>
      </c>
      <c r="DA41" s="537">
        <f>VLOOKUP($A41,[1]!LandfillWorstK2,DA$7,FALSE)</f>
        <v>0.51192434878200022</v>
      </c>
      <c r="DB41" s="538">
        <f>VLOOKUP($A41,[1]!LandfillWorstK2,DB$7,FALSE)</f>
        <v>0.2822359084558595</v>
      </c>
      <c r="DC41" s="538">
        <f>VLOOKUP($A41,[1]!LandfillWorstK2,DC$7,FALSE)</f>
        <v>0.24006252290624158</v>
      </c>
      <c r="DD41" s="539">
        <f>VLOOKUP($A41,[1]!LandfillWorstK2,DD$7,FALSE)</f>
        <v>0.26926768579178079</v>
      </c>
      <c r="DE41" s="540">
        <f>-1*VLOOKUP($A41,[1]Landfilling!$N$27:$R$41,5,FALSE)</f>
        <v>-0.14369806281600003</v>
      </c>
      <c r="DF41" s="541">
        <f>VLOOKUP($A41,'[1]Post-Consumer Transport'!$C$33:$K$88,3,FALSE)+VLOOKUP($A41,'[1]Post-Consumer Transport'!$C$33:$K$88,4,FALSE)</f>
        <v>2.0254519141196047E-2</v>
      </c>
      <c r="DG41" s="542">
        <f t="shared" si="104"/>
        <v>0.38848080510719618</v>
      </c>
      <c r="DH41" s="538">
        <f t="shared" si="56"/>
        <v>0.15879236478105552</v>
      </c>
      <c r="DI41" s="538">
        <f t="shared" si="57"/>
        <v>0.1166189792314376</v>
      </c>
      <c r="DJ41" s="539">
        <f t="shared" si="58"/>
        <v>0.14582414211697681</v>
      </c>
      <c r="DK41" s="537">
        <f>VLOOKUP($A41,[1]!LandfillWorstK4,DK$7,FALSE)</f>
        <v>0.51192434878200022</v>
      </c>
      <c r="DL41" s="538">
        <f>VLOOKUP($A41,[1]!LandfillWorstK4,DL$7,FALSE)</f>
        <v>0.34455534713416169</v>
      </c>
      <c r="DM41" s="538">
        <f>VLOOKUP($A41,[1]!LandfillWorstK4,DM$7,FALSE)</f>
        <v>0.32572720545742573</v>
      </c>
      <c r="DN41" s="539">
        <f>VLOOKUP($A41,[1]!LandfillWorstK4,DN$7,FALSE)</f>
        <v>0.34413038628927806</v>
      </c>
      <c r="DO41" s="540">
        <f>-1*VLOOKUP($A41,[1]Landfilling!$N$27:$R$41,5,FALSE)</f>
        <v>-0.14369806281600003</v>
      </c>
      <c r="DP41" s="541">
        <f>VLOOKUP($A41,'[1]Post-Consumer Transport'!$C$33:$K$88,3,FALSE)+VLOOKUP($A41,'[1]Post-Consumer Transport'!$C$33:$K$88,4,FALSE)</f>
        <v>2.0254519141196047E-2</v>
      </c>
      <c r="DQ41" s="542">
        <f t="shared" si="105"/>
        <v>0.38848080510719618</v>
      </c>
      <c r="DR41" s="538">
        <f t="shared" si="60"/>
        <v>0.22111180345935771</v>
      </c>
      <c r="DS41" s="538">
        <f t="shared" si="61"/>
        <v>0.20228366178262175</v>
      </c>
      <c r="DT41" s="539">
        <f t="shared" si="62"/>
        <v>0.22068684261447408</v>
      </c>
      <c r="DU41" s="537">
        <f>VLOOKUP($A41,[1]!LandfillWorstK6,DU$7,FALSE)</f>
        <v>0.51192434878200022</v>
      </c>
      <c r="DV41" s="538">
        <f>VLOOKUP($A41,[1]!LandfillWorstK6,DV$7,FALSE)</f>
        <v>0.38955249635602457</v>
      </c>
      <c r="DW41" s="538">
        <f>VLOOKUP($A41,[1]!LandfillWorstK6,DW$7,FALSE)</f>
        <v>0.37832869059951713</v>
      </c>
      <c r="DX41" s="539">
        <f>VLOOKUP($A41,[1]!LandfillWorstK6,DX$7,FALSE)</f>
        <v>0.39093735984996725</v>
      </c>
      <c r="DY41" s="540">
        <f>-1*VLOOKUP($A41,[1]Landfilling!$N$27:$R$41,5,FALSE)</f>
        <v>-0.14369806281600003</v>
      </c>
      <c r="DZ41" s="541">
        <f>VLOOKUP($A41,'[1]Post-Consumer Transport'!$C$33:$K$88,3,FALSE)+VLOOKUP($A41,'[1]Post-Consumer Transport'!$C$33:$K$88,4,FALSE)</f>
        <v>2.0254519141196047E-2</v>
      </c>
      <c r="EA41" s="542">
        <f t="shared" si="106"/>
        <v>0.38848080510719618</v>
      </c>
      <c r="EB41" s="538">
        <f t="shared" si="64"/>
        <v>0.26610895268122059</v>
      </c>
      <c r="EC41" s="538">
        <f t="shared" si="65"/>
        <v>0.25488514692471315</v>
      </c>
      <c r="ED41" s="539">
        <f t="shared" si="66"/>
        <v>0.26749381617516327</v>
      </c>
      <c r="EE41" s="537">
        <f>VLOOKUP($A41,[1]!LandfillWorstK12,EE$7,FALSE)</f>
        <v>0.51192434878200022</v>
      </c>
      <c r="EF41" s="538">
        <f>VLOOKUP($A41,[1]!LandfillWorstK12,EF$7,FALSE)</f>
        <v>0.4569969930280362</v>
      </c>
      <c r="EG41" s="538">
        <f>VLOOKUP($A41,[1]!LandfillWorstK12,EG$7,FALSE)</f>
        <v>0.45219174069760343</v>
      </c>
      <c r="EH41" s="539">
        <f>VLOOKUP($A41,[1]!LandfillWorstK12,EH$7,FALSE)</f>
        <v>0.4577436270627388</v>
      </c>
      <c r="EI41" s="540">
        <f>-1*VLOOKUP($A41,[1]Landfilling!$N$27:$R$41,5,FALSE)</f>
        <v>-0.14369806281600003</v>
      </c>
      <c r="EJ41" s="541">
        <f>VLOOKUP($A41,'[1]Post-Consumer Transport'!$C$33:$K$88,3,FALSE)+VLOOKUP($A41,'[1]Post-Consumer Transport'!$C$33:$K$88,4,FALSE)</f>
        <v>2.0254519141196047E-2</v>
      </c>
      <c r="EK41" s="542">
        <f t="shared" si="107"/>
        <v>0.38848080510719618</v>
      </c>
      <c r="EL41" s="538">
        <f t="shared" si="68"/>
        <v>0.33355344935323217</v>
      </c>
      <c r="EM41" s="538">
        <f t="shared" si="69"/>
        <v>0.32874819702279945</v>
      </c>
      <c r="EN41" s="539">
        <f t="shared" si="70"/>
        <v>0.33430008338793482</v>
      </c>
      <c r="EO41" s="537">
        <f>VLOOKUP($A41,[1]!LandfillWorstNatlAverage,EO$7,FALSE)</f>
        <v>0.51192434878200022</v>
      </c>
      <c r="EP41" s="538">
        <f>VLOOKUP($A41,[1]!LandfillWorstNatlAverage,EP$7,FALSE)</f>
        <v>0.36182945231807434</v>
      </c>
      <c r="EQ41" s="538">
        <f>VLOOKUP($A41,[1]!LandfillWorstNatlAverage,EQ$7,FALSE)</f>
        <v>0.34285993286460625</v>
      </c>
      <c r="ER41" s="539">
        <f>VLOOKUP($A41,[1]!LandfillWorstNatlAverage,ER$7,FALSE)</f>
        <v>0.35975683640056794</v>
      </c>
      <c r="ES41" s="540">
        <f>-1*VLOOKUP($A41,[1]Landfilling!$N$27:$R$41,5,FALSE)</f>
        <v>-0.14369806281600003</v>
      </c>
      <c r="ET41" s="541">
        <f>VLOOKUP($A41,'[1]Post-Consumer Transport'!$C$33:$K$88,3,FALSE)+VLOOKUP($A41,'[1]Post-Consumer Transport'!$C$33:$K$88,4,FALSE)</f>
        <v>2.0254519141196047E-2</v>
      </c>
      <c r="EU41" s="542">
        <f t="shared" si="108"/>
        <v>0.38848080510719618</v>
      </c>
      <c r="EV41" s="538">
        <f t="shared" si="72"/>
        <v>0.23838590864327036</v>
      </c>
      <c r="EW41" s="538">
        <f t="shared" si="73"/>
        <v>0.21941638918980227</v>
      </c>
      <c r="EX41" s="539">
        <f t="shared" si="74"/>
        <v>0.23631329272576396</v>
      </c>
      <c r="EZ41" s="537">
        <f>VLOOKUP($A41,[1]!LandfillCaliK2,EZ$7,FALSE)</f>
        <v>0.51192434878200022</v>
      </c>
      <c r="FA41" s="538">
        <f>VLOOKUP($A41,[1]!LandfillCaliK2,FA$7,FALSE)</f>
        <v>0.13313811968994976</v>
      </c>
      <c r="FB41" s="538">
        <f>VLOOKUP($A41,[1]!LandfillCaliK2,FB$7,FALSE)</f>
        <v>0.12759249174574744</v>
      </c>
      <c r="FC41" s="539">
        <f>VLOOKUP($A41,[1]!LandfillCaliK2,FC$7,FALSE)</f>
        <v>0.16088861822302772</v>
      </c>
      <c r="FD41" s="540">
        <f>-1*VLOOKUP($A41,[1]Landfilling!$N$27:$R$41,5,FALSE)</f>
        <v>-0.14369806281600003</v>
      </c>
      <c r="FE41" s="541">
        <f>VLOOKUP($A41,'[1]Post-Consumer Transport'!$C$33:$K$88,3,FALSE)+VLOOKUP($A41,'[1]Post-Consumer Transport'!$C$33:$K$88,4,FALSE)</f>
        <v>2.0254519141196047E-2</v>
      </c>
      <c r="FF41" s="542">
        <f t="shared" si="109"/>
        <v>0.38848080510719618</v>
      </c>
      <c r="FG41" s="538">
        <f t="shared" si="76"/>
        <v>9.6945760151457769E-3</v>
      </c>
      <c r="FH41" s="538">
        <f t="shared" si="77"/>
        <v>4.148948070943452E-3</v>
      </c>
      <c r="FI41" s="539">
        <f t="shared" si="78"/>
        <v>3.7445074548223732E-2</v>
      </c>
      <c r="FJ41" s="537">
        <f>VLOOKUP($A41,[1]!LandfillCaliK4,FJ$7,FALSE)</f>
        <v>0.51192434878200022</v>
      </c>
      <c r="FK41" s="538">
        <f>VLOOKUP($A41,[1]!LandfillCaliK4,FK$7,FALSE)</f>
        <v>0.17236837546937805</v>
      </c>
      <c r="FL41" s="538">
        <f>VLOOKUP($A41,[1]!LandfillCaliK4,FL$7,FALSE)</f>
        <v>0.1717297481387163</v>
      </c>
      <c r="FM41" s="539">
        <f>VLOOKUP($A41,[1]!LandfillCaliK4,FM$7,FALSE)</f>
        <v>0.20044877584555326</v>
      </c>
      <c r="FN41" s="540">
        <f>-1*VLOOKUP($A41,[1]Landfilling!$N$27:$R$41,5,FALSE)</f>
        <v>-0.14369806281600003</v>
      </c>
      <c r="FO41" s="541">
        <f>VLOOKUP($A41,'[1]Post-Consumer Transport'!$C$33:$K$88,3,FALSE)+VLOOKUP($A41,'[1]Post-Consumer Transport'!$C$33:$K$88,4,FALSE)</f>
        <v>2.0254519141196047E-2</v>
      </c>
      <c r="FP41" s="542">
        <f t="shared" si="110"/>
        <v>0.38848080510719618</v>
      </c>
      <c r="FQ41" s="538">
        <f t="shared" si="80"/>
        <v>4.8924831794574068E-2</v>
      </c>
      <c r="FR41" s="538">
        <f t="shared" si="81"/>
        <v>4.8286204463912318E-2</v>
      </c>
      <c r="FS41" s="539">
        <f t="shared" si="82"/>
        <v>7.7005232170749283E-2</v>
      </c>
      <c r="FT41" s="537">
        <f>VLOOKUP($A41,[1]!LandfillCaliK6,FT$7,FALSE)</f>
        <v>0.51192434878200022</v>
      </c>
      <c r="FU41" s="538">
        <f>VLOOKUP($A41,[1]!LandfillCaliK6,FU$7,FALSE)</f>
        <v>0.20526735252259434</v>
      </c>
      <c r="FV41" s="538">
        <f>VLOOKUP($A41,[1]!LandfillCaliK6,FV$7,FALSE)</f>
        <v>0.20475592403589929</v>
      </c>
      <c r="FW41" s="539">
        <f>VLOOKUP($A41,[1]!LandfillCaliK6,FW$7,FALSE)</f>
        <v>0.22995214147496423</v>
      </c>
      <c r="FX41" s="540">
        <f>-1*VLOOKUP($A41,[1]Landfilling!$N$27:$R$41,5,FALSE)</f>
        <v>-0.14369806281600003</v>
      </c>
      <c r="FY41" s="541">
        <f>VLOOKUP($A41,'[1]Post-Consumer Transport'!$C$33:$K$88,3,FALSE)+VLOOKUP($A41,'[1]Post-Consumer Transport'!$C$33:$K$88,4,FALSE)</f>
        <v>2.0254519141196047E-2</v>
      </c>
      <c r="FZ41" s="542">
        <f t="shared" si="111"/>
        <v>0.38848080510719618</v>
      </c>
      <c r="GA41" s="538">
        <f t="shared" si="84"/>
        <v>8.1823808847790364E-2</v>
      </c>
      <c r="GB41" s="538">
        <f t="shared" si="85"/>
        <v>8.131238036109531E-2</v>
      </c>
      <c r="GC41" s="539">
        <f t="shared" si="86"/>
        <v>0.10650859780016025</v>
      </c>
      <c r="GD41" s="537">
        <f>VLOOKUP($A41,[1]!LandfillCaliK12,GD$7,FALSE)</f>
        <v>0.51192434878200022</v>
      </c>
      <c r="GE41" s="538">
        <f>VLOOKUP($A41,[1]!LandfillCaliK12,GE$7,FALSE)</f>
        <v>0.27025459988980632</v>
      </c>
      <c r="GF41" s="538">
        <f>VLOOKUP($A41,[1]!LandfillCaliK12,GF$7,FALSE)</f>
        <v>0.27007552878843177</v>
      </c>
      <c r="GG41" s="539">
        <f>VLOOKUP($A41,[1]!LandfillCaliK12,GG$7,FALSE)</f>
        <v>0.2897656123924604</v>
      </c>
      <c r="GH41" s="540">
        <f>-1*VLOOKUP($A41,[1]Landfilling!$N$27:$R$41,5,FALSE)</f>
        <v>-0.14369806281600003</v>
      </c>
      <c r="GI41" s="541">
        <f>VLOOKUP($A41,'[1]Post-Consumer Transport'!$C$33:$K$88,3,FALSE)+VLOOKUP($A41,'[1]Post-Consumer Transport'!$C$33:$K$88,4,FALSE)</f>
        <v>2.0254519141196047E-2</v>
      </c>
      <c r="GJ41" s="542">
        <f t="shared" si="112"/>
        <v>0.38848080510719618</v>
      </c>
      <c r="GK41" s="538">
        <f t="shared" si="88"/>
        <v>0.14681105621500234</v>
      </c>
      <c r="GL41" s="538">
        <f t="shared" si="89"/>
        <v>0.14663198511362779</v>
      </c>
      <c r="GM41" s="539">
        <f t="shared" si="90"/>
        <v>0.16632206871765642</v>
      </c>
      <c r="GN41" s="537">
        <f>VLOOKUP($A41,[1]!LandfillCaliNatlAverage,GN$7,FALSE)</f>
        <v>0.51192434878200022</v>
      </c>
      <c r="GO41" s="538">
        <f>VLOOKUP($A41,[1]!LandfillCaliNatlAverage,GO$7,FALSE)</f>
        <v>0.18783242632440714</v>
      </c>
      <c r="GP41" s="538">
        <f>VLOOKUP($A41,[1]!LandfillCaliNatlAverage,GP$7,FALSE)</f>
        <v>0.18631063321883631</v>
      </c>
      <c r="GQ41" s="539">
        <f>VLOOKUP($A41,[1]!LandfillCaliNatlAverage,GQ$7,FALSE)</f>
        <v>0.21359431124942679</v>
      </c>
      <c r="GR41" s="540">
        <f>-1*VLOOKUP($A41,[1]Landfilling!$N$27:$R$41,5,FALSE)</f>
        <v>-0.14369806281600003</v>
      </c>
      <c r="GS41" s="541">
        <f>VLOOKUP($A41,'[1]Post-Consumer Transport'!$C$33:$K$88,3,FALSE)+VLOOKUP($A41,'[1]Post-Consumer Transport'!$C$33:$K$88,4,FALSE)</f>
        <v>2.0254519141196047E-2</v>
      </c>
      <c r="GT41" s="542">
        <f t="shared" si="113"/>
        <v>0.38848080510719618</v>
      </c>
      <c r="GU41" s="538">
        <f t="shared" si="92"/>
        <v>6.4388882649603157E-2</v>
      </c>
      <c r="GV41" s="538">
        <f t="shared" si="93"/>
        <v>6.2867089544032334E-2</v>
      </c>
      <c r="GW41" s="539">
        <f t="shared" si="94"/>
        <v>9.0150767574622814E-2</v>
      </c>
    </row>
    <row r="42" spans="1:205" x14ac:dyDescent="0.25">
      <c r="A42" s="494" t="str">
        <f t="shared" si="16"/>
        <v>Leaves</v>
      </c>
      <c r="B42" s="536" t="s">
        <v>522</v>
      </c>
      <c r="C42" s="537">
        <f>VLOOKUP($A42,[1]!LandfillTypicalK2,C$7,FALSE)</f>
        <v>0.58867217778600023</v>
      </c>
      <c r="D42" s="538">
        <f>VLOOKUP($A42,[1]!LandfillTypicalK2,D$7,FALSE)</f>
        <v>0.24360249469416159</v>
      </c>
      <c r="E42" s="538">
        <f>VLOOKUP($A42,[1]!LandfillTypicalK2,E$7,FALSE)</f>
        <v>0.16455639099391084</v>
      </c>
      <c r="F42" s="621">
        <f>VLOOKUP($A42,[1]!LandfillTypicalK2,F$7,FALSE)</f>
        <v>0.21045713972004451</v>
      </c>
      <c r="G42" s="540">
        <f>-1*VLOOKUP($A42,[1]Landfilling!$N$27:$R$41,5,FALSE)</f>
        <v>-0.79143703902340001</v>
      </c>
      <c r="H42" s="541">
        <f>VLOOKUP($A42,'[1]Post-Consumer Transport'!$C$33:$K$88,3,FALSE)+VLOOKUP($A42,'[1]Post-Consumer Transport'!$C$33:$K$88,4,FALSE)</f>
        <v>2.0254519141196047E-2</v>
      </c>
      <c r="I42" s="542">
        <f t="shared" si="134"/>
        <v>-0.18251034209620373</v>
      </c>
      <c r="J42" s="538">
        <f t="shared" si="135"/>
        <v>-0.52758002518804237</v>
      </c>
      <c r="K42" s="538">
        <f t="shared" si="136"/>
        <v>-0.60662612888829315</v>
      </c>
      <c r="L42" s="539">
        <f t="shared" si="137"/>
        <v>-0.56072538016215945</v>
      </c>
      <c r="M42" s="537">
        <f>VLOOKUP($A42,[1]!LandfillTypicalK4,M$7,FALSE)</f>
        <v>0.58867217778600023</v>
      </c>
      <c r="N42" s="538">
        <f>VLOOKUP($A42,[1]!LandfillTypicalK4,N$7,FALSE)</f>
        <v>0.24772913525888537</v>
      </c>
      <c r="O42" s="538">
        <f>VLOOKUP($A42,[1]!LandfillTypicalK4,O$7,FALSE)</f>
        <v>0.20749788517521711</v>
      </c>
      <c r="P42" s="539">
        <f>VLOOKUP($A42,[1]!LandfillTypicalK4,P$7,FALSE)</f>
        <v>0.24452076911464773</v>
      </c>
      <c r="Q42" s="540">
        <f>-1*VLOOKUP($A42,[1]Landfilling!$N$27:$R$41,5,FALSE)</f>
        <v>-0.79143703902340001</v>
      </c>
      <c r="R42" s="541">
        <f>VLOOKUP($A42,'[1]Post-Consumer Transport'!$C$33:$K$88,3,FALSE)+VLOOKUP($A42,'[1]Post-Consumer Transport'!$C$33:$K$88,4,FALSE)</f>
        <v>2.0254519141196047E-2</v>
      </c>
      <c r="S42" s="542">
        <f t="shared" si="95"/>
        <v>-0.18251034209620373</v>
      </c>
      <c r="T42" s="538">
        <f t="shared" si="20"/>
        <v>-0.52345338462331858</v>
      </c>
      <c r="U42" s="538">
        <f t="shared" si="21"/>
        <v>-0.56368463470698682</v>
      </c>
      <c r="V42" s="539">
        <f t="shared" si="22"/>
        <v>-0.52666175076755628</v>
      </c>
      <c r="W42" s="537">
        <f>VLOOKUP($A42,[1]!LandfillTypicalK6,W$7,FALSE)</f>
        <v>0.58867217778600023</v>
      </c>
      <c r="X42" s="538">
        <f>VLOOKUP($A42,[1]!LandfillTypicalK6,X$7,FALSE)</f>
        <v>0.26334204293619662</v>
      </c>
      <c r="Y42" s="538">
        <f>VLOOKUP($A42,[1]!LandfillTypicalK6,Y$7,FALSE)</f>
        <v>0.2376995861290451</v>
      </c>
      <c r="Z42" s="539">
        <f>VLOOKUP($A42,[1]!LandfillTypicalK6,Z$7,FALSE)</f>
        <v>0.2698740827836193</v>
      </c>
      <c r="AA42" s="540">
        <f>-1*VLOOKUP($A42,[1]Landfilling!$N$27:$R$41,5,FALSE)</f>
        <v>-0.79143703902340001</v>
      </c>
      <c r="AB42" s="541">
        <f>VLOOKUP($A42,'[1]Post-Consumer Transport'!$C$33:$K$88,3,FALSE)+VLOOKUP($A42,'[1]Post-Consumer Transport'!$C$33:$K$88,4,FALSE)</f>
        <v>2.0254519141196047E-2</v>
      </c>
      <c r="AC42" s="542">
        <f t="shared" si="96"/>
        <v>-0.18251034209620373</v>
      </c>
      <c r="AD42" s="538">
        <f t="shared" si="24"/>
        <v>-0.50784047694600742</v>
      </c>
      <c r="AE42" s="538">
        <f t="shared" si="25"/>
        <v>-0.53348293375315892</v>
      </c>
      <c r="AF42" s="539">
        <f t="shared" si="26"/>
        <v>-0.50130843709858475</v>
      </c>
      <c r="AG42" s="537">
        <f>VLOOKUP($A42,[1]!LandfillTypicalK12,AG$7,FALSE)</f>
        <v>0.58867217778600023</v>
      </c>
      <c r="AH42" s="538">
        <f>VLOOKUP($A42,[1]!LandfillTypicalK12,AH$7,FALSE)</f>
        <v>0.30855137644180691</v>
      </c>
      <c r="AI42" s="538">
        <f>VLOOKUP($A42,[1]!LandfillTypicalK12,AI$7,FALSE)</f>
        <v>0.29567717876795468</v>
      </c>
      <c r="AJ42" s="539">
        <f>VLOOKUP($A42,[1]!LandfillTypicalK12,AJ$7,FALSE)</f>
        <v>0.32117332977236823</v>
      </c>
      <c r="AK42" s="540">
        <f>-1*VLOOKUP($A42,[1]Landfilling!$N$27:$R$41,5,FALSE)</f>
        <v>-0.79143703902340001</v>
      </c>
      <c r="AL42" s="541">
        <f>VLOOKUP($A42,'[1]Post-Consumer Transport'!$C$33:$K$88,3,FALSE)+VLOOKUP($A42,'[1]Post-Consumer Transport'!$C$33:$K$88,4,FALSE)</f>
        <v>2.0254519141196047E-2</v>
      </c>
      <c r="AM42" s="542">
        <f t="shared" si="97"/>
        <v>-0.18251034209620373</v>
      </c>
      <c r="AN42" s="538">
        <f t="shared" si="28"/>
        <v>-0.46263114344039707</v>
      </c>
      <c r="AO42" s="538">
        <f t="shared" si="29"/>
        <v>-0.4755053411142493</v>
      </c>
      <c r="AP42" s="539">
        <f t="shared" si="30"/>
        <v>-0.45000919010983575</v>
      </c>
      <c r="AQ42" s="537">
        <f>VLOOKUP($A42,[1]!LandfillTypicalNatlAverage,AQ$7,FALSE)</f>
        <v>0.58867217778600023</v>
      </c>
      <c r="AR42" s="538">
        <f>VLOOKUP($A42,[1]!LandfillTypicalNatlAverage,AR$7,FALSE)</f>
        <v>0.25940293631960765</v>
      </c>
      <c r="AS42" s="538">
        <f>VLOOKUP($A42,[1]!LandfillTypicalNatlAverage,AS$7,FALSE)</f>
        <v>0.2201404147902529</v>
      </c>
      <c r="AT42" s="539">
        <f>VLOOKUP($A42,[1]!LandfillTypicalNatlAverage,AT$7,FALSE)</f>
        <v>0.25579351121944643</v>
      </c>
      <c r="AU42" s="540">
        <f>-1*VLOOKUP($A42,[1]Landfilling!$N$27:$R$41,5,FALSE)</f>
        <v>-0.79143703902340001</v>
      </c>
      <c r="AV42" s="541">
        <f>VLOOKUP($A42,'[1]Post-Consumer Transport'!$C$33:$K$88,3,FALSE)+VLOOKUP($A42,'[1]Post-Consumer Transport'!$C$33:$K$88,4,FALSE)</f>
        <v>2.0254519141196047E-2</v>
      </c>
      <c r="AW42" s="542">
        <f t="shared" si="98"/>
        <v>-0.18251034209620373</v>
      </c>
      <c r="AX42" s="538">
        <f t="shared" si="32"/>
        <v>-0.51177958356259634</v>
      </c>
      <c r="AY42" s="538">
        <f t="shared" si="33"/>
        <v>-0.55104210509195106</v>
      </c>
      <c r="AZ42" s="539">
        <f t="shared" si="34"/>
        <v>-0.5153890086627575</v>
      </c>
      <c r="BB42" s="537">
        <f>VLOOKUP($A42,[1]!LandfillAggressiveK2,BB$7,FALSE)</f>
        <v>0.58867217778600023</v>
      </c>
      <c r="BC42" s="538">
        <f>VLOOKUP($A42,[1]!LandfillAggressiveK2,BC$7,FALSE)</f>
        <v>0.23088841133136295</v>
      </c>
      <c r="BD42" s="538">
        <f>VLOOKUP($A42,[1]!LandfillAggressiveK2,BD$7,FALSE)</f>
        <v>0.15097759377977904</v>
      </c>
      <c r="BE42" s="539">
        <f>VLOOKUP($A42,[1]!LandfillAggressiveK2,BE$7,FALSE)</f>
        <v>0.19812932066697</v>
      </c>
      <c r="BF42" s="540">
        <f>-1*VLOOKUP($A42,[1]Landfilling!$N$27:$R$41,5,FALSE)</f>
        <v>-0.79143703902340001</v>
      </c>
      <c r="BG42" s="541">
        <f>VLOOKUP($A42,'[1]Post-Consumer Transport'!$C$33:$K$88,3,FALSE)+VLOOKUP($A42,'[1]Post-Consumer Transport'!$C$33:$K$88,4,FALSE)</f>
        <v>2.0254519141196047E-2</v>
      </c>
      <c r="BH42" s="542">
        <f t="shared" si="99"/>
        <v>-0.18251034209620373</v>
      </c>
      <c r="BI42" s="538">
        <f t="shared" si="36"/>
        <v>-0.54029410855084103</v>
      </c>
      <c r="BJ42" s="538">
        <f t="shared" si="37"/>
        <v>-0.62020492610242495</v>
      </c>
      <c r="BK42" s="539">
        <f t="shared" si="38"/>
        <v>-0.57305319921523401</v>
      </c>
      <c r="BL42" s="881">
        <f>VLOOKUP($A42,[1]!LandfillAggressiveK4,BL$7,FALSE)</f>
        <v>0.58867217778600023</v>
      </c>
      <c r="BM42" s="882">
        <f>VLOOKUP($A42,[1]!LandfillAggressiveK4,BM$7,FALSE)</f>
        <v>0.22309207952759991</v>
      </c>
      <c r="BN42" s="882">
        <f>VLOOKUP($A42,[1]!LandfillAggressiveK4,BN$7,FALSE)</f>
        <v>0.18384641665924051</v>
      </c>
      <c r="BO42" s="883">
        <f>VLOOKUP($A42,[1]!LandfillAggressiveK4,BO$7,FALSE)</f>
        <v>0.22242595142018967</v>
      </c>
      <c r="BP42" s="884">
        <f>-1*VLOOKUP($A42,[1]Landfilling!$N$27:$R$41,5,FALSE)</f>
        <v>-0.79143703902340001</v>
      </c>
      <c r="BQ42" s="885">
        <f>VLOOKUP($A42,'[1]Post-Consumer Transport'!$C$33:$K$88,3,FALSE)+VLOOKUP($A42,'[1]Post-Consumer Transport'!$C$33:$K$88,4,FALSE)</f>
        <v>2.0254519141196047E-2</v>
      </c>
      <c r="BR42" s="886">
        <f t="shared" si="100"/>
        <v>-0.18251034209620373</v>
      </c>
      <c r="BS42" s="882">
        <f t="shared" si="40"/>
        <v>-0.54809044035460408</v>
      </c>
      <c r="BT42" s="882">
        <f t="shared" si="41"/>
        <v>-0.58733610322296348</v>
      </c>
      <c r="BU42" s="883">
        <f t="shared" si="42"/>
        <v>-0.54875656846201437</v>
      </c>
      <c r="BV42" s="537">
        <f>VLOOKUP($A42,[1]!LandfillAggressiveK6,BV$7,FALSE)</f>
        <v>0.58867217778600023</v>
      </c>
      <c r="BW42" s="538">
        <f>VLOOKUP($A42,[1]!LandfillAggressiveK6,BW$7,FALSE)</f>
        <v>0.23522609319846494</v>
      </c>
      <c r="BX42" s="538">
        <f>VLOOKUP($A42,[1]!LandfillAggressiveK6,BX$7,FALSE)</f>
        <v>0.20810479913992558</v>
      </c>
      <c r="BY42" s="539">
        <f>VLOOKUP($A42,[1]!LandfillAggressiveK6,BY$7,FALSE)</f>
        <v>0.24231134642125163</v>
      </c>
      <c r="BZ42" s="540">
        <f>-1*VLOOKUP($A42,[1]Landfilling!$N$27:$R$41,5,FALSE)</f>
        <v>-0.79143703902340001</v>
      </c>
      <c r="CA42" s="541">
        <f>VLOOKUP($A42,'[1]Post-Consumer Transport'!$C$33:$K$88,3,FALSE)+VLOOKUP($A42,'[1]Post-Consumer Transport'!$C$33:$K$88,4,FALSE)</f>
        <v>2.0254519141196047E-2</v>
      </c>
      <c r="CB42" s="542">
        <f t="shared" si="101"/>
        <v>-0.18251034209620373</v>
      </c>
      <c r="CC42" s="538">
        <f t="shared" si="44"/>
        <v>-0.53595642668373911</v>
      </c>
      <c r="CD42" s="538">
        <f t="shared" si="45"/>
        <v>-0.56307772074227835</v>
      </c>
      <c r="CE42" s="539">
        <f t="shared" si="46"/>
        <v>-0.52887117346095236</v>
      </c>
      <c r="CF42" s="537">
        <f>VLOOKUP($A42,[1]!LandfillAggressiveK12,CF$7,FALSE)</f>
        <v>0.58867217778600023</v>
      </c>
      <c r="CG42" s="538">
        <f>VLOOKUP($A42,[1]!LandfillAggressiveK12,CG$7,FALSE)</f>
        <v>0.27171177340312225</v>
      </c>
      <c r="CH42" s="538">
        <f>VLOOKUP($A42,[1]!LandfillAggressiveK12,CH$7,FALSE)</f>
        <v>0.25808258682226332</v>
      </c>
      <c r="CI42" s="539">
        <f>VLOOKUP($A42,[1]!LandfillAggressiveK12,CI$7,FALSE)</f>
        <v>0.2861638385249316</v>
      </c>
      <c r="CJ42" s="540">
        <f>-1*VLOOKUP($A42,[1]Landfilling!$N$27:$R$41,5,FALSE)</f>
        <v>-0.79143703902340001</v>
      </c>
      <c r="CK42" s="541">
        <f>VLOOKUP($A42,'[1]Post-Consumer Transport'!$C$33:$K$88,3,FALSE)+VLOOKUP($A42,'[1]Post-Consumer Transport'!$C$33:$K$88,4,FALSE)</f>
        <v>2.0254519141196047E-2</v>
      </c>
      <c r="CL42" s="542">
        <f t="shared" si="102"/>
        <v>-0.18251034209620373</v>
      </c>
      <c r="CM42" s="538">
        <f t="shared" si="48"/>
        <v>-0.49947074647908174</v>
      </c>
      <c r="CN42" s="538">
        <f t="shared" si="49"/>
        <v>-0.51309993305994062</v>
      </c>
      <c r="CO42" s="539">
        <f t="shared" si="50"/>
        <v>-0.48501868135727233</v>
      </c>
      <c r="CP42" s="537">
        <f>VLOOKUP($A42,[1]!LandfillAggressiveNatlAverage,CP$7,FALSE)</f>
        <v>0.58867217778600023</v>
      </c>
      <c r="CQ42" s="538">
        <f>VLOOKUP($A42,[1]!LandfillAggressiveNatlAverage,CQ$7,FALSE)</f>
        <v>0.23450039489463029</v>
      </c>
      <c r="CR42" s="538">
        <f>VLOOKUP($A42,[1]!LandfillAggressiveNatlAverage,CR$7,FALSE)</f>
        <v>0.19466646429921206</v>
      </c>
      <c r="CS42" s="539">
        <f>VLOOKUP($A42,[1]!LandfillAggressiveNatlAverage,CS$7,FALSE)</f>
        <v>0.23211331132545635</v>
      </c>
      <c r="CT42" s="540">
        <f>-1*VLOOKUP($A42,[1]Landfilling!$N$27:$R$41,5,FALSE)</f>
        <v>-0.79143703902340001</v>
      </c>
      <c r="CU42" s="541">
        <f>VLOOKUP($A42,'[1]Post-Consumer Transport'!$C$33:$K$88,3,FALSE)+VLOOKUP($A42,'[1]Post-Consumer Transport'!$C$33:$K$88,4,FALSE)</f>
        <v>2.0254519141196047E-2</v>
      </c>
      <c r="CV42" s="542">
        <f t="shared" si="103"/>
        <v>-0.18251034209620373</v>
      </c>
      <c r="CW42" s="538">
        <f t="shared" si="52"/>
        <v>-0.53668212498757373</v>
      </c>
      <c r="CX42" s="538">
        <f t="shared" si="53"/>
        <v>-0.5765160555829919</v>
      </c>
      <c r="CY42" s="539">
        <f t="shared" si="54"/>
        <v>-0.53906920855674767</v>
      </c>
      <c r="DA42" s="537">
        <f>VLOOKUP($A42,[1]!LandfillWorstK2,DA$7,FALSE)</f>
        <v>0.58867217778600023</v>
      </c>
      <c r="DB42" s="538">
        <f>VLOOKUP($A42,[1]!LandfillWorstK2,DB$7,FALSE)</f>
        <v>0.29279687485727035</v>
      </c>
      <c r="DC42" s="538">
        <f>VLOOKUP($A42,[1]!LandfillWorstK2,DC$7,FALSE)</f>
        <v>0.21485357947340655</v>
      </c>
      <c r="DD42" s="539">
        <f>VLOOKUP($A42,[1]!LandfillWorstK2,DD$7,FALSE)</f>
        <v>0.2561902814240602</v>
      </c>
      <c r="DE42" s="540">
        <f>-1*VLOOKUP($A42,[1]Landfilling!$N$27:$R$41,5,FALSE)</f>
        <v>-0.79143703902340001</v>
      </c>
      <c r="DF42" s="541">
        <f>VLOOKUP($A42,'[1]Post-Consumer Transport'!$C$33:$K$88,3,FALSE)+VLOOKUP($A42,'[1]Post-Consumer Transport'!$C$33:$K$88,4,FALSE)</f>
        <v>2.0254519141196047E-2</v>
      </c>
      <c r="DG42" s="542">
        <f t="shared" si="104"/>
        <v>-0.18251034209620373</v>
      </c>
      <c r="DH42" s="538">
        <f t="shared" si="56"/>
        <v>-0.47838564502493364</v>
      </c>
      <c r="DI42" s="538">
        <f t="shared" si="57"/>
        <v>-0.55632894040879743</v>
      </c>
      <c r="DJ42" s="539">
        <f t="shared" si="58"/>
        <v>-0.51499223845814379</v>
      </c>
      <c r="DK42" s="537">
        <f>VLOOKUP($A42,[1]!LandfillWorstK4,DK$7,FALSE)</f>
        <v>0.58867217778600023</v>
      </c>
      <c r="DL42" s="538">
        <f>VLOOKUP($A42,[1]!LandfillWorstK4,DL$7,FALSE)</f>
        <v>0.33319891418576858</v>
      </c>
      <c r="DM42" s="538">
        <f>VLOOKUP($A42,[1]!LandfillWorstK4,DM$7,FALSE)</f>
        <v>0.29504447779063964</v>
      </c>
      <c r="DN42" s="539">
        <f>VLOOKUP($A42,[1]!LandfillWorstK4,DN$7,FALSE)</f>
        <v>0.32422222058355304</v>
      </c>
      <c r="DO42" s="540">
        <f>-1*VLOOKUP($A42,[1]Landfilling!$N$27:$R$41,5,FALSE)</f>
        <v>-0.79143703902340001</v>
      </c>
      <c r="DP42" s="541">
        <f>VLOOKUP($A42,'[1]Post-Consumer Transport'!$C$33:$K$88,3,FALSE)+VLOOKUP($A42,'[1]Post-Consumer Transport'!$C$33:$K$88,4,FALSE)</f>
        <v>2.0254519141196047E-2</v>
      </c>
      <c r="DQ42" s="542">
        <f t="shared" si="105"/>
        <v>-0.18251034209620373</v>
      </c>
      <c r="DR42" s="538">
        <f t="shared" si="60"/>
        <v>-0.43798360569643541</v>
      </c>
      <c r="DS42" s="538">
        <f t="shared" si="61"/>
        <v>-0.47613804209156435</v>
      </c>
      <c r="DT42" s="539">
        <f t="shared" si="62"/>
        <v>-0.44696029929865094</v>
      </c>
      <c r="DU42" s="537">
        <f>VLOOKUP($A42,[1]!LandfillWorstK6,DU$7,FALSE)</f>
        <v>0.58867217778600023</v>
      </c>
      <c r="DV42" s="538">
        <f>VLOOKUP($A42,[1]!LandfillWorstK6,DV$7,FALSE)</f>
        <v>0.37746802928422563</v>
      </c>
      <c r="DW42" s="538">
        <f>VLOOKUP($A42,[1]!LandfillWorstK6,DW$7,FALSE)</f>
        <v>0.35301300358175602</v>
      </c>
      <c r="DX42" s="539">
        <f>VLOOKUP($A42,[1]!LandfillWorstK6,DX$7,FALSE)</f>
        <v>0.37519780197092523</v>
      </c>
      <c r="DY42" s="540">
        <f>-1*VLOOKUP($A42,[1]Landfilling!$N$27:$R$41,5,FALSE)</f>
        <v>-0.79143703902340001</v>
      </c>
      <c r="DZ42" s="541">
        <f>VLOOKUP($A42,'[1]Post-Consumer Transport'!$C$33:$K$88,3,FALSE)+VLOOKUP($A42,'[1]Post-Consumer Transport'!$C$33:$K$88,4,FALSE)</f>
        <v>2.0254519141196047E-2</v>
      </c>
      <c r="EA42" s="542">
        <f t="shared" si="106"/>
        <v>-0.18251034209620373</v>
      </c>
      <c r="EB42" s="538">
        <f t="shared" si="64"/>
        <v>-0.39371449059797836</v>
      </c>
      <c r="EC42" s="538">
        <f t="shared" si="65"/>
        <v>-0.41816951630044796</v>
      </c>
      <c r="ED42" s="539">
        <f t="shared" si="66"/>
        <v>-0.39598471791127876</v>
      </c>
      <c r="EE42" s="537">
        <f>VLOOKUP($A42,[1]!LandfillWorstK12,EE$7,FALSE)</f>
        <v>0.58867217778600023</v>
      </c>
      <c r="EF42" s="538">
        <f>VLOOKUP($A42,[1]!LandfillWorstK12,EF$7,FALSE)</f>
        <v>0.4661612339359667</v>
      </c>
      <c r="EG42" s="538">
        <f>VLOOKUP($A42,[1]!LandfillWorstK12,EG$7,FALSE)</f>
        <v>0.45461422910951899</v>
      </c>
      <c r="EH42" s="539">
        <f>VLOOKUP($A42,[1]!LandfillWorstK12,EH$7,FALSE)</f>
        <v>0.46686039848421562</v>
      </c>
      <c r="EI42" s="540">
        <f>-1*VLOOKUP($A42,[1]Landfilling!$N$27:$R$41,5,FALSE)</f>
        <v>-0.79143703902340001</v>
      </c>
      <c r="EJ42" s="541">
        <f>VLOOKUP($A42,'[1]Post-Consumer Transport'!$C$33:$K$88,3,FALSE)+VLOOKUP($A42,'[1]Post-Consumer Transport'!$C$33:$K$88,4,FALSE)</f>
        <v>2.0254519141196047E-2</v>
      </c>
      <c r="EK42" s="542">
        <f t="shared" si="107"/>
        <v>-0.18251034209620373</v>
      </c>
      <c r="EL42" s="538">
        <f t="shared" si="68"/>
        <v>-0.30502128594623729</v>
      </c>
      <c r="EM42" s="538">
        <f t="shared" si="69"/>
        <v>-0.316568290772685</v>
      </c>
      <c r="EN42" s="539">
        <f t="shared" si="70"/>
        <v>-0.30432212139798837</v>
      </c>
      <c r="EO42" s="537">
        <f>VLOOKUP($A42,[1]!LandfillWorstNatlAverage,EO$7,FALSE)</f>
        <v>0.58867217778600023</v>
      </c>
      <c r="EP42" s="538">
        <f>VLOOKUP($A42,[1]!LandfillWorstNatlAverage,EP$7,FALSE)</f>
        <v>0.3566093446005546</v>
      </c>
      <c r="EQ42" s="538">
        <f>VLOOKUP($A42,[1]!LandfillWorstNatlAverage,EQ$7,FALSE)</f>
        <v>0.31878833735922973</v>
      </c>
      <c r="ER42" s="539">
        <f>VLOOKUP($A42,[1]!LandfillWorstNatlAverage,ER$7,FALSE)</f>
        <v>0.34583061449193064</v>
      </c>
      <c r="ES42" s="540">
        <f>-1*VLOOKUP($A42,[1]Landfilling!$N$27:$R$41,5,FALSE)</f>
        <v>-0.79143703902340001</v>
      </c>
      <c r="ET42" s="541">
        <f>VLOOKUP($A42,'[1]Post-Consumer Transport'!$C$33:$K$88,3,FALSE)+VLOOKUP($A42,'[1]Post-Consumer Transport'!$C$33:$K$88,4,FALSE)</f>
        <v>2.0254519141196047E-2</v>
      </c>
      <c r="EU42" s="542">
        <f t="shared" si="108"/>
        <v>-0.18251034209620373</v>
      </c>
      <c r="EV42" s="538">
        <f t="shared" si="72"/>
        <v>-0.41457317528164939</v>
      </c>
      <c r="EW42" s="538">
        <f t="shared" si="73"/>
        <v>-0.45239418252297425</v>
      </c>
      <c r="EX42" s="539">
        <f t="shared" si="74"/>
        <v>-0.42535190539027334</v>
      </c>
      <c r="EZ42" s="537">
        <f>VLOOKUP($A42,[1]!LandfillCaliK2,EZ$7,FALSE)</f>
        <v>0.58867217778600023</v>
      </c>
      <c r="FA42" s="538">
        <f>VLOOKUP($A42,[1]!LandfillCaliK2,FA$7,FALSE)</f>
        <v>0.12993458759535753</v>
      </c>
      <c r="FB42" s="538">
        <f>VLOOKUP($A42,[1]!LandfillCaliK2,FB$7,FALSE)</f>
        <v>0.11746564423214854</v>
      </c>
      <c r="FC42" s="539">
        <f>VLOOKUP($A42,[1]!LandfillCaliK2,FC$7,FALSE)</f>
        <v>0.1575735633599889</v>
      </c>
      <c r="FD42" s="540">
        <f>-1*VLOOKUP($A42,[1]Landfilling!$N$27:$R$41,5,FALSE)</f>
        <v>-0.79143703902340001</v>
      </c>
      <c r="FE42" s="541">
        <f>VLOOKUP($A42,'[1]Post-Consumer Transport'!$C$33:$K$88,3,FALSE)+VLOOKUP($A42,'[1]Post-Consumer Transport'!$C$33:$K$88,4,FALSE)</f>
        <v>2.0254519141196047E-2</v>
      </c>
      <c r="FF42" s="542">
        <f t="shared" si="109"/>
        <v>-0.18251034209620373</v>
      </c>
      <c r="FG42" s="538">
        <f t="shared" si="76"/>
        <v>-0.64124793228684651</v>
      </c>
      <c r="FH42" s="538">
        <f t="shared" si="77"/>
        <v>-0.65371687565005543</v>
      </c>
      <c r="FI42" s="539">
        <f t="shared" si="78"/>
        <v>-0.61360895652221514</v>
      </c>
      <c r="FJ42" s="537">
        <f>VLOOKUP($A42,[1]!LandfillCaliK4,FJ$7,FALSE)</f>
        <v>0.58867217778600023</v>
      </c>
      <c r="FK42" s="538">
        <f>VLOOKUP($A42,[1]!LandfillCaliK4,FK$7,FALSE)</f>
        <v>0.15691531514954898</v>
      </c>
      <c r="FL42" s="538">
        <f>VLOOKUP($A42,[1]!LandfillCaliK4,FL$7,FALSE)</f>
        <v>0.15515549362925662</v>
      </c>
      <c r="FM42" s="539">
        <f>VLOOKUP($A42,[1]!LandfillCaliK4,FM$7,FALSE)</f>
        <v>0.1906475773861091</v>
      </c>
      <c r="FN42" s="540">
        <f>-1*VLOOKUP($A42,[1]Landfilling!$N$27:$R$41,5,FALSE)</f>
        <v>-0.79143703902340001</v>
      </c>
      <c r="FO42" s="541">
        <f>VLOOKUP($A42,'[1]Post-Consumer Transport'!$C$33:$K$88,3,FALSE)+VLOOKUP($A42,'[1]Post-Consumer Transport'!$C$33:$K$88,4,FALSE)</f>
        <v>2.0254519141196047E-2</v>
      </c>
      <c r="FP42" s="542">
        <f t="shared" si="110"/>
        <v>-0.18251034209620373</v>
      </c>
      <c r="FQ42" s="538">
        <f t="shared" si="80"/>
        <v>-0.61426720473265495</v>
      </c>
      <c r="FR42" s="538">
        <f t="shared" si="81"/>
        <v>-0.61602702625294736</v>
      </c>
      <c r="FS42" s="539">
        <f t="shared" si="82"/>
        <v>-0.58053494249609483</v>
      </c>
      <c r="FT42" s="537">
        <f>VLOOKUP($A42,[1]!LandfillCaliK6,FT$7,FALSE)</f>
        <v>0.58867217778600023</v>
      </c>
      <c r="FU42" s="538">
        <f>VLOOKUP($A42,[1]!LandfillCaliK6,FU$7,FALSE)</f>
        <v>0.18608974701675046</v>
      </c>
      <c r="FV42" s="538">
        <f>VLOOKUP($A42,[1]!LandfillCaliK6,FV$7,FALSE)</f>
        <v>0.18477411371430774</v>
      </c>
      <c r="FW42" s="539">
        <f>VLOOKUP($A42,[1]!LandfillCaliK6,FW$7,FALSE)</f>
        <v>0.21688749656001385</v>
      </c>
      <c r="FX42" s="540">
        <f>-1*VLOOKUP($A42,[1]Landfilling!$N$27:$R$41,5,FALSE)</f>
        <v>-0.79143703902340001</v>
      </c>
      <c r="FY42" s="541">
        <f>VLOOKUP($A42,'[1]Post-Consumer Transport'!$C$33:$K$88,3,FALSE)+VLOOKUP($A42,'[1]Post-Consumer Transport'!$C$33:$K$88,4,FALSE)</f>
        <v>2.0254519141196047E-2</v>
      </c>
      <c r="FZ42" s="542">
        <f t="shared" si="111"/>
        <v>-0.18251034209620373</v>
      </c>
      <c r="GA42" s="538">
        <f t="shared" si="84"/>
        <v>-0.58509277286545358</v>
      </c>
      <c r="GB42" s="538">
        <f t="shared" si="85"/>
        <v>-0.58640840616789625</v>
      </c>
      <c r="GC42" s="539">
        <f t="shared" si="86"/>
        <v>-0.55429502332219016</v>
      </c>
      <c r="GD42" s="537">
        <f>VLOOKUP($A42,[1]!LandfillCaliK12,GD$7,FALSE)</f>
        <v>0.58867217778600023</v>
      </c>
      <c r="GE42" s="538">
        <f>VLOOKUP($A42,[1]!LandfillCaliK12,GE$7,FALSE)</f>
        <v>0.25006445404814664</v>
      </c>
      <c r="GF42" s="538">
        <f>VLOOKUP($A42,[1]!LandfillCaliK12,GF$7,FALSE)</f>
        <v>0.24966880595063626</v>
      </c>
      <c r="GG42" s="539">
        <f>VLOOKUP($A42,[1]!LandfillCaliK12,GG$7,FALSE)</f>
        <v>0.27636377737884954</v>
      </c>
      <c r="GH42" s="540">
        <f>-1*VLOOKUP($A42,[1]Landfilling!$N$27:$R$41,5,FALSE)</f>
        <v>-0.79143703902340001</v>
      </c>
      <c r="GI42" s="541">
        <f>VLOOKUP($A42,'[1]Post-Consumer Transport'!$C$33:$K$88,3,FALSE)+VLOOKUP($A42,'[1]Post-Consumer Transport'!$C$33:$K$88,4,FALSE)</f>
        <v>2.0254519141196047E-2</v>
      </c>
      <c r="GJ42" s="542">
        <f t="shared" si="112"/>
        <v>-0.18251034209620373</v>
      </c>
      <c r="GK42" s="538">
        <f t="shared" si="88"/>
        <v>-0.52111806583405729</v>
      </c>
      <c r="GL42" s="538">
        <f t="shared" si="89"/>
        <v>-0.52151371393156776</v>
      </c>
      <c r="GM42" s="539">
        <f t="shared" si="90"/>
        <v>-0.49481874250335445</v>
      </c>
      <c r="GN42" s="537">
        <f>VLOOKUP($A42,[1]!LandfillCaliNatlAverage,GN$7,FALSE)</f>
        <v>0.58867217778600023</v>
      </c>
      <c r="GO42" s="538">
        <f>VLOOKUP($A42,[1]!LandfillCaliNatlAverage,GO$7,FALSE)</f>
        <v>0.17282477502599031</v>
      </c>
      <c r="GP42" s="538">
        <f>VLOOKUP($A42,[1]!LandfillCaliNatlAverage,GP$7,FALSE)</f>
        <v>0.16924210783692897</v>
      </c>
      <c r="GQ42" s="539">
        <f>VLOOKUP($A42,[1]!LandfillCaliNatlAverage,GQ$7,FALSE)</f>
        <v>0.20338900136063395</v>
      </c>
      <c r="GR42" s="540">
        <f>-1*VLOOKUP($A42,[1]Landfilling!$N$27:$R$41,5,FALSE)</f>
        <v>-0.79143703902340001</v>
      </c>
      <c r="GS42" s="541">
        <f>VLOOKUP($A42,'[1]Post-Consumer Transport'!$C$33:$K$88,3,FALSE)+VLOOKUP($A42,'[1]Post-Consumer Transport'!$C$33:$K$88,4,FALSE)</f>
        <v>2.0254519141196047E-2</v>
      </c>
      <c r="GT42" s="542">
        <f t="shared" si="113"/>
        <v>-0.18251034209620373</v>
      </c>
      <c r="GU42" s="538">
        <f t="shared" si="92"/>
        <v>-0.59835774485621362</v>
      </c>
      <c r="GV42" s="538">
        <f t="shared" si="93"/>
        <v>-0.60194041204527504</v>
      </c>
      <c r="GW42" s="539">
        <f t="shared" si="94"/>
        <v>-0.56779351852157001</v>
      </c>
    </row>
    <row r="43" spans="1:205" x14ac:dyDescent="0.25">
      <c r="A43" s="494" t="str">
        <f t="shared" si="16"/>
        <v>Branches</v>
      </c>
      <c r="B43" s="536" t="s">
        <v>523</v>
      </c>
      <c r="C43" s="537">
        <f>VLOOKUP($A43,[1]!LandfillTypicalK2,C$7,FALSE)</f>
        <v>1.3046314464413997</v>
      </c>
      <c r="D43" s="538">
        <f>VLOOKUP($A43,[1]!LandfillTypicalK2,D$7,FALSE)</f>
        <v>0.69309808353372682</v>
      </c>
      <c r="E43" s="538">
        <f>VLOOKUP($A43,[1]!LandfillTypicalK2,E$7,FALSE)</f>
        <v>0.35146979065044132</v>
      </c>
      <c r="F43" s="621">
        <f>VLOOKUP($A43,[1]!LandfillTypicalK2,F$7,FALSE)</f>
        <v>0.47181349600477851</v>
      </c>
      <c r="G43" s="540">
        <f>-1*VLOOKUP($A43,[1]Landfilling!$N$27:$R$41,5,FALSE)</f>
        <v>-1.0630330304337332</v>
      </c>
      <c r="H43" s="541">
        <f>VLOOKUP($A43,'[1]Post-Consumer Transport'!$C$33:$K$88,3,FALSE)+VLOOKUP($A43,'[1]Post-Consumer Transport'!$C$33:$K$88,4,FALSE)</f>
        <v>2.0254519141196047E-2</v>
      </c>
      <c r="I43" s="542">
        <f t="shared" si="134"/>
        <v>0.26185293514886254</v>
      </c>
      <c r="J43" s="538">
        <f t="shared" si="135"/>
        <v>-0.34968042775881036</v>
      </c>
      <c r="K43" s="538">
        <f t="shared" si="136"/>
        <v>-0.69130872064209581</v>
      </c>
      <c r="L43" s="539">
        <f t="shared" si="137"/>
        <v>-0.57096501528775867</v>
      </c>
      <c r="M43" s="537">
        <f>VLOOKUP($A43,[1]!LandfillTypicalK4,M$7,FALSE)</f>
        <v>1.3046314464413997</v>
      </c>
      <c r="N43" s="538">
        <f>VLOOKUP($A43,[1]!LandfillTypicalK4,N$7,FALSE)</f>
        <v>0.66344609427437051</v>
      </c>
      <c r="O43" s="538">
        <f>VLOOKUP($A43,[1]!LandfillTypicalK4,O$7,FALSE)</f>
        <v>0.43606545036871669</v>
      </c>
      <c r="P43" s="539">
        <f>VLOOKUP($A43,[1]!LandfillTypicalK4,P$7,FALSE)</f>
        <v>0.53693797411216548</v>
      </c>
      <c r="Q43" s="540">
        <f>-1*VLOOKUP($A43,[1]Landfilling!$N$27:$R$41,5,FALSE)</f>
        <v>-1.0630330304337332</v>
      </c>
      <c r="R43" s="541">
        <f>VLOOKUP($A43,'[1]Post-Consumer Transport'!$C$33:$K$88,3,FALSE)+VLOOKUP($A43,'[1]Post-Consumer Transport'!$C$33:$K$88,4,FALSE)</f>
        <v>2.0254519141196047E-2</v>
      </c>
      <c r="S43" s="542">
        <f t="shared" si="95"/>
        <v>0.26185293514886254</v>
      </c>
      <c r="T43" s="538">
        <f t="shared" si="20"/>
        <v>-0.37933241701816667</v>
      </c>
      <c r="U43" s="538">
        <f t="shared" si="21"/>
        <v>-0.60671306092382049</v>
      </c>
      <c r="V43" s="539">
        <f t="shared" si="22"/>
        <v>-0.5058405371803717</v>
      </c>
      <c r="W43" s="537">
        <f>VLOOKUP($A43,[1]!LandfillTypicalK6,W$7,FALSE)</f>
        <v>1.3046314464413997</v>
      </c>
      <c r="X43" s="538">
        <f>VLOOKUP($A43,[1]!LandfillTypicalK6,X$7,FALSE)</f>
        <v>0.64224795686324387</v>
      </c>
      <c r="Y43" s="538">
        <f>VLOOKUP($A43,[1]!LandfillTypicalK6,Y$7,FALSE)</f>
        <v>0.46619420714987753</v>
      </c>
      <c r="Z43" s="539">
        <f>VLOOKUP($A43,[1]!LandfillTypicalK6,Z$7,FALSE)</f>
        <v>0.55788837402383873</v>
      </c>
      <c r="AA43" s="540">
        <f>-1*VLOOKUP($A43,[1]Landfilling!$N$27:$R$41,5,FALSE)</f>
        <v>-1.0630330304337332</v>
      </c>
      <c r="AB43" s="541">
        <f>VLOOKUP($A43,'[1]Post-Consumer Transport'!$C$33:$K$88,3,FALSE)+VLOOKUP($A43,'[1]Post-Consumer Transport'!$C$33:$K$88,4,FALSE)</f>
        <v>2.0254519141196047E-2</v>
      </c>
      <c r="AC43" s="542">
        <f t="shared" si="96"/>
        <v>0.26185293514886254</v>
      </c>
      <c r="AD43" s="538">
        <f t="shared" si="24"/>
        <v>-0.40053055442929331</v>
      </c>
      <c r="AE43" s="538">
        <f t="shared" si="25"/>
        <v>-0.57658430414265971</v>
      </c>
      <c r="AF43" s="539">
        <f t="shared" si="26"/>
        <v>-0.48489013726869845</v>
      </c>
      <c r="AG43" s="537">
        <f>VLOOKUP($A43,[1]!LandfillTypicalK12,AG$7,FALSE)</f>
        <v>1.3046314464413997</v>
      </c>
      <c r="AH43" s="538">
        <f>VLOOKUP($A43,[1]!LandfillTypicalK12,AH$7,FALSE)</f>
        <v>0.59444924115199216</v>
      </c>
      <c r="AI43" s="538">
        <f>VLOOKUP($A43,[1]!LandfillTypicalK12,AI$7,FALSE)</f>
        <v>0.47905433786891155</v>
      </c>
      <c r="AJ43" s="539">
        <f>VLOOKUP($A43,[1]!LandfillTypicalK12,AJ$7,FALSE)</f>
        <v>0.55989289791362495</v>
      </c>
      <c r="AK43" s="540">
        <f>-1*VLOOKUP($A43,[1]Landfilling!$N$27:$R$41,5,FALSE)</f>
        <v>-1.0630330304337332</v>
      </c>
      <c r="AL43" s="541">
        <f>VLOOKUP($A43,'[1]Post-Consumer Transport'!$C$33:$K$88,3,FALSE)+VLOOKUP($A43,'[1]Post-Consumer Transport'!$C$33:$K$88,4,FALSE)</f>
        <v>2.0254519141196047E-2</v>
      </c>
      <c r="AM43" s="542">
        <f t="shared" si="97"/>
        <v>0.26185293514886254</v>
      </c>
      <c r="AN43" s="538">
        <f t="shared" si="28"/>
        <v>-0.44832927014054502</v>
      </c>
      <c r="AO43" s="538">
        <f t="shared" si="29"/>
        <v>-0.56372417342362557</v>
      </c>
      <c r="AP43" s="539">
        <f t="shared" si="30"/>
        <v>-0.48288561337891223</v>
      </c>
      <c r="AQ43" s="537">
        <f>VLOOKUP($A43,[1]!LandfillTypicalNatlAverage,AQ$7,FALSE)</f>
        <v>1.3046314464413997</v>
      </c>
      <c r="AR43" s="538">
        <f>VLOOKUP($A43,[1]!LandfillTypicalNatlAverage,AR$7,FALSE)</f>
        <v>0.65376437233803086</v>
      </c>
      <c r="AS43" s="538">
        <f>VLOOKUP($A43,[1]!LandfillTypicalNatlAverage,AS$7,FALSE)</f>
        <v>0.43582812621213823</v>
      </c>
      <c r="AT43" s="539">
        <f>VLOOKUP($A43,[1]!LandfillTypicalNatlAverage,AT$7,FALSE)</f>
        <v>0.53481918523453176</v>
      </c>
      <c r="AU43" s="540">
        <f>-1*VLOOKUP($A43,[1]Landfilling!$N$27:$R$41,5,FALSE)</f>
        <v>-1.0630330304337332</v>
      </c>
      <c r="AV43" s="541">
        <f>VLOOKUP($A43,'[1]Post-Consumer Transport'!$C$33:$K$88,3,FALSE)+VLOOKUP($A43,'[1]Post-Consumer Transport'!$C$33:$K$88,4,FALSE)</f>
        <v>2.0254519141196047E-2</v>
      </c>
      <c r="AW43" s="542">
        <f t="shared" si="98"/>
        <v>0.26185293514886254</v>
      </c>
      <c r="AX43" s="538">
        <f t="shared" si="32"/>
        <v>-0.38901413895450632</v>
      </c>
      <c r="AY43" s="538">
        <f t="shared" si="33"/>
        <v>-0.606950385080399</v>
      </c>
      <c r="AZ43" s="539">
        <f t="shared" si="34"/>
        <v>-0.50795932605800542</v>
      </c>
      <c r="BB43" s="537">
        <f>VLOOKUP($A43,[1]!LandfillAggressiveK2,BB$7,FALSE)</f>
        <v>1.3046314464413997</v>
      </c>
      <c r="BC43" s="538">
        <f>VLOOKUP($A43,[1]!LandfillAggressiveK2,BC$7,FALSE)</f>
        <v>0.68607709889712998</v>
      </c>
      <c r="BD43" s="538">
        <f>VLOOKUP($A43,[1]!LandfillAggressiveK2,BD$7,FALSE)</f>
        <v>0.35078760279599902</v>
      </c>
      <c r="BE43" s="539">
        <f>VLOOKUP($A43,[1]!LandfillAggressiveK2,BE$7,FALSE)</f>
        <v>0.4706219170946454</v>
      </c>
      <c r="BF43" s="540">
        <f>-1*VLOOKUP($A43,[1]Landfilling!$N$27:$R$41,5,FALSE)</f>
        <v>-1.0630330304337332</v>
      </c>
      <c r="BG43" s="541">
        <f>VLOOKUP($A43,'[1]Post-Consumer Transport'!$C$33:$K$88,3,FALSE)+VLOOKUP($A43,'[1]Post-Consumer Transport'!$C$33:$K$88,4,FALSE)</f>
        <v>2.0254519141196047E-2</v>
      </c>
      <c r="BH43" s="542">
        <f t="shared" si="99"/>
        <v>0.26185293514886254</v>
      </c>
      <c r="BI43" s="538">
        <f t="shared" si="36"/>
        <v>-0.3567014123954072</v>
      </c>
      <c r="BJ43" s="538">
        <f t="shared" si="37"/>
        <v>-0.6919909084965381</v>
      </c>
      <c r="BK43" s="539">
        <f t="shared" si="38"/>
        <v>-0.57215659419789178</v>
      </c>
      <c r="BL43" s="881">
        <f>VLOOKUP($A43,[1]!LandfillAggressiveK4,BL$7,FALSE)</f>
        <v>1.3046314464413997</v>
      </c>
      <c r="BM43" s="882">
        <f>VLOOKUP($A43,[1]!LandfillAggressiveK4,BM$7,FALSE)</f>
        <v>0.65298106988130067</v>
      </c>
      <c r="BN43" s="882">
        <f>VLOOKUP($A43,[1]!LandfillAggressiveK4,BN$7,FALSE)</f>
        <v>0.43251368544083157</v>
      </c>
      <c r="BO43" s="883">
        <f>VLOOKUP($A43,[1]!LandfillAggressiveK4,BO$7,FALSE)</f>
        <v>0.53264793534615207</v>
      </c>
      <c r="BP43" s="884">
        <f>-1*VLOOKUP($A43,[1]Landfilling!$N$27:$R$41,5,FALSE)</f>
        <v>-1.0630330304337332</v>
      </c>
      <c r="BQ43" s="885">
        <f>VLOOKUP($A43,'[1]Post-Consumer Transport'!$C$33:$K$88,3,FALSE)+VLOOKUP($A43,'[1]Post-Consumer Transport'!$C$33:$K$88,4,FALSE)</f>
        <v>2.0254519141196047E-2</v>
      </c>
      <c r="BR43" s="886">
        <f t="shared" si="100"/>
        <v>0.26185293514886254</v>
      </c>
      <c r="BS43" s="882">
        <f t="shared" si="40"/>
        <v>-0.38979744141123651</v>
      </c>
      <c r="BT43" s="882">
        <f t="shared" si="41"/>
        <v>-0.61026482585170561</v>
      </c>
      <c r="BU43" s="883">
        <f t="shared" si="42"/>
        <v>-0.51013057594638511</v>
      </c>
      <c r="BV43" s="537">
        <f>VLOOKUP($A43,[1]!LandfillAggressiveK6,BV$7,FALSE)</f>
        <v>1.3046314464413997</v>
      </c>
      <c r="BW43" s="538">
        <f>VLOOKUP($A43,[1]!LandfillAggressiveK6,BW$7,FALSE)</f>
        <v>0.63373148461991924</v>
      </c>
      <c r="BX43" s="538">
        <f>VLOOKUP($A43,[1]!LandfillAggressiveK6,BX$7,FALSE)</f>
        <v>0.45082732052906266</v>
      </c>
      <c r="BY43" s="539">
        <f>VLOOKUP($A43,[1]!LandfillAggressiveK6,BY$7,FALSE)</f>
        <v>0.54411987252106442</v>
      </c>
      <c r="BZ43" s="540">
        <f>-1*VLOOKUP($A43,[1]Landfilling!$N$27:$R$41,5,FALSE)</f>
        <v>-1.0630330304337332</v>
      </c>
      <c r="CA43" s="541">
        <f>VLOOKUP($A43,'[1]Post-Consumer Transport'!$C$33:$K$88,3,FALSE)+VLOOKUP($A43,'[1]Post-Consumer Transport'!$C$33:$K$88,4,FALSE)</f>
        <v>2.0254519141196047E-2</v>
      </c>
      <c r="CB43" s="542">
        <f t="shared" si="101"/>
        <v>0.26185293514886254</v>
      </c>
      <c r="CC43" s="538">
        <f t="shared" si="44"/>
        <v>-0.40904702667261794</v>
      </c>
      <c r="CD43" s="538">
        <f t="shared" si="45"/>
        <v>-0.59195119076347447</v>
      </c>
      <c r="CE43" s="539">
        <f t="shared" si="46"/>
        <v>-0.49865863877147276</v>
      </c>
      <c r="CF43" s="537">
        <f>VLOOKUP($A43,[1]!LandfillAggressiveK12,CF$7,FALSE)</f>
        <v>1.3046314464413997</v>
      </c>
      <c r="CG43" s="538">
        <f>VLOOKUP($A43,[1]!LandfillAggressiveK12,CG$7,FALSE)</f>
        <v>0.58302670238670573</v>
      </c>
      <c r="CH43" s="538">
        <f>VLOOKUP($A43,[1]!LandfillAggressiveK12,CH$7,FALSE)</f>
        <v>0.45798363267098841</v>
      </c>
      <c r="CI43" s="539">
        <f>VLOOKUP($A43,[1]!LandfillAggressiveK12,CI$7,FALSE)</f>
        <v>0.54107004946698223</v>
      </c>
      <c r="CJ43" s="540">
        <f>-1*VLOOKUP($A43,[1]Landfilling!$N$27:$R$41,5,FALSE)</f>
        <v>-1.0630330304337332</v>
      </c>
      <c r="CK43" s="541">
        <f>VLOOKUP($A43,'[1]Post-Consumer Transport'!$C$33:$K$88,3,FALSE)+VLOOKUP($A43,'[1]Post-Consumer Transport'!$C$33:$K$88,4,FALSE)</f>
        <v>2.0254519141196047E-2</v>
      </c>
      <c r="CL43" s="542">
        <f t="shared" si="102"/>
        <v>0.26185293514886254</v>
      </c>
      <c r="CM43" s="538">
        <f t="shared" si="48"/>
        <v>-0.45975180890583145</v>
      </c>
      <c r="CN43" s="538">
        <f t="shared" si="49"/>
        <v>-0.58479487862154877</v>
      </c>
      <c r="CO43" s="539">
        <f t="shared" si="50"/>
        <v>-0.50170846182555495</v>
      </c>
      <c r="CP43" s="537">
        <f>VLOOKUP($A43,[1]!LandfillAggressiveNatlAverage,CP$7,FALSE)</f>
        <v>1.3046314464413997</v>
      </c>
      <c r="CQ43" s="538">
        <f>VLOOKUP($A43,[1]!LandfillAggressiveNatlAverage,CQ$7,FALSE)</f>
        <v>0.64469325939257915</v>
      </c>
      <c r="CR43" s="538">
        <f>VLOOKUP($A43,[1]!LandfillAggressiveNatlAverage,CR$7,FALSE)</f>
        <v>0.42624236765614371</v>
      </c>
      <c r="CS43" s="539">
        <f>VLOOKUP($A43,[1]!LandfillAggressiveNatlAverage,CS$7,FALSE)</f>
        <v>0.52579990928682263</v>
      </c>
      <c r="CT43" s="540">
        <f>-1*VLOOKUP($A43,[1]Landfilling!$N$27:$R$41,5,FALSE)</f>
        <v>-1.0630330304337332</v>
      </c>
      <c r="CU43" s="541">
        <f>VLOOKUP($A43,'[1]Post-Consumer Transport'!$C$33:$K$88,3,FALSE)+VLOOKUP($A43,'[1]Post-Consumer Transport'!$C$33:$K$88,4,FALSE)</f>
        <v>2.0254519141196047E-2</v>
      </c>
      <c r="CV43" s="542">
        <f t="shared" si="103"/>
        <v>0.26185293514886254</v>
      </c>
      <c r="CW43" s="538">
        <f t="shared" si="52"/>
        <v>-0.39808525189995803</v>
      </c>
      <c r="CX43" s="538">
        <f t="shared" si="53"/>
        <v>-0.61653614363639342</v>
      </c>
      <c r="CY43" s="539">
        <f t="shared" si="54"/>
        <v>-0.51697860200571455</v>
      </c>
      <c r="DA43" s="537">
        <f>VLOOKUP($A43,[1]!LandfillWorstK2,DA$7,FALSE)</f>
        <v>1.3046314464413997</v>
      </c>
      <c r="DB43" s="538">
        <f>VLOOKUP($A43,[1]!LandfillWorstK2,DB$7,FALSE)</f>
        <v>0.71344359900135412</v>
      </c>
      <c r="DC43" s="538">
        <f>VLOOKUP($A43,[1]!LandfillWorstK2,DC$7,FALSE)</f>
        <v>0.36854440021771206</v>
      </c>
      <c r="DD43" s="539">
        <f>VLOOKUP($A43,[1]!LandfillWorstK2,DD$7,FALSE)</f>
        <v>0.48803608790729269</v>
      </c>
      <c r="DE43" s="540">
        <f>-1*VLOOKUP($A43,[1]Landfilling!$N$27:$R$41,5,FALSE)</f>
        <v>-1.0630330304337332</v>
      </c>
      <c r="DF43" s="541">
        <f>VLOOKUP($A43,'[1]Post-Consumer Transport'!$C$33:$K$88,3,FALSE)+VLOOKUP($A43,'[1]Post-Consumer Transport'!$C$33:$K$88,4,FALSE)</f>
        <v>2.0254519141196047E-2</v>
      </c>
      <c r="DG43" s="542">
        <f t="shared" si="104"/>
        <v>0.26185293514886254</v>
      </c>
      <c r="DH43" s="538">
        <f t="shared" si="56"/>
        <v>-0.32933491229118306</v>
      </c>
      <c r="DI43" s="538">
        <f t="shared" si="57"/>
        <v>-0.67423411107482512</v>
      </c>
      <c r="DJ43" s="539">
        <f t="shared" si="58"/>
        <v>-0.55474242338524449</v>
      </c>
      <c r="DK43" s="537">
        <f>VLOOKUP($A43,[1]!LandfillWorstK4,DK$7,FALSE)</f>
        <v>1.3046314464413997</v>
      </c>
      <c r="DL43" s="538">
        <f>VLOOKUP($A43,[1]!LandfillWorstK4,DL$7,FALSE)</f>
        <v>0.68787904535433808</v>
      </c>
      <c r="DM43" s="538">
        <f>VLOOKUP($A43,[1]!LandfillWorstK4,DM$7,FALSE)</f>
        <v>0.4587204347794262</v>
      </c>
      <c r="DN43" s="539">
        <f>VLOOKUP($A43,[1]!LandfillWorstK4,DN$7,FALSE)</f>
        <v>0.55793607571866621</v>
      </c>
      <c r="DO43" s="540">
        <f>-1*VLOOKUP($A43,[1]Landfilling!$N$27:$R$41,5,FALSE)</f>
        <v>-1.0630330304337332</v>
      </c>
      <c r="DP43" s="541">
        <f>VLOOKUP($A43,'[1]Post-Consumer Transport'!$C$33:$K$88,3,FALSE)+VLOOKUP($A43,'[1]Post-Consumer Transport'!$C$33:$K$88,4,FALSE)</f>
        <v>2.0254519141196047E-2</v>
      </c>
      <c r="DQ43" s="542">
        <f t="shared" si="105"/>
        <v>0.26185293514886254</v>
      </c>
      <c r="DR43" s="538">
        <f t="shared" si="60"/>
        <v>-0.3548994659381991</v>
      </c>
      <c r="DS43" s="538">
        <f t="shared" si="61"/>
        <v>-0.58405807651311092</v>
      </c>
      <c r="DT43" s="539">
        <f t="shared" si="62"/>
        <v>-0.48484243557387097</v>
      </c>
      <c r="DU43" s="537">
        <f>VLOOKUP($A43,[1]!LandfillWorstK6,DU$7,FALSE)</f>
        <v>1.3046314464413997</v>
      </c>
      <c r="DV43" s="538">
        <f>VLOOKUP($A43,[1]!LandfillWorstK6,DV$7,FALSE)</f>
        <v>0.68172886016177459</v>
      </c>
      <c r="DW43" s="538">
        <f>VLOOKUP($A43,[1]!LandfillWorstK6,DW$7,FALSE)</f>
        <v>0.48885657330137089</v>
      </c>
      <c r="DX43" s="539">
        <f>VLOOKUP($A43,[1]!LandfillWorstK6,DX$7,FALSE)</f>
        <v>0.58051387344235861</v>
      </c>
      <c r="DY43" s="540">
        <f>-1*VLOOKUP($A43,[1]Landfilling!$N$27:$R$41,5,FALSE)</f>
        <v>-1.0630330304337332</v>
      </c>
      <c r="DZ43" s="541">
        <f>VLOOKUP($A43,'[1]Post-Consumer Transport'!$C$33:$K$88,3,FALSE)+VLOOKUP($A43,'[1]Post-Consumer Transport'!$C$33:$K$88,4,FALSE)</f>
        <v>2.0254519141196047E-2</v>
      </c>
      <c r="EA43" s="542">
        <f t="shared" si="106"/>
        <v>0.26185293514886254</v>
      </c>
      <c r="EB43" s="538">
        <f t="shared" si="64"/>
        <v>-0.36104965113076259</v>
      </c>
      <c r="EC43" s="538">
        <f t="shared" si="65"/>
        <v>-0.55392193799116629</v>
      </c>
      <c r="ED43" s="539">
        <f t="shared" si="66"/>
        <v>-0.46226463785017857</v>
      </c>
      <c r="EE43" s="537">
        <f>VLOOKUP($A43,[1]!LandfillWorstK12,EE$7,FALSE)</f>
        <v>1.3046314464413997</v>
      </c>
      <c r="EF43" s="538">
        <f>VLOOKUP($A43,[1]!LandfillWorstK12,EF$7,FALSE)</f>
        <v>0.65743612914201266</v>
      </c>
      <c r="EG43" s="538">
        <f>VLOOKUP($A43,[1]!LandfillWorstK12,EG$7,FALSE)</f>
        <v>0.53424614792304481</v>
      </c>
      <c r="EH43" s="539">
        <f>VLOOKUP($A43,[1]!LandfillWorstK12,EH$7,FALSE)</f>
        <v>0.61175703554267147</v>
      </c>
      <c r="EI43" s="540">
        <f>-1*VLOOKUP($A43,[1]Landfilling!$N$27:$R$41,5,FALSE)</f>
        <v>-1.0630330304337332</v>
      </c>
      <c r="EJ43" s="541">
        <f>VLOOKUP($A43,'[1]Post-Consumer Transport'!$C$33:$K$88,3,FALSE)+VLOOKUP($A43,'[1]Post-Consumer Transport'!$C$33:$K$88,4,FALSE)</f>
        <v>2.0254519141196047E-2</v>
      </c>
      <c r="EK43" s="542">
        <f t="shared" si="107"/>
        <v>0.26185293514886254</v>
      </c>
      <c r="EL43" s="538">
        <f t="shared" si="68"/>
        <v>-0.38534238215052452</v>
      </c>
      <c r="EM43" s="538">
        <f t="shared" si="69"/>
        <v>-0.50853236336949237</v>
      </c>
      <c r="EN43" s="539">
        <f t="shared" si="70"/>
        <v>-0.43102147574986571</v>
      </c>
      <c r="EO43" s="537">
        <f>VLOOKUP($A43,[1]!LandfillWorstNatlAverage,EO$7,FALSE)</f>
        <v>1.3046314464413997</v>
      </c>
      <c r="EP43" s="538">
        <f>VLOOKUP($A43,[1]!LandfillWorstNatlAverage,EP$7,FALSE)</f>
        <v>0.68741993834836512</v>
      </c>
      <c r="EQ43" s="538">
        <f>VLOOKUP($A43,[1]!LandfillWorstNatlAverage,EQ$7,FALSE)</f>
        <v>0.46062375211396445</v>
      </c>
      <c r="ER43" s="539">
        <f>VLOOKUP($A43,[1]!LandfillWorstNatlAverage,ER$7,FALSE)</f>
        <v>0.55861764900322952</v>
      </c>
      <c r="ES43" s="540">
        <f>-1*VLOOKUP($A43,[1]Landfilling!$N$27:$R$41,5,FALSE)</f>
        <v>-1.0630330304337332</v>
      </c>
      <c r="ET43" s="541">
        <f>VLOOKUP($A43,'[1]Post-Consumer Transport'!$C$33:$K$88,3,FALSE)+VLOOKUP($A43,'[1]Post-Consumer Transport'!$C$33:$K$88,4,FALSE)</f>
        <v>2.0254519141196047E-2</v>
      </c>
      <c r="EU43" s="542">
        <f t="shared" si="108"/>
        <v>0.26185293514886254</v>
      </c>
      <c r="EV43" s="538">
        <f t="shared" si="72"/>
        <v>-0.35535857294417206</v>
      </c>
      <c r="EW43" s="538">
        <f t="shared" si="73"/>
        <v>-0.58215475917857273</v>
      </c>
      <c r="EX43" s="539">
        <f t="shared" si="74"/>
        <v>-0.48416086228930766</v>
      </c>
      <c r="EZ43" s="537">
        <f>VLOOKUP($A43,[1]!LandfillCaliK2,EZ$7,FALSE)</f>
        <v>1.3046314464413997</v>
      </c>
      <c r="FA43" s="538">
        <f>VLOOKUP($A43,[1]!LandfillCaliK2,FA$7,FALSE)</f>
        <v>0.30738319244849532</v>
      </c>
      <c r="FB43" s="538">
        <f>VLOOKUP($A43,[1]!LandfillCaliK2,FB$7,FALSE)</f>
        <v>0.16474041992343583</v>
      </c>
      <c r="FC43" s="539">
        <f>VLOOKUP($A43,[1]!LandfillCaliK2,FC$7,FALSE)</f>
        <v>0.28200225426710968</v>
      </c>
      <c r="FD43" s="540">
        <f>-1*VLOOKUP($A43,[1]Landfilling!$N$27:$R$41,5,FALSE)</f>
        <v>-1.0630330304337332</v>
      </c>
      <c r="FE43" s="541">
        <f>VLOOKUP($A43,'[1]Post-Consumer Transport'!$C$33:$K$88,3,FALSE)+VLOOKUP($A43,'[1]Post-Consumer Transport'!$C$33:$K$88,4,FALSE)</f>
        <v>2.0254519141196047E-2</v>
      </c>
      <c r="FF43" s="542">
        <f t="shared" si="109"/>
        <v>0.26185293514886254</v>
      </c>
      <c r="FG43" s="538">
        <f t="shared" si="76"/>
        <v>-0.73539531884404186</v>
      </c>
      <c r="FH43" s="538">
        <f t="shared" si="77"/>
        <v>-0.87803809136910138</v>
      </c>
      <c r="FI43" s="539">
        <f t="shared" si="78"/>
        <v>-0.7607762570254275</v>
      </c>
      <c r="FJ43" s="537">
        <f>VLOOKUP($A43,[1]!LandfillCaliK4,FJ$7,FALSE)</f>
        <v>1.3046314464413997</v>
      </c>
      <c r="FK43" s="538">
        <f>VLOOKUP($A43,[1]!LandfillCaliK4,FK$7,FALSE)</f>
        <v>0.28937685801508001</v>
      </c>
      <c r="FL43" s="538">
        <f>VLOOKUP($A43,[1]!LandfillCaliK4,FL$7,FALSE)</f>
        <v>0.24171443371482473</v>
      </c>
      <c r="FM43" s="539">
        <f>VLOOKUP($A43,[1]!LandfillCaliK4,FM$7,FALSE)</f>
        <v>0.3434516185889116</v>
      </c>
      <c r="FN43" s="540">
        <f>-1*VLOOKUP($A43,[1]Landfilling!$N$27:$R$41,5,FALSE)</f>
        <v>-1.0630330304337332</v>
      </c>
      <c r="FO43" s="541">
        <f>VLOOKUP($A43,'[1]Post-Consumer Transport'!$C$33:$K$88,3,FALSE)+VLOOKUP($A43,'[1]Post-Consumer Transport'!$C$33:$K$88,4,FALSE)</f>
        <v>2.0254519141196047E-2</v>
      </c>
      <c r="FP43" s="542">
        <f t="shared" si="110"/>
        <v>0.26185293514886254</v>
      </c>
      <c r="FQ43" s="538">
        <f t="shared" si="80"/>
        <v>-0.75340165327745723</v>
      </c>
      <c r="FR43" s="538">
        <f t="shared" si="81"/>
        <v>-0.80106407757771247</v>
      </c>
      <c r="FS43" s="539">
        <f t="shared" si="82"/>
        <v>-0.69932689270362558</v>
      </c>
      <c r="FT43" s="537">
        <f>VLOOKUP($A43,[1]!LandfillCaliK6,FT$7,FALSE)</f>
        <v>1.3046314464413997</v>
      </c>
      <c r="FU43" s="538">
        <f>VLOOKUP($A43,[1]!LandfillCaliK6,FU$7,FALSE)</f>
        <v>0.32757100394209432</v>
      </c>
      <c r="FV43" s="538">
        <f>VLOOKUP($A43,[1]!LandfillCaliK6,FV$7,FALSE)</f>
        <v>0.29162997911372762</v>
      </c>
      <c r="FW43" s="539">
        <f>VLOOKUP($A43,[1]!LandfillCaliK6,FW$7,FALSE)</f>
        <v>0.38492215936235696</v>
      </c>
      <c r="FX43" s="540">
        <f>-1*VLOOKUP($A43,[1]Landfilling!$N$27:$R$41,5,FALSE)</f>
        <v>-1.0630330304337332</v>
      </c>
      <c r="FY43" s="541">
        <f>VLOOKUP($A43,'[1]Post-Consumer Transport'!$C$33:$K$88,3,FALSE)+VLOOKUP($A43,'[1]Post-Consumer Transport'!$C$33:$K$88,4,FALSE)</f>
        <v>2.0254519141196047E-2</v>
      </c>
      <c r="FZ43" s="542">
        <f t="shared" si="111"/>
        <v>0.26185293514886254</v>
      </c>
      <c r="GA43" s="538">
        <f t="shared" si="84"/>
        <v>-0.71520750735044292</v>
      </c>
      <c r="GB43" s="538">
        <f t="shared" si="85"/>
        <v>-0.75114853217880961</v>
      </c>
      <c r="GC43" s="539">
        <f t="shared" si="86"/>
        <v>-0.65785635193018022</v>
      </c>
      <c r="GD43" s="537">
        <f>VLOOKUP($A43,[1]!LandfillCaliK12,GD$7,FALSE)</f>
        <v>1.3046314464413997</v>
      </c>
      <c r="GE43" s="538">
        <f>VLOOKUP($A43,[1]!LandfillCaliK12,GE$7,FALSE)</f>
        <v>0.35634927015931134</v>
      </c>
      <c r="GF43" s="538">
        <f>VLOOKUP($A43,[1]!LandfillCaliK12,GF$7,FALSE)</f>
        <v>0.33452992364032996</v>
      </c>
      <c r="GG43" s="539">
        <f>VLOOKUP($A43,[1]!LandfillCaliK12,GG$7,FALSE)</f>
        <v>0.41777887298405314</v>
      </c>
      <c r="GH43" s="540">
        <f>-1*VLOOKUP($A43,[1]Landfilling!$N$27:$R$41,5,FALSE)</f>
        <v>-1.0630330304337332</v>
      </c>
      <c r="GI43" s="541">
        <f>VLOOKUP($A43,'[1]Post-Consumer Transport'!$C$33:$K$88,3,FALSE)+VLOOKUP($A43,'[1]Post-Consumer Transport'!$C$33:$K$88,4,FALSE)</f>
        <v>2.0254519141196047E-2</v>
      </c>
      <c r="GJ43" s="542">
        <f t="shared" si="112"/>
        <v>0.26185293514886254</v>
      </c>
      <c r="GK43" s="538">
        <f t="shared" si="88"/>
        <v>-0.68642924113322579</v>
      </c>
      <c r="GL43" s="538">
        <f t="shared" si="89"/>
        <v>-0.70824858765220722</v>
      </c>
      <c r="GM43" s="539">
        <f t="shared" si="90"/>
        <v>-0.62499963830848404</v>
      </c>
      <c r="GN43" s="537">
        <f>VLOOKUP($A43,[1]!LandfillCaliNatlAverage,GN$7,FALSE)</f>
        <v>1.3046314464413997</v>
      </c>
      <c r="GO43" s="538">
        <f>VLOOKUP($A43,[1]!LandfillCaliNatlAverage,GO$7,FALSE)</f>
        <v>0.31537316009218902</v>
      </c>
      <c r="GP43" s="538">
        <f>VLOOKUP($A43,[1]!LandfillCaliNatlAverage,GP$7,FALSE)</f>
        <v>0.25611646910804658</v>
      </c>
      <c r="GQ43" s="539">
        <f>VLOOKUP($A43,[1]!LandfillCaliNatlAverage,GQ$7,FALSE)</f>
        <v>0.35563886342195145</v>
      </c>
      <c r="GR43" s="540">
        <f>-1*VLOOKUP($A43,[1]Landfilling!$N$27:$R$41,5,FALSE)</f>
        <v>-1.0630330304337332</v>
      </c>
      <c r="GS43" s="541">
        <f>VLOOKUP($A43,'[1]Post-Consumer Transport'!$C$33:$K$88,3,FALSE)+VLOOKUP($A43,'[1]Post-Consumer Transport'!$C$33:$K$88,4,FALSE)</f>
        <v>2.0254519141196047E-2</v>
      </c>
      <c r="GT43" s="542">
        <f t="shared" si="113"/>
        <v>0.26185293514886254</v>
      </c>
      <c r="GU43" s="538">
        <f t="shared" si="92"/>
        <v>-0.72740535120034822</v>
      </c>
      <c r="GV43" s="538">
        <f t="shared" si="93"/>
        <v>-0.78666204218449054</v>
      </c>
      <c r="GW43" s="539">
        <f t="shared" si="94"/>
        <v>-0.68713964787058579</v>
      </c>
    </row>
    <row r="44" spans="1:205" s="497" customFormat="1" ht="13" x14ac:dyDescent="0.3">
      <c r="A44" s="495" t="str">
        <f t="shared" si="16"/>
        <v>Mixed Paper (general)</v>
      </c>
      <c r="B44" s="496" t="s">
        <v>583</v>
      </c>
      <c r="C44" s="537">
        <f>VLOOKUP($A44,[1]!LandfillTypicalK2,C$7,FALSE)</f>
        <v>2.1449203837138002</v>
      </c>
      <c r="D44" s="538">
        <f>VLOOKUP($A44,[1]!LandfillTypicalK2,D$7,FALSE)</f>
        <v>1.0901555007483998</v>
      </c>
      <c r="E44" s="538">
        <f>VLOOKUP($A44,[1]!LandfillTypicalK2,E$7,FALSE)</f>
        <v>0.56082164426961734</v>
      </c>
      <c r="F44" s="621">
        <f>VLOOKUP($A44,[1]!LandfillTypicalK2,F$7,FALSE)</f>
        <v>0.75593785106825007</v>
      </c>
      <c r="G44" s="543">
        <f>+[1]Assumptions!$E$24*G25+[1]Assumptions!$E$25*G23+[1]Assumptions!$E$26*G26+[1]Assumptions!$E$27*G24</f>
        <v>-0.72263996523759499</v>
      </c>
      <c r="H44" s="544">
        <f>VLOOKUP($A44,'[1]Post-Consumer Transport'!$C$33:$K$88,3,FALSE)+VLOOKUP($A44,'[1]Post-Consumer Transport'!$C$33:$K$88,4,FALSE)</f>
        <v>2.0254519141196047E-2</v>
      </c>
      <c r="I44" s="542">
        <f t="shared" si="134"/>
        <v>1.4425349376174013</v>
      </c>
      <c r="J44" s="538">
        <f t="shared" si="135"/>
        <v>0.38777005465200087</v>
      </c>
      <c r="K44" s="538">
        <f t="shared" si="136"/>
        <v>-0.1415638018267816</v>
      </c>
      <c r="L44" s="539">
        <f t="shared" si="137"/>
        <v>5.3552404971851118E-2</v>
      </c>
      <c r="M44" s="537">
        <f>VLOOKUP($A44,[1]!LandfillTypicalK4,M$7,FALSE)</f>
        <v>2.1449203837138002</v>
      </c>
      <c r="N44" s="538">
        <f>VLOOKUP($A44,[1]!LandfillTypicalK4,N$7,FALSE)</f>
        <v>1.0155853557047052</v>
      </c>
      <c r="O44" s="538">
        <f>VLOOKUP($A44,[1]!LandfillTypicalK4,O$7,FALSE)</f>
        <v>0.66459925007089615</v>
      </c>
      <c r="P44" s="539">
        <f>VLOOKUP($A44,[1]!LandfillTypicalK4,P$7,FALSE)</f>
        <v>0.82949810646801403</v>
      </c>
      <c r="Q44" s="543">
        <f>+[1]Assumptions!$E$24*Q25+[1]Assumptions!$E$25*Q23+[1]Assumptions!$E$26*Q26+[1]Assumptions!$E$27*Q24</f>
        <v>-0.72263996523759499</v>
      </c>
      <c r="R44" s="544">
        <f>VLOOKUP($A44,'[1]Post-Consumer Transport'!$C$33:$K$88,3,FALSE)+VLOOKUP($A44,'[1]Post-Consumer Transport'!$C$33:$K$88,4,FALSE)</f>
        <v>2.0254519141196047E-2</v>
      </c>
      <c r="S44" s="542">
        <f t="shared" si="95"/>
        <v>1.4425349376174013</v>
      </c>
      <c r="T44" s="538">
        <f t="shared" si="20"/>
        <v>0.31319990960830624</v>
      </c>
      <c r="U44" s="538">
        <f t="shared" si="21"/>
        <v>-3.7786196025502795E-2</v>
      </c>
      <c r="V44" s="539">
        <f t="shared" si="22"/>
        <v>0.12711266037161509</v>
      </c>
      <c r="W44" s="537">
        <f>VLOOKUP($A44,[1]!LandfillTypicalK6,W$7,FALSE)</f>
        <v>2.1449203837138002</v>
      </c>
      <c r="X44" s="538">
        <f>VLOOKUP($A44,[1]!LandfillTypicalK6,X$7,FALSE)</f>
        <v>0.97109164391501934</v>
      </c>
      <c r="Y44" s="538">
        <f>VLOOKUP($A44,[1]!LandfillTypicalK6,Y$7,FALSE)</f>
        <v>0.70043553506727918</v>
      </c>
      <c r="Z44" s="539">
        <f>VLOOKUP($A44,[1]!LandfillTypicalK6,Z$7,FALSE)</f>
        <v>0.850399396791782</v>
      </c>
      <c r="AA44" s="543">
        <f>+[1]Assumptions!$E$24*AA25+[1]Assumptions!$E$25*AA23+[1]Assumptions!$E$26*AA26+[1]Assumptions!$E$27*AA24</f>
        <v>-0.72263996523759499</v>
      </c>
      <c r="AB44" s="544">
        <f>VLOOKUP($A44,'[1]Post-Consumer Transport'!$C$33:$K$88,3,FALSE)+VLOOKUP($A44,'[1]Post-Consumer Transport'!$C$33:$K$88,4,FALSE)</f>
        <v>2.0254519141196047E-2</v>
      </c>
      <c r="AC44" s="542">
        <f t="shared" si="96"/>
        <v>1.4425349376174013</v>
      </c>
      <c r="AD44" s="538">
        <f t="shared" si="24"/>
        <v>0.26870619781862037</v>
      </c>
      <c r="AE44" s="538">
        <f t="shared" si="25"/>
        <v>-1.9499110291197677E-3</v>
      </c>
      <c r="AF44" s="539">
        <f t="shared" si="26"/>
        <v>0.14801395069538306</v>
      </c>
      <c r="AG44" s="537">
        <f>VLOOKUP($A44,[1]!LandfillTypicalK12,AG$7,FALSE)</f>
        <v>2.1449203837138002</v>
      </c>
      <c r="AH44" s="538">
        <f>VLOOKUP($A44,[1]!LandfillTypicalK12,AH$7,FALSE)</f>
        <v>0.92463390126967915</v>
      </c>
      <c r="AI44" s="538">
        <f>VLOOKUP($A44,[1]!LandfillTypicalK12,AI$7,FALSE)</f>
        <v>0.75542174103447179</v>
      </c>
      <c r="AJ44" s="539">
        <f>VLOOKUP($A44,[1]!LandfillTypicalK12,AJ$7,FALSE)</f>
        <v>0.88465397433013326</v>
      </c>
      <c r="AK44" s="543">
        <f>+[1]Assumptions!$E$24*AK25+[1]Assumptions!$E$25*AK23+[1]Assumptions!$E$26*AK26+[1]Assumptions!$E$27*AK24</f>
        <v>-0.72263996523759499</v>
      </c>
      <c r="AL44" s="544">
        <f>VLOOKUP($A44,'[1]Post-Consumer Transport'!$C$33:$K$88,3,FALSE)+VLOOKUP($A44,'[1]Post-Consumer Transport'!$C$33:$K$88,4,FALSE)</f>
        <v>2.0254519141196047E-2</v>
      </c>
      <c r="AM44" s="542">
        <f t="shared" si="97"/>
        <v>1.4425349376174013</v>
      </c>
      <c r="AN44" s="538">
        <f t="shared" si="28"/>
        <v>0.22224845517328021</v>
      </c>
      <c r="AO44" s="538">
        <f t="shared" si="29"/>
        <v>5.3036294938072846E-2</v>
      </c>
      <c r="AP44" s="539">
        <f t="shared" si="30"/>
        <v>0.18226852823373432</v>
      </c>
      <c r="AQ44" s="537">
        <f>VLOOKUP($A44,[1]!LandfillTypicalNatlAverage,AQ$7,FALSE)</f>
        <v>2.1449203837138002</v>
      </c>
      <c r="AR44" s="538">
        <f>VLOOKUP($A44,[1]!LandfillTypicalNatlAverage,AR$7,FALSE)</f>
        <v>1.0031173237243807</v>
      </c>
      <c r="AS44" s="538">
        <f>VLOOKUP($A44,[1]!LandfillTypicalNatlAverage,AS$7,FALSE)</f>
        <v>0.66765469114051135</v>
      </c>
      <c r="AT44" s="539">
        <f>VLOOKUP($A44,[1]!LandfillTypicalNatlAverage,AT$7,FALSE)</f>
        <v>0.82889207249734176</v>
      </c>
      <c r="AU44" s="543">
        <f>+[1]Assumptions!$E$24*AU25+[1]Assumptions!$E$25*AU23+[1]Assumptions!$E$26*AU26+[1]Assumptions!$E$27*AU24</f>
        <v>-0.72263996523759499</v>
      </c>
      <c r="AV44" s="544">
        <f>VLOOKUP($A44,'[1]Post-Consumer Transport'!$C$33:$K$88,3,FALSE)+VLOOKUP($A44,'[1]Post-Consumer Transport'!$C$33:$K$88,4,FALSE)</f>
        <v>2.0254519141196047E-2</v>
      </c>
      <c r="AW44" s="542">
        <f t="shared" si="98"/>
        <v>1.4425349376174013</v>
      </c>
      <c r="AX44" s="538">
        <f t="shared" si="32"/>
        <v>0.3007318776279817</v>
      </c>
      <c r="AY44" s="538">
        <f t="shared" si="33"/>
        <v>-3.4730754955887601E-2</v>
      </c>
      <c r="AZ44" s="539">
        <f t="shared" si="34"/>
        <v>0.12650662640094282</v>
      </c>
      <c r="BB44" s="537">
        <f>VLOOKUP($A44,[1]!LandfillAggressiveK2,BB$7,FALSE)</f>
        <v>2.1449203837138002</v>
      </c>
      <c r="BC44" s="538">
        <f>VLOOKUP($A44,[1]!LandfillAggressiveK2,BC$7,FALSE)</f>
        <v>1.0753776468930016</v>
      </c>
      <c r="BD44" s="538">
        <f>VLOOKUP($A44,[1]!LandfillAggressiveK2,BD$7,FALSE)</f>
        <v>0.55384356565747306</v>
      </c>
      <c r="BE44" s="539">
        <f>VLOOKUP($A44,[1]!LandfillAggressiveK2,BE$7,FALSE)</f>
        <v>0.74885857217622642</v>
      </c>
      <c r="BF44" s="543">
        <f>+[1]Assumptions!$E$24*BF25+[1]Assumptions!$E$25*BF23+[1]Assumptions!$E$26*BF26+[1]Assumptions!$E$27*BF24</f>
        <v>-0.72263996523759499</v>
      </c>
      <c r="BG44" s="544">
        <f>VLOOKUP($A44,'[1]Post-Consumer Transport'!$C$33:$K$88,3,FALSE)+VLOOKUP($A44,'[1]Post-Consumer Transport'!$C$33:$K$88,4,FALSE)</f>
        <v>2.0254519141196047E-2</v>
      </c>
      <c r="BH44" s="542">
        <f t="shared" si="99"/>
        <v>1.4425349376174013</v>
      </c>
      <c r="BI44" s="538">
        <f t="shared" si="36"/>
        <v>0.37299220079660267</v>
      </c>
      <c r="BJ44" s="538">
        <f t="shared" si="37"/>
        <v>-0.14854188043892588</v>
      </c>
      <c r="BK44" s="539">
        <f t="shared" si="38"/>
        <v>4.6473126079827475E-2</v>
      </c>
      <c r="BL44" s="881">
        <f>VLOOKUP($A44,[1]!LandfillAggressiveK4,BL$7,FALSE)</f>
        <v>2.1449203837138002</v>
      </c>
      <c r="BM44" s="882">
        <f>VLOOKUP($A44,[1]!LandfillAggressiveK4,BM$7,FALSE)</f>
        <v>0.98845763800433295</v>
      </c>
      <c r="BN44" s="882">
        <f>VLOOKUP($A44,[1]!LandfillAggressiveK4,BN$7,FALSE)</f>
        <v>0.64841093654321835</v>
      </c>
      <c r="BO44" s="883">
        <f>VLOOKUP($A44,[1]!LandfillAggressiveK4,BO$7,FALSE)</f>
        <v>0.81281986871002621</v>
      </c>
      <c r="BP44" s="884">
        <f>+[1]Assumptions!$E$24*BP25+[1]Assumptions!$E$25*BP23+[1]Assumptions!$E$26*BP26+[1]Assumptions!$E$27*BP24</f>
        <v>-0.72263996523759499</v>
      </c>
      <c r="BQ44" s="885">
        <f>VLOOKUP($A44,'[1]Post-Consumer Transport'!$C$33:$K$88,3,FALSE)+VLOOKUP($A44,'[1]Post-Consumer Transport'!$C$33:$K$88,4,FALSE)</f>
        <v>2.0254519141196047E-2</v>
      </c>
      <c r="BR44" s="886">
        <f t="shared" si="100"/>
        <v>1.4425349376174013</v>
      </c>
      <c r="BS44" s="882">
        <f t="shared" si="40"/>
        <v>0.28607219190793398</v>
      </c>
      <c r="BT44" s="882">
        <f t="shared" si="41"/>
        <v>-5.3974509553180595E-2</v>
      </c>
      <c r="BU44" s="883">
        <f t="shared" si="42"/>
        <v>0.11043442261362726</v>
      </c>
      <c r="BV44" s="537">
        <f>VLOOKUP($A44,[1]!LandfillAggressiveK6,BV$7,FALSE)</f>
        <v>2.1449203837138002</v>
      </c>
      <c r="BW44" s="538">
        <f>VLOOKUP($A44,[1]!LandfillAggressiveK6,BW$7,FALSE)</f>
        <v>0.94491338476346742</v>
      </c>
      <c r="BX44" s="538">
        <f>VLOOKUP($A44,[1]!LandfillAggressiveK6,BX$7,FALSE)</f>
        <v>0.66380122440501366</v>
      </c>
      <c r="BY44" s="539">
        <f>VLOOKUP($A44,[1]!LandfillAggressiveK6,BY$7,FALSE)</f>
        <v>0.81688968473270618</v>
      </c>
      <c r="BZ44" s="543">
        <f>+[1]Assumptions!$E$24*BZ25+[1]Assumptions!$E$25*BZ23+[1]Assumptions!$E$26*BZ26+[1]Assumptions!$E$27*BZ24</f>
        <v>-0.72263996523759499</v>
      </c>
      <c r="CA44" s="544">
        <f>VLOOKUP($A44,'[1]Post-Consumer Transport'!$C$33:$K$88,3,FALSE)+VLOOKUP($A44,'[1]Post-Consumer Transport'!$C$33:$K$88,4,FALSE)</f>
        <v>2.0254519141196047E-2</v>
      </c>
      <c r="CB44" s="542">
        <f t="shared" si="101"/>
        <v>1.4425349376174013</v>
      </c>
      <c r="CC44" s="538">
        <f t="shared" si="44"/>
        <v>0.24252793866706848</v>
      </c>
      <c r="CD44" s="538">
        <f t="shared" si="45"/>
        <v>-3.8584221691385291E-2</v>
      </c>
      <c r="CE44" s="539">
        <f t="shared" si="46"/>
        <v>0.11450423863630724</v>
      </c>
      <c r="CF44" s="537">
        <f>VLOOKUP($A44,[1]!LandfillAggressiveK12,CF$7,FALSE)</f>
        <v>2.1449203837138002</v>
      </c>
      <c r="CG44" s="538">
        <f>VLOOKUP($A44,[1]!LandfillAggressiveK12,CG$7,FALSE)</f>
        <v>0.88092399434548585</v>
      </c>
      <c r="CH44" s="538">
        <f>VLOOKUP($A44,[1]!LandfillAggressiveK12,CH$7,FALSE)</f>
        <v>0.70091448179073124</v>
      </c>
      <c r="CI44" s="539">
        <f>VLOOKUP($A44,[1]!LandfillAggressiveK12,CI$7,FALSE)</f>
        <v>0.8344404142761197</v>
      </c>
      <c r="CJ44" s="543">
        <f>+[1]Assumptions!$E$24*CJ25+[1]Assumptions!$E$25*CJ23+[1]Assumptions!$E$26*CJ26+[1]Assumptions!$E$27*CJ24</f>
        <v>-0.72263996523759499</v>
      </c>
      <c r="CK44" s="544">
        <f>VLOOKUP($A44,'[1]Post-Consumer Transport'!$C$33:$K$88,3,FALSE)+VLOOKUP($A44,'[1]Post-Consumer Transport'!$C$33:$K$88,4,FALSE)</f>
        <v>2.0254519141196047E-2</v>
      </c>
      <c r="CL44" s="542">
        <f t="shared" si="102"/>
        <v>1.4425349376174013</v>
      </c>
      <c r="CM44" s="538">
        <f t="shared" si="48"/>
        <v>0.17853854824908691</v>
      </c>
      <c r="CN44" s="538">
        <f t="shared" si="49"/>
        <v>-1.4709643056677116E-3</v>
      </c>
      <c r="CO44" s="539">
        <f t="shared" si="50"/>
        <v>0.13205496817972076</v>
      </c>
      <c r="CP44" s="537">
        <f>VLOOKUP($A44,[1]!LandfillAggressiveNatlAverage,CP$7,FALSE)</f>
        <v>2.1449203837138002</v>
      </c>
      <c r="CQ44" s="538">
        <f>VLOOKUP($A44,[1]!LandfillAggressiveNatlAverage,CQ$7,FALSE)</f>
        <v>0.97719158733418632</v>
      </c>
      <c r="CR44" s="538">
        <f>VLOOKUP($A44,[1]!LandfillAggressiveNatlAverage,CR$7,FALSE)</f>
        <v>0.64107322520201848</v>
      </c>
      <c r="CS44" s="539">
        <f>VLOOKUP($A44,[1]!LandfillAggressiveNatlAverage,CS$7,FALSE)</f>
        <v>0.80386235834519704</v>
      </c>
      <c r="CT44" s="543">
        <f>+[1]Assumptions!$E$24*CT25+[1]Assumptions!$E$25*CT23+[1]Assumptions!$E$26*CT26+[1]Assumptions!$E$27*CT24</f>
        <v>-0.72263996523759499</v>
      </c>
      <c r="CU44" s="544">
        <f>VLOOKUP($A44,'[1]Post-Consumer Transport'!$C$33:$K$88,3,FALSE)+VLOOKUP($A44,'[1]Post-Consumer Transport'!$C$33:$K$88,4,FALSE)</f>
        <v>2.0254519141196047E-2</v>
      </c>
      <c r="CV44" s="542">
        <f t="shared" si="103"/>
        <v>1.4425349376174013</v>
      </c>
      <c r="CW44" s="538">
        <f t="shared" si="52"/>
        <v>0.27480614123778735</v>
      </c>
      <c r="CX44" s="538">
        <f t="shared" si="53"/>
        <v>-6.1312220894380466E-2</v>
      </c>
      <c r="CY44" s="539">
        <f t="shared" si="54"/>
        <v>0.1014769122487981</v>
      </c>
      <c r="DA44" s="537">
        <f>VLOOKUP($A44,[1]!LandfillWorstK2,DA$7,FALSE)</f>
        <v>2.1449203837138002</v>
      </c>
      <c r="DB44" s="538">
        <f>VLOOKUP($A44,[1]!LandfillWorstK2,DB$7,FALSE)</f>
        <v>1.1388095717352382</v>
      </c>
      <c r="DC44" s="538">
        <f>VLOOKUP($A44,[1]!LandfillWorstK2,DC$7,FALSE)</f>
        <v>0.60477806864795036</v>
      </c>
      <c r="DD44" s="539">
        <f>VLOOKUP($A44,[1]!LandfillWorstK2,DD$7,FALSE)</f>
        <v>0.79700093595378574</v>
      </c>
      <c r="DE44" s="543">
        <f>+[1]Assumptions!$E$24*DE25+[1]Assumptions!$E$25*DE23+[1]Assumptions!$E$26*DE26+[1]Assumptions!$E$27*DE24</f>
        <v>-0.72263996523759499</v>
      </c>
      <c r="DF44" s="544">
        <f>VLOOKUP($A44,'[1]Post-Consumer Transport'!$C$33:$K$88,3,FALSE)+VLOOKUP($A44,'[1]Post-Consumer Transport'!$C$33:$K$88,4,FALSE)</f>
        <v>2.0254519141196047E-2</v>
      </c>
      <c r="DG44" s="542">
        <f t="shared" si="104"/>
        <v>1.4425349376174013</v>
      </c>
      <c r="DH44" s="538">
        <f t="shared" si="56"/>
        <v>0.43642412563883926</v>
      </c>
      <c r="DI44" s="538">
        <f t="shared" si="57"/>
        <v>-9.7607377448448579E-2</v>
      </c>
      <c r="DJ44" s="539">
        <f t="shared" si="58"/>
        <v>9.4615489857386798E-2</v>
      </c>
      <c r="DK44" s="537">
        <f>VLOOKUP($A44,[1]!LandfillWorstK4,DK$7,FALSE)</f>
        <v>2.1449203837138002</v>
      </c>
      <c r="DL44" s="538">
        <f>VLOOKUP($A44,[1]!LandfillWorstK4,DL$7,FALSE)</f>
        <v>1.0887252826754408</v>
      </c>
      <c r="DM44" s="538">
        <f>VLOOKUP($A44,[1]!LandfillWorstK4,DM$7,FALSE)</f>
        <v>0.73638347918698677</v>
      </c>
      <c r="DN44" s="539">
        <f>VLOOKUP($A44,[1]!LandfillWorstK4,DN$7,FALSE)</f>
        <v>0.89545955171396663</v>
      </c>
      <c r="DO44" s="543">
        <f>+[1]Assumptions!$E$24*DO25+[1]Assumptions!$E$25*DO23+[1]Assumptions!$E$26*DO26+[1]Assumptions!$E$27*DO24</f>
        <v>-0.72263996523759499</v>
      </c>
      <c r="DP44" s="544">
        <f>VLOOKUP($A44,'[1]Post-Consumer Transport'!$C$33:$K$88,3,FALSE)+VLOOKUP($A44,'[1]Post-Consumer Transport'!$C$33:$K$88,4,FALSE)</f>
        <v>2.0254519141196047E-2</v>
      </c>
      <c r="DQ44" s="542">
        <f t="shared" si="105"/>
        <v>1.4425349376174013</v>
      </c>
      <c r="DR44" s="538">
        <f t="shared" si="60"/>
        <v>0.38633983657904181</v>
      </c>
      <c r="DS44" s="538">
        <f t="shared" si="61"/>
        <v>3.3998033090587819E-2</v>
      </c>
      <c r="DT44" s="539">
        <f t="shared" si="62"/>
        <v>0.19307410561756769</v>
      </c>
      <c r="DU44" s="537">
        <f>VLOOKUP($A44,[1]!LandfillWorstK6,DU$7,FALSE)</f>
        <v>2.1449203837138002</v>
      </c>
      <c r="DV44" s="538">
        <f>VLOOKUP($A44,[1]!LandfillWorstK6,DV$7,FALSE)</f>
        <v>1.0853542775496479</v>
      </c>
      <c r="DW44" s="538">
        <f>VLOOKUP($A44,[1]!LandfillWorstK6,DW$7,FALSE)</f>
        <v>0.79353860520418462</v>
      </c>
      <c r="DX44" s="539">
        <f>VLOOKUP($A44,[1]!LandfillWorstK6,DX$7,FALSE)</f>
        <v>0.93812110354329203</v>
      </c>
      <c r="DY44" s="543">
        <f>+[1]Assumptions!$E$24*DY25+[1]Assumptions!$E$25*DY23+[1]Assumptions!$E$26*DY26+[1]Assumptions!$E$27*DY24</f>
        <v>-0.72263996523759499</v>
      </c>
      <c r="DZ44" s="544">
        <f>VLOOKUP($A44,'[1]Post-Consumer Transport'!$C$33:$K$88,3,FALSE)+VLOOKUP($A44,'[1]Post-Consumer Transport'!$C$33:$K$88,4,FALSE)</f>
        <v>2.0254519141196047E-2</v>
      </c>
      <c r="EA44" s="542">
        <f t="shared" si="106"/>
        <v>1.4425349376174013</v>
      </c>
      <c r="EB44" s="538">
        <f t="shared" si="64"/>
        <v>0.38296883145324889</v>
      </c>
      <c r="EC44" s="538">
        <f t="shared" si="65"/>
        <v>9.1153159107785681E-2</v>
      </c>
      <c r="ED44" s="539">
        <f t="shared" si="66"/>
        <v>0.23573565744689309</v>
      </c>
      <c r="EE44" s="537">
        <f>VLOOKUP($A44,[1]!LandfillWorstK12,EE$7,FALSE)</f>
        <v>2.1449203837138002</v>
      </c>
      <c r="EF44" s="538">
        <f>VLOOKUP($A44,[1]!LandfillWorstK12,EF$7,FALSE)</f>
        <v>1.1160947513245372</v>
      </c>
      <c r="EG44" s="538">
        <f>VLOOKUP($A44,[1]!LandfillWorstK12,EG$7,FALSE)</f>
        <v>0.93819602195088891</v>
      </c>
      <c r="EH44" s="539">
        <f>VLOOKUP($A44,[1]!LandfillWorstK12,EH$7,FALSE)</f>
        <v>1.054310045578255</v>
      </c>
      <c r="EI44" s="543">
        <f>+[1]Assumptions!$E$24*EI25+[1]Assumptions!$E$25*EI23+[1]Assumptions!$E$26*EI26+[1]Assumptions!$E$27*EI24</f>
        <v>-0.72263996523759499</v>
      </c>
      <c r="EJ44" s="544">
        <f>VLOOKUP($A44,'[1]Post-Consumer Transport'!$C$33:$K$88,3,FALSE)+VLOOKUP($A44,'[1]Post-Consumer Transport'!$C$33:$K$88,4,FALSE)</f>
        <v>2.0254519141196047E-2</v>
      </c>
      <c r="EK44" s="542">
        <f t="shared" si="107"/>
        <v>1.4425349376174013</v>
      </c>
      <c r="EL44" s="538">
        <f t="shared" si="68"/>
        <v>0.4137093052281382</v>
      </c>
      <c r="EM44" s="538">
        <f t="shared" si="69"/>
        <v>0.23581057585448997</v>
      </c>
      <c r="EN44" s="539">
        <f t="shared" si="70"/>
        <v>0.35192459948185606</v>
      </c>
      <c r="EO44" s="537">
        <f>VLOOKUP($A44,[1]!LandfillWorstNatlAverage,EO$7,FALSE)</f>
        <v>2.1449203837138002</v>
      </c>
      <c r="EP44" s="538">
        <f>VLOOKUP($A44,[1]!LandfillWorstNatlAverage,EP$7,FALSE)</f>
        <v>1.1000936042456093</v>
      </c>
      <c r="EQ44" s="538">
        <f>VLOOKUP($A44,[1]!LandfillWorstNatlAverage,EQ$7,FALSE)</f>
        <v>0.7537344081486379</v>
      </c>
      <c r="ER44" s="539">
        <f>VLOOKUP($A44,[1]!LandfillWorstNatlAverage,ER$7,FALSE)</f>
        <v>0.90918677575021201</v>
      </c>
      <c r="ES44" s="543">
        <f>+[1]Assumptions!$E$24*ES25+[1]Assumptions!$E$25*ES23+[1]Assumptions!$E$26*ES26+[1]Assumptions!$E$27*ES24</f>
        <v>-0.72263996523759499</v>
      </c>
      <c r="ET44" s="544">
        <f>VLOOKUP($A44,'[1]Post-Consumer Transport'!$C$33:$K$88,3,FALSE)+VLOOKUP($A44,'[1]Post-Consumer Transport'!$C$33:$K$88,4,FALSE)</f>
        <v>2.0254519141196047E-2</v>
      </c>
      <c r="EU44" s="542">
        <f t="shared" si="108"/>
        <v>1.4425349376174013</v>
      </c>
      <c r="EV44" s="538">
        <f t="shared" si="72"/>
        <v>0.39770815814921034</v>
      </c>
      <c r="EW44" s="538">
        <f t="shared" si="73"/>
        <v>5.1348962052238954E-2</v>
      </c>
      <c r="EX44" s="539">
        <f t="shared" si="74"/>
        <v>0.20680132965381307</v>
      </c>
      <c r="EZ44" s="537">
        <f>VLOOKUP($A44,[1]!LandfillCaliK2,EZ$7,FALSE)</f>
        <v>2.1449203837138002</v>
      </c>
      <c r="FA44" s="538">
        <f>VLOOKUP($A44,[1]!LandfillCaliK2,FA$7,FALSE)</f>
        <v>0.48354086194603862</v>
      </c>
      <c r="FB44" s="538">
        <f>VLOOKUP($A44,[1]!LandfillCaliK2,FB$7,FALSE)</f>
        <v>0.2863479738213725</v>
      </c>
      <c r="FC44" s="539">
        <f>VLOOKUP($A44,[1]!LandfillCaliK2,FC$7,FALSE)</f>
        <v>0.46972515350677557</v>
      </c>
      <c r="FD44" s="543">
        <f>+[1]Assumptions!$E$24*FD25+[1]Assumptions!$E$25*FD23+[1]Assumptions!$E$26*FD26+[1]Assumptions!$E$27*FD24</f>
        <v>-0.72263996523759499</v>
      </c>
      <c r="FE44" s="544">
        <f>VLOOKUP($A44,'[1]Post-Consumer Transport'!$C$33:$K$88,3,FALSE)+VLOOKUP($A44,'[1]Post-Consumer Transport'!$C$33:$K$88,4,FALSE)</f>
        <v>2.0254519141196047E-2</v>
      </c>
      <c r="FF44" s="542">
        <f t="shared" si="109"/>
        <v>1.4425349376174013</v>
      </c>
      <c r="FG44" s="538">
        <f t="shared" si="76"/>
        <v>-0.21884458415036032</v>
      </c>
      <c r="FH44" s="538">
        <f t="shared" si="77"/>
        <v>-0.41603747227502647</v>
      </c>
      <c r="FI44" s="539">
        <f t="shared" si="78"/>
        <v>-0.23266029258962337</v>
      </c>
      <c r="FJ44" s="537">
        <f>VLOOKUP($A44,[1]!LandfillCaliK4,FJ$7,FALSE)</f>
        <v>2.1449203837138002</v>
      </c>
      <c r="FK44" s="538">
        <f>VLOOKUP($A44,[1]!LandfillCaliK4,FK$7,FALSE)</f>
        <v>0.44656671164278233</v>
      </c>
      <c r="FL44" s="538">
        <f>VLOOKUP($A44,[1]!LandfillCaliK4,FL$7,FALSE)</f>
        <v>0.38569563464082651</v>
      </c>
      <c r="FM44" s="539">
        <f>VLOOKUP($A44,[1]!LandfillCaliK4,FM$7,FALSE)</f>
        <v>0.5449203382647636</v>
      </c>
      <c r="FN44" s="543">
        <f>+[1]Assumptions!$E$24*FN25+[1]Assumptions!$E$25*FN23+[1]Assumptions!$E$26*FN26+[1]Assumptions!$E$27*FN24</f>
        <v>-0.72263996523759499</v>
      </c>
      <c r="FO44" s="544">
        <f>VLOOKUP($A44,'[1]Post-Consumer Transport'!$C$33:$K$88,3,FALSE)+VLOOKUP($A44,'[1]Post-Consumer Transport'!$C$33:$K$88,4,FALSE)</f>
        <v>2.0254519141196047E-2</v>
      </c>
      <c r="FP44" s="542">
        <f t="shared" si="110"/>
        <v>1.4425349376174013</v>
      </c>
      <c r="FQ44" s="538">
        <f t="shared" si="80"/>
        <v>-0.25581873445361664</v>
      </c>
      <c r="FR44" s="538">
        <f t="shared" si="81"/>
        <v>-0.31668981145557246</v>
      </c>
      <c r="FS44" s="539">
        <f t="shared" si="82"/>
        <v>-0.15746510783163534</v>
      </c>
      <c r="FT44" s="537">
        <f>VLOOKUP($A44,[1]!LandfillCaliK6,FT$7,FALSE)</f>
        <v>2.1449203837138002</v>
      </c>
      <c r="FU44" s="538">
        <f>VLOOKUP($A44,[1]!LandfillCaliK6,FU$7,FALSE)</f>
        <v>0.48863413158949914</v>
      </c>
      <c r="FV44" s="538">
        <f>VLOOKUP($A44,[1]!LandfillCaliK6,FV$7,FALSE)</f>
        <v>0.4428451154339908</v>
      </c>
      <c r="FW44" s="539">
        <f>VLOOKUP($A44,[1]!LandfillCaliK6,FW$7,FALSE)</f>
        <v>0.58964724095410048</v>
      </c>
      <c r="FX44" s="543">
        <f>+[1]Assumptions!$E$24*FX25+[1]Assumptions!$E$25*FX23+[1]Assumptions!$E$26*FX26+[1]Assumptions!$E$27*FX24</f>
        <v>-0.72263996523759499</v>
      </c>
      <c r="FY44" s="544">
        <f>VLOOKUP($A44,'[1]Post-Consumer Transport'!$C$33:$K$88,3,FALSE)+VLOOKUP($A44,'[1]Post-Consumer Transport'!$C$33:$K$88,4,FALSE)</f>
        <v>2.0254519141196047E-2</v>
      </c>
      <c r="FZ44" s="542">
        <f t="shared" si="111"/>
        <v>1.4425349376174013</v>
      </c>
      <c r="GA44" s="538">
        <f t="shared" si="84"/>
        <v>-0.2137513145068998</v>
      </c>
      <c r="GB44" s="538">
        <f t="shared" si="85"/>
        <v>-0.25954033066240817</v>
      </c>
      <c r="GC44" s="539">
        <f t="shared" si="86"/>
        <v>-0.11273820514229846</v>
      </c>
      <c r="GD44" s="537">
        <f>VLOOKUP($A44,[1]!LandfillCaliK12,GD$7,FALSE)</f>
        <v>2.1449203837138002</v>
      </c>
      <c r="GE44" s="538">
        <f>VLOOKUP($A44,[1]!LandfillCaliK12,GE$7,FALSE)</f>
        <v>0.54840263400170108</v>
      </c>
      <c r="GF44" s="538">
        <f>VLOOKUP($A44,[1]!LandfillCaliK12,GF$7,FALSE)</f>
        <v>0.52311865414386738</v>
      </c>
      <c r="GG44" s="539">
        <f>VLOOKUP($A44,[1]!LandfillCaliK12,GG$7,FALSE)</f>
        <v>0.65413762099527906</v>
      </c>
      <c r="GH44" s="543">
        <f>+[1]Assumptions!$E$24*GH25+[1]Assumptions!$E$25*GH23+[1]Assumptions!$E$26*GH26+[1]Assumptions!$E$27*GH24</f>
        <v>-0.72263996523759499</v>
      </c>
      <c r="GI44" s="544">
        <f>VLOOKUP($A44,'[1]Post-Consumer Transport'!$C$33:$K$88,3,FALSE)+VLOOKUP($A44,'[1]Post-Consumer Transport'!$C$33:$K$88,4,FALSE)</f>
        <v>2.0254519141196047E-2</v>
      </c>
      <c r="GJ44" s="542">
        <f t="shared" si="112"/>
        <v>1.4425349376174013</v>
      </c>
      <c r="GK44" s="538">
        <f t="shared" si="88"/>
        <v>-0.15398281209469786</v>
      </c>
      <c r="GL44" s="538">
        <f t="shared" si="89"/>
        <v>-0.17926679195253156</v>
      </c>
      <c r="GM44" s="539">
        <f t="shared" si="90"/>
        <v>-4.8247825101119891E-2</v>
      </c>
      <c r="GN44" s="537">
        <f>VLOOKUP($A44,[1]!LandfillCaliNatlAverage,GN$7,FALSE)</f>
        <v>2.1449203837138002</v>
      </c>
      <c r="GO44" s="538">
        <f>VLOOKUP($A44,[1]!LandfillCaliNatlAverage,GO$7,FALSE)</f>
        <v>0.48143484353742627</v>
      </c>
      <c r="GP44" s="538">
        <f>VLOOKUP($A44,[1]!LandfillCaliNatlAverage,GP$7,FALSE)</f>
        <v>0.40305684103323031</v>
      </c>
      <c r="GQ44" s="539">
        <f>VLOOKUP($A44,[1]!LandfillCaliNatlAverage,GQ$7,FALSE)</f>
        <v>0.55918578659153506</v>
      </c>
      <c r="GR44" s="543">
        <f>+[1]Assumptions!$E$24*GR25+[1]Assumptions!$E$25*GR23+[1]Assumptions!$E$26*GR26+[1]Assumptions!$E$27*GR24</f>
        <v>-0.72263996523759499</v>
      </c>
      <c r="GS44" s="544">
        <f>VLOOKUP($A44,'[1]Post-Consumer Transport'!$C$33:$K$88,3,FALSE)+VLOOKUP($A44,'[1]Post-Consumer Transport'!$C$33:$K$88,4,FALSE)</f>
        <v>2.0254519141196047E-2</v>
      </c>
      <c r="GT44" s="542">
        <f t="shared" si="113"/>
        <v>1.4425349376174013</v>
      </c>
      <c r="GU44" s="538">
        <f t="shared" si="92"/>
        <v>-0.22095060255897267</v>
      </c>
      <c r="GV44" s="538">
        <f t="shared" si="93"/>
        <v>-0.29932860506316866</v>
      </c>
      <c r="GW44" s="539">
        <f t="shared" si="94"/>
        <v>-0.14319965950486388</v>
      </c>
    </row>
    <row r="45" spans="1:205" s="497" customFormat="1" ht="13" x14ac:dyDescent="0.3">
      <c r="A45" s="495" t="str">
        <f t="shared" si="16"/>
        <v>Mixed Paper (primarily residential)</v>
      </c>
      <c r="B45" s="496" t="s">
        <v>584</v>
      </c>
      <c r="C45" s="537">
        <f>VLOOKUP($A45,[1]!LandfillTypicalK2,C$7,FALSE)</f>
        <v>2.0652062874061854</v>
      </c>
      <c r="D45" s="538">
        <f>VLOOKUP($A45,[1]!LandfillTypicalK2,D$7,FALSE)</f>
        <v>1.04766454292417</v>
      </c>
      <c r="E45" s="538">
        <f>VLOOKUP($A45,[1]!LandfillTypicalK2,E$7,FALSE)</f>
        <v>0.54066954802945166</v>
      </c>
      <c r="F45" s="621">
        <f>VLOOKUP($A45,[1]!LandfillTypicalK2,F$7,FALSE)</f>
        <v>0.72821708960204068</v>
      </c>
      <c r="G45" s="543">
        <f>+[1]Assumptions!$F$24*G25+[1]Assumptions!$F$25*G23+[1]Assumptions!$F$26*G26+[1]Assumptions!$F$27*G24</f>
        <v>-0.75634290815127203</v>
      </c>
      <c r="H45" s="544">
        <f>VLOOKUP($A45,'[1]Post-Consumer Transport'!$C$33:$K$88,3,FALSE)+VLOOKUP($A45,'[1]Post-Consumer Transport'!$C$33:$K$88,4,FALSE)</f>
        <v>2.0254519141196047E-2</v>
      </c>
      <c r="I45" s="542">
        <f t="shared" si="134"/>
        <v>1.3291178983961094</v>
      </c>
      <c r="J45" s="538">
        <f t="shared" si="135"/>
        <v>0.31157615391409399</v>
      </c>
      <c r="K45" s="538">
        <f t="shared" si="136"/>
        <v>-0.19541884098062431</v>
      </c>
      <c r="L45" s="539">
        <f t="shared" si="137"/>
        <v>-7.8712994080353052E-3</v>
      </c>
      <c r="M45" s="537">
        <f>VLOOKUP($A45,[1]!LandfillTypicalK4,M$7,FALSE)</f>
        <v>2.0652062874061854</v>
      </c>
      <c r="N45" s="538">
        <f>VLOOKUP($A45,[1]!LandfillTypicalK4,N$7,FALSE)</f>
        <v>0.9780181681119624</v>
      </c>
      <c r="O45" s="538">
        <f>VLOOKUP($A45,[1]!LandfillTypicalK4,O$7,FALSE)</f>
        <v>0.64273769501342226</v>
      </c>
      <c r="P45" s="539">
        <f>VLOOKUP($A45,[1]!LandfillTypicalK4,P$7,FALSE)</f>
        <v>0.80106569624932356</v>
      </c>
      <c r="Q45" s="543">
        <f>+[1]Assumptions!$F$24*Q25+[1]Assumptions!$F$25*Q23+[1]Assumptions!$F$26*Q26+[1]Assumptions!$F$27*Q24</f>
        <v>-0.75634290815127203</v>
      </c>
      <c r="R45" s="544">
        <f>VLOOKUP($A45,'[1]Post-Consumer Transport'!$C$33:$K$88,3,FALSE)+VLOOKUP($A45,'[1]Post-Consumer Transport'!$C$33:$K$88,4,FALSE)</f>
        <v>2.0254519141196047E-2</v>
      </c>
      <c r="S45" s="542">
        <f t="shared" si="95"/>
        <v>1.3291178983961094</v>
      </c>
      <c r="T45" s="538">
        <f t="shared" si="20"/>
        <v>0.24192977910188643</v>
      </c>
      <c r="U45" s="538">
        <f t="shared" si="21"/>
        <v>-9.3350693996653716E-2</v>
      </c>
      <c r="V45" s="539">
        <f t="shared" si="22"/>
        <v>6.4977307239247578E-2</v>
      </c>
      <c r="W45" s="537">
        <f>VLOOKUP($A45,[1]!LandfillTypicalK6,W$7,FALSE)</f>
        <v>2.0652062874061854</v>
      </c>
      <c r="X45" s="538">
        <f>VLOOKUP($A45,[1]!LandfillTypicalK6,X$7,FALSE)</f>
        <v>0.93727971394930443</v>
      </c>
      <c r="Y45" s="538">
        <f>VLOOKUP($A45,[1]!LandfillTypicalK6,Y$7,FALSE)</f>
        <v>0.67908403498596959</v>
      </c>
      <c r="Z45" s="539">
        <f>VLOOKUP($A45,[1]!LandfillTypicalK6,Z$7,FALSE)</f>
        <v>0.82297223594484625</v>
      </c>
      <c r="AA45" s="543">
        <f>+[1]Assumptions!$F$24*AA25+[1]Assumptions!$F$25*AA23+[1]Assumptions!$F$26*AA26+[1]Assumptions!$F$27*AA24</f>
        <v>-0.75634290815127203</v>
      </c>
      <c r="AB45" s="544">
        <f>VLOOKUP($A45,'[1]Post-Consumer Transport'!$C$33:$K$88,3,FALSE)+VLOOKUP($A45,'[1]Post-Consumer Transport'!$C$33:$K$88,4,FALSE)</f>
        <v>2.0254519141196047E-2</v>
      </c>
      <c r="AC45" s="542">
        <f t="shared" si="96"/>
        <v>1.3291178983961094</v>
      </c>
      <c r="AD45" s="538">
        <f t="shared" si="24"/>
        <v>0.20119132493922845</v>
      </c>
      <c r="AE45" s="538">
        <f t="shared" si="25"/>
        <v>-5.7004354024106398E-2</v>
      </c>
      <c r="AF45" s="539">
        <f t="shared" si="26"/>
        <v>8.6883846934770276E-2</v>
      </c>
      <c r="AG45" s="537">
        <f>VLOOKUP($A45,[1]!LandfillTypicalK12,AG$7,FALSE)</f>
        <v>2.0652062874061854</v>
      </c>
      <c r="AH45" s="538">
        <f>VLOOKUP($A45,[1]!LandfillTypicalK12,AH$7,FALSE)</f>
        <v>0.894922438409678</v>
      </c>
      <c r="AI45" s="538">
        <f>VLOOKUP($A45,[1]!LandfillTypicalK12,AI$7,FALSE)</f>
        <v>0.73329821388607552</v>
      </c>
      <c r="AJ45" s="539">
        <f>VLOOKUP($A45,[1]!LandfillTypicalK12,AJ$7,FALSE)</f>
        <v>0.85728248653834915</v>
      </c>
      <c r="AK45" s="543">
        <f>+[1]Assumptions!$F$24*AK25+[1]Assumptions!$F$25*AK23+[1]Assumptions!$F$26*AK26+[1]Assumptions!$F$27*AK24</f>
        <v>-0.75634290815127203</v>
      </c>
      <c r="AL45" s="544">
        <f>VLOOKUP($A45,'[1]Post-Consumer Transport'!$C$33:$K$88,3,FALSE)+VLOOKUP($A45,'[1]Post-Consumer Transport'!$C$33:$K$88,4,FALSE)</f>
        <v>2.0254519141196047E-2</v>
      </c>
      <c r="AM45" s="542">
        <f t="shared" si="97"/>
        <v>1.3291178983961094</v>
      </c>
      <c r="AN45" s="538">
        <f t="shared" si="28"/>
        <v>0.15883404939960202</v>
      </c>
      <c r="AO45" s="538">
        <f t="shared" si="29"/>
        <v>-2.7901751240004616E-3</v>
      </c>
      <c r="AP45" s="539">
        <f t="shared" si="30"/>
        <v>0.12119409752827318</v>
      </c>
      <c r="AQ45" s="537">
        <f>VLOOKUP($A45,[1]!LandfillTypicalNatlAverage,AQ$7,FALSE)</f>
        <v>2.0652062874061854</v>
      </c>
      <c r="AR45" s="538">
        <f>VLOOKUP($A45,[1]!LandfillTypicalNatlAverage,AR$7,FALSE)</f>
        <v>0.96689436544332308</v>
      </c>
      <c r="AS45" s="538">
        <f>VLOOKUP($A45,[1]!LandfillTypicalNatlAverage,AS$7,FALSE)</f>
        <v>0.64631846323261044</v>
      </c>
      <c r="AT45" s="539">
        <f>VLOOKUP($A45,[1]!LandfillTypicalNatlAverage,AT$7,FALSE)</f>
        <v>0.80112124176362931</v>
      </c>
      <c r="AU45" s="543">
        <f>+[1]Assumptions!$F$24*AU25+[1]Assumptions!$F$25*AU23+[1]Assumptions!$F$26*AU26+[1]Assumptions!$F$27*AU24</f>
        <v>-0.75634290815127203</v>
      </c>
      <c r="AV45" s="544">
        <f>VLOOKUP($A45,'[1]Post-Consumer Transport'!$C$33:$K$88,3,FALSE)+VLOOKUP($A45,'[1]Post-Consumer Transport'!$C$33:$K$88,4,FALSE)</f>
        <v>2.0254519141196047E-2</v>
      </c>
      <c r="AW45" s="542">
        <f t="shared" si="98"/>
        <v>1.3291178983961094</v>
      </c>
      <c r="AX45" s="538">
        <f t="shared" si="32"/>
        <v>0.2308059764332471</v>
      </c>
      <c r="AY45" s="538">
        <f t="shared" si="33"/>
        <v>-8.9769925777465537E-2</v>
      </c>
      <c r="AZ45" s="539">
        <f t="shared" si="34"/>
        <v>6.5032852753553333E-2</v>
      </c>
      <c r="BB45" s="537">
        <f>VLOOKUP($A45,[1]!LandfillAggressiveK2,BB$7,FALSE)</f>
        <v>2.0652062874061854</v>
      </c>
      <c r="BC45" s="538">
        <f>VLOOKUP($A45,[1]!LandfillAggressiveK2,BC$7,FALSE)</f>
        <v>1.0331100576464374</v>
      </c>
      <c r="BD45" s="538">
        <f>VLOOKUP($A45,[1]!LandfillAggressiveK2,BD$7,FALSE)</f>
        <v>0.53351863703157432</v>
      </c>
      <c r="BE45" s="539">
        <f>VLOOKUP($A45,[1]!LandfillAggressiveK2,BE$7,FALSE)</f>
        <v>0.72101552391298884</v>
      </c>
      <c r="BF45" s="543">
        <f>+[1]Assumptions!$F$24*BF25+[1]Assumptions!$F$25*BF23+[1]Assumptions!$F$26*BF26+[1]Assumptions!$F$27*BF24</f>
        <v>-0.75634290815127203</v>
      </c>
      <c r="BG45" s="544">
        <f>VLOOKUP($A45,'[1]Post-Consumer Transport'!$C$33:$K$88,3,FALSE)+VLOOKUP($A45,'[1]Post-Consumer Transport'!$C$33:$K$88,4,FALSE)</f>
        <v>2.0254519141196047E-2</v>
      </c>
      <c r="BH45" s="542">
        <f t="shared" si="99"/>
        <v>1.3291178983961094</v>
      </c>
      <c r="BI45" s="538">
        <f t="shared" si="36"/>
        <v>0.29702166863636137</v>
      </c>
      <c r="BJ45" s="538">
        <f t="shared" si="37"/>
        <v>-0.20256975197850166</v>
      </c>
      <c r="BK45" s="539">
        <f t="shared" si="38"/>
        <v>-1.5072865097087142E-2</v>
      </c>
      <c r="BL45" s="881">
        <f>VLOOKUP($A45,[1]!LandfillAggressiveK4,BL$7,FALSE)</f>
        <v>2.0652062874061854</v>
      </c>
      <c r="BM45" s="882">
        <f>VLOOKUP($A45,[1]!LandfillAggressiveK4,BM$7,FALSE)</f>
        <v>0.95127298372045666</v>
      </c>
      <c r="BN45" s="882">
        <f>VLOOKUP($A45,[1]!LandfillAggressiveK4,BN$7,FALSE)</f>
        <v>0.62641129498888315</v>
      </c>
      <c r="BO45" s="883">
        <f>VLOOKUP($A45,[1]!LandfillAggressiveK4,BO$7,FALSE)</f>
        <v>0.78433805024058889</v>
      </c>
      <c r="BP45" s="884">
        <f>+[1]Assumptions!$F$24*BP25+[1]Assumptions!$F$25*BP23+[1]Assumptions!$F$26*BP26+[1]Assumptions!$F$27*BP24</f>
        <v>-0.75634290815127203</v>
      </c>
      <c r="BQ45" s="885">
        <f>VLOOKUP($A45,'[1]Post-Consumer Transport'!$C$33:$K$88,3,FALSE)+VLOOKUP($A45,'[1]Post-Consumer Transport'!$C$33:$K$88,4,FALSE)</f>
        <v>2.0254519141196047E-2</v>
      </c>
      <c r="BR45" s="886">
        <f t="shared" si="100"/>
        <v>1.3291178983961094</v>
      </c>
      <c r="BS45" s="882">
        <f t="shared" si="40"/>
        <v>0.21518459471038068</v>
      </c>
      <c r="BT45" s="882">
        <f t="shared" si="41"/>
        <v>-0.10967709402119283</v>
      </c>
      <c r="BU45" s="883">
        <f t="shared" si="42"/>
        <v>4.8249661230512907E-2</v>
      </c>
      <c r="BV45" s="537">
        <f>VLOOKUP($A45,[1]!LandfillAggressiveK6,BV$7,FALSE)</f>
        <v>2.0652062874061854</v>
      </c>
      <c r="BW45" s="538">
        <f>VLOOKUP($A45,[1]!LandfillAggressiveK6,BW$7,FALSE)</f>
        <v>0.91128108243732919</v>
      </c>
      <c r="BX45" s="538">
        <f>VLOOKUP($A45,[1]!LandfillAggressiveK6,BX$7,FALSE)</f>
        <v>0.64307582852038447</v>
      </c>
      <c r="BY45" s="539">
        <f>VLOOKUP($A45,[1]!LandfillAggressiveK6,BY$7,FALSE)</f>
        <v>0.79002005424785005</v>
      </c>
      <c r="BZ45" s="543">
        <f>+[1]Assumptions!$F$24*BZ25+[1]Assumptions!$F$25*BZ23+[1]Assumptions!$F$26*BZ26+[1]Assumptions!$F$27*BZ24</f>
        <v>-0.75634290815127203</v>
      </c>
      <c r="CA45" s="544">
        <f>VLOOKUP($A45,'[1]Post-Consumer Transport'!$C$33:$K$88,3,FALSE)+VLOOKUP($A45,'[1]Post-Consumer Transport'!$C$33:$K$88,4,FALSE)</f>
        <v>2.0254519141196047E-2</v>
      </c>
      <c r="CB45" s="542">
        <f t="shared" si="101"/>
        <v>1.3291178983961094</v>
      </c>
      <c r="CC45" s="538">
        <f t="shared" si="44"/>
        <v>0.17519269342725322</v>
      </c>
      <c r="CD45" s="538">
        <f t="shared" si="45"/>
        <v>-9.3012560489691504E-2</v>
      </c>
      <c r="CE45" s="539">
        <f t="shared" si="46"/>
        <v>5.3931665237774061E-2</v>
      </c>
      <c r="CF45" s="537">
        <f>VLOOKUP($A45,[1]!LandfillAggressiveK12,CF$7,FALSE)</f>
        <v>2.0652062874061854</v>
      </c>
      <c r="CG45" s="538">
        <f>VLOOKUP($A45,[1]!LandfillAggressiveK12,CG$7,FALSE)</f>
        <v>0.8521016915764642</v>
      </c>
      <c r="CH45" s="538">
        <f>VLOOKUP($A45,[1]!LandfillAggressiveK12,CH$7,FALSE)</f>
        <v>0.68003441280108057</v>
      </c>
      <c r="CI45" s="539">
        <f>VLOOKUP($A45,[1]!LandfillAggressiveK12,CI$7,FALSE)</f>
        <v>0.80822207673507562</v>
      </c>
      <c r="CJ45" s="543">
        <f>+[1]Assumptions!$F$24*CJ25+[1]Assumptions!$F$25*CJ23+[1]Assumptions!$F$26*CJ26+[1]Assumptions!$F$27*CJ24</f>
        <v>-0.75634290815127203</v>
      </c>
      <c r="CK45" s="544">
        <f>VLOOKUP($A45,'[1]Post-Consumer Transport'!$C$33:$K$88,3,FALSE)+VLOOKUP($A45,'[1]Post-Consumer Transport'!$C$33:$K$88,4,FALSE)</f>
        <v>2.0254519141196047E-2</v>
      </c>
      <c r="CL45" s="542">
        <f t="shared" si="102"/>
        <v>1.3291178983961094</v>
      </c>
      <c r="CM45" s="538">
        <f t="shared" si="48"/>
        <v>0.11601330256638823</v>
      </c>
      <c r="CN45" s="538">
        <f t="shared" si="49"/>
        <v>-5.6053976208995417E-2</v>
      </c>
      <c r="CO45" s="539">
        <f t="shared" si="50"/>
        <v>7.2133687724999646E-2</v>
      </c>
      <c r="CP45" s="537">
        <f>VLOOKUP($A45,[1]!LandfillAggressiveNatlAverage,CP$7,FALSE)</f>
        <v>2.0652062874061854</v>
      </c>
      <c r="CQ45" s="538">
        <f>VLOOKUP($A45,[1]!LandfillAggressiveNatlAverage,CQ$7,FALSE)</f>
        <v>0.94128659786388824</v>
      </c>
      <c r="CR45" s="538">
        <f>VLOOKUP($A45,[1]!LandfillAggressiveNatlAverage,CR$7,FALSE)</f>
        <v>0.62004419846008818</v>
      </c>
      <c r="CS45" s="539">
        <f>VLOOKUP($A45,[1]!LandfillAggressiveNatlAverage,CS$7,FALSE)</f>
        <v>0.77639725127150194</v>
      </c>
      <c r="CT45" s="543">
        <f>+[1]Assumptions!$F$24*CT25+[1]Assumptions!$F$25*CT23+[1]Assumptions!$F$26*CT26+[1]Assumptions!$F$27*CT24</f>
        <v>-0.75634290815127203</v>
      </c>
      <c r="CU45" s="544">
        <f>VLOOKUP($A45,'[1]Post-Consumer Transport'!$C$33:$K$88,3,FALSE)+VLOOKUP($A45,'[1]Post-Consumer Transport'!$C$33:$K$88,4,FALSE)</f>
        <v>2.0254519141196047E-2</v>
      </c>
      <c r="CV45" s="542">
        <f t="shared" si="103"/>
        <v>1.3291178983961094</v>
      </c>
      <c r="CW45" s="538">
        <f t="shared" si="52"/>
        <v>0.20519820885381226</v>
      </c>
      <c r="CX45" s="538">
        <f t="shared" si="53"/>
        <v>-0.1160441905499878</v>
      </c>
      <c r="CY45" s="539">
        <f t="shared" si="54"/>
        <v>4.0308862261425958E-2</v>
      </c>
      <c r="DA45" s="537">
        <f>VLOOKUP($A45,[1]!LandfillWorstK2,DA$7,FALSE)</f>
        <v>2.0652062874061854</v>
      </c>
      <c r="DB45" s="538">
        <f>VLOOKUP($A45,[1]!LandfillWorstK2,DB$7,FALSE)</f>
        <v>1.0958528337961155</v>
      </c>
      <c r="DC45" s="538">
        <f>VLOOKUP($A45,[1]!LandfillWorstK2,DC$7,FALSE)</f>
        <v>0.58444296096103598</v>
      </c>
      <c r="DD45" s="539">
        <f>VLOOKUP($A45,[1]!LandfillWorstK2,DD$7,FALSE)</f>
        <v>0.76906053028404453</v>
      </c>
      <c r="DE45" s="543">
        <f>+[1]Assumptions!$F$24*DE25+[1]Assumptions!$F$25*DE23+[1]Assumptions!$F$26*DE26+[1]Assumptions!$F$27*DE24</f>
        <v>-0.75634290815127203</v>
      </c>
      <c r="DF45" s="544">
        <f>VLOOKUP($A45,'[1]Post-Consumer Transport'!$C$33:$K$88,3,FALSE)+VLOOKUP($A45,'[1]Post-Consumer Transport'!$C$33:$K$88,4,FALSE)</f>
        <v>2.0254519141196047E-2</v>
      </c>
      <c r="DG45" s="542">
        <f t="shared" si="104"/>
        <v>1.3291178983961094</v>
      </c>
      <c r="DH45" s="538">
        <f t="shared" si="56"/>
        <v>0.35976444478603953</v>
      </c>
      <c r="DI45" s="538">
        <f t="shared" si="57"/>
        <v>-0.15164542804903999</v>
      </c>
      <c r="DJ45" s="539">
        <f t="shared" si="58"/>
        <v>3.2972141273968546E-2</v>
      </c>
      <c r="DK45" s="537">
        <f>VLOOKUP($A45,[1]!LandfillWorstK4,DK$7,FALSE)</f>
        <v>2.0652062874061854</v>
      </c>
      <c r="DL45" s="538">
        <f>VLOOKUP($A45,[1]!LandfillWorstK4,DL$7,FALSE)</f>
        <v>1.0509061176010908</v>
      </c>
      <c r="DM45" s="538">
        <f>VLOOKUP($A45,[1]!LandfillWorstK4,DM$7,FALSE)</f>
        <v>0.71442463504477538</v>
      </c>
      <c r="DN45" s="539">
        <f>VLOOKUP($A45,[1]!LandfillWorstK4,DN$7,FALSE)</f>
        <v>0.86690817398897035</v>
      </c>
      <c r="DO45" s="543">
        <f>+[1]Assumptions!$F$24*DO25+[1]Assumptions!$F$25*DO23+[1]Assumptions!$F$26*DO26+[1]Assumptions!$F$27*DO24</f>
        <v>-0.75634290815127203</v>
      </c>
      <c r="DP45" s="544">
        <f>VLOOKUP($A45,'[1]Post-Consumer Transport'!$C$33:$K$88,3,FALSE)+VLOOKUP($A45,'[1]Post-Consumer Transport'!$C$33:$K$88,4,FALSE)</f>
        <v>2.0254519141196047E-2</v>
      </c>
      <c r="DQ45" s="542">
        <f t="shared" si="105"/>
        <v>1.3291178983961094</v>
      </c>
      <c r="DR45" s="538">
        <f t="shared" si="60"/>
        <v>0.31481772859101476</v>
      </c>
      <c r="DS45" s="538">
        <f t="shared" si="61"/>
        <v>-2.1663753965300604E-2</v>
      </c>
      <c r="DT45" s="539">
        <f t="shared" si="62"/>
        <v>0.13081978497889438</v>
      </c>
      <c r="DU45" s="537">
        <f>VLOOKUP($A45,[1]!LandfillWorstK6,DU$7,FALSE)</f>
        <v>2.0652062874061854</v>
      </c>
      <c r="DV45" s="538">
        <f>VLOOKUP($A45,[1]!LandfillWorstK6,DV$7,FALSE)</f>
        <v>1.0503005889963208</v>
      </c>
      <c r="DW45" s="538">
        <f>VLOOKUP($A45,[1]!LandfillWorstK6,DW$7,FALSE)</f>
        <v>0.77195265297003446</v>
      </c>
      <c r="DX45" s="539">
        <f>VLOOKUP($A45,[1]!LandfillWorstK6,DX$7,FALSE)</f>
        <v>0.91035455985363312</v>
      </c>
      <c r="DY45" s="543">
        <f>+[1]Assumptions!$F$24*DY25+[1]Assumptions!$F$25*DY23+[1]Assumptions!$F$26*DY26+[1]Assumptions!$F$27*DY24</f>
        <v>-0.75634290815127203</v>
      </c>
      <c r="DZ45" s="544">
        <f>VLOOKUP($A45,'[1]Post-Consumer Transport'!$C$33:$K$88,3,FALSE)+VLOOKUP($A45,'[1]Post-Consumer Transport'!$C$33:$K$88,4,FALSE)</f>
        <v>2.0254519141196047E-2</v>
      </c>
      <c r="EA45" s="542">
        <f t="shared" si="106"/>
        <v>1.3291178983961094</v>
      </c>
      <c r="EB45" s="538">
        <f t="shared" si="64"/>
        <v>0.31421219998624483</v>
      </c>
      <c r="EC45" s="538">
        <f t="shared" si="65"/>
        <v>3.5864263959958474E-2</v>
      </c>
      <c r="ED45" s="539">
        <f t="shared" si="66"/>
        <v>0.17426617084355714</v>
      </c>
      <c r="EE45" s="537">
        <f>VLOOKUP($A45,[1]!LandfillWorstK12,EE$7,FALSE)</f>
        <v>2.0652062874061854</v>
      </c>
      <c r="EF45" s="538">
        <f>VLOOKUP($A45,[1]!LandfillWorstK12,EF$7,FALSE)</f>
        <v>1.0826433174252839</v>
      </c>
      <c r="EG45" s="538">
        <f>VLOOKUP($A45,[1]!LandfillWorstK12,EG$7,FALSE)</f>
        <v>0.91272795131892115</v>
      </c>
      <c r="EH45" s="539">
        <f>VLOOKUP($A45,[1]!LandfillWorstK12,EH$7,FALSE)</f>
        <v>1.0237652898369136</v>
      </c>
      <c r="EI45" s="543">
        <f>+[1]Assumptions!$F$24*EI25+[1]Assumptions!$F$25*EI23+[1]Assumptions!$F$26*EI26+[1]Assumptions!$F$27*EI24</f>
        <v>-0.75634290815127203</v>
      </c>
      <c r="EJ45" s="544">
        <f>VLOOKUP($A45,'[1]Post-Consumer Transport'!$C$33:$K$88,3,FALSE)+VLOOKUP($A45,'[1]Post-Consumer Transport'!$C$33:$K$88,4,FALSE)</f>
        <v>2.0254519141196047E-2</v>
      </c>
      <c r="EK45" s="542">
        <f t="shared" si="107"/>
        <v>1.3291178983961094</v>
      </c>
      <c r="EL45" s="538">
        <f t="shared" si="68"/>
        <v>0.34655492841520785</v>
      </c>
      <c r="EM45" s="538">
        <f t="shared" si="69"/>
        <v>0.17663956230884517</v>
      </c>
      <c r="EN45" s="539">
        <f t="shared" si="70"/>
        <v>0.28767690082683761</v>
      </c>
      <c r="EO45" s="537">
        <f>VLOOKUP($A45,[1]!LandfillWorstNatlAverage,EO$7,FALSE)</f>
        <v>2.0652062874061854</v>
      </c>
      <c r="EP45" s="538">
        <f>VLOOKUP($A45,[1]!LandfillWorstNatlAverage,EP$7,FALSE)</f>
        <v>1.0628203085659547</v>
      </c>
      <c r="EQ45" s="538">
        <f>VLOOKUP($A45,[1]!LandfillWorstNatlAverage,EQ$7,FALSE)</f>
        <v>0.73190264722272369</v>
      </c>
      <c r="ER45" s="539">
        <f>VLOOKUP($A45,[1]!LandfillWorstNatlAverage,ER$7,FALSE)</f>
        <v>0.88088082142315594</v>
      </c>
      <c r="ES45" s="543">
        <f>+[1]Assumptions!$F$24*ES25+[1]Assumptions!$F$25*ES23+[1]Assumptions!$F$26*ES26+[1]Assumptions!$F$27*ES24</f>
        <v>-0.75634290815127203</v>
      </c>
      <c r="ET45" s="544">
        <f>VLOOKUP($A45,'[1]Post-Consumer Transport'!$C$33:$K$88,3,FALSE)+VLOOKUP($A45,'[1]Post-Consumer Transport'!$C$33:$K$88,4,FALSE)</f>
        <v>2.0254519141196047E-2</v>
      </c>
      <c r="EU45" s="542">
        <f t="shared" si="108"/>
        <v>1.3291178983961094</v>
      </c>
      <c r="EV45" s="538">
        <f t="shared" si="72"/>
        <v>0.32673191955587866</v>
      </c>
      <c r="EW45" s="538">
        <f t="shared" si="73"/>
        <v>-4.1857417873522942E-3</v>
      </c>
      <c r="EX45" s="539">
        <f t="shared" si="74"/>
        <v>0.14479243241307996</v>
      </c>
      <c r="EZ45" s="537">
        <f>VLOOKUP($A45,[1]!LandfillCaliK2,EZ$7,FALSE)</f>
        <v>2.0652062874061854</v>
      </c>
      <c r="FA45" s="538">
        <f>VLOOKUP($A45,[1]!LandfillCaliK2,FA$7,FALSE)</f>
        <v>0.46572709356303732</v>
      </c>
      <c r="FB45" s="538">
        <f>VLOOKUP($A45,[1]!LandfillCaliK2,FB$7,FALSE)</f>
        <v>0.27722531621524243</v>
      </c>
      <c r="FC45" s="539">
        <f>VLOOKUP($A45,[1]!LandfillCaliK2,FC$7,FALSE)</f>
        <v>0.4534609439439119</v>
      </c>
      <c r="FD45" s="543">
        <f>+[1]Assumptions!$F$24*FD25+[1]Assumptions!$F$25*FD23+[1]Assumptions!$F$26*FD26+[1]Assumptions!$F$27*FD24</f>
        <v>-0.75634290815127203</v>
      </c>
      <c r="FE45" s="544">
        <f>VLOOKUP($A45,'[1]Post-Consumer Transport'!$C$33:$K$88,3,FALSE)+VLOOKUP($A45,'[1]Post-Consumer Transport'!$C$33:$K$88,4,FALSE)</f>
        <v>2.0254519141196047E-2</v>
      </c>
      <c r="FF45" s="542">
        <f t="shared" si="109"/>
        <v>1.3291178983961094</v>
      </c>
      <c r="FG45" s="538">
        <f t="shared" si="76"/>
        <v>-0.27036129544703869</v>
      </c>
      <c r="FH45" s="538">
        <f t="shared" si="77"/>
        <v>-0.45886307279483357</v>
      </c>
      <c r="FI45" s="539">
        <f t="shared" si="78"/>
        <v>-0.28262744506616411</v>
      </c>
      <c r="FJ45" s="537">
        <f>VLOOKUP($A45,[1]!LandfillCaliK4,FJ$7,FALSE)</f>
        <v>2.0652062874061854</v>
      </c>
      <c r="FK45" s="538">
        <f>VLOOKUP($A45,[1]!LandfillCaliK4,FK$7,FALSE)</f>
        <v>0.43264840790923847</v>
      </c>
      <c r="FL45" s="538">
        <f>VLOOKUP($A45,[1]!LandfillCaliK4,FL$7,FALSE)</f>
        <v>0.37439924652988904</v>
      </c>
      <c r="FM45" s="539">
        <f>VLOOKUP($A45,[1]!LandfillCaliK4,FM$7,FALSE)</f>
        <v>0.52748286870413097</v>
      </c>
      <c r="FN45" s="543">
        <f>+[1]Assumptions!$F$24*FN25+[1]Assumptions!$F$25*FN23+[1]Assumptions!$F$26*FN26+[1]Assumptions!$F$27*FN24</f>
        <v>-0.75634290815127203</v>
      </c>
      <c r="FO45" s="544">
        <f>VLOOKUP($A45,'[1]Post-Consumer Transport'!$C$33:$K$88,3,FALSE)+VLOOKUP($A45,'[1]Post-Consumer Transport'!$C$33:$K$88,4,FALSE)</f>
        <v>2.0254519141196047E-2</v>
      </c>
      <c r="FP45" s="542">
        <f t="shared" si="110"/>
        <v>1.3291178983961094</v>
      </c>
      <c r="FQ45" s="538">
        <f t="shared" si="80"/>
        <v>-0.30343998110083753</v>
      </c>
      <c r="FR45" s="538">
        <f t="shared" si="81"/>
        <v>-0.36168914248018696</v>
      </c>
      <c r="FS45" s="539">
        <f t="shared" si="82"/>
        <v>-0.20860552030594501</v>
      </c>
      <c r="FT45" s="537">
        <f>VLOOKUP($A45,[1]!LandfillCaliK6,FT$7,FALSE)</f>
        <v>2.0652062874061854</v>
      </c>
      <c r="FU45" s="538">
        <f>VLOOKUP($A45,[1]!LandfillCaliK6,FU$7,FALSE)</f>
        <v>0.47493125786647</v>
      </c>
      <c r="FV45" s="538">
        <f>VLOOKUP($A45,[1]!LandfillCaliK6,FV$7,FALSE)</f>
        <v>0.43109828610917356</v>
      </c>
      <c r="FW45" s="539">
        <f>VLOOKUP($A45,[1]!LandfillCaliK6,FW$7,FALSE)</f>
        <v>0.57219364471673984</v>
      </c>
      <c r="FX45" s="543">
        <f>+[1]Assumptions!$F$24*FX25+[1]Assumptions!$F$25*FX23+[1]Assumptions!$F$26*FX26+[1]Assumptions!$F$27*FX24</f>
        <v>-0.75634290815127203</v>
      </c>
      <c r="FY45" s="544">
        <f>VLOOKUP($A45,'[1]Post-Consumer Transport'!$C$33:$K$88,3,FALSE)+VLOOKUP($A45,'[1]Post-Consumer Transport'!$C$33:$K$88,4,FALSE)</f>
        <v>2.0254519141196047E-2</v>
      </c>
      <c r="FZ45" s="542">
        <f t="shared" si="111"/>
        <v>1.3291178983961094</v>
      </c>
      <c r="GA45" s="538">
        <f t="shared" si="84"/>
        <v>-0.261157131143606</v>
      </c>
      <c r="GB45" s="538">
        <f t="shared" si="85"/>
        <v>-0.30499010290090245</v>
      </c>
      <c r="GC45" s="539">
        <f t="shared" si="86"/>
        <v>-0.16389474429333614</v>
      </c>
      <c r="GD45" s="537">
        <f>VLOOKUP($A45,[1]!LandfillCaliK12,GD$7,FALSE)</f>
        <v>2.0652062874061854</v>
      </c>
      <c r="GE45" s="538">
        <f>VLOOKUP($A45,[1]!LandfillCaliK12,GE$7,FALSE)</f>
        <v>0.53450683924907927</v>
      </c>
      <c r="GF45" s="538">
        <f>VLOOKUP($A45,[1]!LandfillCaliK12,GF$7,FALSE)</f>
        <v>0.5101867953940743</v>
      </c>
      <c r="GG45" s="539">
        <f>VLOOKUP($A45,[1]!LandfillCaliK12,GG$7,FALSE)</f>
        <v>0.63603164730067685</v>
      </c>
      <c r="GH45" s="543">
        <f>+[1]Assumptions!$F$24*GH25+[1]Assumptions!$F$25*GH23+[1]Assumptions!$F$26*GH26+[1]Assumptions!$F$27*GH24</f>
        <v>-0.75634290815127203</v>
      </c>
      <c r="GI45" s="544">
        <f>VLOOKUP($A45,'[1]Post-Consumer Transport'!$C$33:$K$88,3,FALSE)+VLOOKUP($A45,'[1]Post-Consumer Transport'!$C$33:$K$88,4,FALSE)</f>
        <v>2.0254519141196047E-2</v>
      </c>
      <c r="GJ45" s="542">
        <f t="shared" si="112"/>
        <v>1.3291178983961094</v>
      </c>
      <c r="GK45" s="538">
        <f t="shared" si="88"/>
        <v>-0.20158154976099671</v>
      </c>
      <c r="GL45" s="538">
        <f t="shared" si="89"/>
        <v>-0.22590159361600168</v>
      </c>
      <c r="GM45" s="539">
        <f t="shared" si="90"/>
        <v>-0.10005674170939913</v>
      </c>
      <c r="GN45" s="537">
        <f>VLOOKUP($A45,[1]!LandfillCaliNatlAverage,GN$7,FALSE)</f>
        <v>2.0652062874061854</v>
      </c>
      <c r="GO45" s="538">
        <f>VLOOKUP($A45,[1]!LandfillCaliNatlAverage,GO$7,FALSE)</f>
        <v>0.46682823950640456</v>
      </c>
      <c r="GP45" s="538">
        <f>VLOOKUP($A45,[1]!LandfillCaliNatlAverage,GP$7,FALSE)</f>
        <v>0.39184652062046416</v>
      </c>
      <c r="GQ45" s="539">
        <f>VLOOKUP($A45,[1]!LandfillCaliNatlAverage,GQ$7,FALSE)</f>
        <v>0.54190949055292403</v>
      </c>
      <c r="GR45" s="543">
        <f>+[1]Assumptions!$F$24*GR25+[1]Assumptions!$F$25*GR23+[1]Assumptions!$F$26*GR26+[1]Assumptions!$F$27*GR24</f>
        <v>-0.75634290815127203</v>
      </c>
      <c r="GS45" s="544">
        <f>VLOOKUP($A45,'[1]Post-Consumer Transport'!$C$33:$K$88,3,FALSE)+VLOOKUP($A45,'[1]Post-Consumer Transport'!$C$33:$K$88,4,FALSE)</f>
        <v>2.0254519141196047E-2</v>
      </c>
      <c r="GT45" s="542">
        <f t="shared" si="113"/>
        <v>1.3291178983961094</v>
      </c>
      <c r="GU45" s="538">
        <f t="shared" si="92"/>
        <v>-0.26926014950367144</v>
      </c>
      <c r="GV45" s="538">
        <f t="shared" si="93"/>
        <v>-0.34424186838961185</v>
      </c>
      <c r="GW45" s="539">
        <f t="shared" si="94"/>
        <v>-0.19417889845715194</v>
      </c>
    </row>
    <row r="46" spans="1:205" s="497" customFormat="1" ht="13" x14ac:dyDescent="0.3">
      <c r="A46" s="495" t="str">
        <f t="shared" si="16"/>
        <v>Mixed Paper (primarily from offices)</v>
      </c>
      <c r="B46" s="496" t="s">
        <v>585</v>
      </c>
      <c r="C46" s="537">
        <f>VLOOKUP($A46,[1]!LandfillTypicalK2,C$7,FALSE)</f>
        <v>2.0320063714709553</v>
      </c>
      <c r="D46" s="538">
        <f>VLOOKUP($A46,[1]!LandfillTypicalK2,D$7,FALSE)</f>
        <v>0.97302370593897036</v>
      </c>
      <c r="E46" s="538">
        <f>VLOOKUP($A46,[1]!LandfillTypicalK2,E$7,FALSE)</f>
        <v>0.52580253617200767</v>
      </c>
      <c r="F46" s="621">
        <f>VLOOKUP($A46,[1]!LandfillTypicalK2,F$7,FALSE)</f>
        <v>0.70504596150796828</v>
      </c>
      <c r="G46" s="543">
        <f>+[1]Assumptions!$G$24*G25+[1]Assumptions!$G$25*G23+[1]Assumptions!$G$26*G26+[1]Assumptions!$G$27*G24</f>
        <v>-0.63690504988780638</v>
      </c>
      <c r="H46" s="544">
        <f>VLOOKUP($A46,'[1]Post-Consumer Transport'!$C$33:$K$88,3,FALSE)+VLOOKUP($A46,'[1]Post-Consumer Transport'!$C$33:$K$88,4,FALSE)</f>
        <v>2.0254519141196047E-2</v>
      </c>
      <c r="I46" s="542">
        <f t="shared" si="134"/>
        <v>1.4153558407243449</v>
      </c>
      <c r="J46" s="538">
        <f t="shared" si="135"/>
        <v>0.35637317519236</v>
      </c>
      <c r="K46" s="538">
        <f t="shared" si="136"/>
        <v>-9.0847994574602658E-2</v>
      </c>
      <c r="L46" s="539">
        <f t="shared" si="137"/>
        <v>8.8395430761357946E-2</v>
      </c>
      <c r="M46" s="537">
        <f>VLOOKUP($A46,[1]!LandfillTypicalK4,M$7,FALSE)</f>
        <v>2.0320063714709553</v>
      </c>
      <c r="N46" s="538">
        <f>VLOOKUP($A46,[1]!LandfillTypicalK4,N$7,FALSE)</f>
        <v>0.90675131210958004</v>
      </c>
      <c r="O46" s="538">
        <f>VLOOKUP($A46,[1]!LandfillTypicalK4,O$7,FALSE)</f>
        <v>0.6226164788881019</v>
      </c>
      <c r="P46" s="539">
        <f>VLOOKUP($A46,[1]!LandfillTypicalK4,P$7,FALSE)</f>
        <v>0.77298968734676676</v>
      </c>
      <c r="Q46" s="543">
        <f>+[1]Assumptions!$G$24*Q25+[1]Assumptions!$G$25*Q23+[1]Assumptions!$G$26*Q26+[1]Assumptions!$G$27*Q24</f>
        <v>-0.63690504988780638</v>
      </c>
      <c r="R46" s="544">
        <f>VLOOKUP($A46,'[1]Post-Consumer Transport'!$C$33:$K$88,3,FALSE)+VLOOKUP($A46,'[1]Post-Consumer Transport'!$C$33:$K$88,4,FALSE)</f>
        <v>2.0254519141196047E-2</v>
      </c>
      <c r="S46" s="542">
        <f t="shared" si="95"/>
        <v>1.4153558407243449</v>
      </c>
      <c r="T46" s="538">
        <f t="shared" si="20"/>
        <v>0.29010078136296968</v>
      </c>
      <c r="U46" s="538">
        <f t="shared" si="21"/>
        <v>5.9659481414915602E-3</v>
      </c>
      <c r="V46" s="539">
        <f t="shared" si="22"/>
        <v>0.15633915660015643</v>
      </c>
      <c r="W46" s="537">
        <f>VLOOKUP($A46,[1]!LandfillTypicalK6,W$7,FALSE)</f>
        <v>2.0320063714709553</v>
      </c>
      <c r="X46" s="538">
        <f>VLOOKUP($A46,[1]!LandfillTypicalK6,X$7,FALSE)</f>
        <v>0.88334885292442544</v>
      </c>
      <c r="Y46" s="538">
        <f>VLOOKUP($A46,[1]!LandfillTypicalK6,Y$7,FALSE)</f>
        <v>0.67118655623369483</v>
      </c>
      <c r="Z46" s="539">
        <f>VLOOKUP($A46,[1]!LandfillTypicalK6,Z$7,FALSE)</f>
        <v>0.80648750167683925</v>
      </c>
      <c r="AA46" s="543">
        <f>+[1]Assumptions!$G$24*AA25+[1]Assumptions!$G$25*AA23+[1]Assumptions!$G$26*AA26+[1]Assumptions!$G$27*AA24</f>
        <v>-0.63690504988780638</v>
      </c>
      <c r="AB46" s="544">
        <f>VLOOKUP($A46,'[1]Post-Consumer Transport'!$C$33:$K$88,3,FALSE)+VLOOKUP($A46,'[1]Post-Consumer Transport'!$C$33:$K$88,4,FALSE)</f>
        <v>2.0254519141196047E-2</v>
      </c>
      <c r="AC46" s="542">
        <f t="shared" si="96"/>
        <v>1.4153558407243449</v>
      </c>
      <c r="AD46" s="538">
        <f t="shared" si="24"/>
        <v>0.26669832217781508</v>
      </c>
      <c r="AE46" s="538">
        <f t="shared" si="25"/>
        <v>5.4536025487084493E-2</v>
      </c>
      <c r="AF46" s="539">
        <f t="shared" si="26"/>
        <v>0.18983697093022892</v>
      </c>
      <c r="AG46" s="537">
        <f>VLOOKUP($A46,[1]!LandfillTypicalK12,AG$7,FALSE)</f>
        <v>2.0320063714709553</v>
      </c>
      <c r="AH46" s="538">
        <f>VLOOKUP($A46,[1]!LandfillTypicalK12,AH$7,FALSE)</f>
        <v>0.89979861419474716</v>
      </c>
      <c r="AI46" s="538">
        <f>VLOOKUP($A46,[1]!LandfillTypicalK12,AI$7,FALSE)</f>
        <v>0.77380265567608664</v>
      </c>
      <c r="AJ46" s="539">
        <f>VLOOKUP($A46,[1]!LandfillTypicalK12,AJ$7,FALSE)</f>
        <v>0.88752703472974592</v>
      </c>
      <c r="AK46" s="543">
        <f>+[1]Assumptions!$G$24*AK25+[1]Assumptions!$G$25*AK23+[1]Assumptions!$G$26*AK26+[1]Assumptions!$G$27*AK24</f>
        <v>-0.63690504988780638</v>
      </c>
      <c r="AL46" s="544">
        <f>VLOOKUP($A46,'[1]Post-Consumer Transport'!$C$33:$K$88,3,FALSE)+VLOOKUP($A46,'[1]Post-Consumer Transport'!$C$33:$K$88,4,FALSE)</f>
        <v>2.0254519141196047E-2</v>
      </c>
      <c r="AM46" s="542">
        <f t="shared" si="97"/>
        <v>1.4153558407243449</v>
      </c>
      <c r="AN46" s="538">
        <f t="shared" si="28"/>
        <v>0.2831480834481368</v>
      </c>
      <c r="AO46" s="538">
        <f t="shared" si="29"/>
        <v>0.15715212492947631</v>
      </c>
      <c r="AP46" s="539">
        <f t="shared" si="30"/>
        <v>0.27087650398313556</v>
      </c>
      <c r="AQ46" s="537">
        <f>VLOOKUP($A46,[1]!LandfillTypicalNatlAverage,AQ$7,FALSE)</f>
        <v>2.0320063714709553</v>
      </c>
      <c r="AR46" s="538">
        <f>VLOOKUP($A46,[1]!LandfillTypicalNatlAverage,AR$7,FALSE)</f>
        <v>0.90969211035887643</v>
      </c>
      <c r="AS46" s="538">
        <f>VLOOKUP($A46,[1]!LandfillTypicalNatlAverage,AS$7,FALSE)</f>
        <v>0.63833460981272017</v>
      </c>
      <c r="AT46" s="539">
        <f>VLOOKUP($A46,[1]!LandfillTypicalNatlAverage,AT$7,FALSE)</f>
        <v>0.78462227860696476</v>
      </c>
      <c r="AU46" s="543">
        <f>+[1]Assumptions!$G$24*AU25+[1]Assumptions!$G$25*AU23+[1]Assumptions!$G$26*AU26+[1]Assumptions!$G$27*AU24</f>
        <v>-0.63690504988780638</v>
      </c>
      <c r="AV46" s="544">
        <f>VLOOKUP($A46,'[1]Post-Consumer Transport'!$C$33:$K$88,3,FALSE)+VLOOKUP($A46,'[1]Post-Consumer Transport'!$C$33:$K$88,4,FALSE)</f>
        <v>2.0254519141196047E-2</v>
      </c>
      <c r="AW46" s="542">
        <f t="shared" si="98"/>
        <v>1.4153558407243449</v>
      </c>
      <c r="AX46" s="538">
        <f t="shared" si="32"/>
        <v>0.29304157961226607</v>
      </c>
      <c r="AY46" s="538">
        <f t="shared" si="33"/>
        <v>2.1684079066109828E-2</v>
      </c>
      <c r="AZ46" s="539">
        <f t="shared" si="34"/>
        <v>0.16797174786035443</v>
      </c>
      <c r="BB46" s="537">
        <f>VLOOKUP($A46,[1]!LandfillAggressiveK2,BB$7,FALSE)</f>
        <v>2.0320063714709553</v>
      </c>
      <c r="BC46" s="538">
        <f>VLOOKUP($A46,[1]!LandfillAggressiveK2,BC$7,FALSE)</f>
        <v>0.95298081794201728</v>
      </c>
      <c r="BD46" s="538">
        <f>VLOOKUP($A46,[1]!LandfillAggressiveK2,BD$7,FALSE)</f>
        <v>0.50995548249690015</v>
      </c>
      <c r="BE46" s="539">
        <f>VLOOKUP($A46,[1]!LandfillAggressiveK2,BE$7,FALSE)</f>
        <v>0.69018258262810916</v>
      </c>
      <c r="BF46" s="543">
        <f>+[1]Assumptions!$G$24*BF25+[1]Assumptions!$G$25*BF23+[1]Assumptions!$G$26*BF26+[1]Assumptions!$G$27*BF24</f>
        <v>-0.63690504988780638</v>
      </c>
      <c r="BG46" s="544">
        <f>VLOOKUP($A46,'[1]Post-Consumer Transport'!$C$33:$K$88,3,FALSE)+VLOOKUP($A46,'[1]Post-Consumer Transport'!$C$33:$K$88,4,FALSE)</f>
        <v>2.0254519141196047E-2</v>
      </c>
      <c r="BH46" s="542">
        <f t="shared" si="99"/>
        <v>1.4153558407243449</v>
      </c>
      <c r="BI46" s="538">
        <f t="shared" si="36"/>
        <v>0.33633028719540692</v>
      </c>
      <c r="BJ46" s="538">
        <f t="shared" si="37"/>
        <v>-0.10669504824971018</v>
      </c>
      <c r="BK46" s="539">
        <f t="shared" si="38"/>
        <v>7.3532051881498833E-2</v>
      </c>
      <c r="BL46" s="881">
        <f>VLOOKUP($A46,[1]!LandfillAggressiveK4,BL$7,FALSE)</f>
        <v>2.0320063714709553</v>
      </c>
      <c r="BM46" s="882">
        <f>VLOOKUP($A46,[1]!LandfillAggressiveK4,BM$7,FALSE)</f>
        <v>0.86651222854298782</v>
      </c>
      <c r="BN46" s="882">
        <f>VLOOKUP($A46,[1]!LandfillAggressiveK4,BN$7,FALSE)</f>
        <v>0.59106448429762715</v>
      </c>
      <c r="BO46" s="883">
        <f>VLOOKUP($A46,[1]!LandfillAggressiveK4,BO$7,FALSE)</f>
        <v>0.74232194539504626</v>
      </c>
      <c r="BP46" s="884">
        <f>+[1]Assumptions!$G$24*BP25+[1]Assumptions!$G$25*BP23+[1]Assumptions!$G$26*BP26+[1]Assumptions!$G$27*BP24</f>
        <v>-0.63690504988780638</v>
      </c>
      <c r="BQ46" s="885">
        <f>VLOOKUP($A46,'[1]Post-Consumer Transport'!$C$33:$K$88,3,FALSE)+VLOOKUP($A46,'[1]Post-Consumer Transport'!$C$33:$K$88,4,FALSE)</f>
        <v>2.0254519141196047E-2</v>
      </c>
      <c r="BR46" s="886">
        <f t="shared" si="100"/>
        <v>1.4153558407243449</v>
      </c>
      <c r="BS46" s="882">
        <f t="shared" si="40"/>
        <v>0.24986169779637749</v>
      </c>
      <c r="BT46" s="882">
        <f t="shared" si="41"/>
        <v>-2.5586046448983192E-2</v>
      </c>
      <c r="BU46" s="883">
        <f t="shared" si="42"/>
        <v>0.12567141464843593</v>
      </c>
      <c r="BV46" s="537">
        <f>VLOOKUP($A46,[1]!LandfillAggressiveK6,BV$7,FALSE)</f>
        <v>2.0320063714709553</v>
      </c>
      <c r="BW46" s="538">
        <f>VLOOKUP($A46,[1]!LandfillAggressiveK6,BW$7,FALSE)</f>
        <v>0.8403647912182437</v>
      </c>
      <c r="BX46" s="538">
        <f>VLOOKUP($A46,[1]!LandfillAggressiveK6,BX$7,FALSE)</f>
        <v>0.61957354671550646</v>
      </c>
      <c r="BY46" s="539">
        <f>VLOOKUP($A46,[1]!LandfillAggressiveK6,BY$7,FALSE)</f>
        <v>0.75874353403470296</v>
      </c>
      <c r="BZ46" s="543">
        <f>+[1]Assumptions!$G$24*BZ25+[1]Assumptions!$G$25*BZ23+[1]Assumptions!$G$26*BZ26+[1]Assumptions!$G$27*BZ24</f>
        <v>-0.63690504988780638</v>
      </c>
      <c r="CA46" s="544">
        <f>VLOOKUP($A46,'[1]Post-Consumer Transport'!$C$33:$K$88,3,FALSE)+VLOOKUP($A46,'[1]Post-Consumer Transport'!$C$33:$K$88,4,FALSE)</f>
        <v>2.0254519141196047E-2</v>
      </c>
      <c r="CB46" s="542">
        <f t="shared" si="101"/>
        <v>1.4153558407243449</v>
      </c>
      <c r="CC46" s="538">
        <f t="shared" si="44"/>
        <v>0.22371426047163337</v>
      </c>
      <c r="CD46" s="538">
        <f t="shared" si="45"/>
        <v>2.9230159688961241E-3</v>
      </c>
      <c r="CE46" s="539">
        <f t="shared" si="46"/>
        <v>0.14209300328809263</v>
      </c>
      <c r="CF46" s="537">
        <f>VLOOKUP($A46,[1]!LandfillAggressiveK12,CF$7,FALSE)</f>
        <v>2.0320063714709553</v>
      </c>
      <c r="CG46" s="538">
        <f>VLOOKUP($A46,[1]!LandfillAggressiveK12,CG$7,FALSE)</f>
        <v>0.83105641498946059</v>
      </c>
      <c r="CH46" s="538">
        <f>VLOOKUP($A46,[1]!LandfillAggressiveK12,CH$7,FALSE)</f>
        <v>0.69811514945642061</v>
      </c>
      <c r="CI46" s="539">
        <f>VLOOKUP($A46,[1]!LandfillAggressiveK12,CI$7,FALSE)</f>
        <v>0.81716552622747707</v>
      </c>
      <c r="CJ46" s="543">
        <f>+[1]Assumptions!$G$24*CJ25+[1]Assumptions!$G$25*CJ23+[1]Assumptions!$G$26*CJ26+[1]Assumptions!$G$27*CJ24</f>
        <v>-0.63690504988780638</v>
      </c>
      <c r="CK46" s="544">
        <f>VLOOKUP($A46,'[1]Post-Consumer Transport'!$C$33:$K$88,3,FALSE)+VLOOKUP($A46,'[1]Post-Consumer Transport'!$C$33:$K$88,4,FALSE)</f>
        <v>2.0254519141196047E-2</v>
      </c>
      <c r="CL46" s="542">
        <f t="shared" si="102"/>
        <v>1.4153558407243449</v>
      </c>
      <c r="CM46" s="538">
        <f t="shared" si="48"/>
        <v>0.21440588424285026</v>
      </c>
      <c r="CN46" s="538">
        <f t="shared" si="49"/>
        <v>8.1464618709810283E-2</v>
      </c>
      <c r="CO46" s="539">
        <f t="shared" si="50"/>
        <v>0.20051499548086674</v>
      </c>
      <c r="CP46" s="537">
        <f>VLOOKUP($A46,[1]!LandfillAggressiveNatlAverage,CP$7,FALSE)</f>
        <v>2.0320063714709553</v>
      </c>
      <c r="CQ46" s="538">
        <f>VLOOKUP($A46,[1]!LandfillAggressiveNatlAverage,CQ$7,FALSE)</f>
        <v>0.86951376832697125</v>
      </c>
      <c r="CR46" s="538">
        <f>VLOOKUP($A46,[1]!LandfillAggressiveNatlAverage,CR$7,FALSE)</f>
        <v>0.59726497510710941</v>
      </c>
      <c r="CS46" s="539">
        <f>VLOOKUP($A46,[1]!LandfillAggressiveNatlAverage,CS$7,FALSE)</f>
        <v>0.74612770385580074</v>
      </c>
      <c r="CT46" s="543">
        <f>+[1]Assumptions!$G$24*CT25+[1]Assumptions!$G$25*CT23+[1]Assumptions!$G$26*CT26+[1]Assumptions!$G$27*CT24</f>
        <v>-0.63690504988780638</v>
      </c>
      <c r="CU46" s="544">
        <f>VLOOKUP($A46,'[1]Post-Consumer Transport'!$C$33:$K$88,3,FALSE)+VLOOKUP($A46,'[1]Post-Consumer Transport'!$C$33:$K$88,4,FALSE)</f>
        <v>2.0254519141196047E-2</v>
      </c>
      <c r="CV46" s="542">
        <f t="shared" si="103"/>
        <v>1.4153558407243449</v>
      </c>
      <c r="CW46" s="538">
        <f t="shared" si="52"/>
        <v>0.25286323758036089</v>
      </c>
      <c r="CX46" s="538">
        <f t="shared" si="53"/>
        <v>-1.938555563950093E-2</v>
      </c>
      <c r="CY46" s="539">
        <f t="shared" si="54"/>
        <v>0.12947717310919041</v>
      </c>
      <c r="DA46" s="537">
        <f>VLOOKUP($A46,[1]!LandfillWorstK2,DA$7,FALSE)</f>
        <v>2.0320063714709553</v>
      </c>
      <c r="DB46" s="538">
        <f>VLOOKUP($A46,[1]!LandfillWorstK2,DB$7,FALSE)</f>
        <v>1.0454826184503829</v>
      </c>
      <c r="DC46" s="538">
        <f>VLOOKUP($A46,[1]!LandfillWorstK2,DC$7,FALSE)</f>
        <v>0.59552958026342706</v>
      </c>
      <c r="DD46" s="539">
        <f>VLOOKUP($A46,[1]!LandfillWorstK2,DD$7,FALSE)</f>
        <v>0.76930679397134005</v>
      </c>
      <c r="DE46" s="543">
        <f>+[1]Assumptions!$G$24*DE25+[1]Assumptions!$G$25*DE23+[1]Assumptions!$G$26*DE26+[1]Assumptions!$G$27*DE24</f>
        <v>-0.63690504988780638</v>
      </c>
      <c r="DF46" s="544">
        <f>VLOOKUP($A46,'[1]Post-Consumer Transport'!$C$33:$K$88,3,FALSE)+VLOOKUP($A46,'[1]Post-Consumer Transport'!$C$33:$K$88,4,FALSE)</f>
        <v>2.0254519141196047E-2</v>
      </c>
      <c r="DG46" s="542">
        <f t="shared" si="104"/>
        <v>1.4153558407243449</v>
      </c>
      <c r="DH46" s="538">
        <f t="shared" si="56"/>
        <v>0.42883208770377257</v>
      </c>
      <c r="DI46" s="538">
        <f t="shared" si="57"/>
        <v>-2.1120950483183278E-2</v>
      </c>
      <c r="DJ46" s="539">
        <f t="shared" si="58"/>
        <v>0.15265626322472972</v>
      </c>
      <c r="DK46" s="537">
        <f>VLOOKUP($A46,[1]!LandfillWorstK4,DK$7,FALSE)</f>
        <v>2.0320063714709553</v>
      </c>
      <c r="DL46" s="538">
        <f>VLOOKUP($A46,[1]!LandfillWorstK4,DL$7,FALSE)</f>
        <v>1.028670250988138</v>
      </c>
      <c r="DM46" s="538">
        <f>VLOOKUP($A46,[1]!LandfillWorstK4,DM$7,FALSE)</f>
        <v>0.7456649885334321</v>
      </c>
      <c r="DN46" s="539">
        <f>VLOOKUP($A46,[1]!LandfillWorstK4,DN$7,FALSE)</f>
        <v>0.88549798604122454</v>
      </c>
      <c r="DO46" s="543">
        <f>+[1]Assumptions!$G$24*DO25+[1]Assumptions!$G$25*DO23+[1]Assumptions!$G$26*DO26+[1]Assumptions!$G$27*DO24</f>
        <v>-0.63690504988780638</v>
      </c>
      <c r="DP46" s="544">
        <f>VLOOKUP($A46,'[1]Post-Consumer Transport'!$C$33:$K$88,3,FALSE)+VLOOKUP($A46,'[1]Post-Consumer Transport'!$C$33:$K$88,4,FALSE)</f>
        <v>2.0254519141196047E-2</v>
      </c>
      <c r="DQ46" s="542">
        <f t="shared" si="105"/>
        <v>1.4153558407243449</v>
      </c>
      <c r="DR46" s="538">
        <f t="shared" si="60"/>
        <v>0.41201972024152766</v>
      </c>
      <c r="DS46" s="538">
        <f t="shared" si="61"/>
        <v>0.12901445778682177</v>
      </c>
      <c r="DT46" s="539">
        <f t="shared" si="62"/>
        <v>0.26884745529461418</v>
      </c>
      <c r="DU46" s="537">
        <f>VLOOKUP($A46,[1]!LandfillWorstK6,DU$7,FALSE)</f>
        <v>2.0320063714709553</v>
      </c>
      <c r="DV46" s="538">
        <f>VLOOKUP($A46,[1]!LandfillWorstK6,DV$7,FALSE)</f>
        <v>1.0629360319183441</v>
      </c>
      <c r="DW46" s="538">
        <f>VLOOKUP($A46,[1]!LandfillWorstK6,DW$7,FALSE)</f>
        <v>0.83835628063754586</v>
      </c>
      <c r="DX46" s="539">
        <f>VLOOKUP($A46,[1]!LandfillWorstK6,DX$7,FALSE)</f>
        <v>0.96105156902976463</v>
      </c>
      <c r="DY46" s="543">
        <f>+[1]Assumptions!$G$24*DY25+[1]Assumptions!$G$25*DY23+[1]Assumptions!$G$26*DY26+[1]Assumptions!$G$27*DY24</f>
        <v>-0.63690504988780638</v>
      </c>
      <c r="DZ46" s="544">
        <f>VLOOKUP($A46,'[1]Post-Consumer Transport'!$C$33:$K$88,3,FALSE)+VLOOKUP($A46,'[1]Post-Consumer Transport'!$C$33:$K$88,4,FALSE)</f>
        <v>2.0254519141196047E-2</v>
      </c>
      <c r="EA46" s="542">
        <f t="shared" si="106"/>
        <v>1.4153558407243449</v>
      </c>
      <c r="EB46" s="538">
        <f t="shared" si="64"/>
        <v>0.44628550117173371</v>
      </c>
      <c r="EC46" s="538">
        <f t="shared" si="65"/>
        <v>0.22170574989093553</v>
      </c>
      <c r="ED46" s="539">
        <f t="shared" si="66"/>
        <v>0.34440103828315427</v>
      </c>
      <c r="EE46" s="537">
        <f>VLOOKUP($A46,[1]!LandfillWorstK12,EE$7,FALSE)</f>
        <v>2.0320063714709553</v>
      </c>
      <c r="EF46" s="538">
        <f>VLOOKUP($A46,[1]!LandfillWorstK12,EF$7,FALSE)</f>
        <v>1.1852400941425789</v>
      </c>
      <c r="EG46" s="538">
        <f>VLOOKUP($A46,[1]!LandfillWorstK12,EG$7,FALSE)</f>
        <v>1.0553240393890961</v>
      </c>
      <c r="EH46" s="539">
        <f>VLOOKUP($A46,[1]!LandfillWorstK12,EH$7,FALSE)</f>
        <v>1.1472306152180829</v>
      </c>
      <c r="EI46" s="543">
        <f>+[1]Assumptions!$G$24*EI25+[1]Assumptions!$G$25*EI23+[1]Assumptions!$G$26*EI26+[1]Assumptions!$G$27*EI24</f>
        <v>-0.63690504988780638</v>
      </c>
      <c r="EJ46" s="544">
        <f>VLOOKUP($A46,'[1]Post-Consumer Transport'!$C$33:$K$88,3,FALSE)+VLOOKUP($A46,'[1]Post-Consumer Transport'!$C$33:$K$88,4,FALSE)</f>
        <v>2.0254519141196047E-2</v>
      </c>
      <c r="EK46" s="542">
        <f t="shared" si="107"/>
        <v>1.4153558407243449</v>
      </c>
      <c r="EL46" s="538">
        <f t="shared" si="68"/>
        <v>0.56858956339596856</v>
      </c>
      <c r="EM46" s="538">
        <f t="shared" si="69"/>
        <v>0.43867350864248578</v>
      </c>
      <c r="EN46" s="539">
        <f t="shared" si="70"/>
        <v>0.53058008447147254</v>
      </c>
      <c r="EO46" s="537">
        <f>VLOOKUP($A46,[1]!LandfillWorstNatlAverage,EO$7,FALSE)</f>
        <v>2.0320063714709553</v>
      </c>
      <c r="EP46" s="538">
        <f>VLOOKUP($A46,[1]!LandfillWorstNatlAverage,EP$7,FALSE)</f>
        <v>1.0617729447583457</v>
      </c>
      <c r="EQ46" s="538">
        <f>VLOOKUP($A46,[1]!LandfillWorstNatlAverage,EQ$7,FALSE)</f>
        <v>0.78469993301978824</v>
      </c>
      <c r="ER46" s="539">
        <f>VLOOKUP($A46,[1]!LandfillWorstNatlAverage,ER$7,FALSE)</f>
        <v>0.91948553315322346</v>
      </c>
      <c r="ES46" s="543">
        <f>+[1]Assumptions!$G$24*ES25+[1]Assumptions!$G$25*ES23+[1]Assumptions!$G$26*ES26+[1]Assumptions!$G$27*ES24</f>
        <v>-0.63690504988780638</v>
      </c>
      <c r="ET46" s="544">
        <f>VLOOKUP($A46,'[1]Post-Consumer Transport'!$C$33:$K$88,3,FALSE)+VLOOKUP($A46,'[1]Post-Consumer Transport'!$C$33:$K$88,4,FALSE)</f>
        <v>2.0254519141196047E-2</v>
      </c>
      <c r="EU46" s="542">
        <f t="shared" si="108"/>
        <v>1.4153558407243449</v>
      </c>
      <c r="EV46" s="538">
        <f t="shared" si="72"/>
        <v>0.44512241401173536</v>
      </c>
      <c r="EW46" s="538">
        <f t="shared" si="73"/>
        <v>0.16804940227317791</v>
      </c>
      <c r="EX46" s="539">
        <f t="shared" si="74"/>
        <v>0.3028350024066131</v>
      </c>
      <c r="EZ46" s="537">
        <f>VLOOKUP($A46,[1]!LandfillCaliK2,EZ$7,FALSE)</f>
        <v>2.0320063714709553</v>
      </c>
      <c r="FA46" s="538">
        <f>VLOOKUP($A46,[1]!LandfillCaliK2,FA$7,FALSE)</f>
        <v>0.44306586382797691</v>
      </c>
      <c r="FB46" s="538">
        <f>VLOOKUP($A46,[1]!LandfillCaliK2,FB$7,FALSE)</f>
        <v>0.2998758388363178</v>
      </c>
      <c r="FC46" s="539">
        <f>VLOOKUP($A46,[1]!LandfillCaliK2,FC$7,FALSE)</f>
        <v>0.4627883863651624</v>
      </c>
      <c r="FD46" s="543">
        <f>+[1]Assumptions!$G$24*FD25+[1]Assumptions!$G$25*FD23+[1]Assumptions!$G$26*FD26+[1]Assumptions!$G$27*FD24</f>
        <v>-0.63690504988780638</v>
      </c>
      <c r="FE46" s="544">
        <f>VLOOKUP($A46,'[1]Post-Consumer Transport'!$C$33:$K$88,3,FALSE)+VLOOKUP($A46,'[1]Post-Consumer Transport'!$C$33:$K$88,4,FALSE)</f>
        <v>2.0254519141196047E-2</v>
      </c>
      <c r="FF46" s="542">
        <f t="shared" si="109"/>
        <v>1.4153558407243449</v>
      </c>
      <c r="FG46" s="538">
        <f t="shared" si="76"/>
        <v>-0.17358466691863342</v>
      </c>
      <c r="FH46" s="538">
        <f t="shared" si="77"/>
        <v>-0.31677469191029256</v>
      </c>
      <c r="FI46" s="539">
        <f t="shared" si="78"/>
        <v>-0.15386214438144794</v>
      </c>
      <c r="FJ46" s="537">
        <f>VLOOKUP($A46,[1]!LandfillCaliK4,FJ$7,FALSE)</f>
        <v>2.0320063714709553</v>
      </c>
      <c r="FK46" s="538">
        <f>VLOOKUP($A46,[1]!LandfillCaliK4,FK$7,FALSE)</f>
        <v>0.43210230229834801</v>
      </c>
      <c r="FL46" s="538">
        <f>VLOOKUP($A46,[1]!LandfillCaliK4,FL$7,FALSE)</f>
        <v>0.39199456178369685</v>
      </c>
      <c r="FM46" s="539">
        <f>VLOOKUP($A46,[1]!LandfillCaliK4,FM$7,FALSE)</f>
        <v>0.53409677229747332</v>
      </c>
      <c r="FN46" s="543">
        <f>+[1]Assumptions!$G$24*FN25+[1]Assumptions!$G$25*FN23+[1]Assumptions!$G$26*FN26+[1]Assumptions!$G$27*FN24</f>
        <v>-0.63690504988780638</v>
      </c>
      <c r="FO46" s="544">
        <f>VLOOKUP($A46,'[1]Post-Consumer Transport'!$C$33:$K$88,3,FALSE)+VLOOKUP($A46,'[1]Post-Consumer Transport'!$C$33:$K$88,4,FALSE)</f>
        <v>2.0254519141196047E-2</v>
      </c>
      <c r="FP46" s="542">
        <f t="shared" si="110"/>
        <v>1.4153558407243449</v>
      </c>
      <c r="FQ46" s="538">
        <f t="shared" si="80"/>
        <v>-0.18454822844826232</v>
      </c>
      <c r="FR46" s="538">
        <f t="shared" si="81"/>
        <v>-0.22465596896291348</v>
      </c>
      <c r="FS46" s="539">
        <f t="shared" si="82"/>
        <v>-8.255375844913701E-2</v>
      </c>
      <c r="FT46" s="537">
        <f>VLOOKUP($A46,[1]!LandfillCaliK6,FT$7,FALSE)</f>
        <v>2.0320063714709553</v>
      </c>
      <c r="FU46" s="538">
        <f>VLOOKUP($A46,[1]!LandfillCaliK6,FU$7,FALSE)</f>
        <v>0.48106110023032433</v>
      </c>
      <c r="FV46" s="538">
        <f>VLOOKUP($A46,[1]!LandfillCaliK6,FV$7,FALSE)</f>
        <v>0.45107342837406728</v>
      </c>
      <c r="FW46" s="539">
        <f>VLOOKUP($A46,[1]!LandfillCaliK6,FW$7,FALSE)</f>
        <v>0.58197531992161589</v>
      </c>
      <c r="FX46" s="543">
        <f>+[1]Assumptions!$G$24*FX25+[1]Assumptions!$G$25*FX23+[1]Assumptions!$G$26*FX26+[1]Assumptions!$G$27*FX24</f>
        <v>-0.63690504988780638</v>
      </c>
      <c r="FY46" s="544">
        <f>VLOOKUP($A46,'[1]Post-Consumer Transport'!$C$33:$K$88,3,FALSE)+VLOOKUP($A46,'[1]Post-Consumer Transport'!$C$33:$K$88,4,FALSE)</f>
        <v>2.0254519141196047E-2</v>
      </c>
      <c r="FZ46" s="542">
        <f t="shared" si="111"/>
        <v>1.4153558407243449</v>
      </c>
      <c r="GA46" s="538">
        <f t="shared" si="84"/>
        <v>-0.135589430516286</v>
      </c>
      <c r="GB46" s="538">
        <f t="shared" si="85"/>
        <v>-0.16557710237254306</v>
      </c>
      <c r="GC46" s="539">
        <f t="shared" si="86"/>
        <v>-3.4675210824994453E-2</v>
      </c>
      <c r="GD46" s="537">
        <f>VLOOKUP($A46,[1]!LandfillCaliK12,GD$7,FALSE)</f>
        <v>2.0320063714709553</v>
      </c>
      <c r="GE46" s="538">
        <f>VLOOKUP($A46,[1]!LandfillCaliK12,GE$7,FALSE)</f>
        <v>0.58250282037184942</v>
      </c>
      <c r="GF46" s="538">
        <f>VLOOKUP($A46,[1]!LandfillCaliK12,GF$7,FALSE)</f>
        <v>0.56723366915500462</v>
      </c>
      <c r="GG46" s="539">
        <f>VLOOKUP($A46,[1]!LandfillCaliK12,GG$7,FALSE)</f>
        <v>0.68276826632829124</v>
      </c>
      <c r="GH46" s="543">
        <f>+[1]Assumptions!$G$24*GH25+[1]Assumptions!$G$25*GH23+[1]Assumptions!$G$26*GH26+[1]Assumptions!$G$27*GH24</f>
        <v>-0.63690504988780638</v>
      </c>
      <c r="GI46" s="544">
        <f>VLOOKUP($A46,'[1]Post-Consumer Transport'!$C$33:$K$88,3,FALSE)+VLOOKUP($A46,'[1]Post-Consumer Transport'!$C$33:$K$88,4,FALSE)</f>
        <v>2.0254519141196047E-2</v>
      </c>
      <c r="GJ46" s="542">
        <f t="shared" si="112"/>
        <v>1.4153558407243449</v>
      </c>
      <c r="GK46" s="538">
        <f t="shared" si="88"/>
        <v>-3.4147710374760921E-2</v>
      </c>
      <c r="GL46" s="538">
        <f t="shared" si="89"/>
        <v>-4.9416861591605722E-2</v>
      </c>
      <c r="GM46" s="539">
        <f t="shared" si="90"/>
        <v>6.6117735581680909E-2</v>
      </c>
      <c r="GN46" s="537">
        <f>VLOOKUP($A46,[1]!LandfillCaliNatlAverage,GN$7,FALSE)</f>
        <v>2.0320063714709553</v>
      </c>
      <c r="GO46" s="538">
        <f>VLOOKUP($A46,[1]!LandfillCaliNatlAverage,GO$7,FALSE)</f>
        <v>0.46945713236166647</v>
      </c>
      <c r="GP46" s="538">
        <f>VLOOKUP($A46,[1]!LandfillCaliNatlAverage,GP$7,FALSE)</f>
        <v>0.41537614209999402</v>
      </c>
      <c r="GQ46" s="539">
        <f>VLOOKUP($A46,[1]!LandfillCaliNatlAverage,GQ$7,FALSE)</f>
        <v>0.55438032758761568</v>
      </c>
      <c r="GR46" s="543">
        <f>+[1]Assumptions!$G$24*GR25+[1]Assumptions!$G$25*GR23+[1]Assumptions!$G$26*GR26+[1]Assumptions!$G$27*GR24</f>
        <v>-0.63690504988780638</v>
      </c>
      <c r="GS46" s="544">
        <f>VLOOKUP($A46,'[1]Post-Consumer Transport'!$C$33:$K$88,3,FALSE)+VLOOKUP($A46,'[1]Post-Consumer Transport'!$C$33:$K$88,4,FALSE)</f>
        <v>2.0254519141196047E-2</v>
      </c>
      <c r="GT46" s="542">
        <f t="shared" si="113"/>
        <v>1.4153558407243449</v>
      </c>
      <c r="GU46" s="538">
        <f t="shared" si="92"/>
        <v>-0.14719339838494386</v>
      </c>
      <c r="GV46" s="538">
        <f t="shared" si="93"/>
        <v>-0.20127438864661631</v>
      </c>
      <c r="GW46" s="539">
        <f t="shared" si="94"/>
        <v>-6.2270203158994654E-2</v>
      </c>
    </row>
    <row r="47" spans="1:205" s="499" customFormat="1" x14ac:dyDescent="0.25">
      <c r="A47" s="498" t="str">
        <f t="shared" si="16"/>
        <v>Mixed Metals</v>
      </c>
      <c r="B47" s="547" t="s">
        <v>633</v>
      </c>
      <c r="C47" s="548">
        <v>0</v>
      </c>
      <c r="D47" s="549">
        <v>0</v>
      </c>
      <c r="E47" s="549">
        <v>0</v>
      </c>
      <c r="F47" s="550">
        <v>0</v>
      </c>
      <c r="G47" s="551">
        <v>0</v>
      </c>
      <c r="H47" s="552">
        <f>VLOOKUP($A47,'[1]Post-Consumer Transport'!$C$33:$K$88,3,FALSE)+VLOOKUP($A47,'[1]Post-Consumer Transport'!$C$33:$K$88,4,FALSE)</f>
        <v>2.0254519141196047E-2</v>
      </c>
      <c r="I47" s="553">
        <f t="shared" si="17"/>
        <v>2.0254519141196047E-2</v>
      </c>
      <c r="J47" s="549">
        <f t="shared" si="18"/>
        <v>2.0254519141196047E-2</v>
      </c>
      <c r="K47" s="549">
        <f t="shared" si="18"/>
        <v>2.0254519141196047E-2</v>
      </c>
      <c r="L47" s="550">
        <f t="shared" si="18"/>
        <v>2.0254519141196047E-2</v>
      </c>
      <c r="M47" s="548">
        <v>0</v>
      </c>
      <c r="N47" s="549">
        <v>0</v>
      </c>
      <c r="O47" s="549">
        <v>0</v>
      </c>
      <c r="P47" s="550">
        <v>0</v>
      </c>
      <c r="Q47" s="551">
        <v>0</v>
      </c>
      <c r="R47" s="552">
        <f>VLOOKUP($A47,'[1]Post-Consumer Transport'!$C$33:$K$88,3,FALSE)+VLOOKUP($A47,'[1]Post-Consumer Transport'!$C$33:$K$88,4,FALSE)</f>
        <v>2.0254519141196047E-2</v>
      </c>
      <c r="S47" s="553">
        <f t="shared" si="95"/>
        <v>2.0254519141196047E-2</v>
      </c>
      <c r="T47" s="549">
        <f t="shared" si="20"/>
        <v>2.0254519141196047E-2</v>
      </c>
      <c r="U47" s="549">
        <f t="shared" si="21"/>
        <v>2.0254519141196047E-2</v>
      </c>
      <c r="V47" s="550">
        <f t="shared" si="22"/>
        <v>2.0254519141196047E-2</v>
      </c>
      <c r="W47" s="548">
        <v>0</v>
      </c>
      <c r="X47" s="549">
        <v>0</v>
      </c>
      <c r="Y47" s="549">
        <v>0</v>
      </c>
      <c r="Z47" s="550">
        <v>0</v>
      </c>
      <c r="AA47" s="551">
        <v>0</v>
      </c>
      <c r="AB47" s="552">
        <f>VLOOKUP($A47,'[1]Post-Consumer Transport'!$C$33:$K$88,3,FALSE)+VLOOKUP($A47,'[1]Post-Consumer Transport'!$C$33:$K$88,4,FALSE)</f>
        <v>2.0254519141196047E-2</v>
      </c>
      <c r="AC47" s="553">
        <f t="shared" si="96"/>
        <v>2.0254519141196047E-2</v>
      </c>
      <c r="AD47" s="549">
        <f t="shared" si="24"/>
        <v>2.0254519141196047E-2</v>
      </c>
      <c r="AE47" s="549">
        <f t="shared" si="25"/>
        <v>2.0254519141196047E-2</v>
      </c>
      <c r="AF47" s="550">
        <f t="shared" si="26"/>
        <v>2.0254519141196047E-2</v>
      </c>
      <c r="AG47" s="548">
        <v>0</v>
      </c>
      <c r="AH47" s="549">
        <v>0</v>
      </c>
      <c r="AI47" s="549">
        <v>0</v>
      </c>
      <c r="AJ47" s="550">
        <v>0</v>
      </c>
      <c r="AK47" s="551">
        <v>0</v>
      </c>
      <c r="AL47" s="552">
        <f>VLOOKUP($A47,'[1]Post-Consumer Transport'!$C$33:$K$88,3,FALSE)+VLOOKUP($A47,'[1]Post-Consumer Transport'!$C$33:$K$88,4,FALSE)</f>
        <v>2.0254519141196047E-2</v>
      </c>
      <c r="AM47" s="553">
        <f t="shared" si="97"/>
        <v>2.0254519141196047E-2</v>
      </c>
      <c r="AN47" s="549">
        <f t="shared" si="28"/>
        <v>2.0254519141196047E-2</v>
      </c>
      <c r="AO47" s="549">
        <f t="shared" si="29"/>
        <v>2.0254519141196047E-2</v>
      </c>
      <c r="AP47" s="550">
        <f t="shared" si="30"/>
        <v>2.0254519141196047E-2</v>
      </c>
      <c r="AQ47" s="548">
        <v>0</v>
      </c>
      <c r="AR47" s="549">
        <v>0</v>
      </c>
      <c r="AS47" s="549">
        <v>0</v>
      </c>
      <c r="AT47" s="550">
        <v>0</v>
      </c>
      <c r="AU47" s="551">
        <v>0</v>
      </c>
      <c r="AV47" s="552">
        <f>VLOOKUP($A47,'[1]Post-Consumer Transport'!$C$33:$K$88,3,FALSE)+VLOOKUP($A47,'[1]Post-Consumer Transport'!$C$33:$K$88,4,FALSE)</f>
        <v>2.0254519141196047E-2</v>
      </c>
      <c r="AW47" s="553">
        <f t="shared" si="98"/>
        <v>2.0254519141196047E-2</v>
      </c>
      <c r="AX47" s="549">
        <f t="shared" si="32"/>
        <v>2.0254519141196047E-2</v>
      </c>
      <c r="AY47" s="549">
        <f t="shared" si="33"/>
        <v>2.0254519141196047E-2</v>
      </c>
      <c r="AZ47" s="550">
        <f t="shared" si="34"/>
        <v>2.0254519141196047E-2</v>
      </c>
      <c r="BB47" s="548">
        <v>0</v>
      </c>
      <c r="BC47" s="549">
        <v>0</v>
      </c>
      <c r="BD47" s="549">
        <v>0</v>
      </c>
      <c r="BE47" s="550">
        <v>0</v>
      </c>
      <c r="BF47" s="551">
        <v>0</v>
      </c>
      <c r="BG47" s="552">
        <f>VLOOKUP($A47,'[1]Post-Consumer Transport'!$C$33:$K$88,3,FALSE)+VLOOKUP($A47,'[1]Post-Consumer Transport'!$C$33:$K$88,4,FALSE)</f>
        <v>2.0254519141196047E-2</v>
      </c>
      <c r="BH47" s="553">
        <f t="shared" si="99"/>
        <v>2.0254519141196047E-2</v>
      </c>
      <c r="BI47" s="549">
        <f t="shared" si="36"/>
        <v>2.0254519141196047E-2</v>
      </c>
      <c r="BJ47" s="549">
        <f t="shared" si="37"/>
        <v>2.0254519141196047E-2</v>
      </c>
      <c r="BK47" s="550">
        <f t="shared" si="38"/>
        <v>2.0254519141196047E-2</v>
      </c>
      <c r="BL47" s="881">
        <v>0</v>
      </c>
      <c r="BM47" s="882">
        <v>0</v>
      </c>
      <c r="BN47" s="882">
        <v>0</v>
      </c>
      <c r="BO47" s="883">
        <v>0</v>
      </c>
      <c r="BP47" s="884">
        <v>0</v>
      </c>
      <c r="BQ47" s="885">
        <f>VLOOKUP($A47,'[1]Post-Consumer Transport'!$C$33:$K$88,3,FALSE)+VLOOKUP($A47,'[1]Post-Consumer Transport'!$C$33:$K$88,4,FALSE)</f>
        <v>2.0254519141196047E-2</v>
      </c>
      <c r="BR47" s="886">
        <f t="shared" si="100"/>
        <v>2.0254519141196047E-2</v>
      </c>
      <c r="BS47" s="882">
        <f t="shared" si="40"/>
        <v>2.0254519141196047E-2</v>
      </c>
      <c r="BT47" s="882">
        <f t="shared" si="41"/>
        <v>2.0254519141196047E-2</v>
      </c>
      <c r="BU47" s="883">
        <f t="shared" si="42"/>
        <v>2.0254519141196047E-2</v>
      </c>
      <c r="BV47" s="548">
        <v>0</v>
      </c>
      <c r="BW47" s="549">
        <v>0</v>
      </c>
      <c r="BX47" s="549">
        <v>0</v>
      </c>
      <c r="BY47" s="550">
        <v>0</v>
      </c>
      <c r="BZ47" s="551">
        <v>0</v>
      </c>
      <c r="CA47" s="552">
        <f>VLOOKUP($A47,'[1]Post-Consumer Transport'!$C$33:$K$88,3,FALSE)+VLOOKUP($A47,'[1]Post-Consumer Transport'!$C$33:$K$88,4,FALSE)</f>
        <v>2.0254519141196047E-2</v>
      </c>
      <c r="CB47" s="553">
        <f t="shared" si="101"/>
        <v>2.0254519141196047E-2</v>
      </c>
      <c r="CC47" s="549">
        <f t="shared" si="44"/>
        <v>2.0254519141196047E-2</v>
      </c>
      <c r="CD47" s="549">
        <f t="shared" si="45"/>
        <v>2.0254519141196047E-2</v>
      </c>
      <c r="CE47" s="550">
        <f t="shared" si="46"/>
        <v>2.0254519141196047E-2</v>
      </c>
      <c r="CF47" s="548">
        <v>0</v>
      </c>
      <c r="CG47" s="549">
        <v>0</v>
      </c>
      <c r="CH47" s="549">
        <v>0</v>
      </c>
      <c r="CI47" s="550">
        <v>0</v>
      </c>
      <c r="CJ47" s="551">
        <v>0</v>
      </c>
      <c r="CK47" s="552">
        <f>VLOOKUP($A47,'[1]Post-Consumer Transport'!$C$33:$K$88,3,FALSE)+VLOOKUP($A47,'[1]Post-Consumer Transport'!$C$33:$K$88,4,FALSE)</f>
        <v>2.0254519141196047E-2</v>
      </c>
      <c r="CL47" s="553">
        <f t="shared" si="102"/>
        <v>2.0254519141196047E-2</v>
      </c>
      <c r="CM47" s="549">
        <f t="shared" si="48"/>
        <v>2.0254519141196047E-2</v>
      </c>
      <c r="CN47" s="549">
        <f t="shared" si="49"/>
        <v>2.0254519141196047E-2</v>
      </c>
      <c r="CO47" s="550">
        <f t="shared" si="50"/>
        <v>2.0254519141196047E-2</v>
      </c>
      <c r="CP47" s="548">
        <v>0</v>
      </c>
      <c r="CQ47" s="549">
        <v>0</v>
      </c>
      <c r="CR47" s="549">
        <v>0</v>
      </c>
      <c r="CS47" s="550">
        <v>0</v>
      </c>
      <c r="CT47" s="551">
        <v>0</v>
      </c>
      <c r="CU47" s="552">
        <f>VLOOKUP($A47,'[1]Post-Consumer Transport'!$C$33:$K$88,3,FALSE)+VLOOKUP($A47,'[1]Post-Consumer Transport'!$C$33:$K$88,4,FALSE)</f>
        <v>2.0254519141196047E-2</v>
      </c>
      <c r="CV47" s="553">
        <f t="shared" si="103"/>
        <v>2.0254519141196047E-2</v>
      </c>
      <c r="CW47" s="549">
        <f t="shared" si="52"/>
        <v>2.0254519141196047E-2</v>
      </c>
      <c r="CX47" s="549">
        <f t="shared" si="53"/>
        <v>2.0254519141196047E-2</v>
      </c>
      <c r="CY47" s="550">
        <f t="shared" si="54"/>
        <v>2.0254519141196047E-2</v>
      </c>
      <c r="DA47" s="548">
        <v>0</v>
      </c>
      <c r="DB47" s="549">
        <v>0</v>
      </c>
      <c r="DC47" s="549">
        <v>0</v>
      </c>
      <c r="DD47" s="550">
        <v>0</v>
      </c>
      <c r="DE47" s="551">
        <v>0</v>
      </c>
      <c r="DF47" s="552">
        <f>VLOOKUP($A47,'[1]Post-Consumer Transport'!$C$33:$K$88,3,FALSE)+VLOOKUP($A47,'[1]Post-Consumer Transport'!$C$33:$K$88,4,FALSE)</f>
        <v>2.0254519141196047E-2</v>
      </c>
      <c r="DG47" s="553">
        <f t="shared" si="104"/>
        <v>2.0254519141196047E-2</v>
      </c>
      <c r="DH47" s="549">
        <f t="shared" si="56"/>
        <v>2.0254519141196047E-2</v>
      </c>
      <c r="DI47" s="549">
        <f t="shared" si="57"/>
        <v>2.0254519141196047E-2</v>
      </c>
      <c r="DJ47" s="550">
        <f t="shared" si="58"/>
        <v>2.0254519141196047E-2</v>
      </c>
      <c r="DK47" s="548">
        <v>0</v>
      </c>
      <c r="DL47" s="549">
        <v>0</v>
      </c>
      <c r="DM47" s="549">
        <v>0</v>
      </c>
      <c r="DN47" s="550">
        <v>0</v>
      </c>
      <c r="DO47" s="551">
        <v>0</v>
      </c>
      <c r="DP47" s="552">
        <f>VLOOKUP($A47,'[1]Post-Consumer Transport'!$C$33:$K$88,3,FALSE)+VLOOKUP($A47,'[1]Post-Consumer Transport'!$C$33:$K$88,4,FALSE)</f>
        <v>2.0254519141196047E-2</v>
      </c>
      <c r="DQ47" s="553">
        <f t="shared" si="105"/>
        <v>2.0254519141196047E-2</v>
      </c>
      <c r="DR47" s="549">
        <f t="shared" si="60"/>
        <v>2.0254519141196047E-2</v>
      </c>
      <c r="DS47" s="549">
        <f t="shared" si="61"/>
        <v>2.0254519141196047E-2</v>
      </c>
      <c r="DT47" s="550">
        <f t="shared" si="62"/>
        <v>2.0254519141196047E-2</v>
      </c>
      <c r="DU47" s="548">
        <v>0</v>
      </c>
      <c r="DV47" s="549">
        <v>0</v>
      </c>
      <c r="DW47" s="549">
        <v>0</v>
      </c>
      <c r="DX47" s="550">
        <v>0</v>
      </c>
      <c r="DY47" s="551">
        <v>0</v>
      </c>
      <c r="DZ47" s="552">
        <f>VLOOKUP($A47,'[1]Post-Consumer Transport'!$C$33:$K$88,3,FALSE)+VLOOKUP($A47,'[1]Post-Consumer Transport'!$C$33:$K$88,4,FALSE)</f>
        <v>2.0254519141196047E-2</v>
      </c>
      <c r="EA47" s="553">
        <f t="shared" si="106"/>
        <v>2.0254519141196047E-2</v>
      </c>
      <c r="EB47" s="549">
        <f t="shared" si="64"/>
        <v>2.0254519141196047E-2</v>
      </c>
      <c r="EC47" s="549">
        <f t="shared" si="65"/>
        <v>2.0254519141196047E-2</v>
      </c>
      <c r="ED47" s="550">
        <f t="shared" si="66"/>
        <v>2.0254519141196047E-2</v>
      </c>
      <c r="EE47" s="548">
        <v>0</v>
      </c>
      <c r="EF47" s="549">
        <v>0</v>
      </c>
      <c r="EG47" s="549">
        <v>0</v>
      </c>
      <c r="EH47" s="550">
        <v>0</v>
      </c>
      <c r="EI47" s="551">
        <v>0</v>
      </c>
      <c r="EJ47" s="552">
        <f>VLOOKUP($A47,'[1]Post-Consumer Transport'!$C$33:$K$88,3,FALSE)+VLOOKUP($A47,'[1]Post-Consumer Transport'!$C$33:$K$88,4,FALSE)</f>
        <v>2.0254519141196047E-2</v>
      </c>
      <c r="EK47" s="553">
        <f t="shared" si="107"/>
        <v>2.0254519141196047E-2</v>
      </c>
      <c r="EL47" s="549">
        <f t="shared" si="68"/>
        <v>2.0254519141196047E-2</v>
      </c>
      <c r="EM47" s="549">
        <f t="shared" si="69"/>
        <v>2.0254519141196047E-2</v>
      </c>
      <c r="EN47" s="550">
        <f t="shared" si="70"/>
        <v>2.0254519141196047E-2</v>
      </c>
      <c r="EO47" s="548">
        <v>0</v>
      </c>
      <c r="EP47" s="549">
        <v>0</v>
      </c>
      <c r="EQ47" s="549">
        <v>0</v>
      </c>
      <c r="ER47" s="550">
        <v>0</v>
      </c>
      <c r="ES47" s="551">
        <v>0</v>
      </c>
      <c r="ET47" s="552">
        <f>VLOOKUP($A47,'[1]Post-Consumer Transport'!$C$33:$K$88,3,FALSE)+VLOOKUP($A47,'[1]Post-Consumer Transport'!$C$33:$K$88,4,FALSE)</f>
        <v>2.0254519141196047E-2</v>
      </c>
      <c r="EU47" s="553">
        <f t="shared" si="108"/>
        <v>2.0254519141196047E-2</v>
      </c>
      <c r="EV47" s="549">
        <f t="shared" si="72"/>
        <v>2.0254519141196047E-2</v>
      </c>
      <c r="EW47" s="549">
        <f t="shared" si="73"/>
        <v>2.0254519141196047E-2</v>
      </c>
      <c r="EX47" s="550">
        <f t="shared" si="74"/>
        <v>2.0254519141196047E-2</v>
      </c>
      <c r="EZ47" s="548">
        <v>0</v>
      </c>
      <c r="FA47" s="549">
        <v>0</v>
      </c>
      <c r="FB47" s="549">
        <v>0</v>
      </c>
      <c r="FC47" s="550">
        <v>0</v>
      </c>
      <c r="FD47" s="551">
        <v>0</v>
      </c>
      <c r="FE47" s="552">
        <f>VLOOKUP($A47,'[1]Post-Consumer Transport'!$C$33:$K$88,3,FALSE)+VLOOKUP($A47,'[1]Post-Consumer Transport'!$C$33:$K$88,4,FALSE)</f>
        <v>2.0254519141196047E-2</v>
      </c>
      <c r="FF47" s="553">
        <f t="shared" si="109"/>
        <v>2.0254519141196047E-2</v>
      </c>
      <c r="FG47" s="549">
        <f t="shared" si="76"/>
        <v>2.0254519141196047E-2</v>
      </c>
      <c r="FH47" s="549">
        <f t="shared" si="77"/>
        <v>2.0254519141196047E-2</v>
      </c>
      <c r="FI47" s="550">
        <f t="shared" si="78"/>
        <v>2.0254519141196047E-2</v>
      </c>
      <c r="FJ47" s="548">
        <v>0</v>
      </c>
      <c r="FK47" s="549">
        <v>0</v>
      </c>
      <c r="FL47" s="549">
        <v>0</v>
      </c>
      <c r="FM47" s="550">
        <v>0</v>
      </c>
      <c r="FN47" s="551">
        <v>0</v>
      </c>
      <c r="FO47" s="552">
        <f>VLOOKUP($A47,'[1]Post-Consumer Transport'!$C$33:$K$88,3,FALSE)+VLOOKUP($A47,'[1]Post-Consumer Transport'!$C$33:$K$88,4,FALSE)</f>
        <v>2.0254519141196047E-2</v>
      </c>
      <c r="FP47" s="553">
        <f t="shared" si="110"/>
        <v>2.0254519141196047E-2</v>
      </c>
      <c r="FQ47" s="549">
        <f t="shared" si="80"/>
        <v>2.0254519141196047E-2</v>
      </c>
      <c r="FR47" s="549">
        <f t="shared" si="81"/>
        <v>2.0254519141196047E-2</v>
      </c>
      <c r="FS47" s="550">
        <f t="shared" si="82"/>
        <v>2.0254519141196047E-2</v>
      </c>
      <c r="FT47" s="548">
        <v>0</v>
      </c>
      <c r="FU47" s="549">
        <v>0</v>
      </c>
      <c r="FV47" s="549">
        <v>0</v>
      </c>
      <c r="FW47" s="550">
        <v>0</v>
      </c>
      <c r="FX47" s="551">
        <v>0</v>
      </c>
      <c r="FY47" s="552">
        <f>VLOOKUP($A47,'[1]Post-Consumer Transport'!$C$33:$K$88,3,FALSE)+VLOOKUP($A47,'[1]Post-Consumer Transport'!$C$33:$K$88,4,FALSE)</f>
        <v>2.0254519141196047E-2</v>
      </c>
      <c r="FZ47" s="553">
        <f t="shared" si="111"/>
        <v>2.0254519141196047E-2</v>
      </c>
      <c r="GA47" s="549">
        <f t="shared" si="84"/>
        <v>2.0254519141196047E-2</v>
      </c>
      <c r="GB47" s="549">
        <f t="shared" si="85"/>
        <v>2.0254519141196047E-2</v>
      </c>
      <c r="GC47" s="550">
        <f t="shared" si="86"/>
        <v>2.0254519141196047E-2</v>
      </c>
      <c r="GD47" s="548">
        <v>0</v>
      </c>
      <c r="GE47" s="549">
        <v>0</v>
      </c>
      <c r="GF47" s="549">
        <v>0</v>
      </c>
      <c r="GG47" s="550">
        <v>0</v>
      </c>
      <c r="GH47" s="551">
        <v>0</v>
      </c>
      <c r="GI47" s="552">
        <f>VLOOKUP($A47,'[1]Post-Consumer Transport'!$C$33:$K$88,3,FALSE)+VLOOKUP($A47,'[1]Post-Consumer Transport'!$C$33:$K$88,4,FALSE)</f>
        <v>2.0254519141196047E-2</v>
      </c>
      <c r="GJ47" s="553">
        <f t="shared" si="112"/>
        <v>2.0254519141196047E-2</v>
      </c>
      <c r="GK47" s="549">
        <f t="shared" si="88"/>
        <v>2.0254519141196047E-2</v>
      </c>
      <c r="GL47" s="549">
        <f t="shared" si="89"/>
        <v>2.0254519141196047E-2</v>
      </c>
      <c r="GM47" s="550">
        <f t="shared" si="90"/>
        <v>2.0254519141196047E-2</v>
      </c>
      <c r="GN47" s="548">
        <v>0</v>
      </c>
      <c r="GO47" s="549">
        <v>0</v>
      </c>
      <c r="GP47" s="549">
        <v>0</v>
      </c>
      <c r="GQ47" s="550">
        <v>0</v>
      </c>
      <c r="GR47" s="551">
        <v>0</v>
      </c>
      <c r="GS47" s="552">
        <f>VLOOKUP($A47,'[1]Post-Consumer Transport'!$C$33:$K$88,3,FALSE)+VLOOKUP($A47,'[1]Post-Consumer Transport'!$C$33:$K$88,4,FALSE)</f>
        <v>2.0254519141196047E-2</v>
      </c>
      <c r="GT47" s="553">
        <f t="shared" si="113"/>
        <v>2.0254519141196047E-2</v>
      </c>
      <c r="GU47" s="549">
        <f t="shared" si="92"/>
        <v>2.0254519141196047E-2</v>
      </c>
      <c r="GV47" s="549">
        <f t="shared" si="93"/>
        <v>2.0254519141196047E-2</v>
      </c>
      <c r="GW47" s="550">
        <f t="shared" si="94"/>
        <v>2.0254519141196047E-2</v>
      </c>
    </row>
    <row r="48" spans="1:205" s="499" customFormat="1" x14ac:dyDescent="0.25">
      <c r="A48" s="498" t="str">
        <f t="shared" si="16"/>
        <v>Mixed Plastics</v>
      </c>
      <c r="B48" s="547" t="s">
        <v>386</v>
      </c>
      <c r="C48" s="548">
        <v>0</v>
      </c>
      <c r="D48" s="549">
        <v>0</v>
      </c>
      <c r="E48" s="549">
        <v>0</v>
      </c>
      <c r="F48" s="550">
        <v>0</v>
      </c>
      <c r="G48" s="551">
        <v>0</v>
      </c>
      <c r="H48" s="552">
        <f>VLOOKUP($A48,'[1]Post-Consumer Transport'!$C$33:$K$88,3,FALSE)+VLOOKUP($A48,'[1]Post-Consumer Transport'!$C$33:$K$88,4,FALSE)</f>
        <v>2.0254519141196047E-2</v>
      </c>
      <c r="I48" s="553">
        <f t="shared" si="17"/>
        <v>2.0254519141196047E-2</v>
      </c>
      <c r="J48" s="549">
        <f t="shared" si="18"/>
        <v>2.0254519141196047E-2</v>
      </c>
      <c r="K48" s="549">
        <f t="shared" si="18"/>
        <v>2.0254519141196047E-2</v>
      </c>
      <c r="L48" s="550">
        <f t="shared" si="18"/>
        <v>2.0254519141196047E-2</v>
      </c>
      <c r="M48" s="548">
        <v>0</v>
      </c>
      <c r="N48" s="549">
        <v>0</v>
      </c>
      <c r="O48" s="549">
        <v>0</v>
      </c>
      <c r="P48" s="550">
        <v>0</v>
      </c>
      <c r="Q48" s="551">
        <v>0</v>
      </c>
      <c r="R48" s="552">
        <f>VLOOKUP($A48,'[1]Post-Consumer Transport'!$C$33:$K$88,3,FALSE)+VLOOKUP($A48,'[1]Post-Consumer Transport'!$C$33:$K$88,4,FALSE)</f>
        <v>2.0254519141196047E-2</v>
      </c>
      <c r="S48" s="553">
        <f t="shared" si="95"/>
        <v>2.0254519141196047E-2</v>
      </c>
      <c r="T48" s="549">
        <f t="shared" si="20"/>
        <v>2.0254519141196047E-2</v>
      </c>
      <c r="U48" s="549">
        <f t="shared" si="21"/>
        <v>2.0254519141196047E-2</v>
      </c>
      <c r="V48" s="550">
        <f t="shared" si="22"/>
        <v>2.0254519141196047E-2</v>
      </c>
      <c r="W48" s="548">
        <v>0</v>
      </c>
      <c r="X48" s="549">
        <v>0</v>
      </c>
      <c r="Y48" s="549">
        <v>0</v>
      </c>
      <c r="Z48" s="550">
        <v>0</v>
      </c>
      <c r="AA48" s="551">
        <v>0</v>
      </c>
      <c r="AB48" s="552">
        <f>VLOOKUP($A48,'[1]Post-Consumer Transport'!$C$33:$K$88,3,FALSE)+VLOOKUP($A48,'[1]Post-Consumer Transport'!$C$33:$K$88,4,FALSE)</f>
        <v>2.0254519141196047E-2</v>
      </c>
      <c r="AC48" s="553">
        <f t="shared" si="96"/>
        <v>2.0254519141196047E-2</v>
      </c>
      <c r="AD48" s="549">
        <f t="shared" si="24"/>
        <v>2.0254519141196047E-2</v>
      </c>
      <c r="AE48" s="549">
        <f t="shared" si="25"/>
        <v>2.0254519141196047E-2</v>
      </c>
      <c r="AF48" s="550">
        <f t="shared" si="26"/>
        <v>2.0254519141196047E-2</v>
      </c>
      <c r="AG48" s="548">
        <v>0</v>
      </c>
      <c r="AH48" s="549">
        <v>0</v>
      </c>
      <c r="AI48" s="549">
        <v>0</v>
      </c>
      <c r="AJ48" s="550">
        <v>0</v>
      </c>
      <c r="AK48" s="551">
        <v>0</v>
      </c>
      <c r="AL48" s="552">
        <f>VLOOKUP($A48,'[1]Post-Consumer Transport'!$C$33:$K$88,3,FALSE)+VLOOKUP($A48,'[1]Post-Consumer Transport'!$C$33:$K$88,4,FALSE)</f>
        <v>2.0254519141196047E-2</v>
      </c>
      <c r="AM48" s="553">
        <f t="shared" si="97"/>
        <v>2.0254519141196047E-2</v>
      </c>
      <c r="AN48" s="549">
        <f t="shared" si="28"/>
        <v>2.0254519141196047E-2</v>
      </c>
      <c r="AO48" s="549">
        <f t="shared" si="29"/>
        <v>2.0254519141196047E-2</v>
      </c>
      <c r="AP48" s="550">
        <f t="shared" si="30"/>
        <v>2.0254519141196047E-2</v>
      </c>
      <c r="AQ48" s="548">
        <v>0</v>
      </c>
      <c r="AR48" s="549">
        <v>0</v>
      </c>
      <c r="AS48" s="549">
        <v>0</v>
      </c>
      <c r="AT48" s="550">
        <v>0</v>
      </c>
      <c r="AU48" s="551">
        <v>0</v>
      </c>
      <c r="AV48" s="552">
        <f>VLOOKUP($A48,'[1]Post-Consumer Transport'!$C$33:$K$88,3,FALSE)+VLOOKUP($A48,'[1]Post-Consumer Transport'!$C$33:$K$88,4,FALSE)</f>
        <v>2.0254519141196047E-2</v>
      </c>
      <c r="AW48" s="553">
        <f t="shared" si="98"/>
        <v>2.0254519141196047E-2</v>
      </c>
      <c r="AX48" s="549">
        <f t="shared" si="32"/>
        <v>2.0254519141196047E-2</v>
      </c>
      <c r="AY48" s="549">
        <f t="shared" si="33"/>
        <v>2.0254519141196047E-2</v>
      </c>
      <c r="AZ48" s="550">
        <f t="shared" si="34"/>
        <v>2.0254519141196047E-2</v>
      </c>
      <c r="BB48" s="548">
        <v>0</v>
      </c>
      <c r="BC48" s="549">
        <v>0</v>
      </c>
      <c r="BD48" s="549">
        <v>0</v>
      </c>
      <c r="BE48" s="550">
        <v>0</v>
      </c>
      <c r="BF48" s="551">
        <v>0</v>
      </c>
      <c r="BG48" s="552">
        <f>VLOOKUP($A48,'[1]Post-Consumer Transport'!$C$33:$K$88,3,FALSE)+VLOOKUP($A48,'[1]Post-Consumer Transport'!$C$33:$K$88,4,FALSE)</f>
        <v>2.0254519141196047E-2</v>
      </c>
      <c r="BH48" s="553">
        <f t="shared" si="99"/>
        <v>2.0254519141196047E-2</v>
      </c>
      <c r="BI48" s="549">
        <f t="shared" si="36"/>
        <v>2.0254519141196047E-2</v>
      </c>
      <c r="BJ48" s="549">
        <f t="shared" si="37"/>
        <v>2.0254519141196047E-2</v>
      </c>
      <c r="BK48" s="550">
        <f t="shared" si="38"/>
        <v>2.0254519141196047E-2</v>
      </c>
      <c r="BL48" s="881">
        <v>0</v>
      </c>
      <c r="BM48" s="882">
        <v>0</v>
      </c>
      <c r="BN48" s="882">
        <v>0</v>
      </c>
      <c r="BO48" s="883">
        <v>0</v>
      </c>
      <c r="BP48" s="884">
        <v>0</v>
      </c>
      <c r="BQ48" s="885">
        <f>VLOOKUP($A48,'[1]Post-Consumer Transport'!$C$33:$K$88,3,FALSE)+VLOOKUP($A48,'[1]Post-Consumer Transport'!$C$33:$K$88,4,FALSE)</f>
        <v>2.0254519141196047E-2</v>
      </c>
      <c r="BR48" s="886">
        <f t="shared" si="100"/>
        <v>2.0254519141196047E-2</v>
      </c>
      <c r="BS48" s="882">
        <f t="shared" si="40"/>
        <v>2.0254519141196047E-2</v>
      </c>
      <c r="BT48" s="882">
        <f t="shared" si="41"/>
        <v>2.0254519141196047E-2</v>
      </c>
      <c r="BU48" s="883">
        <f t="shared" si="42"/>
        <v>2.0254519141196047E-2</v>
      </c>
      <c r="BV48" s="548">
        <v>0</v>
      </c>
      <c r="BW48" s="549">
        <v>0</v>
      </c>
      <c r="BX48" s="549">
        <v>0</v>
      </c>
      <c r="BY48" s="550">
        <v>0</v>
      </c>
      <c r="BZ48" s="551">
        <v>0</v>
      </c>
      <c r="CA48" s="552">
        <f>VLOOKUP($A48,'[1]Post-Consumer Transport'!$C$33:$K$88,3,FALSE)+VLOOKUP($A48,'[1]Post-Consumer Transport'!$C$33:$K$88,4,FALSE)</f>
        <v>2.0254519141196047E-2</v>
      </c>
      <c r="CB48" s="553">
        <f t="shared" si="101"/>
        <v>2.0254519141196047E-2</v>
      </c>
      <c r="CC48" s="549">
        <f t="shared" si="44"/>
        <v>2.0254519141196047E-2</v>
      </c>
      <c r="CD48" s="549">
        <f t="shared" si="45"/>
        <v>2.0254519141196047E-2</v>
      </c>
      <c r="CE48" s="550">
        <f t="shared" si="46"/>
        <v>2.0254519141196047E-2</v>
      </c>
      <c r="CF48" s="548">
        <v>0</v>
      </c>
      <c r="CG48" s="549">
        <v>0</v>
      </c>
      <c r="CH48" s="549">
        <v>0</v>
      </c>
      <c r="CI48" s="550">
        <v>0</v>
      </c>
      <c r="CJ48" s="551">
        <v>0</v>
      </c>
      <c r="CK48" s="552">
        <f>VLOOKUP($A48,'[1]Post-Consumer Transport'!$C$33:$K$88,3,FALSE)+VLOOKUP($A48,'[1]Post-Consumer Transport'!$C$33:$K$88,4,FALSE)</f>
        <v>2.0254519141196047E-2</v>
      </c>
      <c r="CL48" s="553">
        <f t="shared" si="102"/>
        <v>2.0254519141196047E-2</v>
      </c>
      <c r="CM48" s="549">
        <f t="shared" si="48"/>
        <v>2.0254519141196047E-2</v>
      </c>
      <c r="CN48" s="549">
        <f t="shared" si="49"/>
        <v>2.0254519141196047E-2</v>
      </c>
      <c r="CO48" s="550">
        <f t="shared" si="50"/>
        <v>2.0254519141196047E-2</v>
      </c>
      <c r="CP48" s="548">
        <v>0</v>
      </c>
      <c r="CQ48" s="549">
        <v>0</v>
      </c>
      <c r="CR48" s="549">
        <v>0</v>
      </c>
      <c r="CS48" s="550">
        <v>0</v>
      </c>
      <c r="CT48" s="551">
        <v>0</v>
      </c>
      <c r="CU48" s="552">
        <f>VLOOKUP($A48,'[1]Post-Consumer Transport'!$C$33:$K$88,3,FALSE)+VLOOKUP($A48,'[1]Post-Consumer Transport'!$C$33:$K$88,4,FALSE)</f>
        <v>2.0254519141196047E-2</v>
      </c>
      <c r="CV48" s="553">
        <f t="shared" si="103"/>
        <v>2.0254519141196047E-2</v>
      </c>
      <c r="CW48" s="549">
        <f t="shared" si="52"/>
        <v>2.0254519141196047E-2</v>
      </c>
      <c r="CX48" s="549">
        <f t="shared" si="53"/>
        <v>2.0254519141196047E-2</v>
      </c>
      <c r="CY48" s="550">
        <f t="shared" si="54"/>
        <v>2.0254519141196047E-2</v>
      </c>
      <c r="DA48" s="548">
        <v>0</v>
      </c>
      <c r="DB48" s="549">
        <v>0</v>
      </c>
      <c r="DC48" s="549">
        <v>0</v>
      </c>
      <c r="DD48" s="550">
        <v>0</v>
      </c>
      <c r="DE48" s="551">
        <v>0</v>
      </c>
      <c r="DF48" s="552">
        <f>VLOOKUP($A48,'[1]Post-Consumer Transport'!$C$33:$K$88,3,FALSE)+VLOOKUP($A48,'[1]Post-Consumer Transport'!$C$33:$K$88,4,FALSE)</f>
        <v>2.0254519141196047E-2</v>
      </c>
      <c r="DG48" s="553">
        <f t="shared" si="104"/>
        <v>2.0254519141196047E-2</v>
      </c>
      <c r="DH48" s="549">
        <f t="shared" si="56"/>
        <v>2.0254519141196047E-2</v>
      </c>
      <c r="DI48" s="549">
        <f t="shared" si="57"/>
        <v>2.0254519141196047E-2</v>
      </c>
      <c r="DJ48" s="550">
        <f t="shared" si="58"/>
        <v>2.0254519141196047E-2</v>
      </c>
      <c r="DK48" s="548">
        <v>0</v>
      </c>
      <c r="DL48" s="549">
        <v>0</v>
      </c>
      <c r="DM48" s="549">
        <v>0</v>
      </c>
      <c r="DN48" s="550">
        <v>0</v>
      </c>
      <c r="DO48" s="551">
        <v>0</v>
      </c>
      <c r="DP48" s="552">
        <f>VLOOKUP($A48,'[1]Post-Consumer Transport'!$C$33:$K$88,3,FALSE)+VLOOKUP($A48,'[1]Post-Consumer Transport'!$C$33:$K$88,4,FALSE)</f>
        <v>2.0254519141196047E-2</v>
      </c>
      <c r="DQ48" s="553">
        <f t="shared" si="105"/>
        <v>2.0254519141196047E-2</v>
      </c>
      <c r="DR48" s="549">
        <f t="shared" si="60"/>
        <v>2.0254519141196047E-2</v>
      </c>
      <c r="DS48" s="549">
        <f t="shared" si="61"/>
        <v>2.0254519141196047E-2</v>
      </c>
      <c r="DT48" s="550">
        <f t="shared" si="62"/>
        <v>2.0254519141196047E-2</v>
      </c>
      <c r="DU48" s="548">
        <v>0</v>
      </c>
      <c r="DV48" s="549">
        <v>0</v>
      </c>
      <c r="DW48" s="549">
        <v>0</v>
      </c>
      <c r="DX48" s="550">
        <v>0</v>
      </c>
      <c r="DY48" s="551">
        <v>0</v>
      </c>
      <c r="DZ48" s="552">
        <f>VLOOKUP($A48,'[1]Post-Consumer Transport'!$C$33:$K$88,3,FALSE)+VLOOKUP($A48,'[1]Post-Consumer Transport'!$C$33:$K$88,4,FALSE)</f>
        <v>2.0254519141196047E-2</v>
      </c>
      <c r="EA48" s="553">
        <f t="shared" si="106"/>
        <v>2.0254519141196047E-2</v>
      </c>
      <c r="EB48" s="549">
        <f t="shared" si="64"/>
        <v>2.0254519141196047E-2</v>
      </c>
      <c r="EC48" s="549">
        <f t="shared" si="65"/>
        <v>2.0254519141196047E-2</v>
      </c>
      <c r="ED48" s="550">
        <f t="shared" si="66"/>
        <v>2.0254519141196047E-2</v>
      </c>
      <c r="EE48" s="548">
        <v>0</v>
      </c>
      <c r="EF48" s="549">
        <v>0</v>
      </c>
      <c r="EG48" s="549">
        <v>0</v>
      </c>
      <c r="EH48" s="550">
        <v>0</v>
      </c>
      <c r="EI48" s="551">
        <v>0</v>
      </c>
      <c r="EJ48" s="552">
        <f>VLOOKUP($A48,'[1]Post-Consumer Transport'!$C$33:$K$88,3,FALSE)+VLOOKUP($A48,'[1]Post-Consumer Transport'!$C$33:$K$88,4,FALSE)</f>
        <v>2.0254519141196047E-2</v>
      </c>
      <c r="EK48" s="553">
        <f t="shared" si="107"/>
        <v>2.0254519141196047E-2</v>
      </c>
      <c r="EL48" s="549">
        <f t="shared" si="68"/>
        <v>2.0254519141196047E-2</v>
      </c>
      <c r="EM48" s="549">
        <f t="shared" si="69"/>
        <v>2.0254519141196047E-2</v>
      </c>
      <c r="EN48" s="550">
        <f t="shared" si="70"/>
        <v>2.0254519141196047E-2</v>
      </c>
      <c r="EO48" s="548">
        <v>0</v>
      </c>
      <c r="EP48" s="549">
        <v>0</v>
      </c>
      <c r="EQ48" s="549">
        <v>0</v>
      </c>
      <c r="ER48" s="550">
        <v>0</v>
      </c>
      <c r="ES48" s="551">
        <v>0</v>
      </c>
      <c r="ET48" s="552">
        <f>VLOOKUP($A48,'[1]Post-Consumer Transport'!$C$33:$K$88,3,FALSE)+VLOOKUP($A48,'[1]Post-Consumer Transport'!$C$33:$K$88,4,FALSE)</f>
        <v>2.0254519141196047E-2</v>
      </c>
      <c r="EU48" s="553">
        <f t="shared" si="108"/>
        <v>2.0254519141196047E-2</v>
      </c>
      <c r="EV48" s="549">
        <f t="shared" si="72"/>
        <v>2.0254519141196047E-2</v>
      </c>
      <c r="EW48" s="549">
        <f t="shared" si="73"/>
        <v>2.0254519141196047E-2</v>
      </c>
      <c r="EX48" s="550">
        <f t="shared" si="74"/>
        <v>2.0254519141196047E-2</v>
      </c>
      <c r="EZ48" s="548">
        <v>0</v>
      </c>
      <c r="FA48" s="549">
        <v>0</v>
      </c>
      <c r="FB48" s="549">
        <v>0</v>
      </c>
      <c r="FC48" s="550">
        <v>0</v>
      </c>
      <c r="FD48" s="551">
        <v>0</v>
      </c>
      <c r="FE48" s="552">
        <f>VLOOKUP($A48,'[1]Post-Consumer Transport'!$C$33:$K$88,3,FALSE)+VLOOKUP($A48,'[1]Post-Consumer Transport'!$C$33:$K$88,4,FALSE)</f>
        <v>2.0254519141196047E-2</v>
      </c>
      <c r="FF48" s="553">
        <f t="shared" si="109"/>
        <v>2.0254519141196047E-2</v>
      </c>
      <c r="FG48" s="549">
        <f t="shared" si="76"/>
        <v>2.0254519141196047E-2</v>
      </c>
      <c r="FH48" s="549">
        <f t="shared" si="77"/>
        <v>2.0254519141196047E-2</v>
      </c>
      <c r="FI48" s="550">
        <f t="shared" si="78"/>
        <v>2.0254519141196047E-2</v>
      </c>
      <c r="FJ48" s="548">
        <v>0</v>
      </c>
      <c r="FK48" s="549">
        <v>0</v>
      </c>
      <c r="FL48" s="549">
        <v>0</v>
      </c>
      <c r="FM48" s="550">
        <v>0</v>
      </c>
      <c r="FN48" s="551">
        <v>0</v>
      </c>
      <c r="FO48" s="552">
        <f>VLOOKUP($A48,'[1]Post-Consumer Transport'!$C$33:$K$88,3,FALSE)+VLOOKUP($A48,'[1]Post-Consumer Transport'!$C$33:$K$88,4,FALSE)</f>
        <v>2.0254519141196047E-2</v>
      </c>
      <c r="FP48" s="553">
        <f t="shared" si="110"/>
        <v>2.0254519141196047E-2</v>
      </c>
      <c r="FQ48" s="549">
        <f t="shared" si="80"/>
        <v>2.0254519141196047E-2</v>
      </c>
      <c r="FR48" s="549">
        <f t="shared" si="81"/>
        <v>2.0254519141196047E-2</v>
      </c>
      <c r="FS48" s="550">
        <f t="shared" si="82"/>
        <v>2.0254519141196047E-2</v>
      </c>
      <c r="FT48" s="548">
        <v>0</v>
      </c>
      <c r="FU48" s="549">
        <v>0</v>
      </c>
      <c r="FV48" s="549">
        <v>0</v>
      </c>
      <c r="FW48" s="550">
        <v>0</v>
      </c>
      <c r="FX48" s="551">
        <v>0</v>
      </c>
      <c r="FY48" s="552">
        <f>VLOOKUP($A48,'[1]Post-Consumer Transport'!$C$33:$K$88,3,FALSE)+VLOOKUP($A48,'[1]Post-Consumer Transport'!$C$33:$K$88,4,FALSE)</f>
        <v>2.0254519141196047E-2</v>
      </c>
      <c r="FZ48" s="553">
        <f t="shared" si="111"/>
        <v>2.0254519141196047E-2</v>
      </c>
      <c r="GA48" s="549">
        <f t="shared" si="84"/>
        <v>2.0254519141196047E-2</v>
      </c>
      <c r="GB48" s="549">
        <f t="shared" si="85"/>
        <v>2.0254519141196047E-2</v>
      </c>
      <c r="GC48" s="550">
        <f t="shared" si="86"/>
        <v>2.0254519141196047E-2</v>
      </c>
      <c r="GD48" s="548">
        <v>0</v>
      </c>
      <c r="GE48" s="549">
        <v>0</v>
      </c>
      <c r="GF48" s="549">
        <v>0</v>
      </c>
      <c r="GG48" s="550">
        <v>0</v>
      </c>
      <c r="GH48" s="551">
        <v>0</v>
      </c>
      <c r="GI48" s="552">
        <f>VLOOKUP($A48,'[1]Post-Consumer Transport'!$C$33:$K$88,3,FALSE)+VLOOKUP($A48,'[1]Post-Consumer Transport'!$C$33:$K$88,4,FALSE)</f>
        <v>2.0254519141196047E-2</v>
      </c>
      <c r="GJ48" s="553">
        <f t="shared" si="112"/>
        <v>2.0254519141196047E-2</v>
      </c>
      <c r="GK48" s="549">
        <f t="shared" si="88"/>
        <v>2.0254519141196047E-2</v>
      </c>
      <c r="GL48" s="549">
        <f t="shared" si="89"/>
        <v>2.0254519141196047E-2</v>
      </c>
      <c r="GM48" s="550">
        <f t="shared" si="90"/>
        <v>2.0254519141196047E-2</v>
      </c>
      <c r="GN48" s="548">
        <v>0</v>
      </c>
      <c r="GO48" s="549">
        <v>0</v>
      </c>
      <c r="GP48" s="549">
        <v>0</v>
      </c>
      <c r="GQ48" s="550">
        <v>0</v>
      </c>
      <c r="GR48" s="551">
        <v>0</v>
      </c>
      <c r="GS48" s="552">
        <f>VLOOKUP($A48,'[1]Post-Consumer Transport'!$C$33:$K$88,3,FALSE)+VLOOKUP($A48,'[1]Post-Consumer Transport'!$C$33:$K$88,4,FALSE)</f>
        <v>2.0254519141196047E-2</v>
      </c>
      <c r="GT48" s="553">
        <f t="shared" si="113"/>
        <v>2.0254519141196047E-2</v>
      </c>
      <c r="GU48" s="549">
        <f t="shared" si="92"/>
        <v>2.0254519141196047E-2</v>
      </c>
      <c r="GV48" s="549">
        <f t="shared" si="93"/>
        <v>2.0254519141196047E-2</v>
      </c>
      <c r="GW48" s="550">
        <f t="shared" si="94"/>
        <v>2.0254519141196047E-2</v>
      </c>
    </row>
    <row r="49" spans="1:205" s="497" customFormat="1" x14ac:dyDescent="0.25">
      <c r="A49" s="495" t="str">
        <f t="shared" si="16"/>
        <v>Mixed Recyclables</v>
      </c>
      <c r="B49" s="554" t="s">
        <v>272</v>
      </c>
      <c r="C49" s="622">
        <f>VLOOKUP($A49,[1]!LandfillTypicalK2,C$7,FALSE)</f>
        <v>1.7760612719354518</v>
      </c>
      <c r="D49" s="623">
        <f>VLOOKUP($A49,[1]!LandfillTypicalK2,D$7,FALSE)</f>
        <v>1.0455184911844677</v>
      </c>
      <c r="E49" s="538">
        <f>VLOOKUP($A49,[1]!LandfillTypicalK2,E$7,FALSE)</f>
        <v>0.40219460377055244</v>
      </c>
      <c r="F49" s="621">
        <f>VLOOKUP($A49,[1]!LandfillTypicalK2,F$7,FALSE)</f>
        <v>0.61340274580672915</v>
      </c>
      <c r="G49" s="543">
        <f>(G16*[1]Assumptions!$E$66)+(G17*[1]Assumptions!$E$67)+(G19*[1]Assumptions!$E$68)+(G23*[1]Assumptions!$E$72)+(G24*[1]Assumptions!$E$73)+(G25*[1]Assumptions!$E$74)+(G26*[1]Assumptions!$E$75)+(G27*[1]Assumptions!$E$76)+(G28*[1]Assumptions!$E$77)+(G29*[1]Assumptions!$E$78)+(G30*[1]Assumptions!$E$172)+(G48*SUM([1]Assumptions!$E$69:$E$71))</f>
        <v>-0.64855311190316445</v>
      </c>
      <c r="H49" s="544">
        <f>VLOOKUP($A49,'[1]Post-Consumer Transport'!$C$33:$K$88,3,FALSE)+VLOOKUP($A49,'[1]Post-Consumer Transport'!$C$33:$K$88,4,FALSE)</f>
        <v>2.0254519141196047E-2</v>
      </c>
      <c r="I49" s="555">
        <f t="shared" si="17"/>
        <v>1.1477626791734834</v>
      </c>
      <c r="J49" s="545">
        <f t="shared" si="18"/>
        <v>0.41721989842249929</v>
      </c>
      <c r="K49" s="545">
        <f t="shared" si="18"/>
        <v>-0.22610398899141596</v>
      </c>
      <c r="L49" s="546">
        <f t="shared" si="18"/>
        <v>-1.4895846955239246E-2</v>
      </c>
      <c r="M49" s="537">
        <f>VLOOKUP($A49,[1]!LandfillTypicalK4,M$7,FALSE)</f>
        <v>1.7760612719354518</v>
      </c>
      <c r="N49" s="538">
        <f>VLOOKUP($A49,[1]!LandfillTypicalK4,N$7,FALSE)</f>
        <v>0.9954845887066367</v>
      </c>
      <c r="O49" s="538">
        <f>VLOOKUP($A49,[1]!LandfillTypicalK4,O$7,FALSE)</f>
        <v>0.48030808469670844</v>
      </c>
      <c r="P49" s="539">
        <f>VLOOKUP($A49,[1]!LandfillTypicalK4,P$7,FALSE)</f>
        <v>0.6696344143391274</v>
      </c>
      <c r="Q49" s="543">
        <f>(Q16*[1]Assumptions!$E$66)+(Q17*[1]Assumptions!$E$67)+(Q19*[1]Assumptions!$E$68)+(Q23*[1]Assumptions!$E$72)+(Q24*[1]Assumptions!$E$73)+(Q25*[1]Assumptions!$E$74)+(Q26*[1]Assumptions!$E$75)+(Q27*[1]Assumptions!$E$76)+(Q28*[1]Assumptions!$E$77)+(Q29*[1]Assumptions!$E$78)+(Q30*[1]Assumptions!$E$172)+(Q48*SUM([1]Assumptions!$E$69:$E$71))</f>
        <v>-0.64855311190316445</v>
      </c>
      <c r="R49" s="544">
        <f>VLOOKUP($A49,'[1]Post-Consumer Transport'!$C$33:$K$88,3,FALSE)+VLOOKUP($A49,'[1]Post-Consumer Transport'!$C$33:$K$88,4,FALSE)</f>
        <v>2.0254519141196047E-2</v>
      </c>
      <c r="S49" s="555">
        <f t="shared" si="95"/>
        <v>1.1477626791734834</v>
      </c>
      <c r="T49" s="545">
        <f t="shared" si="20"/>
        <v>0.36718599594466828</v>
      </c>
      <c r="U49" s="545">
        <f t="shared" si="21"/>
        <v>-0.14799050806525996</v>
      </c>
      <c r="V49" s="546">
        <f t="shared" si="22"/>
        <v>4.1335821577159003E-2</v>
      </c>
      <c r="W49" s="537">
        <f>VLOOKUP($A49,[1]!LandfillTypicalK6,W$7,FALSE)</f>
        <v>1.7760612719354518</v>
      </c>
      <c r="X49" s="538">
        <f>VLOOKUP($A49,[1]!LandfillTypicalK6,X$7,FALSE)</f>
        <v>0.96721875381336697</v>
      </c>
      <c r="Y49" s="538">
        <f>VLOOKUP($A49,[1]!LandfillTypicalK6,Y$7,FALSE)</f>
        <v>0.5093774445878323</v>
      </c>
      <c r="Z49" s="539">
        <f>VLOOKUP($A49,[1]!LandfillTypicalK6,Z$7,FALSE)</f>
        <v>0.68788860055169243</v>
      </c>
      <c r="AA49" s="543">
        <f>(AA16*[1]Assumptions!$E$66)+(AA17*[1]Assumptions!$E$67)+(AA19*[1]Assumptions!$E$68)+(AA23*[1]Assumptions!$E$72)+(AA24*[1]Assumptions!$E$73)+(AA25*[1]Assumptions!$E$74)+(AA26*[1]Assumptions!$E$75)+(AA27*[1]Assumptions!$E$76)+(AA28*[1]Assumptions!$E$77)+(AA29*[1]Assumptions!$E$78)+(AA30*[1]Assumptions!$E$172)+(AA48*SUM([1]Assumptions!$E$69:$E$71))</f>
        <v>-0.64855311190316445</v>
      </c>
      <c r="AB49" s="544">
        <f>VLOOKUP($A49,'[1]Post-Consumer Transport'!$C$33:$K$88,3,FALSE)+VLOOKUP($A49,'[1]Post-Consumer Transport'!$C$33:$K$88,4,FALSE)</f>
        <v>2.0254519141196047E-2</v>
      </c>
      <c r="AC49" s="555">
        <f t="shared" si="96"/>
        <v>1.1477626791734834</v>
      </c>
      <c r="AD49" s="545">
        <f t="shared" si="24"/>
        <v>0.33892016105139855</v>
      </c>
      <c r="AE49" s="545">
        <f t="shared" si="25"/>
        <v>-0.1189211481741361</v>
      </c>
      <c r="AF49" s="546">
        <f t="shared" si="26"/>
        <v>5.959000778972403E-2</v>
      </c>
      <c r="AG49" s="537">
        <f>VLOOKUP($A49,[1]!LandfillTypicalK12,AG$7,FALSE)</f>
        <v>1.7760612719354518</v>
      </c>
      <c r="AH49" s="538">
        <f>VLOOKUP($A49,[1]!LandfillTypicalK12,AH$7,FALSE)</f>
        <v>0.93735182221491342</v>
      </c>
      <c r="AI49" s="538">
        <f>VLOOKUP($A49,[1]!LandfillTypicalK12,AI$7,FALSE)</f>
        <v>0.55028703164647963</v>
      </c>
      <c r="AJ49" s="539">
        <f>VLOOKUP($A49,[1]!LandfillTypicalK12,AJ$7,FALSE)</f>
        <v>0.71410508441492526</v>
      </c>
      <c r="AK49" s="543">
        <f>(AK16*[1]Assumptions!$E$66)+(AK17*[1]Assumptions!$E$67)+(AK19*[1]Assumptions!$E$68)+(AK23*[1]Assumptions!$E$72)+(AK24*[1]Assumptions!$E$73)+(AK25*[1]Assumptions!$E$74)+(AK26*[1]Assumptions!$E$75)+(AK27*[1]Assumptions!$E$76)+(AK28*[1]Assumptions!$E$77)+(AK29*[1]Assumptions!$E$78)+(AK30*[1]Assumptions!$E$172)+(AK48*SUM([1]Assumptions!$E$69:$E$71))</f>
        <v>-0.64855311190316445</v>
      </c>
      <c r="AL49" s="544">
        <f>VLOOKUP($A49,'[1]Post-Consumer Transport'!$C$33:$K$88,3,FALSE)+VLOOKUP($A49,'[1]Post-Consumer Transport'!$C$33:$K$88,4,FALSE)</f>
        <v>2.0254519141196047E-2</v>
      </c>
      <c r="AM49" s="555">
        <f t="shared" si="97"/>
        <v>1.1477626791734834</v>
      </c>
      <c r="AN49" s="545">
        <f t="shared" si="28"/>
        <v>0.309053229452945</v>
      </c>
      <c r="AO49" s="545">
        <f t="shared" si="29"/>
        <v>-7.8011561115488764E-2</v>
      </c>
      <c r="AP49" s="546">
        <f t="shared" si="30"/>
        <v>8.5806491652956868E-2</v>
      </c>
      <c r="AQ49" s="537">
        <f>VLOOKUP($A49,[1]!LandfillTypicalNatlAverage,AQ$7,FALSE)</f>
        <v>1.7760612719354518</v>
      </c>
      <c r="AR49" s="538">
        <f>VLOOKUP($A49,[1]!LandfillTypicalNatlAverage,AR$7,FALSE)</f>
        <v>0.98806083441189663</v>
      </c>
      <c r="AS49" s="538">
        <f>VLOOKUP($A49,[1]!LandfillTypicalNatlAverage,AS$7,FALSE)</f>
        <v>0.48363079012170634</v>
      </c>
      <c r="AT49" s="539">
        <f>VLOOKUP($A49,[1]!LandfillTypicalNatlAverage,AT$7,FALSE)</f>
        <v>0.67033761817359194</v>
      </c>
      <c r="AU49" s="543">
        <f>(AU16*[1]Assumptions!$E$66)+(AU17*[1]Assumptions!$E$67)+(AU19*[1]Assumptions!$E$68)+(AU23*[1]Assumptions!$E$72)+(AU24*[1]Assumptions!$E$73)+(AU25*[1]Assumptions!$E$74)+(AU26*[1]Assumptions!$E$75)+(AU27*[1]Assumptions!$E$76)+(AU28*[1]Assumptions!$E$77)+(AU29*[1]Assumptions!$E$78)+(AU30*[1]Assumptions!$E$172)+(AU48*SUM([1]Assumptions!$E$69:$E$71))</f>
        <v>-0.64855311190316445</v>
      </c>
      <c r="AV49" s="544">
        <f>VLOOKUP($A49,'[1]Post-Consumer Transport'!$C$33:$K$88,3,FALSE)+VLOOKUP($A49,'[1]Post-Consumer Transport'!$C$33:$K$88,4,FALSE)</f>
        <v>2.0254519141196047E-2</v>
      </c>
      <c r="AW49" s="555">
        <f t="shared" si="98"/>
        <v>1.1477626791734834</v>
      </c>
      <c r="AX49" s="545">
        <f t="shared" si="32"/>
        <v>0.3597622416499282</v>
      </c>
      <c r="AY49" s="545">
        <f t="shared" si="33"/>
        <v>-0.14466780264026205</v>
      </c>
      <c r="AZ49" s="546">
        <f t="shared" si="34"/>
        <v>4.2039025411623542E-2</v>
      </c>
      <c r="BB49" s="537">
        <f>VLOOKUP($A49,[1]!LandfillAggressiveK2,BB$7,FALSE)</f>
        <v>1.7760612719354518</v>
      </c>
      <c r="BC49" s="538">
        <f>VLOOKUP($A49,[1]!LandfillAggressiveK2,BC$7,FALSE)</f>
        <v>1.0345699687590015</v>
      </c>
      <c r="BD49" s="538">
        <f>VLOOKUP($A49,[1]!LandfillAggressiveK2,BD$7,FALSE)</f>
        <v>0.39669573327542074</v>
      </c>
      <c r="BE49" s="539">
        <f>VLOOKUP($A49,[1]!LandfillAggressiveK2,BE$7,FALSE)</f>
        <v>0.60788670495822772</v>
      </c>
      <c r="BF49" s="543">
        <f>(BF16*[1]Assumptions!$E$66)+(BF17*[1]Assumptions!$E$67)+(BF19*[1]Assumptions!$E$68)+(BF23*[1]Assumptions!$E$72)+(BF24*[1]Assumptions!$E$73)+(BF25*[1]Assumptions!$E$74)+(BF26*[1]Assumptions!$E$75)+(BF27*[1]Assumptions!$E$76)+(BF28*[1]Assumptions!$E$77)+(BF29*[1]Assumptions!$E$78)+(BF30*[1]Assumptions!$E$172)+(BF48*SUM([1]Assumptions!$E$69:$E$71))</f>
        <v>-0.64855311190316445</v>
      </c>
      <c r="BG49" s="544">
        <f>VLOOKUP($A49,'[1]Post-Consumer Transport'!$C$33:$K$88,3,FALSE)+VLOOKUP($A49,'[1]Post-Consumer Transport'!$C$33:$K$88,4,FALSE)</f>
        <v>2.0254519141196047E-2</v>
      </c>
      <c r="BH49" s="555">
        <f t="shared" si="99"/>
        <v>1.1477626791734834</v>
      </c>
      <c r="BI49" s="545">
        <f t="shared" si="36"/>
        <v>0.40627137599703311</v>
      </c>
      <c r="BJ49" s="545">
        <f t="shared" si="37"/>
        <v>-0.23160285948654766</v>
      </c>
      <c r="BK49" s="546">
        <f t="shared" si="38"/>
        <v>-2.0411887803740682E-2</v>
      </c>
      <c r="BL49" s="881">
        <f>VLOOKUP($A49,[1]!LandfillAggressiveK4,BL$7,FALSE)</f>
        <v>1.7760612719354518</v>
      </c>
      <c r="BM49" s="882">
        <f>VLOOKUP($A49,[1]!LandfillAggressiveK4,BM$7,FALSE)</f>
        <v>0.97533748657109831</v>
      </c>
      <c r="BN49" s="882">
        <f>VLOOKUP($A49,[1]!LandfillAggressiveK4,BN$7,FALSE)</f>
        <v>0.46781470985465023</v>
      </c>
      <c r="BO49" s="883">
        <f>VLOOKUP($A49,[1]!LandfillAggressiveK4,BO$7,FALSE)</f>
        <v>0.65688041741834402</v>
      </c>
      <c r="BP49" s="884">
        <f>(BP16*[1]Assumptions!$E$66)+(BP17*[1]Assumptions!$E$67)+(BP19*[1]Assumptions!$E$68)+(BP23*[1]Assumptions!$E$72)+(BP24*[1]Assumptions!$E$73)+(BP25*[1]Assumptions!$E$74)+(BP26*[1]Assumptions!$E$75)+(BP27*[1]Assumptions!$E$76)+(BP28*[1]Assumptions!$E$77)+(BP29*[1]Assumptions!$E$78)+(BP30*[1]Assumptions!$E$172)+(BP48*SUM([1]Assumptions!$E$69:$E$71))</f>
        <v>-0.64855311190316445</v>
      </c>
      <c r="BQ49" s="885">
        <f>VLOOKUP($A49,'[1]Post-Consumer Transport'!$C$33:$K$88,3,FALSE)+VLOOKUP($A49,'[1]Post-Consumer Transport'!$C$33:$K$88,4,FALSE)</f>
        <v>2.0254519141196047E-2</v>
      </c>
      <c r="BR49" s="886">
        <f t="shared" si="100"/>
        <v>1.1477626791734834</v>
      </c>
      <c r="BS49" s="882">
        <f t="shared" si="40"/>
        <v>0.34703889380912989</v>
      </c>
      <c r="BT49" s="882">
        <f t="shared" si="41"/>
        <v>-0.16048388290731816</v>
      </c>
      <c r="BU49" s="883">
        <f t="shared" si="42"/>
        <v>2.8581824656375619E-2</v>
      </c>
      <c r="BV49" s="537">
        <f>VLOOKUP($A49,[1]!LandfillAggressiveK6,BV$7,FALSE)</f>
        <v>1.7760612719354518</v>
      </c>
      <c r="BW49" s="538">
        <f>VLOOKUP($A49,[1]!LandfillAggressiveK6,BW$7,FALSE)</f>
        <v>0.94753125782853831</v>
      </c>
      <c r="BX49" s="538">
        <f>VLOOKUP($A49,[1]!LandfillAggressiveK6,BX$7,FALSE)</f>
        <v>0.48228318723043018</v>
      </c>
      <c r="BY49" s="539">
        <f>VLOOKUP($A49,[1]!LandfillAggressiveK6,BY$7,FALSE)</f>
        <v>0.66308839349857362</v>
      </c>
      <c r="BZ49" s="543">
        <f>(BZ16*[1]Assumptions!$E$66)+(BZ17*[1]Assumptions!$E$67)+(BZ19*[1]Assumptions!$E$68)+(BZ23*[1]Assumptions!$E$72)+(BZ24*[1]Assumptions!$E$73)+(BZ25*[1]Assumptions!$E$74)+(BZ26*[1]Assumptions!$E$75)+(BZ27*[1]Assumptions!$E$76)+(BZ28*[1]Assumptions!$E$77)+(BZ29*[1]Assumptions!$E$78)+(BZ30*[1]Assumptions!$E$172)+(BZ48*SUM([1]Assumptions!$E$69:$E$71))</f>
        <v>-0.64855311190316445</v>
      </c>
      <c r="CA49" s="544">
        <f>VLOOKUP($A49,'[1]Post-Consumer Transport'!$C$33:$K$88,3,FALSE)+VLOOKUP($A49,'[1]Post-Consumer Transport'!$C$33:$K$88,4,FALSE)</f>
        <v>2.0254519141196047E-2</v>
      </c>
      <c r="CB49" s="555">
        <f t="shared" si="101"/>
        <v>1.1477626791734834</v>
      </c>
      <c r="CC49" s="545">
        <f t="shared" si="44"/>
        <v>0.31923266506656989</v>
      </c>
      <c r="CD49" s="545">
        <f t="shared" si="45"/>
        <v>-0.14601540553153822</v>
      </c>
      <c r="CE49" s="546">
        <f t="shared" si="46"/>
        <v>3.4789800736605224E-2</v>
      </c>
      <c r="CF49" s="537">
        <f>VLOOKUP($A49,[1]!LandfillAggressiveK12,CF$7,FALSE)</f>
        <v>1.7760612719354518</v>
      </c>
      <c r="CG49" s="538">
        <f>VLOOKUP($A49,[1]!LandfillAggressiveK12,CG$7,FALSE)</f>
        <v>0.90527794305522058</v>
      </c>
      <c r="CH49" s="538">
        <f>VLOOKUP($A49,[1]!LandfillAggressiveK12,CH$7,FALSE)</f>
        <v>0.51032514238542159</v>
      </c>
      <c r="CI49" s="539">
        <f>VLOOKUP($A49,[1]!LandfillAggressiveK12,CI$7,FALSE)</f>
        <v>0.67731592435533727</v>
      </c>
      <c r="CJ49" s="543">
        <f>(CJ16*[1]Assumptions!$E$66)+(CJ17*[1]Assumptions!$E$67)+(CJ19*[1]Assumptions!$E$68)+(CJ23*[1]Assumptions!$E$72)+(CJ24*[1]Assumptions!$E$73)+(CJ25*[1]Assumptions!$E$74)+(CJ26*[1]Assumptions!$E$75)+(CJ27*[1]Assumptions!$E$76)+(CJ28*[1]Assumptions!$E$77)+(CJ29*[1]Assumptions!$E$78)+(CJ30*[1]Assumptions!$E$172)+(CJ48*SUM([1]Assumptions!$E$69:$E$71))</f>
        <v>-0.64855311190316445</v>
      </c>
      <c r="CK49" s="544">
        <f>VLOOKUP($A49,'[1]Post-Consumer Transport'!$C$33:$K$88,3,FALSE)+VLOOKUP($A49,'[1]Post-Consumer Transport'!$C$33:$K$88,4,FALSE)</f>
        <v>2.0254519141196047E-2</v>
      </c>
      <c r="CL49" s="555">
        <f t="shared" si="102"/>
        <v>1.1477626791734834</v>
      </c>
      <c r="CM49" s="545">
        <f t="shared" si="48"/>
        <v>0.27697935029325216</v>
      </c>
      <c r="CN49" s="545">
        <f t="shared" si="49"/>
        <v>-0.1179734503765468</v>
      </c>
      <c r="CO49" s="546">
        <f t="shared" si="50"/>
        <v>4.9017331593368872E-2</v>
      </c>
      <c r="CP49" s="537">
        <f>VLOOKUP($A49,[1]!LandfillAggressiveNatlAverage,CP$7,FALSE)</f>
        <v>1.7760612719354518</v>
      </c>
      <c r="CQ49" s="538">
        <f>VLOOKUP($A49,[1]!LandfillAggressiveNatlAverage,CQ$7,FALSE)</f>
        <v>0.96874966864389922</v>
      </c>
      <c r="CR49" s="538">
        <f>VLOOKUP($A49,[1]!LandfillAggressiveNatlAverage,CR$7,FALSE)</f>
        <v>0.46378850199332694</v>
      </c>
      <c r="CS49" s="539">
        <f>VLOOKUP($A49,[1]!LandfillAggressiveNatlAverage,CS$7,FALSE)</f>
        <v>0.65167670378899434</v>
      </c>
      <c r="CT49" s="543">
        <f>(CT16*[1]Assumptions!$E$66)+(CT17*[1]Assumptions!$E$67)+(CT19*[1]Assumptions!$E$68)+(CT23*[1]Assumptions!$E$72)+(CT24*[1]Assumptions!$E$73)+(CT25*[1]Assumptions!$E$74)+(CT26*[1]Assumptions!$E$75)+(CT27*[1]Assumptions!$E$76)+(CT28*[1]Assumptions!$E$77)+(CT29*[1]Assumptions!$E$78)+(CT30*[1]Assumptions!$E$172)+(CT48*SUM([1]Assumptions!$E$69:$E$71))</f>
        <v>-0.64855311190316445</v>
      </c>
      <c r="CU49" s="544">
        <f>VLOOKUP($A49,'[1]Post-Consumer Transport'!$C$33:$K$88,3,FALSE)+VLOOKUP($A49,'[1]Post-Consumer Transport'!$C$33:$K$88,4,FALSE)</f>
        <v>2.0254519141196047E-2</v>
      </c>
      <c r="CV49" s="555">
        <f t="shared" si="103"/>
        <v>1.1477626791734834</v>
      </c>
      <c r="CW49" s="545">
        <f t="shared" si="52"/>
        <v>0.3404510758819308</v>
      </c>
      <c r="CX49" s="545">
        <f t="shared" si="53"/>
        <v>-0.16451009076864145</v>
      </c>
      <c r="CY49" s="546">
        <f t="shared" si="54"/>
        <v>2.3378111027025937E-2</v>
      </c>
      <c r="DA49" s="537">
        <f>VLOOKUP($A49,[1]!LandfillWorstK2,DA$7,FALSE)</f>
        <v>1.7760612719354518</v>
      </c>
      <c r="DB49" s="538">
        <f>VLOOKUP($A49,[1]!LandfillWorstK2,DB$7,FALSE)</f>
        <v>1.0818897012730475</v>
      </c>
      <c r="DC49" s="538">
        <f>VLOOKUP($A49,[1]!LandfillWorstK2,DC$7,FALSE)</f>
        <v>0.43533932043451007</v>
      </c>
      <c r="DD49" s="539">
        <f>VLOOKUP($A49,[1]!LandfillWorstK2,DD$7,FALSE)</f>
        <v>0.6443090101665141</v>
      </c>
      <c r="DE49" s="543">
        <f>(DE16*[1]Assumptions!$E$66)+(DE17*[1]Assumptions!$E$67)+(DE19*[1]Assumptions!$E$68)+(DE23*[1]Assumptions!$E$72)+(DE24*[1]Assumptions!$E$73)+(DE25*[1]Assumptions!$E$74)+(DE26*[1]Assumptions!$E$75)+(DE27*[1]Assumptions!$E$76)+(DE28*[1]Assumptions!$E$77)+(DE29*[1]Assumptions!$E$78)+(DE30*[1]Assumptions!$E$172)+(DE48*SUM([1]Assumptions!$E$69:$E$71))</f>
        <v>-0.64855311190316445</v>
      </c>
      <c r="DF49" s="544">
        <f>VLOOKUP($A49,'[1]Post-Consumer Transport'!$C$33:$K$88,3,FALSE)+VLOOKUP($A49,'[1]Post-Consumer Transport'!$C$33:$K$88,4,FALSE)</f>
        <v>2.0254519141196047E-2</v>
      </c>
      <c r="DG49" s="555">
        <f t="shared" si="104"/>
        <v>1.1477626791734834</v>
      </c>
      <c r="DH49" s="545">
        <f t="shared" si="56"/>
        <v>0.45359110851107909</v>
      </c>
      <c r="DI49" s="545">
        <f t="shared" si="57"/>
        <v>-0.19295927232745833</v>
      </c>
      <c r="DJ49" s="546">
        <f t="shared" si="58"/>
        <v>1.6010417404545695E-2</v>
      </c>
      <c r="DK49" s="537">
        <f>VLOOKUP($A49,[1]!LandfillWorstK4,DK$7,FALSE)</f>
        <v>1.7760612719354518</v>
      </c>
      <c r="DL49" s="538">
        <f>VLOOKUP($A49,[1]!LandfillWorstK4,DL$7,FALSE)</f>
        <v>1.0507634279949727</v>
      </c>
      <c r="DM49" s="538">
        <f>VLOOKUP($A49,[1]!LandfillWorstK4,DM$7,FALSE)</f>
        <v>0.5347617304693707</v>
      </c>
      <c r="DN49" s="539">
        <f>VLOOKUP($A49,[1]!LandfillWorstK4,DN$7,FALSE)</f>
        <v>0.71963443526229054</v>
      </c>
      <c r="DO49" s="543">
        <f>(DO16*[1]Assumptions!$E$66)+(DO17*[1]Assumptions!$E$67)+(DO19*[1]Assumptions!$E$68)+(DO23*[1]Assumptions!$E$72)+(DO24*[1]Assumptions!$E$73)+(DO25*[1]Assumptions!$E$74)+(DO26*[1]Assumptions!$E$75)+(DO27*[1]Assumptions!$E$76)+(DO28*[1]Assumptions!$E$77)+(DO29*[1]Assumptions!$E$78)+(DO30*[1]Assumptions!$E$172)+(DO48*SUM([1]Assumptions!$E$69:$E$71))</f>
        <v>-0.64855311190316445</v>
      </c>
      <c r="DP49" s="544">
        <f>VLOOKUP($A49,'[1]Post-Consumer Transport'!$C$33:$K$88,3,FALSE)+VLOOKUP($A49,'[1]Post-Consumer Transport'!$C$33:$K$88,4,FALSE)</f>
        <v>2.0254519141196047E-2</v>
      </c>
      <c r="DQ49" s="555">
        <f t="shared" si="105"/>
        <v>1.1477626791734834</v>
      </c>
      <c r="DR49" s="545">
        <f t="shared" si="60"/>
        <v>0.42246483523300427</v>
      </c>
      <c r="DS49" s="545">
        <f t="shared" si="61"/>
        <v>-9.3536862292597694E-2</v>
      </c>
      <c r="DT49" s="546">
        <f t="shared" si="62"/>
        <v>9.1335842500322145E-2</v>
      </c>
      <c r="DU49" s="537">
        <f>VLOOKUP($A49,[1]!LandfillWorstK6,DU$7,FALSE)</f>
        <v>1.7760612719354518</v>
      </c>
      <c r="DV49" s="538">
        <f>VLOOKUP($A49,[1]!LandfillWorstK6,DV$7,FALSE)</f>
        <v>1.0525107704110113</v>
      </c>
      <c r="DW49" s="538">
        <f>VLOOKUP($A49,[1]!LandfillWorstK6,DW$7,FALSE)</f>
        <v>0.57979364709671222</v>
      </c>
      <c r="DX49" s="539">
        <f>VLOOKUP($A49,[1]!LandfillWorstK6,DX$7,FALSE)</f>
        <v>0.75409503897584051</v>
      </c>
      <c r="DY49" s="543">
        <f>(DY16*[1]Assumptions!$E$66)+(DY17*[1]Assumptions!$E$67)+(DY19*[1]Assumptions!$E$68)+(DY23*[1]Assumptions!$E$72)+(DY24*[1]Assumptions!$E$73)+(DY25*[1]Assumptions!$E$74)+(DY26*[1]Assumptions!$E$75)+(DY27*[1]Assumptions!$E$76)+(DY28*[1]Assumptions!$E$77)+(DY29*[1]Assumptions!$E$78)+(DY30*[1]Assumptions!$E$172)+(DY48*SUM([1]Assumptions!$E$69:$E$71))</f>
        <v>-0.64855311190316445</v>
      </c>
      <c r="DZ49" s="544">
        <f>VLOOKUP($A49,'[1]Post-Consumer Transport'!$C$33:$K$88,3,FALSE)+VLOOKUP($A49,'[1]Post-Consumer Transport'!$C$33:$K$88,4,FALSE)</f>
        <v>2.0254519141196047E-2</v>
      </c>
      <c r="EA49" s="555">
        <f t="shared" si="106"/>
        <v>1.1477626791734834</v>
      </c>
      <c r="EB49" s="545">
        <f t="shared" si="64"/>
        <v>0.42421217764904284</v>
      </c>
      <c r="EC49" s="545">
        <f t="shared" si="65"/>
        <v>-4.8504945665256184E-2</v>
      </c>
      <c r="ED49" s="546">
        <f t="shared" si="66"/>
        <v>0.12579644621387212</v>
      </c>
      <c r="EE49" s="537">
        <f>VLOOKUP($A49,[1]!LandfillWorstK12,EE$7,FALSE)</f>
        <v>1.7760612719354518</v>
      </c>
      <c r="EF49" s="538">
        <f>VLOOKUP($A49,[1]!LandfillWorstK12,EF$7,FALSE)</f>
        <v>1.078094710550936</v>
      </c>
      <c r="EG49" s="538">
        <f>VLOOKUP($A49,[1]!LandfillWorstK12,EG$7,FALSE)</f>
        <v>0.6848621093460967</v>
      </c>
      <c r="EH49" s="539">
        <f>VLOOKUP($A49,[1]!LandfillWorstK12,EH$7,FALSE)</f>
        <v>0.83893843626443665</v>
      </c>
      <c r="EI49" s="543">
        <f>(EI16*[1]Assumptions!$E$66)+(EI17*[1]Assumptions!$E$67)+(EI19*[1]Assumptions!$E$68)+(EI23*[1]Assumptions!$E$72)+(EI24*[1]Assumptions!$E$73)+(EI25*[1]Assumptions!$E$74)+(EI26*[1]Assumptions!$E$75)+(EI27*[1]Assumptions!$E$76)+(EI28*[1]Assumptions!$E$77)+(EI29*[1]Assumptions!$E$78)+(EI30*[1]Assumptions!$E$172)+(EI48*SUM([1]Assumptions!$E$69:$E$71))</f>
        <v>-0.64855311190316445</v>
      </c>
      <c r="EJ49" s="544">
        <f>VLOOKUP($A49,'[1]Post-Consumer Transport'!$C$33:$K$88,3,FALSE)+VLOOKUP($A49,'[1]Post-Consumer Transport'!$C$33:$K$88,4,FALSE)</f>
        <v>2.0254519141196047E-2</v>
      </c>
      <c r="EK49" s="555">
        <f t="shared" si="107"/>
        <v>1.1477626791734834</v>
      </c>
      <c r="EL49" s="545">
        <f t="shared" si="68"/>
        <v>0.44979611778896755</v>
      </c>
      <c r="EM49" s="545">
        <f t="shared" si="69"/>
        <v>5.6563516584128302E-2</v>
      </c>
      <c r="EN49" s="546">
        <f t="shared" si="70"/>
        <v>0.21063984350246825</v>
      </c>
      <c r="EO49" s="537">
        <f>VLOOKUP($A49,[1]!LandfillWorstNatlAverage,EO$7,FALSE)</f>
        <v>1.7760612719354518</v>
      </c>
      <c r="EP49" s="538">
        <f>VLOOKUP($A49,[1]!LandfillWorstNatlAverage,EP$7,FALSE)</f>
        <v>1.0604399686391754</v>
      </c>
      <c r="EQ49" s="538">
        <f>VLOOKUP($A49,[1]!LandfillWorstNatlAverage,EQ$7,FALSE)</f>
        <v>0.54839540408390863</v>
      </c>
      <c r="ER49" s="539">
        <f>VLOOKUP($A49,[1]!LandfillWorstNatlAverage,ER$7,FALSE)</f>
        <v>0.73066305846961899</v>
      </c>
      <c r="ES49" s="543">
        <f>(ES16*[1]Assumptions!$E$66)+(ES17*[1]Assumptions!$E$67)+(ES19*[1]Assumptions!$E$68)+(ES23*[1]Assumptions!$E$72)+(ES24*[1]Assumptions!$E$73)+(ES25*[1]Assumptions!$E$74)+(ES26*[1]Assumptions!$E$75)+(ES27*[1]Assumptions!$E$76)+(ES28*[1]Assumptions!$E$77)+(ES29*[1]Assumptions!$E$78)+(ES30*[1]Assumptions!$E$172)+(ES48*SUM([1]Assumptions!$E$69:$E$71))</f>
        <v>-0.64855311190316445</v>
      </c>
      <c r="ET49" s="544">
        <f>VLOOKUP($A49,'[1]Post-Consumer Transport'!$C$33:$K$88,3,FALSE)+VLOOKUP($A49,'[1]Post-Consumer Transport'!$C$33:$K$88,4,FALSE)</f>
        <v>2.0254519141196047E-2</v>
      </c>
      <c r="EU49" s="555">
        <f t="shared" si="108"/>
        <v>1.1477626791734834</v>
      </c>
      <c r="EV49" s="545">
        <f t="shared" si="72"/>
        <v>0.43214137587720702</v>
      </c>
      <c r="EW49" s="545">
        <f t="shared" si="73"/>
        <v>-7.9903188678059761E-2</v>
      </c>
      <c r="EX49" s="546">
        <f t="shared" si="74"/>
        <v>0.10236446570765059</v>
      </c>
      <c r="EZ49" s="537">
        <f>VLOOKUP($A49,[1]!LandfillCaliK2,EZ$7,FALSE)</f>
        <v>1.7760612719354518</v>
      </c>
      <c r="FA49" s="538">
        <f>VLOOKUP($A49,[1]!LandfillCaliK2,FA$7,FALSE)</f>
        <v>0.61401195945413933</v>
      </c>
      <c r="FB49" s="538">
        <f>VLOOKUP($A49,[1]!LandfillCaliK2,FB$7,FALSE)</f>
        <v>0.20673694183420002</v>
      </c>
      <c r="FC49" s="539">
        <f>VLOOKUP($A49,[1]!LandfillCaliK2,FC$7,FALSE)</f>
        <v>0.40954768800272118</v>
      </c>
      <c r="FD49" s="543">
        <f>(FD16*[1]Assumptions!$E$66)+(FD17*[1]Assumptions!$E$67)+(FD19*[1]Assumptions!$E$68)+(FD23*[1]Assumptions!$E$72)+(FD24*[1]Assumptions!$E$73)+(FD25*[1]Assumptions!$E$74)+(FD26*[1]Assumptions!$E$75)+(FD27*[1]Assumptions!$E$76)+(FD28*[1]Assumptions!$E$77)+(FD29*[1]Assumptions!$E$78)+(FD30*[1]Assumptions!$E$172)+(FD48*SUM([1]Assumptions!$E$69:$E$71))</f>
        <v>-0.64855311190316445</v>
      </c>
      <c r="FE49" s="544">
        <f>VLOOKUP($A49,'[1]Post-Consumer Transport'!$C$33:$K$88,3,FALSE)+VLOOKUP($A49,'[1]Post-Consumer Transport'!$C$33:$K$88,4,FALSE)</f>
        <v>2.0254519141196047E-2</v>
      </c>
      <c r="FF49" s="555">
        <f t="shared" si="109"/>
        <v>1.1477626791734834</v>
      </c>
      <c r="FG49" s="545">
        <f t="shared" si="76"/>
        <v>-1.4286633307829068E-2</v>
      </c>
      <c r="FH49" s="545">
        <f t="shared" si="77"/>
        <v>-0.42156165092776843</v>
      </c>
      <c r="FI49" s="546">
        <f t="shared" si="78"/>
        <v>-0.21875090475924722</v>
      </c>
      <c r="FJ49" s="537">
        <f>VLOOKUP($A49,[1]!LandfillCaliK4,FJ$7,FALSE)</f>
        <v>1.7760612719354518</v>
      </c>
      <c r="FK49" s="538">
        <f>VLOOKUP($A49,[1]!LandfillCaliK4,FK$7,FALSE)</f>
        <v>0.59156660331601196</v>
      </c>
      <c r="FL49" s="538">
        <f>VLOOKUP($A49,[1]!LandfillCaliK4,FL$7,FALSE)</f>
        <v>0.28061448357915758</v>
      </c>
      <c r="FM49" s="539">
        <f>VLOOKUP($A49,[1]!LandfillCaliK4,FM$7,FALSE)</f>
        <v>0.46628053806572101</v>
      </c>
      <c r="FN49" s="543">
        <f>(FN16*[1]Assumptions!$E$66)+(FN17*[1]Assumptions!$E$67)+(FN19*[1]Assumptions!$E$68)+(FN23*[1]Assumptions!$E$72)+(FN24*[1]Assumptions!$E$73)+(FN25*[1]Assumptions!$E$74)+(FN26*[1]Assumptions!$E$75)+(FN27*[1]Assumptions!$E$76)+(FN28*[1]Assumptions!$E$77)+(FN29*[1]Assumptions!$E$78)+(FN30*[1]Assumptions!$E$172)+(FN48*SUM([1]Assumptions!$E$69:$E$71))</f>
        <v>-0.64855311190316445</v>
      </c>
      <c r="FO49" s="544">
        <f>VLOOKUP($A49,'[1]Post-Consumer Transport'!$C$33:$K$88,3,FALSE)+VLOOKUP($A49,'[1]Post-Consumer Transport'!$C$33:$K$88,4,FALSE)</f>
        <v>2.0254519141196047E-2</v>
      </c>
      <c r="FP49" s="555">
        <f t="shared" si="110"/>
        <v>1.1477626791734834</v>
      </c>
      <c r="FQ49" s="545">
        <f t="shared" si="80"/>
        <v>-3.6731989445956438E-2</v>
      </c>
      <c r="FR49" s="545">
        <f t="shared" si="81"/>
        <v>-0.34768410918281084</v>
      </c>
      <c r="FS49" s="546">
        <f t="shared" si="82"/>
        <v>-0.16201805469624739</v>
      </c>
      <c r="FT49" s="537">
        <f>VLOOKUP($A49,[1]!LandfillCaliK6,FT$7,FALSE)</f>
        <v>1.7760612719354518</v>
      </c>
      <c r="FU49" s="538">
        <f>VLOOKUP($A49,[1]!LandfillCaliK6,FU$7,FALSE)</f>
        <v>0.6249924890832429</v>
      </c>
      <c r="FV49" s="538">
        <f>VLOOKUP($A49,[1]!LandfillCaliK6,FV$7,FALSE)</f>
        <v>0.32471401070191902</v>
      </c>
      <c r="FW49" s="539">
        <f>VLOOKUP($A49,[1]!LandfillCaliK6,FW$7,FALSE)</f>
        <v>0.50143771896161815</v>
      </c>
      <c r="FX49" s="543">
        <f>(FX16*[1]Assumptions!$E$66)+(FX17*[1]Assumptions!$E$67)+(FX19*[1]Assumptions!$E$68)+(FX23*[1]Assumptions!$E$72)+(FX24*[1]Assumptions!$E$73)+(FX25*[1]Assumptions!$E$74)+(FX26*[1]Assumptions!$E$75)+(FX27*[1]Assumptions!$E$76)+(FX28*[1]Assumptions!$E$77)+(FX29*[1]Assumptions!$E$78)+(FX30*[1]Assumptions!$E$172)+(FX48*SUM([1]Assumptions!$E$69:$E$71))</f>
        <v>-0.64855311190316445</v>
      </c>
      <c r="FY49" s="544">
        <f>VLOOKUP($A49,'[1]Post-Consumer Transport'!$C$33:$K$88,3,FALSE)+VLOOKUP($A49,'[1]Post-Consumer Transport'!$C$33:$K$88,4,FALSE)</f>
        <v>2.0254519141196047E-2</v>
      </c>
      <c r="FZ49" s="555">
        <f t="shared" si="111"/>
        <v>1.1477626791734834</v>
      </c>
      <c r="GA49" s="545">
        <f t="shared" si="84"/>
        <v>-3.3061036787255041E-3</v>
      </c>
      <c r="GB49" s="545">
        <f t="shared" si="85"/>
        <v>-0.3035845820600494</v>
      </c>
      <c r="GC49" s="546">
        <f t="shared" si="86"/>
        <v>-0.12686087380035024</v>
      </c>
      <c r="GD49" s="537">
        <f>VLOOKUP($A49,[1]!LandfillCaliK12,GD$7,FALSE)</f>
        <v>1.7760612719354518</v>
      </c>
      <c r="GE49" s="538">
        <f>VLOOKUP($A49,[1]!LandfillCaliK12,GE$7,FALSE)</f>
        <v>0.67060826848795296</v>
      </c>
      <c r="GF49" s="538">
        <f>VLOOKUP($A49,[1]!LandfillCaliK12,GF$7,FALSE)</f>
        <v>0.38464039712580389</v>
      </c>
      <c r="GG49" s="539">
        <f>VLOOKUP($A49,[1]!LandfillCaliK12,GG$7,FALSE)</f>
        <v>0.55001078281214555</v>
      </c>
      <c r="GH49" s="543">
        <f>(GH16*[1]Assumptions!$E$66)+(GH17*[1]Assumptions!$E$67)+(GH19*[1]Assumptions!$E$68)+(GH23*[1]Assumptions!$E$72)+(GH24*[1]Assumptions!$E$73)+(GH25*[1]Assumptions!$E$74)+(GH26*[1]Assumptions!$E$75)+(GH27*[1]Assumptions!$E$76)+(GH28*[1]Assumptions!$E$77)+(GH29*[1]Assumptions!$E$78)+(GH30*[1]Assumptions!$E$172)+(GH48*SUM([1]Assumptions!$E$69:$E$71))</f>
        <v>-0.64855311190316445</v>
      </c>
      <c r="GI49" s="544">
        <f>VLOOKUP($A49,'[1]Post-Consumer Transport'!$C$33:$K$88,3,FALSE)+VLOOKUP($A49,'[1]Post-Consumer Transport'!$C$33:$K$88,4,FALSE)</f>
        <v>2.0254519141196047E-2</v>
      </c>
      <c r="GJ49" s="555">
        <f t="shared" si="112"/>
        <v>1.1477626791734834</v>
      </c>
      <c r="GK49" s="545">
        <f t="shared" si="88"/>
        <v>4.2309675725984562E-2</v>
      </c>
      <c r="GL49" s="545">
        <f t="shared" si="89"/>
        <v>-0.2436581956361645</v>
      </c>
      <c r="GM49" s="546">
        <f t="shared" si="90"/>
        <v>-7.8287809949822845E-2</v>
      </c>
      <c r="GN49" s="537">
        <f>VLOOKUP($A49,[1]!LandfillCaliNatlAverage,GN$7,FALSE)</f>
        <v>1.7760612719354518</v>
      </c>
      <c r="GO49" s="538">
        <f>VLOOKUP($A49,[1]!LandfillCaliNatlAverage,GO$7,FALSE)</f>
        <v>0.61769788011116333</v>
      </c>
      <c r="GP49" s="538">
        <f>VLOOKUP($A49,[1]!LandfillCaliNatlAverage,GP$7,FALSE)</f>
        <v>0.29436647223228563</v>
      </c>
      <c r="GQ49" s="539">
        <f>VLOOKUP($A49,[1]!LandfillCaliNatlAverage,GQ$7,FALSE)</f>
        <v>0.47775659387597724</v>
      </c>
      <c r="GR49" s="543">
        <f>(GR16*[1]Assumptions!$E$66)+(GR17*[1]Assumptions!$E$67)+(GR19*[1]Assumptions!$E$68)+(GR23*[1]Assumptions!$E$72)+(GR24*[1]Assumptions!$E$73)+(GR25*[1]Assumptions!$E$74)+(GR26*[1]Assumptions!$E$75)+(GR27*[1]Assumptions!$E$76)+(GR28*[1]Assumptions!$E$77)+(GR29*[1]Assumptions!$E$78)+(GR30*[1]Assumptions!$E$172)+(GR48*SUM([1]Assumptions!$E$69:$E$71))</f>
        <v>-0.64855311190316445</v>
      </c>
      <c r="GS49" s="544">
        <f>VLOOKUP($A49,'[1]Post-Consumer Transport'!$C$33:$K$88,3,FALSE)+VLOOKUP($A49,'[1]Post-Consumer Transport'!$C$33:$K$88,4,FALSE)</f>
        <v>2.0254519141196047E-2</v>
      </c>
      <c r="GT49" s="555">
        <f t="shared" si="113"/>
        <v>1.1477626791734834</v>
      </c>
      <c r="GU49" s="545">
        <f t="shared" si="92"/>
        <v>-1.0600712650805068E-2</v>
      </c>
      <c r="GV49" s="545">
        <f t="shared" si="93"/>
        <v>-0.3339321205296828</v>
      </c>
      <c r="GW49" s="546">
        <f t="shared" si="94"/>
        <v>-0.15054199888599115</v>
      </c>
    </row>
    <row r="50" spans="1:205" s="497" customFormat="1" x14ac:dyDescent="0.25">
      <c r="A50" s="495" t="str">
        <f t="shared" si="16"/>
        <v>Mixed Organics</v>
      </c>
      <c r="B50" s="554" t="s">
        <v>385</v>
      </c>
      <c r="C50" s="622">
        <f>VLOOKUP($A50,[1]!LandfillTypicalK2,C$7,FALSE)</f>
        <v>1.1095340364008999</v>
      </c>
      <c r="D50" s="623">
        <f>VLOOKUP($A50,[1]!LandfillTypicalK2,D$7,FALSE)</f>
        <v>0.47892260842417467</v>
      </c>
      <c r="E50" s="538">
        <f>VLOOKUP($A50,[1]!LandfillTypicalK2,E$7,FALSE)</f>
        <v>0.31632903122062944</v>
      </c>
      <c r="F50" s="621">
        <f>VLOOKUP($A50,[1]!LandfillTypicalK2,F$7,FALSE)</f>
        <v>0.40393717134246843</v>
      </c>
      <c r="G50" s="543">
        <f>G33*([1]Assumptions!$B$92/[1]Assumptions!$B$94)+G40*([1]Assumptions!$B$93/[1]Assumptions!$B$94)</f>
        <v>-0.3021545222482977</v>
      </c>
      <c r="H50" s="544">
        <f>VLOOKUP($A50,'[1]Post-Consumer Transport'!$C$33:$K$88,3,FALSE)+VLOOKUP($A50,'[1]Post-Consumer Transport'!$C$33:$K$88,4,FALSE)</f>
        <v>2.0254519141196047E-2</v>
      </c>
      <c r="I50" s="555">
        <f t="shared" si="17"/>
        <v>0.82763403329379814</v>
      </c>
      <c r="J50" s="545">
        <f t="shared" si="18"/>
        <v>0.19702260531707302</v>
      </c>
      <c r="K50" s="545">
        <f t="shared" si="18"/>
        <v>3.4429028113527792E-2</v>
      </c>
      <c r="L50" s="546">
        <f t="shared" si="18"/>
        <v>0.12203716823536678</v>
      </c>
      <c r="M50" s="537">
        <f>VLOOKUP($A50,[1]!LandfillTypicalK4,M$7,FALSE)</f>
        <v>1.1095340364008999</v>
      </c>
      <c r="N50" s="538">
        <f>VLOOKUP($A50,[1]!LandfillTypicalK4,N$7,FALSE)</f>
        <v>0.4856081829198382</v>
      </c>
      <c r="O50" s="538">
        <f>VLOOKUP($A50,[1]!LandfillTypicalK4,O$7,FALSE)</f>
        <v>0.39678009149890708</v>
      </c>
      <c r="P50" s="539">
        <f>VLOOKUP($A50,[1]!LandfillTypicalK4,P$7,FALSE)</f>
        <v>0.46780401007295103</v>
      </c>
      <c r="Q50" s="543">
        <f>Q33*([1]Assumptions!$B$92/[1]Assumptions!$B$94)+Q40*([1]Assumptions!$B$93/[1]Assumptions!$B$94)</f>
        <v>-0.3021545222482977</v>
      </c>
      <c r="R50" s="544">
        <f>VLOOKUP($A50,'[1]Post-Consumer Transport'!$C$33:$K$88,3,FALSE)+VLOOKUP($A50,'[1]Post-Consumer Transport'!$C$33:$K$88,4,FALSE)</f>
        <v>2.0254519141196047E-2</v>
      </c>
      <c r="S50" s="555">
        <f t="shared" si="95"/>
        <v>0.82763403329379814</v>
      </c>
      <c r="T50" s="545">
        <f t="shared" si="20"/>
        <v>0.20370817981273656</v>
      </c>
      <c r="U50" s="545">
        <f t="shared" si="21"/>
        <v>0.11488008839180544</v>
      </c>
      <c r="V50" s="546">
        <f t="shared" si="22"/>
        <v>0.18590400696584938</v>
      </c>
      <c r="W50" s="537">
        <f>VLOOKUP($A50,[1]!LandfillTypicalK6,W$7,FALSE)</f>
        <v>1.1095340364008999</v>
      </c>
      <c r="X50" s="538">
        <f>VLOOKUP($A50,[1]!LandfillTypicalK6,X$7,FALSE)</f>
        <v>0.50972867526937859</v>
      </c>
      <c r="Y50" s="538">
        <f>VLOOKUP($A50,[1]!LandfillTypicalK6,Y$7,FALSE)</f>
        <v>0.4497310291489825</v>
      </c>
      <c r="Z50" s="539">
        <f>VLOOKUP($A50,[1]!LandfillTypicalK6,Z$7,FALSE)</f>
        <v>0.51183919143721068</v>
      </c>
      <c r="AA50" s="543">
        <f>AA33*([1]Assumptions!$B$92/[1]Assumptions!$B$94)+AA40*([1]Assumptions!$B$93/[1]Assumptions!$B$94)</f>
        <v>-0.3021545222482977</v>
      </c>
      <c r="AB50" s="544">
        <f>VLOOKUP($A50,'[1]Post-Consumer Transport'!$C$33:$K$88,3,FALSE)+VLOOKUP($A50,'[1]Post-Consumer Transport'!$C$33:$K$88,4,FALSE)</f>
        <v>2.0254519141196047E-2</v>
      </c>
      <c r="AC50" s="555">
        <f t="shared" si="96"/>
        <v>0.82763403329379814</v>
      </c>
      <c r="AD50" s="545">
        <f t="shared" si="24"/>
        <v>0.22782867216227695</v>
      </c>
      <c r="AE50" s="545">
        <f t="shared" si="25"/>
        <v>0.16783102604188085</v>
      </c>
      <c r="AF50" s="546">
        <f t="shared" si="26"/>
        <v>0.22993918833010904</v>
      </c>
      <c r="AG50" s="537">
        <f>VLOOKUP($A50,[1]!LandfillTypicalK12,AG$7,FALSE)</f>
        <v>1.1095340364008999</v>
      </c>
      <c r="AH50" s="538">
        <f>VLOOKUP($A50,[1]!LandfillTypicalK12,AH$7,FALSE)</f>
        <v>0.57781059737056262</v>
      </c>
      <c r="AI50" s="538">
        <f>VLOOKUP($A50,[1]!LandfillTypicalK12,AI$7,FALSE)</f>
        <v>0.54486648730269516</v>
      </c>
      <c r="AJ50" s="539">
        <f>VLOOKUP($A50,[1]!LandfillTypicalK12,AJ$7,FALSE)</f>
        <v>0.5949693999034007</v>
      </c>
      <c r="AK50" s="543">
        <f>AK33*([1]Assumptions!$B$92/[1]Assumptions!$B$94)+AK40*([1]Assumptions!$B$93/[1]Assumptions!$B$94)</f>
        <v>-0.3021545222482977</v>
      </c>
      <c r="AL50" s="544">
        <f>VLOOKUP($A50,'[1]Post-Consumer Transport'!$C$33:$K$88,3,FALSE)+VLOOKUP($A50,'[1]Post-Consumer Transport'!$C$33:$K$88,4,FALSE)</f>
        <v>2.0254519141196047E-2</v>
      </c>
      <c r="AM50" s="555">
        <f t="shared" si="97"/>
        <v>0.82763403329379814</v>
      </c>
      <c r="AN50" s="545">
        <f t="shared" si="28"/>
        <v>0.29591059426346095</v>
      </c>
      <c r="AO50" s="545">
        <f t="shared" si="29"/>
        <v>0.26296648419559349</v>
      </c>
      <c r="AP50" s="546">
        <f t="shared" si="30"/>
        <v>0.31306939679629903</v>
      </c>
      <c r="AQ50" s="537">
        <f>VLOOKUP($A50,[1]!LandfillTypicalNatlAverage,AQ$7,FALSE)</f>
        <v>1.1095340364008999</v>
      </c>
      <c r="AR50" s="538">
        <f>VLOOKUP($A50,[1]!LandfillTypicalNatlAverage,AR$7,FALSE)</f>
        <v>0.50340483182143902</v>
      </c>
      <c r="AS50" s="538">
        <f>VLOOKUP($A50,[1]!LandfillTypicalNatlAverage,AS$7,FALSE)</f>
        <v>0.41726135439781137</v>
      </c>
      <c r="AT50" s="539">
        <f>VLOOKUP($A50,[1]!LandfillTypicalNatlAverage,AT$7,FALSE)</f>
        <v>0.48584564085061022</v>
      </c>
      <c r="AU50" s="543">
        <f>AU33*([1]Assumptions!$B$92/[1]Assumptions!$B$94)+AU40*([1]Assumptions!$B$93/[1]Assumptions!$B$94)</f>
        <v>-0.3021545222482977</v>
      </c>
      <c r="AV50" s="544">
        <f>VLOOKUP($A50,'[1]Post-Consumer Transport'!$C$33:$K$88,3,FALSE)+VLOOKUP($A50,'[1]Post-Consumer Transport'!$C$33:$K$88,4,FALSE)</f>
        <v>2.0254519141196047E-2</v>
      </c>
      <c r="AW50" s="555">
        <f t="shared" si="98"/>
        <v>0.82763403329379814</v>
      </c>
      <c r="AX50" s="545">
        <f t="shared" si="32"/>
        <v>0.22150482871433738</v>
      </c>
      <c r="AY50" s="545">
        <f t="shared" si="33"/>
        <v>0.13536135129070972</v>
      </c>
      <c r="AZ50" s="546">
        <f t="shared" si="34"/>
        <v>0.20394563774350857</v>
      </c>
      <c r="BB50" s="537">
        <f>VLOOKUP($A50,[1]!LandfillAggressiveK2,BB$7,FALSE)</f>
        <v>1.1095340364008999</v>
      </c>
      <c r="BC50" s="538">
        <f>VLOOKUP($A50,[1]!LandfillAggressiveK2,BC$7,FALSE)</f>
        <v>0.45551588050050246</v>
      </c>
      <c r="BD50" s="538">
        <f>VLOOKUP($A50,[1]!LandfillAggressiveK2,BD$7,FALSE)</f>
        <v>0.2922020563630931</v>
      </c>
      <c r="BE50" s="539">
        <f>VLOOKUP($A50,[1]!LandfillAggressiveK2,BE$7,FALSE)</f>
        <v>0.38196995397317118</v>
      </c>
      <c r="BF50" s="543">
        <f>BF33*([1]Assumptions!$B$92/[1]Assumptions!$B$94)+BF40*([1]Assumptions!$B$93/[1]Assumptions!$B$94)</f>
        <v>-0.3021545222482977</v>
      </c>
      <c r="BG50" s="544">
        <f>VLOOKUP($A50,'[1]Post-Consumer Transport'!$C$33:$K$88,3,FALSE)+VLOOKUP($A50,'[1]Post-Consumer Transport'!$C$33:$K$88,4,FALSE)</f>
        <v>2.0254519141196047E-2</v>
      </c>
      <c r="BH50" s="555">
        <f t="shared" si="99"/>
        <v>0.82763403329379814</v>
      </c>
      <c r="BI50" s="545">
        <f t="shared" si="36"/>
        <v>0.17361587739340081</v>
      </c>
      <c r="BJ50" s="545">
        <f t="shared" si="37"/>
        <v>1.0302053255991449E-2</v>
      </c>
      <c r="BK50" s="546">
        <f t="shared" si="38"/>
        <v>0.10006995086606954</v>
      </c>
      <c r="BL50" s="881">
        <f>VLOOKUP($A50,[1]!LandfillAggressiveK4,BL$7,FALSE)</f>
        <v>1.1095340364008999</v>
      </c>
      <c r="BM50" s="882">
        <f>VLOOKUP($A50,[1]!LandfillAggressiveK4,BM$7,FALSE)</f>
        <v>0.44248591170567797</v>
      </c>
      <c r="BN50" s="882">
        <f>VLOOKUP($A50,[1]!LandfillAggressiveK4,BN$7,FALSE)</f>
        <v>0.35598151199188954</v>
      </c>
      <c r="BO50" s="883">
        <f>VLOOKUP($A50,[1]!LandfillAggressiveK4,BO$7,FALSE)</f>
        <v>0.42964145676748333</v>
      </c>
      <c r="BP50" s="884">
        <f>BP33*([1]Assumptions!$B$92/[1]Assumptions!$B$94)+BP40*([1]Assumptions!$B$93/[1]Assumptions!$B$94)</f>
        <v>-0.3021545222482977</v>
      </c>
      <c r="BQ50" s="885">
        <f>VLOOKUP($A50,'[1]Post-Consumer Transport'!$C$33:$K$88,3,FALSE)+VLOOKUP($A50,'[1]Post-Consumer Transport'!$C$33:$K$88,4,FALSE)</f>
        <v>2.0254519141196047E-2</v>
      </c>
      <c r="BR50" s="886">
        <f t="shared" si="100"/>
        <v>0.82763403329379814</v>
      </c>
      <c r="BS50" s="882">
        <f t="shared" si="40"/>
        <v>0.16058590859857633</v>
      </c>
      <c r="BT50" s="882">
        <f t="shared" si="41"/>
        <v>7.40815088847879E-2</v>
      </c>
      <c r="BU50" s="883">
        <f t="shared" si="42"/>
        <v>0.14774145366038169</v>
      </c>
      <c r="BV50" s="537">
        <f>VLOOKUP($A50,[1]!LandfillAggressiveK6,BV$7,FALSE)</f>
        <v>1.1095340364008999</v>
      </c>
      <c r="BW50" s="538">
        <f>VLOOKUP($A50,[1]!LandfillAggressiveK6,BW$7,FALSE)</f>
        <v>0.46167568667844416</v>
      </c>
      <c r="BX50" s="538">
        <f>VLOOKUP($A50,[1]!LandfillAggressiveK6,BX$7,FALSE)</f>
        <v>0.3985542986778583</v>
      </c>
      <c r="BY50" s="539">
        <f>VLOOKUP($A50,[1]!LandfillAggressiveK6,BY$7,FALSE)</f>
        <v>0.46426443174218557</v>
      </c>
      <c r="BZ50" s="543">
        <f>BZ33*([1]Assumptions!$B$92/[1]Assumptions!$B$94)+BZ40*([1]Assumptions!$B$93/[1]Assumptions!$B$94)</f>
        <v>-0.3021545222482977</v>
      </c>
      <c r="CA50" s="544">
        <f>VLOOKUP($A50,'[1]Post-Consumer Transport'!$C$33:$K$88,3,FALSE)+VLOOKUP($A50,'[1]Post-Consumer Transport'!$C$33:$K$88,4,FALSE)</f>
        <v>2.0254519141196047E-2</v>
      </c>
      <c r="CB50" s="555">
        <f t="shared" si="101"/>
        <v>0.82763403329379814</v>
      </c>
      <c r="CC50" s="545">
        <f t="shared" si="44"/>
        <v>0.17977568357134252</v>
      </c>
      <c r="CD50" s="545">
        <f t="shared" si="45"/>
        <v>0.11665429557075666</v>
      </c>
      <c r="CE50" s="546">
        <f t="shared" si="46"/>
        <v>0.18236442863508392</v>
      </c>
      <c r="CF50" s="537">
        <f>VLOOKUP($A50,[1]!LandfillAggressiveK12,CF$7,FALSE)</f>
        <v>1.1095340364008999</v>
      </c>
      <c r="CG50" s="538">
        <f>VLOOKUP($A50,[1]!LandfillAggressiveK12,CG$7,FALSE)</f>
        <v>0.51681321312745165</v>
      </c>
      <c r="CH50" s="538">
        <f>VLOOKUP($A50,[1]!LandfillAggressiveK12,CH$7,FALSE)</f>
        <v>0.48162859007122882</v>
      </c>
      <c r="CI50" s="539">
        <f>VLOOKUP($A50,[1]!LandfillAggressiveK12,CI$7,FALSE)</f>
        <v>0.53618766230060011</v>
      </c>
      <c r="CJ50" s="543">
        <f>CJ33*([1]Assumptions!$B$92/[1]Assumptions!$B$94)+CJ40*([1]Assumptions!$B$93/[1]Assumptions!$B$94)</f>
        <v>-0.3021545222482977</v>
      </c>
      <c r="CK50" s="544">
        <f>VLOOKUP($A50,'[1]Post-Consumer Transport'!$C$33:$K$88,3,FALSE)+VLOOKUP($A50,'[1]Post-Consumer Transport'!$C$33:$K$88,4,FALSE)</f>
        <v>2.0254519141196047E-2</v>
      </c>
      <c r="CL50" s="555">
        <f t="shared" si="102"/>
        <v>0.82763403329379814</v>
      </c>
      <c r="CM50" s="545">
        <f t="shared" si="48"/>
        <v>0.23491321002035001</v>
      </c>
      <c r="CN50" s="545">
        <f t="shared" si="49"/>
        <v>0.19972858696412718</v>
      </c>
      <c r="CO50" s="546">
        <f t="shared" si="50"/>
        <v>0.25428765919349844</v>
      </c>
      <c r="CP50" s="537">
        <f>VLOOKUP($A50,[1]!LandfillAggressiveNatlAverage,CP$7,FALSE)</f>
        <v>1.1095340364008999</v>
      </c>
      <c r="CQ50" s="538">
        <f>VLOOKUP($A50,[1]!LandfillAggressiveNatlAverage,CQ$7,FALSE)</f>
        <v>0.46041163312062705</v>
      </c>
      <c r="CR50" s="538">
        <f>VLOOKUP($A50,[1]!LandfillAggressiveNatlAverage,CR$7,FALSE)</f>
        <v>0.37328774400199732</v>
      </c>
      <c r="CS50" s="539">
        <f>VLOOKUP($A50,[1]!LandfillAggressiveNatlAverage,CS$7,FALSE)</f>
        <v>0.44499181947653521</v>
      </c>
      <c r="CT50" s="543">
        <f>CT33*([1]Assumptions!$B$92/[1]Assumptions!$B$94)+CT40*([1]Assumptions!$B$93/[1]Assumptions!$B$94)</f>
        <v>-0.3021545222482977</v>
      </c>
      <c r="CU50" s="544">
        <f>VLOOKUP($A50,'[1]Post-Consumer Transport'!$C$33:$K$88,3,FALSE)+VLOOKUP($A50,'[1]Post-Consumer Transport'!$C$33:$K$88,4,FALSE)</f>
        <v>2.0254519141196047E-2</v>
      </c>
      <c r="CV50" s="555">
        <f t="shared" si="103"/>
        <v>0.82763403329379814</v>
      </c>
      <c r="CW50" s="545">
        <f t="shared" si="52"/>
        <v>0.17851163001352541</v>
      </c>
      <c r="CX50" s="545">
        <f t="shared" si="53"/>
        <v>9.138774089489568E-2</v>
      </c>
      <c r="CY50" s="546">
        <f t="shared" si="54"/>
        <v>0.16309181636943357</v>
      </c>
      <c r="DA50" s="537">
        <f>VLOOKUP($A50,[1]!LandfillWorstK2,DA$7,FALSE)</f>
        <v>1.1095340364008999</v>
      </c>
      <c r="DB50" s="538">
        <f>VLOOKUP($A50,[1]!LandfillWorstK2,DB$7,FALSE)</f>
        <v>0.56868064042737465</v>
      </c>
      <c r="DC50" s="538">
        <f>VLOOKUP($A50,[1]!LandfillWorstK2,DC$7,FALSE)</f>
        <v>0.40766602369235361</v>
      </c>
      <c r="DD50" s="539">
        <f>VLOOKUP($A50,[1]!LandfillWorstK2,DD$7,FALSE)</f>
        <v>0.48698684937935305</v>
      </c>
      <c r="DE50" s="543">
        <f>DE33*([1]Assumptions!$B$92/[1]Assumptions!$B$94)+DE40*([1]Assumptions!$B$93/[1]Assumptions!$B$94)</f>
        <v>-0.3021545222482977</v>
      </c>
      <c r="DF50" s="544">
        <f>VLOOKUP($A50,'[1]Post-Consumer Transport'!$C$33:$K$88,3,FALSE)+VLOOKUP($A50,'[1]Post-Consumer Transport'!$C$33:$K$88,4,FALSE)</f>
        <v>2.0254519141196047E-2</v>
      </c>
      <c r="DG50" s="555">
        <f t="shared" si="104"/>
        <v>0.82763403329379814</v>
      </c>
      <c r="DH50" s="545">
        <f t="shared" si="56"/>
        <v>0.28678063732027298</v>
      </c>
      <c r="DI50" s="545">
        <f t="shared" si="57"/>
        <v>0.12576602058525196</v>
      </c>
      <c r="DJ50" s="546">
        <f t="shared" si="58"/>
        <v>0.20508684627225141</v>
      </c>
      <c r="DK50" s="537">
        <f>VLOOKUP($A50,[1]!LandfillWorstK4,DK$7,FALSE)</f>
        <v>1.1095340364008999</v>
      </c>
      <c r="DL50" s="538">
        <f>VLOOKUP($A50,[1]!LandfillWorstK4,DL$7,FALSE)</f>
        <v>0.63642569805246274</v>
      </c>
      <c r="DM50" s="538">
        <f>VLOOKUP($A50,[1]!LandfillWorstK4,DM$7,FALSE)</f>
        <v>0.55083086357323807</v>
      </c>
      <c r="DN50" s="539">
        <f>VLOOKUP($A50,[1]!LandfillWorstK4,DN$7,FALSE)</f>
        <v>0.60802430024101528</v>
      </c>
      <c r="DO50" s="543">
        <f>DO33*([1]Assumptions!$B$92/[1]Assumptions!$B$94)+DO40*([1]Assumptions!$B$93/[1]Assumptions!$B$94)</f>
        <v>-0.3021545222482977</v>
      </c>
      <c r="DP50" s="544">
        <f>VLOOKUP($A50,'[1]Post-Consumer Transport'!$C$33:$K$88,3,FALSE)+VLOOKUP($A50,'[1]Post-Consumer Transport'!$C$33:$K$88,4,FALSE)</f>
        <v>2.0254519141196047E-2</v>
      </c>
      <c r="DQ50" s="555">
        <f t="shared" si="105"/>
        <v>0.82763403329379814</v>
      </c>
      <c r="DR50" s="545">
        <f t="shared" si="60"/>
        <v>0.35452569494536107</v>
      </c>
      <c r="DS50" s="545">
        <f t="shared" si="61"/>
        <v>0.2689308604661364</v>
      </c>
      <c r="DT50" s="546">
        <f t="shared" si="62"/>
        <v>0.32612429713391361</v>
      </c>
      <c r="DU50" s="537">
        <f>VLOOKUP($A50,[1]!LandfillWorstK6,DU$7,FALSE)</f>
        <v>1.1095340364008999</v>
      </c>
      <c r="DV50" s="538">
        <f>VLOOKUP($A50,[1]!LandfillWorstK6,DV$7,FALSE)</f>
        <v>0.70803572368937973</v>
      </c>
      <c r="DW50" s="538">
        <f>VLOOKUP($A50,[1]!LandfillWorstK6,DW$7,FALSE)</f>
        <v>0.64825711537950681</v>
      </c>
      <c r="DX50" s="539">
        <f>VLOOKUP($A50,[1]!LandfillWorstK6,DX$7,FALSE)</f>
        <v>0.69328910421546475</v>
      </c>
      <c r="DY50" s="543">
        <f>DY33*([1]Assumptions!$B$92/[1]Assumptions!$B$94)+DY40*([1]Assumptions!$B$93/[1]Assumptions!$B$94)</f>
        <v>-0.3021545222482977</v>
      </c>
      <c r="DZ50" s="544">
        <f>VLOOKUP($A50,'[1]Post-Consumer Transport'!$C$33:$K$88,3,FALSE)+VLOOKUP($A50,'[1]Post-Consumer Transport'!$C$33:$K$88,4,FALSE)</f>
        <v>2.0254519141196047E-2</v>
      </c>
      <c r="EA50" s="555">
        <f t="shared" si="106"/>
        <v>0.82763403329379814</v>
      </c>
      <c r="EB50" s="545">
        <f t="shared" si="64"/>
        <v>0.42613572058227805</v>
      </c>
      <c r="EC50" s="545">
        <f t="shared" si="65"/>
        <v>0.36635711227240514</v>
      </c>
      <c r="ED50" s="546">
        <f t="shared" si="66"/>
        <v>0.41138910110836308</v>
      </c>
      <c r="EE50" s="537">
        <f>VLOOKUP($A50,[1]!LandfillWorstK12,EE$7,FALSE)</f>
        <v>1.1095340364008999</v>
      </c>
      <c r="EF50" s="538">
        <f>VLOOKUP($A50,[1]!LandfillWorstK12,EF$7,FALSE)</f>
        <v>0.84617517550554555</v>
      </c>
      <c r="EG50" s="538">
        <f>VLOOKUP($A50,[1]!LandfillWorstK12,EG$7,FALSE)</f>
        <v>0.8146757853469625</v>
      </c>
      <c r="EH50" s="539">
        <f>VLOOKUP($A50,[1]!LandfillWorstK12,EH$7,FALSE)</f>
        <v>0.84233427721407128</v>
      </c>
      <c r="EI50" s="543">
        <f>EI33*([1]Assumptions!$B$92/[1]Assumptions!$B$94)+EI40*([1]Assumptions!$B$93/[1]Assumptions!$B$94)</f>
        <v>-0.3021545222482977</v>
      </c>
      <c r="EJ50" s="544">
        <f>VLOOKUP($A50,'[1]Post-Consumer Transport'!$C$33:$K$88,3,FALSE)+VLOOKUP($A50,'[1]Post-Consumer Transport'!$C$33:$K$88,4,FALSE)</f>
        <v>2.0254519141196047E-2</v>
      </c>
      <c r="EK50" s="555">
        <f t="shared" si="107"/>
        <v>0.82763403329379814</v>
      </c>
      <c r="EL50" s="545">
        <f t="shared" si="68"/>
        <v>0.56427517239844383</v>
      </c>
      <c r="EM50" s="545">
        <f t="shared" si="69"/>
        <v>0.53277578223986088</v>
      </c>
      <c r="EN50" s="546">
        <f t="shared" si="70"/>
        <v>0.56043427410696967</v>
      </c>
      <c r="EO50" s="537">
        <f>VLOOKUP($A50,[1]!LandfillWorstNatlAverage,EO$7,FALSE)</f>
        <v>1.1095340364008999</v>
      </c>
      <c r="EP50" s="538">
        <f>VLOOKUP($A50,[1]!LandfillWorstNatlAverage,EP$7,FALSE)</f>
        <v>0.67328335480952617</v>
      </c>
      <c r="EQ50" s="538">
        <f>VLOOKUP($A50,[1]!LandfillWorstNatlAverage,EQ$7,FALSE)</f>
        <v>0.58862457726680995</v>
      </c>
      <c r="ER50" s="539">
        <f>VLOOKUP($A50,[1]!LandfillWorstNatlAverage,ER$7,FALSE)</f>
        <v>0.64229164219948698</v>
      </c>
      <c r="ES50" s="543">
        <f>ES33*([1]Assumptions!$B$92/[1]Assumptions!$B$94)+ES40*([1]Assumptions!$B$93/[1]Assumptions!$B$94)</f>
        <v>-0.3021545222482977</v>
      </c>
      <c r="ET50" s="544">
        <f>VLOOKUP($A50,'[1]Post-Consumer Transport'!$C$33:$K$88,3,FALSE)+VLOOKUP($A50,'[1]Post-Consumer Transport'!$C$33:$K$88,4,FALSE)</f>
        <v>2.0254519141196047E-2</v>
      </c>
      <c r="EU50" s="555">
        <f t="shared" si="108"/>
        <v>0.82763403329379814</v>
      </c>
      <c r="EV50" s="545">
        <f t="shared" si="72"/>
        <v>0.3913833517024245</v>
      </c>
      <c r="EW50" s="545">
        <f t="shared" si="73"/>
        <v>0.30672457415970827</v>
      </c>
      <c r="EX50" s="546">
        <f t="shared" si="74"/>
        <v>0.36039163909238531</v>
      </c>
      <c r="EZ50" s="537">
        <f>VLOOKUP($A50,[1]!LandfillCaliK2,EZ$7,FALSE)</f>
        <v>1.1095340364008999</v>
      </c>
      <c r="FA50" s="538">
        <f>VLOOKUP($A50,[1]!LandfillCaliK2,FA$7,FALSE)</f>
        <v>0.25305321999677116</v>
      </c>
      <c r="FB50" s="538">
        <f>VLOOKUP($A50,[1]!LandfillCaliK2,FB$7,FALSE)</f>
        <v>0.21775109865962994</v>
      </c>
      <c r="FC50" s="539">
        <f>VLOOKUP($A50,[1]!LandfillCaliK2,FC$7,FALSE)</f>
        <v>0.29609376955860689</v>
      </c>
      <c r="FD50" s="543">
        <f>FD33*([1]Assumptions!$B$92/[1]Assumptions!$B$94)+FD40*([1]Assumptions!$B$93/[1]Assumptions!$B$94)</f>
        <v>-0.3021545222482977</v>
      </c>
      <c r="FE50" s="544">
        <f>VLOOKUP($A50,'[1]Post-Consumer Transport'!$C$33:$K$88,3,FALSE)+VLOOKUP($A50,'[1]Post-Consumer Transport'!$C$33:$K$88,4,FALSE)</f>
        <v>2.0254519141196047E-2</v>
      </c>
      <c r="FF50" s="555">
        <f t="shared" si="109"/>
        <v>0.82763403329379814</v>
      </c>
      <c r="FG50" s="545">
        <f t="shared" si="76"/>
        <v>-2.8846783110330489E-2</v>
      </c>
      <c r="FH50" s="545">
        <f t="shared" si="77"/>
        <v>-6.4148904447471705E-2</v>
      </c>
      <c r="FI50" s="546">
        <f t="shared" si="78"/>
        <v>1.4193766451505239E-2</v>
      </c>
      <c r="FJ50" s="537">
        <f>VLOOKUP($A50,[1]!LandfillCaliK4,FJ$7,FALSE)</f>
        <v>1.1095340364008999</v>
      </c>
      <c r="FK50" s="538">
        <f>VLOOKUP($A50,[1]!LandfillCaliK4,FK$7,FALSE)</f>
        <v>0.29842380982701455</v>
      </c>
      <c r="FL50" s="538">
        <f>VLOOKUP($A50,[1]!LandfillCaliK4,FL$7,FALSE)</f>
        <v>0.29054030839068923</v>
      </c>
      <c r="FM50" s="539">
        <f>VLOOKUP($A50,[1]!LandfillCaliK4,FM$7,FALSE)</f>
        <v>0.35930863726542811</v>
      </c>
      <c r="FN50" s="543">
        <f>FN33*([1]Assumptions!$B$92/[1]Assumptions!$B$94)+FN40*([1]Assumptions!$B$93/[1]Assumptions!$B$94)</f>
        <v>-0.3021545222482977</v>
      </c>
      <c r="FO50" s="544">
        <f>VLOOKUP($A50,'[1]Post-Consumer Transport'!$C$33:$K$88,3,FALSE)+VLOOKUP($A50,'[1]Post-Consumer Transport'!$C$33:$K$88,4,FALSE)</f>
        <v>2.0254519141196047E-2</v>
      </c>
      <c r="FP50" s="555">
        <f t="shared" si="110"/>
        <v>0.82763403329379814</v>
      </c>
      <c r="FQ50" s="545">
        <f t="shared" si="80"/>
        <v>1.6523806719912902E-2</v>
      </c>
      <c r="FR50" s="545">
        <f t="shared" si="81"/>
        <v>8.6403052835875779E-3</v>
      </c>
      <c r="FS50" s="546">
        <f t="shared" si="82"/>
        <v>7.7408634158326467E-2</v>
      </c>
      <c r="FT50" s="537">
        <f>VLOOKUP($A50,[1]!LandfillCaliK6,FT$7,FALSE)</f>
        <v>1.1095340364008999</v>
      </c>
      <c r="FU50" s="538">
        <f>VLOOKUP($A50,[1]!LandfillCaliK6,FU$7,FALSE)</f>
        <v>0.35198494468663899</v>
      </c>
      <c r="FV50" s="538">
        <f>VLOOKUP($A50,[1]!LandfillCaliK6,FV$7,FALSE)</f>
        <v>0.34606815634489724</v>
      </c>
      <c r="FW50" s="539">
        <f>VLOOKUP($A50,[1]!LandfillCaliK6,FW$7,FALSE)</f>
        <v>0.4082259768745865</v>
      </c>
      <c r="FX50" s="543">
        <f>FX33*([1]Assumptions!$B$92/[1]Assumptions!$B$94)+FX40*([1]Assumptions!$B$93/[1]Assumptions!$B$94)</f>
        <v>-0.3021545222482977</v>
      </c>
      <c r="FY50" s="544">
        <f>VLOOKUP($A50,'[1]Post-Consumer Transport'!$C$33:$K$88,3,FALSE)+VLOOKUP($A50,'[1]Post-Consumer Transport'!$C$33:$K$88,4,FALSE)</f>
        <v>2.0254519141196047E-2</v>
      </c>
      <c r="FZ50" s="555">
        <f t="shared" si="111"/>
        <v>0.82763403329379814</v>
      </c>
      <c r="GA50" s="545">
        <f t="shared" si="84"/>
        <v>7.0084941579537346E-2</v>
      </c>
      <c r="GB50" s="545">
        <f t="shared" si="85"/>
        <v>6.4168153237795594E-2</v>
      </c>
      <c r="GC50" s="546">
        <f t="shared" si="86"/>
        <v>0.12632597376748486</v>
      </c>
      <c r="GD50" s="537">
        <f>VLOOKUP($A50,[1]!LandfillCaliK12,GD$7,FALSE)</f>
        <v>1.1095340364008999</v>
      </c>
      <c r="GE50" s="538">
        <f>VLOOKUP($A50,[1]!LandfillCaliK12,GE$7,FALSE)</f>
        <v>0.46146423657626107</v>
      </c>
      <c r="GF50" s="538">
        <f>VLOOKUP($A50,[1]!LandfillCaliK12,GF$7,FALSE)</f>
        <v>0.45853987199578189</v>
      </c>
      <c r="GG50" s="539">
        <f>VLOOKUP($A50,[1]!LandfillCaliK12,GG$7,FALSE)</f>
        <v>0.51059102954868263</v>
      </c>
      <c r="GH50" s="543">
        <f>GH33*([1]Assumptions!$B$92/[1]Assumptions!$B$94)+GH40*([1]Assumptions!$B$93/[1]Assumptions!$B$94)</f>
        <v>-0.3021545222482977</v>
      </c>
      <c r="GI50" s="544">
        <f>VLOOKUP($A50,'[1]Post-Consumer Transport'!$C$33:$K$88,3,FALSE)+VLOOKUP($A50,'[1]Post-Consumer Transport'!$C$33:$K$88,4,FALSE)</f>
        <v>2.0254519141196047E-2</v>
      </c>
      <c r="GJ50" s="555">
        <f t="shared" si="112"/>
        <v>0.82763403329379814</v>
      </c>
      <c r="GK50" s="545">
        <f t="shared" si="88"/>
        <v>0.17956423346915942</v>
      </c>
      <c r="GL50" s="545">
        <f t="shared" si="89"/>
        <v>0.17663986888868025</v>
      </c>
      <c r="GM50" s="546">
        <f t="shared" si="90"/>
        <v>0.22869102644158099</v>
      </c>
      <c r="GN50" s="537">
        <f>VLOOKUP($A50,[1]!LandfillCaliNatlAverage,GN$7,FALSE)</f>
        <v>1.1095340364008999</v>
      </c>
      <c r="GO50" s="538">
        <f>VLOOKUP($A50,[1]!LandfillCaliNatlAverage,GO$7,FALSE)</f>
        <v>0.32766736096319626</v>
      </c>
      <c r="GP50" s="538">
        <f>VLOOKUP($A50,[1]!LandfillCaliNatlAverage,GP$7,FALSE)</f>
        <v>0.31560436831416611</v>
      </c>
      <c r="GQ50" s="539">
        <f>VLOOKUP($A50,[1]!LandfillCaliNatlAverage,GQ$7,FALSE)</f>
        <v>0.38189892953175342</v>
      </c>
      <c r="GR50" s="543">
        <f>GR33*([1]Assumptions!$B$92/[1]Assumptions!$B$94)+GR40*([1]Assumptions!$B$93/[1]Assumptions!$B$94)</f>
        <v>-0.3021545222482977</v>
      </c>
      <c r="GS50" s="544">
        <f>VLOOKUP($A50,'[1]Post-Consumer Transport'!$C$33:$K$88,3,FALSE)+VLOOKUP($A50,'[1]Post-Consumer Transport'!$C$33:$K$88,4,FALSE)</f>
        <v>2.0254519141196047E-2</v>
      </c>
      <c r="GT50" s="555">
        <f t="shared" si="113"/>
        <v>0.82763403329379814</v>
      </c>
      <c r="GU50" s="545">
        <f t="shared" si="92"/>
        <v>4.5767357856094613E-2</v>
      </c>
      <c r="GV50" s="545">
        <f t="shared" si="93"/>
        <v>3.3704365207064456E-2</v>
      </c>
      <c r="GW50" s="546">
        <f t="shared" si="94"/>
        <v>9.9998926424651774E-2</v>
      </c>
    </row>
    <row r="51" spans="1:205" x14ac:dyDescent="0.25">
      <c r="A51" s="494" t="str">
        <f t="shared" si="16"/>
        <v>Mixed MSW</v>
      </c>
      <c r="B51" s="536" t="s">
        <v>574</v>
      </c>
      <c r="C51" s="622">
        <f>VLOOKUP($A51,[1]!LandfillTypicalK2,C$7,FALSE)</f>
        <v>1.457975475</v>
      </c>
      <c r="D51" s="623">
        <f>VLOOKUP($A51,[1]!LandfillTypicalK2,D$7,FALSE)</f>
        <v>0.72061460190392568</v>
      </c>
      <c r="E51" s="538">
        <f>VLOOKUP($A51,[1]!LandfillTypicalK2,E$7,FALSE)</f>
        <v>0.36912995555484979</v>
      </c>
      <c r="F51" s="621">
        <f>VLOOKUP($A51,[1]!LandfillTypicalK2,F$7,FALSE)</f>
        <v>0.50139162253618774</v>
      </c>
      <c r="G51" s="540">
        <f>-1*VLOOKUP($A51,[1]Landfilling!$N$27:$R$41,5,FALSE)</f>
        <v>-0.20756386851200001</v>
      </c>
      <c r="H51" s="541">
        <f>VLOOKUP($A51,'[1]Post-Consumer Transport'!$C$33:$K$88,3,FALSE)+VLOOKUP($A51,'[1]Post-Consumer Transport'!$C$33:$K$88,4,FALSE)</f>
        <v>2.0254519141196047E-2</v>
      </c>
      <c r="I51" s="542">
        <f t="shared" si="17"/>
        <v>1.270666125629196</v>
      </c>
      <c r="J51" s="538">
        <f t="shared" si="18"/>
        <v>0.53330525253312167</v>
      </c>
      <c r="K51" s="538">
        <f t="shared" si="18"/>
        <v>0.18182060618404583</v>
      </c>
      <c r="L51" s="539">
        <f t="shared" si="18"/>
        <v>0.31408227316538373</v>
      </c>
      <c r="M51" s="537">
        <f>VLOOKUP($A51,[1]!LandfillTypicalK4,M$7,FALSE)</f>
        <v>1.457975475</v>
      </c>
      <c r="N51" s="538">
        <f>VLOOKUP($A51,[1]!LandfillTypicalK4,N$7,FALSE)</f>
        <v>0.64992134260779422</v>
      </c>
      <c r="O51" s="538">
        <f>VLOOKUP($A51,[1]!LandfillTypicalK4,O$7,FALSE)</f>
        <v>0.41782550488446002</v>
      </c>
      <c r="P51" s="539">
        <f>VLOOKUP($A51,[1]!LandfillTypicalK4,P$7,FALSE)</f>
        <v>0.53040011343575821</v>
      </c>
      <c r="Q51" s="540">
        <f>-1*VLOOKUP($A51,[1]Landfilling!$N$27:$R$41,5,FALSE)</f>
        <v>-0.20756386851200001</v>
      </c>
      <c r="R51" s="541">
        <f>VLOOKUP($A51,'[1]Post-Consumer Transport'!$C$33:$K$88,3,FALSE)+VLOOKUP($A51,'[1]Post-Consumer Transport'!$C$33:$K$88,4,FALSE)</f>
        <v>2.0254519141196047E-2</v>
      </c>
      <c r="S51" s="542">
        <f t="shared" si="95"/>
        <v>1.270666125629196</v>
      </c>
      <c r="T51" s="538">
        <f t="shared" si="20"/>
        <v>0.4626119932369902</v>
      </c>
      <c r="U51" s="538">
        <f t="shared" si="21"/>
        <v>0.23051615551365606</v>
      </c>
      <c r="V51" s="539">
        <f t="shared" si="22"/>
        <v>0.3430907640649542</v>
      </c>
      <c r="W51" s="537">
        <f>VLOOKUP($A51,[1]!LandfillTypicalK6,W$7,FALSE)</f>
        <v>1.457975475</v>
      </c>
      <c r="X51" s="538">
        <f>VLOOKUP($A51,[1]!LandfillTypicalK6,X$7,FALSE)</f>
        <v>0.61391967000254</v>
      </c>
      <c r="Y51" s="538">
        <f>VLOOKUP($A51,[1]!LandfillTypicalK6,Y$7,FALSE)</f>
        <v>0.43826245297529198</v>
      </c>
      <c r="Z51" s="539">
        <f>VLOOKUP($A51,[1]!LandfillTypicalK6,Z$7,FALSE)</f>
        <v>0.54027738607647835</v>
      </c>
      <c r="AA51" s="540">
        <f>-1*VLOOKUP($A51,[1]Landfilling!$N$27:$R$41,5,FALSE)</f>
        <v>-0.20756386851200001</v>
      </c>
      <c r="AB51" s="541">
        <f>VLOOKUP($A51,'[1]Post-Consumer Transport'!$C$33:$K$88,3,FALSE)+VLOOKUP($A51,'[1]Post-Consumer Transport'!$C$33:$K$88,4,FALSE)</f>
        <v>2.0254519141196047E-2</v>
      </c>
      <c r="AC51" s="542">
        <f t="shared" si="96"/>
        <v>1.270666125629196</v>
      </c>
      <c r="AD51" s="538">
        <f t="shared" si="24"/>
        <v>0.42661032063173598</v>
      </c>
      <c r="AE51" s="538">
        <f t="shared" si="25"/>
        <v>0.25095310360448803</v>
      </c>
      <c r="AF51" s="539">
        <f t="shared" si="26"/>
        <v>0.35296803670567434</v>
      </c>
      <c r="AG51" s="537">
        <f>VLOOKUP($A51,[1]!LandfillTypicalK12,AG$7,FALSE)</f>
        <v>1.457975475</v>
      </c>
      <c r="AH51" s="538">
        <f>VLOOKUP($A51,[1]!LandfillTypicalK12,AH$7,FALSE)</f>
        <v>0.60468285796947385</v>
      </c>
      <c r="AI51" s="538">
        <f>VLOOKUP($A51,[1]!LandfillTypicalK12,AI$7,FALSE)</f>
        <v>0.50205074124933913</v>
      </c>
      <c r="AJ51" s="539">
        <f>VLOOKUP($A51,[1]!LandfillTypicalK12,AJ$7,FALSE)</f>
        <v>0.58804038394008884</v>
      </c>
      <c r="AK51" s="540">
        <f>-1*VLOOKUP($A51,[1]Landfilling!$N$27:$R$41,5,FALSE)</f>
        <v>-0.20756386851200001</v>
      </c>
      <c r="AL51" s="541">
        <f>VLOOKUP($A51,'[1]Post-Consumer Transport'!$C$33:$K$88,3,FALSE)+VLOOKUP($A51,'[1]Post-Consumer Transport'!$C$33:$K$88,4,FALSE)</f>
        <v>2.0254519141196047E-2</v>
      </c>
      <c r="AM51" s="542">
        <f t="shared" si="97"/>
        <v>1.270666125629196</v>
      </c>
      <c r="AN51" s="538">
        <f t="shared" si="28"/>
        <v>0.41737350859866984</v>
      </c>
      <c r="AO51" s="538">
        <f t="shared" si="29"/>
        <v>0.31474139187853512</v>
      </c>
      <c r="AP51" s="539">
        <f t="shared" si="30"/>
        <v>0.40073103456928483</v>
      </c>
      <c r="AQ51" s="537">
        <f>VLOOKUP($A51,[1]!LandfillTypicalNatlAverage,AQ$7,FALSE)</f>
        <v>1.457975475</v>
      </c>
      <c r="AR51" s="538">
        <f>VLOOKUP($A51,[1]!LandfillTypicalNatlAverage,AR$7,FALSE)</f>
        <v>0.64473945856242909</v>
      </c>
      <c r="AS51" s="538">
        <f>VLOOKUP($A51,[1]!LandfillTypicalNatlAverage,AS$7,FALSE)</f>
        <v>0.42490850432035782</v>
      </c>
      <c r="AT51" s="539">
        <f>VLOOKUP($A51,[1]!LandfillTypicalNatlAverage,AT$7,FALSE)</f>
        <v>0.53442200136161322</v>
      </c>
      <c r="AU51" s="540">
        <f>-1*VLOOKUP($A51,[1]Landfilling!$N$27:$R$41,5,FALSE)</f>
        <v>-0.20756386851200001</v>
      </c>
      <c r="AV51" s="541">
        <f>VLOOKUP($A51,'[1]Post-Consumer Transport'!$C$33:$K$88,3,FALSE)+VLOOKUP($A51,'[1]Post-Consumer Transport'!$C$33:$K$88,4,FALSE)</f>
        <v>2.0254519141196047E-2</v>
      </c>
      <c r="AW51" s="542">
        <f t="shared" si="98"/>
        <v>1.270666125629196</v>
      </c>
      <c r="AX51" s="538">
        <f t="shared" si="32"/>
        <v>0.45743010919162508</v>
      </c>
      <c r="AY51" s="538">
        <f t="shared" si="33"/>
        <v>0.23759915494955386</v>
      </c>
      <c r="AZ51" s="539">
        <f t="shared" si="34"/>
        <v>0.34711265199080921</v>
      </c>
      <c r="BB51" s="537">
        <f>VLOOKUP($A51,[1]!LandfillAggressiveK2,BB$7,FALSE)</f>
        <v>1.457975475</v>
      </c>
      <c r="BC51" s="538">
        <f>VLOOKUP($A51,[1]!LandfillAggressiveK2,BC$7,FALSE)</f>
        <v>0.71004879297821089</v>
      </c>
      <c r="BD51" s="538">
        <f>VLOOKUP($A51,[1]!LandfillAggressiveK2,BD$7,FALSE)</f>
        <v>0.36277620686008638</v>
      </c>
      <c r="BE51" s="539">
        <f>VLOOKUP($A51,[1]!LandfillAggressiveK2,BE$7,FALSE)</f>
        <v>0.49520318844172667</v>
      </c>
      <c r="BF51" s="540">
        <f>-1*VLOOKUP($A51,[1]Landfilling!$N$27:$R$41,5,FALSE)</f>
        <v>-0.20756386851200001</v>
      </c>
      <c r="BG51" s="541">
        <f>VLOOKUP($A51,'[1]Post-Consumer Transport'!$C$33:$K$88,3,FALSE)+VLOOKUP($A51,'[1]Post-Consumer Transport'!$C$33:$K$88,4,FALSE)</f>
        <v>2.0254519141196047E-2</v>
      </c>
      <c r="BH51" s="542">
        <f t="shared" si="99"/>
        <v>1.270666125629196</v>
      </c>
      <c r="BI51" s="538">
        <f t="shared" si="36"/>
        <v>0.52273944360740687</v>
      </c>
      <c r="BJ51" s="538">
        <f t="shared" si="37"/>
        <v>0.17546685748928242</v>
      </c>
      <c r="BK51" s="539">
        <f t="shared" si="38"/>
        <v>0.30789383907092271</v>
      </c>
      <c r="BL51" s="881">
        <f>VLOOKUP($A51,[1]!LandfillAggressiveK4,BL$7,FALSE)</f>
        <v>1.457975475</v>
      </c>
      <c r="BM51" s="882">
        <f>VLOOKUP($A51,[1]!LandfillAggressiveK4,BM$7,FALSE)</f>
        <v>0.62825294508011098</v>
      </c>
      <c r="BN51" s="882">
        <f>VLOOKUP($A51,[1]!LandfillAggressiveK4,BN$7,FALSE)</f>
        <v>0.40354967379935219</v>
      </c>
      <c r="BO51" s="883">
        <f>VLOOKUP($A51,[1]!LandfillAggressiveK4,BO$7,FALSE)</f>
        <v>0.5159720450354176</v>
      </c>
      <c r="BP51" s="884">
        <f>-1*VLOOKUP($A51,[1]Landfilling!$N$27:$R$41,5,FALSE)</f>
        <v>-0.20756386851200001</v>
      </c>
      <c r="BQ51" s="885">
        <f>VLOOKUP($A51,'[1]Post-Consumer Transport'!$C$33:$K$88,3,FALSE)+VLOOKUP($A51,'[1]Post-Consumer Transport'!$C$33:$K$88,4,FALSE)</f>
        <v>2.0254519141196047E-2</v>
      </c>
      <c r="BR51" s="886">
        <f t="shared" si="100"/>
        <v>1.270666125629196</v>
      </c>
      <c r="BS51" s="882">
        <f t="shared" si="40"/>
        <v>0.44094359570930697</v>
      </c>
      <c r="BT51" s="882">
        <f t="shared" si="41"/>
        <v>0.21624032442854824</v>
      </c>
      <c r="BU51" s="883">
        <f t="shared" si="42"/>
        <v>0.32866269566461359</v>
      </c>
      <c r="BV51" s="537">
        <f>VLOOKUP($A51,[1]!LandfillAggressiveK6,BV$7,FALSE)</f>
        <v>1.457975475</v>
      </c>
      <c r="BW51" s="538">
        <f>VLOOKUP($A51,[1]!LandfillAggressiveK6,BW$7,FALSE)</f>
        <v>0.59214760563624946</v>
      </c>
      <c r="BX51" s="538">
        <f>VLOOKUP($A51,[1]!LandfillAggressiveK6,BX$7,FALSE)</f>
        <v>0.40966278555648006</v>
      </c>
      <c r="BY51" s="539">
        <f>VLOOKUP($A51,[1]!LandfillAggressiveK6,BY$7,FALSE)</f>
        <v>0.51391000162756151</v>
      </c>
      <c r="BZ51" s="540">
        <f>-1*VLOOKUP($A51,[1]Landfilling!$N$27:$R$41,5,FALSE)</f>
        <v>-0.20756386851200001</v>
      </c>
      <c r="CA51" s="541">
        <f>VLOOKUP($A51,'[1]Post-Consumer Transport'!$C$33:$K$88,3,FALSE)+VLOOKUP($A51,'[1]Post-Consumer Transport'!$C$33:$K$88,4,FALSE)</f>
        <v>2.0254519141196047E-2</v>
      </c>
      <c r="CB51" s="542">
        <f t="shared" si="101"/>
        <v>1.270666125629196</v>
      </c>
      <c r="CC51" s="538">
        <f t="shared" si="44"/>
        <v>0.40483825626544545</v>
      </c>
      <c r="CD51" s="538">
        <f t="shared" si="45"/>
        <v>0.2223534361856761</v>
      </c>
      <c r="CE51" s="539">
        <f t="shared" si="46"/>
        <v>0.3266006522567575</v>
      </c>
      <c r="CF51" s="537">
        <f>VLOOKUP($A51,[1]!LandfillAggressiveK12,CF$7,FALSE)</f>
        <v>1.457975475</v>
      </c>
      <c r="CG51" s="538">
        <f>VLOOKUP($A51,[1]!LandfillAggressiveK12,CG$7,FALSE)</f>
        <v>0.56401005903386126</v>
      </c>
      <c r="CH51" s="538">
        <f>VLOOKUP($A51,[1]!LandfillAggressiveK12,CH$7,FALSE)</f>
        <v>0.45655080077423926</v>
      </c>
      <c r="CI51" s="539">
        <f>VLOOKUP($A51,[1]!LandfillAggressiveK12,CI$7,FALSE)</f>
        <v>0.54563780802250272</v>
      </c>
      <c r="CJ51" s="540">
        <f>-1*VLOOKUP($A51,[1]Landfilling!$N$27:$R$41,5,FALSE)</f>
        <v>-0.20756386851200001</v>
      </c>
      <c r="CK51" s="541">
        <f>VLOOKUP($A51,'[1]Post-Consumer Transport'!$C$33:$K$88,3,FALSE)+VLOOKUP($A51,'[1]Post-Consumer Transport'!$C$33:$K$88,4,FALSE)</f>
        <v>2.0254519141196047E-2</v>
      </c>
      <c r="CL51" s="542">
        <f t="shared" si="102"/>
        <v>1.270666125629196</v>
      </c>
      <c r="CM51" s="538">
        <f t="shared" si="48"/>
        <v>0.37670070966305724</v>
      </c>
      <c r="CN51" s="538">
        <f t="shared" si="49"/>
        <v>0.26924145140343531</v>
      </c>
      <c r="CO51" s="539">
        <f t="shared" si="50"/>
        <v>0.35832845865169871</v>
      </c>
      <c r="CP51" s="537">
        <f>VLOOKUP($A51,[1]!LandfillAggressiveNatlAverage,CP$7,FALSE)</f>
        <v>1.457975475</v>
      </c>
      <c r="CQ51" s="538">
        <f>VLOOKUP($A51,[1]!LandfillAggressiveNatlAverage,CQ$7,FALSE)</f>
        <v>0.62334853154367886</v>
      </c>
      <c r="CR51" s="538">
        <f>VLOOKUP($A51,[1]!LandfillAggressiveNatlAverage,CR$7,FALSE)</f>
        <v>0.40320758204116725</v>
      </c>
      <c r="CS51" s="539">
        <f>VLOOKUP($A51,[1]!LandfillAggressiveNatlAverage,CS$7,FALSE)</f>
        <v>0.51393735017475917</v>
      </c>
      <c r="CT51" s="540">
        <f>-1*VLOOKUP($A51,[1]Landfilling!$N$27:$R$41,5,FALSE)</f>
        <v>-0.20756386851200001</v>
      </c>
      <c r="CU51" s="541">
        <f>VLOOKUP($A51,'[1]Post-Consumer Transport'!$C$33:$K$88,3,FALSE)+VLOOKUP($A51,'[1]Post-Consumer Transport'!$C$33:$K$88,4,FALSE)</f>
        <v>2.0254519141196047E-2</v>
      </c>
      <c r="CV51" s="542">
        <f t="shared" si="103"/>
        <v>1.270666125629196</v>
      </c>
      <c r="CW51" s="538">
        <f t="shared" si="52"/>
        <v>0.43603918217287485</v>
      </c>
      <c r="CX51" s="538">
        <f t="shared" si="53"/>
        <v>0.21589823267036329</v>
      </c>
      <c r="CY51" s="539">
        <f t="shared" si="54"/>
        <v>0.32662800080395515</v>
      </c>
      <c r="DA51" s="537">
        <f>VLOOKUP($A51,[1]!LandfillWorstK2,DA$7,FALSE)</f>
        <v>1.457975475</v>
      </c>
      <c r="DB51" s="538">
        <f>VLOOKUP($A51,[1]!LandfillWorstK2,DB$7,FALSE)</f>
        <v>0.7569495525089508</v>
      </c>
      <c r="DC51" s="538">
        <f>VLOOKUP($A51,[1]!LandfillWorstK2,DC$7,FALSE)</f>
        <v>0.40226650589387181</v>
      </c>
      <c r="DD51" s="539">
        <f>VLOOKUP($A51,[1]!LandfillWorstK2,DD$7,FALSE)</f>
        <v>0.53228501016645025</v>
      </c>
      <c r="DE51" s="540">
        <f>-1*VLOOKUP($A51,[1]Landfilling!$N$27:$R$41,5,FALSE)</f>
        <v>-0.20756386851200001</v>
      </c>
      <c r="DF51" s="541">
        <f>VLOOKUP($A51,'[1]Post-Consumer Transport'!$C$33:$K$88,3,FALSE)+VLOOKUP($A51,'[1]Post-Consumer Transport'!$C$33:$K$88,4,FALSE)</f>
        <v>2.0254519141196047E-2</v>
      </c>
      <c r="DG51" s="542">
        <f t="shared" si="104"/>
        <v>1.270666125629196</v>
      </c>
      <c r="DH51" s="538">
        <f t="shared" si="56"/>
        <v>0.56964020313814678</v>
      </c>
      <c r="DI51" s="538">
        <f t="shared" si="57"/>
        <v>0.21495715652306785</v>
      </c>
      <c r="DJ51" s="539">
        <f t="shared" si="58"/>
        <v>0.34497566079564623</v>
      </c>
      <c r="DK51" s="537">
        <f>VLOOKUP($A51,[1]!LandfillWorstK4,DK$7,FALSE)</f>
        <v>1.457975475</v>
      </c>
      <c r="DL51" s="538">
        <f>VLOOKUP($A51,[1]!LandfillWorstK4,DL$7,FALSE)</f>
        <v>0.70910610624346437</v>
      </c>
      <c r="DM51" s="538">
        <f>VLOOKUP($A51,[1]!LandfillWorstK4,DM$7,FALSE)</f>
        <v>0.4767140464211706</v>
      </c>
      <c r="DN51" s="539">
        <f>VLOOKUP($A51,[1]!LandfillWorstK4,DN$7,FALSE)</f>
        <v>0.58444423510147148</v>
      </c>
      <c r="DO51" s="540">
        <f>-1*VLOOKUP($A51,[1]Landfilling!$N$27:$R$41,5,FALSE)</f>
        <v>-0.20756386851200001</v>
      </c>
      <c r="DP51" s="541">
        <f>VLOOKUP($A51,'[1]Post-Consumer Transport'!$C$33:$K$88,3,FALSE)+VLOOKUP($A51,'[1]Post-Consumer Transport'!$C$33:$K$88,4,FALSE)</f>
        <v>2.0254519141196047E-2</v>
      </c>
      <c r="DQ51" s="542">
        <f t="shared" si="105"/>
        <v>1.270666125629196</v>
      </c>
      <c r="DR51" s="538">
        <f t="shared" si="60"/>
        <v>0.52179675687266036</v>
      </c>
      <c r="DS51" s="538">
        <f t="shared" si="61"/>
        <v>0.28940469705036664</v>
      </c>
      <c r="DT51" s="539">
        <f t="shared" si="62"/>
        <v>0.39713488573066746</v>
      </c>
      <c r="DU51" s="537">
        <f>VLOOKUP($A51,[1]!LandfillWorstK6,DU$7,FALSE)</f>
        <v>1.457975475</v>
      </c>
      <c r="DV51" s="538">
        <f>VLOOKUP($A51,[1]!LandfillWorstK6,DV$7,FALSE)</f>
        <v>0.70824203634070182</v>
      </c>
      <c r="DW51" s="538">
        <f>VLOOKUP($A51,[1]!LandfillWorstK6,DW$7,FALSE)</f>
        <v>0.52130706602923538</v>
      </c>
      <c r="DX51" s="539">
        <f>VLOOKUP($A51,[1]!LandfillWorstK6,DX$7,FALSE)</f>
        <v>0.61775506517004919</v>
      </c>
      <c r="DY51" s="540">
        <f>-1*VLOOKUP($A51,[1]Landfilling!$N$27:$R$41,5,FALSE)</f>
        <v>-0.20756386851200001</v>
      </c>
      <c r="DZ51" s="541">
        <f>VLOOKUP($A51,'[1]Post-Consumer Transport'!$C$33:$K$88,3,FALSE)+VLOOKUP($A51,'[1]Post-Consumer Transport'!$C$33:$K$88,4,FALSE)</f>
        <v>2.0254519141196047E-2</v>
      </c>
      <c r="EA51" s="542">
        <f t="shared" si="106"/>
        <v>1.270666125629196</v>
      </c>
      <c r="EB51" s="538">
        <f t="shared" si="64"/>
        <v>0.52093268696989781</v>
      </c>
      <c r="EC51" s="538">
        <f t="shared" si="65"/>
        <v>0.33399771665843137</v>
      </c>
      <c r="ED51" s="539">
        <f t="shared" si="66"/>
        <v>0.43044571579924518</v>
      </c>
      <c r="EE51" s="537">
        <f>VLOOKUP($A51,[1]!LandfillWorstK12,EE$7,FALSE)</f>
        <v>1.457975475</v>
      </c>
      <c r="EF51" s="538">
        <f>VLOOKUP($A51,[1]!LandfillWorstK12,EF$7,FALSE)</f>
        <v>0.76951789654267877</v>
      </c>
      <c r="EG51" s="538">
        <f>VLOOKUP($A51,[1]!LandfillWorstK12,EG$7,FALSE)</f>
        <v>0.66327008754757133</v>
      </c>
      <c r="EH51" s="539">
        <f>VLOOKUP($A51,[1]!LandfillWorstK12,EH$7,FALSE)</f>
        <v>0.73729811108453125</v>
      </c>
      <c r="EI51" s="540">
        <f>-1*VLOOKUP($A51,[1]Landfilling!$N$27:$R$41,5,FALSE)</f>
        <v>-0.20756386851200001</v>
      </c>
      <c r="EJ51" s="541">
        <f>VLOOKUP($A51,'[1]Post-Consumer Transport'!$C$33:$K$88,3,FALSE)+VLOOKUP($A51,'[1]Post-Consumer Transport'!$C$33:$K$88,4,FALSE)</f>
        <v>2.0254519141196047E-2</v>
      </c>
      <c r="EK51" s="542">
        <f t="shared" si="107"/>
        <v>1.270666125629196</v>
      </c>
      <c r="EL51" s="538">
        <f t="shared" si="68"/>
        <v>0.58220854717187476</v>
      </c>
      <c r="EM51" s="538">
        <f t="shared" si="69"/>
        <v>0.47596073817676732</v>
      </c>
      <c r="EN51" s="539">
        <f t="shared" si="70"/>
        <v>0.54998876171372724</v>
      </c>
      <c r="EO51" s="537">
        <f>VLOOKUP($A51,[1]!LandfillWorstNatlAverage,EO$7,FALSE)</f>
        <v>1.457975475</v>
      </c>
      <c r="EP51" s="538">
        <f>VLOOKUP($A51,[1]!LandfillWorstNatlAverage,EP$7,FALSE)</f>
        <v>0.72436084179644789</v>
      </c>
      <c r="EQ51" s="538">
        <f>VLOOKUP($A51,[1]!LandfillWorstNatlAverage,EQ$7,FALSE)</f>
        <v>0.49880787348726552</v>
      </c>
      <c r="ER51" s="539">
        <f>VLOOKUP($A51,[1]!LandfillWorstNatlAverage,ER$7,FALSE)</f>
        <v>0.60298852887095877</v>
      </c>
      <c r="ES51" s="540">
        <f>-1*VLOOKUP($A51,[1]Landfilling!$N$27:$R$41,5,FALSE)</f>
        <v>-0.20756386851200001</v>
      </c>
      <c r="ET51" s="541">
        <f>VLOOKUP($A51,'[1]Post-Consumer Transport'!$C$33:$K$88,3,FALSE)+VLOOKUP($A51,'[1]Post-Consumer Transport'!$C$33:$K$88,4,FALSE)</f>
        <v>2.0254519141196047E-2</v>
      </c>
      <c r="EU51" s="542">
        <f t="shared" si="108"/>
        <v>1.270666125629196</v>
      </c>
      <c r="EV51" s="538">
        <f t="shared" si="72"/>
        <v>0.53705149242564387</v>
      </c>
      <c r="EW51" s="538">
        <f t="shared" si="73"/>
        <v>0.31149852411646151</v>
      </c>
      <c r="EX51" s="539">
        <f t="shared" si="74"/>
        <v>0.41567917950015476</v>
      </c>
      <c r="EZ51" s="537">
        <f>VLOOKUP($A51,[1]!LandfillCaliK2,EZ$7,FALSE)</f>
        <v>1.457975475</v>
      </c>
      <c r="FA51" s="538">
        <f>VLOOKUP($A51,[1]!LandfillCaliK2,FA$7,FALSE)</f>
        <v>0.3159918899925509</v>
      </c>
      <c r="FB51" s="538">
        <f>VLOOKUP($A51,[1]!LandfillCaliK2,FB$7,FALSE)</f>
        <v>0.19757598371659682</v>
      </c>
      <c r="FC51" s="539">
        <f>VLOOKUP($A51,[1]!LandfillCaliK2,FC$7,FALSE)</f>
        <v>0.31822280731742481</v>
      </c>
      <c r="FD51" s="540">
        <f>-1*VLOOKUP($A51,[1]Landfilling!$N$27:$R$41,5,FALSE)</f>
        <v>-0.20756386851200001</v>
      </c>
      <c r="FE51" s="541">
        <f>VLOOKUP($A51,'[1]Post-Consumer Transport'!$C$33:$K$88,3,FALSE)+VLOOKUP($A51,'[1]Post-Consumer Transport'!$C$33:$K$88,4,FALSE)</f>
        <v>2.0254519141196047E-2</v>
      </c>
      <c r="FF51" s="542">
        <f t="shared" si="109"/>
        <v>1.270666125629196</v>
      </c>
      <c r="FG51" s="538">
        <f t="shared" si="76"/>
        <v>0.12868254062174694</v>
      </c>
      <c r="FH51" s="538">
        <f t="shared" si="77"/>
        <v>1.0266634345792856E-2</v>
      </c>
      <c r="FI51" s="539">
        <f t="shared" si="78"/>
        <v>0.13091345794662085</v>
      </c>
      <c r="FJ51" s="537">
        <f>VLOOKUP($A51,[1]!LandfillCaliK4,FJ$7,FALSE)</f>
        <v>1.457975475</v>
      </c>
      <c r="FK51" s="538">
        <f>VLOOKUP($A51,[1]!LandfillCaliK4,FK$7,FALSE)</f>
        <v>0.28263190554747603</v>
      </c>
      <c r="FL51" s="538">
        <f>VLOOKUP($A51,[1]!LandfillCaliK4,FL$7,FALSE)</f>
        <v>0.24979294890965897</v>
      </c>
      <c r="FM51" s="539">
        <f>VLOOKUP($A51,[1]!LandfillCaliK4,FM$7,FALSE)</f>
        <v>0.3542584309297217</v>
      </c>
      <c r="FN51" s="540">
        <f>-1*VLOOKUP($A51,[1]Landfilling!$N$27:$R$41,5,FALSE)</f>
        <v>-0.20756386851200001</v>
      </c>
      <c r="FO51" s="541">
        <f>VLOOKUP($A51,'[1]Post-Consumer Transport'!$C$33:$K$88,3,FALSE)+VLOOKUP($A51,'[1]Post-Consumer Transport'!$C$33:$K$88,4,FALSE)</f>
        <v>2.0254519141196047E-2</v>
      </c>
      <c r="FP51" s="542">
        <f t="shared" si="110"/>
        <v>1.270666125629196</v>
      </c>
      <c r="FQ51" s="538">
        <f t="shared" si="80"/>
        <v>9.5322556176672069E-2</v>
      </c>
      <c r="FR51" s="538">
        <f t="shared" si="81"/>
        <v>6.248359953885501E-2</v>
      </c>
      <c r="FS51" s="539">
        <f t="shared" si="82"/>
        <v>0.16694908155891774</v>
      </c>
      <c r="FT51" s="537">
        <f>VLOOKUP($A51,[1]!LandfillCaliK6,FT$7,FALSE)</f>
        <v>1.457975475</v>
      </c>
      <c r="FU51" s="538">
        <f>VLOOKUP($A51,[1]!LandfillCaliK6,FU$7,FALSE)</f>
        <v>0.30422102599264172</v>
      </c>
      <c r="FV51" s="538">
        <f>VLOOKUP($A51,[1]!LandfillCaliK6,FV$7,FALSE)</f>
        <v>0.27994128786561639</v>
      </c>
      <c r="FW51" s="539">
        <f>VLOOKUP($A51,[1]!LandfillCaliK6,FW$7,FALSE)</f>
        <v>0.37649954063632207</v>
      </c>
      <c r="FX51" s="540">
        <f>-1*VLOOKUP($A51,[1]Landfilling!$N$27:$R$41,5,FALSE)</f>
        <v>-0.20756386851200001</v>
      </c>
      <c r="FY51" s="541">
        <f>VLOOKUP($A51,'[1]Post-Consumer Transport'!$C$33:$K$88,3,FALSE)+VLOOKUP($A51,'[1]Post-Consumer Transport'!$C$33:$K$88,4,FALSE)</f>
        <v>2.0254519141196047E-2</v>
      </c>
      <c r="FZ51" s="542">
        <f t="shared" si="111"/>
        <v>1.270666125629196</v>
      </c>
      <c r="GA51" s="538">
        <f t="shared" si="84"/>
        <v>0.11691167662183777</v>
      </c>
      <c r="GB51" s="538">
        <f t="shared" si="85"/>
        <v>9.2631938494812438E-2</v>
      </c>
      <c r="GC51" s="539">
        <f t="shared" si="86"/>
        <v>0.18919019126551812</v>
      </c>
      <c r="GD51" s="537">
        <f>VLOOKUP($A51,[1]!LandfillCaliK12,GD$7,FALSE)</f>
        <v>1.457975475</v>
      </c>
      <c r="GE51" s="538">
        <f>VLOOKUP($A51,[1]!LandfillCaliK12,GE$7,FALSE)</f>
        <v>0.36011666632459549</v>
      </c>
      <c r="GF51" s="538">
        <f>VLOOKUP($A51,[1]!LandfillCaliK12,GF$7,FALSE)</f>
        <v>0.34853732358677975</v>
      </c>
      <c r="GG51" s="539">
        <f>VLOOKUP($A51,[1]!LandfillCaliK12,GG$7,FALSE)</f>
        <v>0.43467087566330997</v>
      </c>
      <c r="GH51" s="540">
        <f>-1*VLOOKUP($A51,[1]Landfilling!$N$27:$R$41,5,FALSE)</f>
        <v>-0.20756386851200001</v>
      </c>
      <c r="GI51" s="541">
        <f>VLOOKUP($A51,'[1]Post-Consumer Transport'!$C$33:$K$88,3,FALSE)+VLOOKUP($A51,'[1]Post-Consumer Transport'!$C$33:$K$88,4,FALSE)</f>
        <v>2.0254519141196047E-2</v>
      </c>
      <c r="GJ51" s="542">
        <f t="shared" si="112"/>
        <v>1.270666125629196</v>
      </c>
      <c r="GK51" s="538">
        <f t="shared" si="88"/>
        <v>0.17280731695379153</v>
      </c>
      <c r="GL51" s="538">
        <f t="shared" si="89"/>
        <v>0.16122797421597579</v>
      </c>
      <c r="GM51" s="539">
        <f t="shared" si="90"/>
        <v>0.24736152629250602</v>
      </c>
      <c r="GN51" s="537">
        <f>VLOOKUP($A51,[1]!LandfillCaliNatlAverage,GN$7,FALSE)</f>
        <v>1.457975475</v>
      </c>
      <c r="GO51" s="538">
        <f>VLOOKUP($A51,[1]!LandfillCaliNatlAverage,GO$7,FALSE)</f>
        <v>0.30592550701716636</v>
      </c>
      <c r="GP51" s="538">
        <f>VLOOKUP($A51,[1]!LandfillCaliNatlAverage,GP$7,FALSE)</f>
        <v>0.26161496064965711</v>
      </c>
      <c r="GQ51" s="539">
        <f>VLOOKUP($A51,[1]!LandfillCaliNatlAverage,GQ$7,FALSE)</f>
        <v>0.36423364677003395</v>
      </c>
      <c r="GR51" s="540">
        <f>-1*VLOOKUP($A51,[1]Landfilling!$N$27:$R$41,5,FALSE)</f>
        <v>-0.20756386851200001</v>
      </c>
      <c r="GS51" s="541">
        <f>VLOOKUP($A51,'[1]Post-Consumer Transport'!$C$33:$K$88,3,FALSE)+VLOOKUP($A51,'[1]Post-Consumer Transport'!$C$33:$K$88,4,FALSE)</f>
        <v>2.0254519141196047E-2</v>
      </c>
      <c r="GT51" s="542">
        <f t="shared" si="113"/>
        <v>1.270666125629196</v>
      </c>
      <c r="GU51" s="538">
        <f t="shared" si="92"/>
        <v>0.11861615764636241</v>
      </c>
      <c r="GV51" s="538">
        <f t="shared" si="93"/>
        <v>7.4305611278853156E-2</v>
      </c>
      <c r="GW51" s="539">
        <f t="shared" si="94"/>
        <v>0.17692429739922999</v>
      </c>
    </row>
    <row r="52" spans="1:205" s="499" customFormat="1" x14ac:dyDescent="0.25">
      <c r="A52" s="498" t="str">
        <f t="shared" si="16"/>
        <v>Carpet</v>
      </c>
      <c r="B52" s="556" t="s">
        <v>573</v>
      </c>
      <c r="C52" s="557">
        <v>0</v>
      </c>
      <c r="D52" s="558">
        <v>0</v>
      </c>
      <c r="E52" s="558">
        <v>0</v>
      </c>
      <c r="F52" s="559">
        <v>0</v>
      </c>
      <c r="G52" s="560">
        <v>0</v>
      </c>
      <c r="H52" s="552">
        <f>VLOOKUP($A52,'[1]Post-Consumer Transport'!$C$33:$K$88,3,FALSE)+VLOOKUP($A52,'[1]Post-Consumer Transport'!$C$33:$K$88,4,FALSE)</f>
        <v>2.0254519141196047E-2</v>
      </c>
      <c r="I52" s="553">
        <f t="shared" si="17"/>
        <v>2.0254519141196047E-2</v>
      </c>
      <c r="J52" s="549">
        <f t="shared" si="18"/>
        <v>2.0254519141196047E-2</v>
      </c>
      <c r="K52" s="549">
        <f t="shared" si="18"/>
        <v>2.0254519141196047E-2</v>
      </c>
      <c r="L52" s="550">
        <f t="shared" si="18"/>
        <v>2.0254519141196047E-2</v>
      </c>
      <c r="M52" s="557">
        <v>0</v>
      </c>
      <c r="N52" s="558">
        <v>0</v>
      </c>
      <c r="O52" s="558">
        <v>0</v>
      </c>
      <c r="P52" s="559">
        <v>0</v>
      </c>
      <c r="Q52" s="560">
        <v>0</v>
      </c>
      <c r="R52" s="552">
        <f>VLOOKUP($A52,'[1]Post-Consumer Transport'!$C$33:$K$88,3,FALSE)+VLOOKUP($A52,'[1]Post-Consumer Transport'!$C$33:$K$88,4,FALSE)</f>
        <v>2.0254519141196047E-2</v>
      </c>
      <c r="S52" s="553">
        <f t="shared" si="95"/>
        <v>2.0254519141196047E-2</v>
      </c>
      <c r="T52" s="549">
        <f t="shared" si="20"/>
        <v>2.0254519141196047E-2</v>
      </c>
      <c r="U52" s="549">
        <f t="shared" si="21"/>
        <v>2.0254519141196047E-2</v>
      </c>
      <c r="V52" s="550">
        <f t="shared" si="22"/>
        <v>2.0254519141196047E-2</v>
      </c>
      <c r="W52" s="557">
        <v>0</v>
      </c>
      <c r="X52" s="558">
        <v>0</v>
      </c>
      <c r="Y52" s="558">
        <v>0</v>
      </c>
      <c r="Z52" s="559">
        <v>0</v>
      </c>
      <c r="AA52" s="560">
        <v>0</v>
      </c>
      <c r="AB52" s="552">
        <f>VLOOKUP($A52,'[1]Post-Consumer Transport'!$C$33:$K$88,3,FALSE)+VLOOKUP($A52,'[1]Post-Consumer Transport'!$C$33:$K$88,4,FALSE)</f>
        <v>2.0254519141196047E-2</v>
      </c>
      <c r="AC52" s="553">
        <f t="shared" si="96"/>
        <v>2.0254519141196047E-2</v>
      </c>
      <c r="AD52" s="549">
        <f t="shared" si="24"/>
        <v>2.0254519141196047E-2</v>
      </c>
      <c r="AE52" s="549">
        <f t="shared" si="25"/>
        <v>2.0254519141196047E-2</v>
      </c>
      <c r="AF52" s="550">
        <f t="shared" si="26"/>
        <v>2.0254519141196047E-2</v>
      </c>
      <c r="AG52" s="557">
        <v>0</v>
      </c>
      <c r="AH52" s="558">
        <v>0</v>
      </c>
      <c r="AI52" s="558">
        <v>0</v>
      </c>
      <c r="AJ52" s="559">
        <v>0</v>
      </c>
      <c r="AK52" s="560">
        <v>0</v>
      </c>
      <c r="AL52" s="552">
        <f>VLOOKUP($A52,'[1]Post-Consumer Transport'!$C$33:$K$88,3,FALSE)+VLOOKUP($A52,'[1]Post-Consumer Transport'!$C$33:$K$88,4,FALSE)</f>
        <v>2.0254519141196047E-2</v>
      </c>
      <c r="AM52" s="553">
        <f t="shared" si="97"/>
        <v>2.0254519141196047E-2</v>
      </c>
      <c r="AN52" s="549">
        <f t="shared" si="28"/>
        <v>2.0254519141196047E-2</v>
      </c>
      <c r="AO52" s="549">
        <f t="shared" si="29"/>
        <v>2.0254519141196047E-2</v>
      </c>
      <c r="AP52" s="550">
        <f t="shared" si="30"/>
        <v>2.0254519141196047E-2</v>
      </c>
      <c r="AQ52" s="557">
        <v>0</v>
      </c>
      <c r="AR52" s="558">
        <v>0</v>
      </c>
      <c r="AS52" s="558">
        <v>0</v>
      </c>
      <c r="AT52" s="559">
        <v>0</v>
      </c>
      <c r="AU52" s="560">
        <v>0</v>
      </c>
      <c r="AV52" s="552">
        <f>VLOOKUP($A52,'[1]Post-Consumer Transport'!$C$33:$K$88,3,FALSE)+VLOOKUP($A52,'[1]Post-Consumer Transport'!$C$33:$K$88,4,FALSE)</f>
        <v>2.0254519141196047E-2</v>
      </c>
      <c r="AW52" s="553">
        <f t="shared" si="98"/>
        <v>2.0254519141196047E-2</v>
      </c>
      <c r="AX52" s="549">
        <f t="shared" si="32"/>
        <v>2.0254519141196047E-2</v>
      </c>
      <c r="AY52" s="549">
        <f t="shared" si="33"/>
        <v>2.0254519141196047E-2</v>
      </c>
      <c r="AZ52" s="550">
        <f t="shared" si="34"/>
        <v>2.0254519141196047E-2</v>
      </c>
      <c r="BB52" s="557">
        <v>0</v>
      </c>
      <c r="BC52" s="558">
        <v>0</v>
      </c>
      <c r="BD52" s="558">
        <v>0</v>
      </c>
      <c r="BE52" s="559">
        <v>0</v>
      </c>
      <c r="BF52" s="560">
        <v>0</v>
      </c>
      <c r="BG52" s="552">
        <f>VLOOKUP($A52,'[1]Post-Consumer Transport'!$C$33:$K$88,3,FALSE)+VLOOKUP($A52,'[1]Post-Consumer Transport'!$C$33:$K$88,4,FALSE)</f>
        <v>2.0254519141196047E-2</v>
      </c>
      <c r="BH52" s="553">
        <f t="shared" si="99"/>
        <v>2.0254519141196047E-2</v>
      </c>
      <c r="BI52" s="549">
        <f t="shared" si="36"/>
        <v>2.0254519141196047E-2</v>
      </c>
      <c r="BJ52" s="549">
        <f t="shared" si="37"/>
        <v>2.0254519141196047E-2</v>
      </c>
      <c r="BK52" s="550">
        <f t="shared" si="38"/>
        <v>2.0254519141196047E-2</v>
      </c>
      <c r="BL52" s="888">
        <v>0</v>
      </c>
      <c r="BM52" s="889">
        <v>0</v>
      </c>
      <c r="BN52" s="889">
        <v>0</v>
      </c>
      <c r="BO52" s="890">
        <v>0</v>
      </c>
      <c r="BP52" s="891">
        <v>0</v>
      </c>
      <c r="BQ52" s="885">
        <f>VLOOKUP($A52,'[1]Post-Consumer Transport'!$C$33:$K$88,3,FALSE)+VLOOKUP($A52,'[1]Post-Consumer Transport'!$C$33:$K$88,4,FALSE)</f>
        <v>2.0254519141196047E-2</v>
      </c>
      <c r="BR52" s="886">
        <f t="shared" si="100"/>
        <v>2.0254519141196047E-2</v>
      </c>
      <c r="BS52" s="882">
        <f t="shared" si="40"/>
        <v>2.0254519141196047E-2</v>
      </c>
      <c r="BT52" s="882">
        <f t="shared" si="41"/>
        <v>2.0254519141196047E-2</v>
      </c>
      <c r="BU52" s="883">
        <f t="shared" si="42"/>
        <v>2.0254519141196047E-2</v>
      </c>
      <c r="BV52" s="557">
        <v>0</v>
      </c>
      <c r="BW52" s="558">
        <v>0</v>
      </c>
      <c r="BX52" s="558">
        <v>0</v>
      </c>
      <c r="BY52" s="559">
        <v>0</v>
      </c>
      <c r="BZ52" s="560">
        <v>0</v>
      </c>
      <c r="CA52" s="552">
        <f>VLOOKUP($A52,'[1]Post-Consumer Transport'!$C$33:$K$88,3,FALSE)+VLOOKUP($A52,'[1]Post-Consumer Transport'!$C$33:$K$88,4,FALSE)</f>
        <v>2.0254519141196047E-2</v>
      </c>
      <c r="CB52" s="553">
        <f t="shared" si="101"/>
        <v>2.0254519141196047E-2</v>
      </c>
      <c r="CC52" s="549">
        <f t="shared" si="44"/>
        <v>2.0254519141196047E-2</v>
      </c>
      <c r="CD52" s="549">
        <f t="shared" si="45"/>
        <v>2.0254519141196047E-2</v>
      </c>
      <c r="CE52" s="550">
        <f t="shared" si="46"/>
        <v>2.0254519141196047E-2</v>
      </c>
      <c r="CF52" s="557">
        <v>0</v>
      </c>
      <c r="CG52" s="558">
        <v>0</v>
      </c>
      <c r="CH52" s="558">
        <v>0</v>
      </c>
      <c r="CI52" s="559">
        <v>0</v>
      </c>
      <c r="CJ52" s="560">
        <v>0</v>
      </c>
      <c r="CK52" s="552">
        <f>VLOOKUP($A52,'[1]Post-Consumer Transport'!$C$33:$K$88,3,FALSE)+VLOOKUP($A52,'[1]Post-Consumer Transport'!$C$33:$K$88,4,FALSE)</f>
        <v>2.0254519141196047E-2</v>
      </c>
      <c r="CL52" s="553">
        <f t="shared" si="102"/>
        <v>2.0254519141196047E-2</v>
      </c>
      <c r="CM52" s="549">
        <f t="shared" si="48"/>
        <v>2.0254519141196047E-2</v>
      </c>
      <c r="CN52" s="549">
        <f t="shared" si="49"/>
        <v>2.0254519141196047E-2</v>
      </c>
      <c r="CO52" s="550">
        <f t="shared" si="50"/>
        <v>2.0254519141196047E-2</v>
      </c>
      <c r="CP52" s="557">
        <v>0</v>
      </c>
      <c r="CQ52" s="558">
        <v>0</v>
      </c>
      <c r="CR52" s="558">
        <v>0</v>
      </c>
      <c r="CS52" s="559">
        <v>0</v>
      </c>
      <c r="CT52" s="560">
        <v>0</v>
      </c>
      <c r="CU52" s="552">
        <f>VLOOKUP($A52,'[1]Post-Consumer Transport'!$C$33:$K$88,3,FALSE)+VLOOKUP($A52,'[1]Post-Consumer Transport'!$C$33:$K$88,4,FALSE)</f>
        <v>2.0254519141196047E-2</v>
      </c>
      <c r="CV52" s="553">
        <f t="shared" si="103"/>
        <v>2.0254519141196047E-2</v>
      </c>
      <c r="CW52" s="549">
        <f t="shared" si="52"/>
        <v>2.0254519141196047E-2</v>
      </c>
      <c r="CX52" s="549">
        <f t="shared" si="53"/>
        <v>2.0254519141196047E-2</v>
      </c>
      <c r="CY52" s="550">
        <f t="shared" si="54"/>
        <v>2.0254519141196047E-2</v>
      </c>
      <c r="DA52" s="557">
        <v>0</v>
      </c>
      <c r="DB52" s="558">
        <v>0</v>
      </c>
      <c r="DC52" s="558">
        <v>0</v>
      </c>
      <c r="DD52" s="559">
        <v>0</v>
      </c>
      <c r="DE52" s="560">
        <v>0</v>
      </c>
      <c r="DF52" s="552">
        <f>VLOOKUP($A52,'[1]Post-Consumer Transport'!$C$33:$K$88,3,FALSE)+VLOOKUP($A52,'[1]Post-Consumer Transport'!$C$33:$K$88,4,FALSE)</f>
        <v>2.0254519141196047E-2</v>
      </c>
      <c r="DG52" s="553">
        <f t="shared" si="104"/>
        <v>2.0254519141196047E-2</v>
      </c>
      <c r="DH52" s="549">
        <f t="shared" si="56"/>
        <v>2.0254519141196047E-2</v>
      </c>
      <c r="DI52" s="549">
        <f t="shared" si="57"/>
        <v>2.0254519141196047E-2</v>
      </c>
      <c r="DJ52" s="550">
        <f t="shared" si="58"/>
        <v>2.0254519141196047E-2</v>
      </c>
      <c r="DK52" s="557">
        <v>0</v>
      </c>
      <c r="DL52" s="558">
        <v>0</v>
      </c>
      <c r="DM52" s="558">
        <v>0</v>
      </c>
      <c r="DN52" s="559">
        <v>0</v>
      </c>
      <c r="DO52" s="560">
        <v>0</v>
      </c>
      <c r="DP52" s="552">
        <f>VLOOKUP($A52,'[1]Post-Consumer Transport'!$C$33:$K$88,3,FALSE)+VLOOKUP($A52,'[1]Post-Consumer Transport'!$C$33:$K$88,4,FALSE)</f>
        <v>2.0254519141196047E-2</v>
      </c>
      <c r="DQ52" s="553">
        <f t="shared" si="105"/>
        <v>2.0254519141196047E-2</v>
      </c>
      <c r="DR52" s="549">
        <f t="shared" si="60"/>
        <v>2.0254519141196047E-2</v>
      </c>
      <c r="DS52" s="549">
        <f t="shared" si="61"/>
        <v>2.0254519141196047E-2</v>
      </c>
      <c r="DT52" s="550">
        <f t="shared" si="62"/>
        <v>2.0254519141196047E-2</v>
      </c>
      <c r="DU52" s="557">
        <v>0</v>
      </c>
      <c r="DV52" s="558">
        <v>0</v>
      </c>
      <c r="DW52" s="558">
        <v>0</v>
      </c>
      <c r="DX52" s="559">
        <v>0</v>
      </c>
      <c r="DY52" s="560">
        <v>0</v>
      </c>
      <c r="DZ52" s="552">
        <f>VLOOKUP($A52,'[1]Post-Consumer Transport'!$C$33:$K$88,3,FALSE)+VLOOKUP($A52,'[1]Post-Consumer Transport'!$C$33:$K$88,4,FALSE)</f>
        <v>2.0254519141196047E-2</v>
      </c>
      <c r="EA52" s="553">
        <f t="shared" si="106"/>
        <v>2.0254519141196047E-2</v>
      </c>
      <c r="EB52" s="549">
        <f t="shared" si="64"/>
        <v>2.0254519141196047E-2</v>
      </c>
      <c r="EC52" s="549">
        <f t="shared" si="65"/>
        <v>2.0254519141196047E-2</v>
      </c>
      <c r="ED52" s="550">
        <f t="shared" si="66"/>
        <v>2.0254519141196047E-2</v>
      </c>
      <c r="EE52" s="557">
        <v>0</v>
      </c>
      <c r="EF52" s="558">
        <v>0</v>
      </c>
      <c r="EG52" s="558">
        <v>0</v>
      </c>
      <c r="EH52" s="559">
        <v>0</v>
      </c>
      <c r="EI52" s="560">
        <v>0</v>
      </c>
      <c r="EJ52" s="552">
        <f>VLOOKUP($A52,'[1]Post-Consumer Transport'!$C$33:$K$88,3,FALSE)+VLOOKUP($A52,'[1]Post-Consumer Transport'!$C$33:$K$88,4,FALSE)</f>
        <v>2.0254519141196047E-2</v>
      </c>
      <c r="EK52" s="553">
        <f t="shared" si="107"/>
        <v>2.0254519141196047E-2</v>
      </c>
      <c r="EL52" s="549">
        <f t="shared" si="68"/>
        <v>2.0254519141196047E-2</v>
      </c>
      <c r="EM52" s="549">
        <f t="shared" si="69"/>
        <v>2.0254519141196047E-2</v>
      </c>
      <c r="EN52" s="550">
        <f t="shared" si="70"/>
        <v>2.0254519141196047E-2</v>
      </c>
      <c r="EO52" s="557">
        <v>0</v>
      </c>
      <c r="EP52" s="558">
        <v>0</v>
      </c>
      <c r="EQ52" s="558">
        <v>0</v>
      </c>
      <c r="ER52" s="559">
        <v>0</v>
      </c>
      <c r="ES52" s="560">
        <v>0</v>
      </c>
      <c r="ET52" s="552">
        <f>VLOOKUP($A52,'[1]Post-Consumer Transport'!$C$33:$K$88,3,FALSE)+VLOOKUP($A52,'[1]Post-Consumer Transport'!$C$33:$K$88,4,FALSE)</f>
        <v>2.0254519141196047E-2</v>
      </c>
      <c r="EU52" s="553">
        <f t="shared" si="108"/>
        <v>2.0254519141196047E-2</v>
      </c>
      <c r="EV52" s="549">
        <f t="shared" si="72"/>
        <v>2.0254519141196047E-2</v>
      </c>
      <c r="EW52" s="549">
        <f t="shared" si="73"/>
        <v>2.0254519141196047E-2</v>
      </c>
      <c r="EX52" s="550">
        <f t="shared" si="74"/>
        <v>2.0254519141196047E-2</v>
      </c>
      <c r="EZ52" s="557">
        <v>0</v>
      </c>
      <c r="FA52" s="558">
        <v>0</v>
      </c>
      <c r="FB52" s="558">
        <v>0</v>
      </c>
      <c r="FC52" s="559">
        <v>0</v>
      </c>
      <c r="FD52" s="560">
        <v>0</v>
      </c>
      <c r="FE52" s="552">
        <f>VLOOKUP($A52,'[1]Post-Consumer Transport'!$C$33:$K$88,3,FALSE)+VLOOKUP($A52,'[1]Post-Consumer Transport'!$C$33:$K$88,4,FALSE)</f>
        <v>2.0254519141196047E-2</v>
      </c>
      <c r="FF52" s="553">
        <f t="shared" si="109"/>
        <v>2.0254519141196047E-2</v>
      </c>
      <c r="FG52" s="549">
        <f t="shared" si="76"/>
        <v>2.0254519141196047E-2</v>
      </c>
      <c r="FH52" s="549">
        <f t="shared" si="77"/>
        <v>2.0254519141196047E-2</v>
      </c>
      <c r="FI52" s="550">
        <f t="shared" si="78"/>
        <v>2.0254519141196047E-2</v>
      </c>
      <c r="FJ52" s="557">
        <v>0</v>
      </c>
      <c r="FK52" s="558">
        <v>0</v>
      </c>
      <c r="FL52" s="558">
        <v>0</v>
      </c>
      <c r="FM52" s="559">
        <v>0</v>
      </c>
      <c r="FN52" s="560">
        <v>0</v>
      </c>
      <c r="FO52" s="552">
        <f>VLOOKUP($A52,'[1]Post-Consumer Transport'!$C$33:$K$88,3,FALSE)+VLOOKUP($A52,'[1]Post-Consumer Transport'!$C$33:$K$88,4,FALSE)</f>
        <v>2.0254519141196047E-2</v>
      </c>
      <c r="FP52" s="553">
        <f t="shared" si="110"/>
        <v>2.0254519141196047E-2</v>
      </c>
      <c r="FQ52" s="549">
        <f t="shared" si="80"/>
        <v>2.0254519141196047E-2</v>
      </c>
      <c r="FR52" s="549">
        <f t="shared" si="81"/>
        <v>2.0254519141196047E-2</v>
      </c>
      <c r="FS52" s="550">
        <f t="shared" si="82"/>
        <v>2.0254519141196047E-2</v>
      </c>
      <c r="FT52" s="557">
        <v>0</v>
      </c>
      <c r="FU52" s="558">
        <v>0</v>
      </c>
      <c r="FV52" s="558">
        <v>0</v>
      </c>
      <c r="FW52" s="559">
        <v>0</v>
      </c>
      <c r="FX52" s="560">
        <v>0</v>
      </c>
      <c r="FY52" s="552">
        <f>VLOOKUP($A52,'[1]Post-Consumer Transport'!$C$33:$K$88,3,FALSE)+VLOOKUP($A52,'[1]Post-Consumer Transport'!$C$33:$K$88,4,FALSE)</f>
        <v>2.0254519141196047E-2</v>
      </c>
      <c r="FZ52" s="553">
        <f t="shared" si="111"/>
        <v>2.0254519141196047E-2</v>
      </c>
      <c r="GA52" s="549">
        <f t="shared" si="84"/>
        <v>2.0254519141196047E-2</v>
      </c>
      <c r="GB52" s="549">
        <f t="shared" si="85"/>
        <v>2.0254519141196047E-2</v>
      </c>
      <c r="GC52" s="550">
        <f t="shared" si="86"/>
        <v>2.0254519141196047E-2</v>
      </c>
      <c r="GD52" s="557">
        <v>0</v>
      </c>
      <c r="GE52" s="558">
        <v>0</v>
      </c>
      <c r="GF52" s="558">
        <v>0</v>
      </c>
      <c r="GG52" s="559">
        <v>0</v>
      </c>
      <c r="GH52" s="560">
        <v>0</v>
      </c>
      <c r="GI52" s="552">
        <f>VLOOKUP($A52,'[1]Post-Consumer Transport'!$C$33:$K$88,3,FALSE)+VLOOKUP($A52,'[1]Post-Consumer Transport'!$C$33:$K$88,4,FALSE)</f>
        <v>2.0254519141196047E-2</v>
      </c>
      <c r="GJ52" s="553">
        <f t="shared" si="112"/>
        <v>2.0254519141196047E-2</v>
      </c>
      <c r="GK52" s="549">
        <f t="shared" si="88"/>
        <v>2.0254519141196047E-2</v>
      </c>
      <c r="GL52" s="549">
        <f t="shared" si="89"/>
        <v>2.0254519141196047E-2</v>
      </c>
      <c r="GM52" s="550">
        <f t="shared" si="90"/>
        <v>2.0254519141196047E-2</v>
      </c>
      <c r="GN52" s="557">
        <v>0</v>
      </c>
      <c r="GO52" s="558">
        <v>0</v>
      </c>
      <c r="GP52" s="558">
        <v>0</v>
      </c>
      <c r="GQ52" s="559">
        <v>0</v>
      </c>
      <c r="GR52" s="560">
        <v>0</v>
      </c>
      <c r="GS52" s="552">
        <f>VLOOKUP($A52,'[1]Post-Consumer Transport'!$C$33:$K$88,3,FALSE)+VLOOKUP($A52,'[1]Post-Consumer Transport'!$C$33:$K$88,4,FALSE)</f>
        <v>2.0254519141196047E-2</v>
      </c>
      <c r="GT52" s="553">
        <f t="shared" si="113"/>
        <v>2.0254519141196047E-2</v>
      </c>
      <c r="GU52" s="549">
        <f t="shared" si="92"/>
        <v>2.0254519141196047E-2</v>
      </c>
      <c r="GV52" s="549">
        <f t="shared" si="93"/>
        <v>2.0254519141196047E-2</v>
      </c>
      <c r="GW52" s="550">
        <f t="shared" si="94"/>
        <v>2.0254519141196047E-2</v>
      </c>
    </row>
    <row r="53" spans="1:205" s="499" customFormat="1" x14ac:dyDescent="0.25">
      <c r="A53" s="498" t="str">
        <f t="shared" si="16"/>
        <v>Personal Computers</v>
      </c>
      <c r="B53" s="556" t="s">
        <v>423</v>
      </c>
      <c r="C53" s="557">
        <v>0</v>
      </c>
      <c r="D53" s="558">
        <v>0</v>
      </c>
      <c r="E53" s="558">
        <v>0</v>
      </c>
      <c r="F53" s="559">
        <v>0</v>
      </c>
      <c r="G53" s="560">
        <v>0</v>
      </c>
      <c r="H53" s="552">
        <f>VLOOKUP($A53,'[1]Post-Consumer Transport'!$C$33:$K$88,3,FALSE)+VLOOKUP($A53,'[1]Post-Consumer Transport'!$C$33:$K$88,4,FALSE)</f>
        <v>2.0254519141196047E-2</v>
      </c>
      <c r="I53" s="553">
        <f t="shared" si="17"/>
        <v>2.0254519141196047E-2</v>
      </c>
      <c r="J53" s="549">
        <f t="shared" si="18"/>
        <v>2.0254519141196047E-2</v>
      </c>
      <c r="K53" s="549">
        <f t="shared" si="18"/>
        <v>2.0254519141196047E-2</v>
      </c>
      <c r="L53" s="550">
        <f t="shared" si="18"/>
        <v>2.0254519141196047E-2</v>
      </c>
      <c r="M53" s="557">
        <v>0</v>
      </c>
      <c r="N53" s="558">
        <v>0</v>
      </c>
      <c r="O53" s="558">
        <v>0</v>
      </c>
      <c r="P53" s="559">
        <v>0</v>
      </c>
      <c r="Q53" s="560">
        <v>0</v>
      </c>
      <c r="R53" s="552">
        <f>VLOOKUP($A53,'[1]Post-Consumer Transport'!$C$33:$K$88,3,FALSE)+VLOOKUP($A53,'[1]Post-Consumer Transport'!$C$33:$K$88,4,FALSE)</f>
        <v>2.0254519141196047E-2</v>
      </c>
      <c r="S53" s="553">
        <f t="shared" si="95"/>
        <v>2.0254519141196047E-2</v>
      </c>
      <c r="T53" s="549">
        <f t="shared" si="20"/>
        <v>2.0254519141196047E-2</v>
      </c>
      <c r="U53" s="549">
        <f t="shared" si="21"/>
        <v>2.0254519141196047E-2</v>
      </c>
      <c r="V53" s="550">
        <f t="shared" si="22"/>
        <v>2.0254519141196047E-2</v>
      </c>
      <c r="W53" s="557">
        <v>0</v>
      </c>
      <c r="X53" s="558">
        <v>0</v>
      </c>
      <c r="Y53" s="558">
        <v>0</v>
      </c>
      <c r="Z53" s="559">
        <v>0</v>
      </c>
      <c r="AA53" s="560">
        <v>0</v>
      </c>
      <c r="AB53" s="552">
        <f>VLOOKUP($A53,'[1]Post-Consumer Transport'!$C$33:$K$88,3,FALSE)+VLOOKUP($A53,'[1]Post-Consumer Transport'!$C$33:$K$88,4,FALSE)</f>
        <v>2.0254519141196047E-2</v>
      </c>
      <c r="AC53" s="553">
        <f t="shared" si="96"/>
        <v>2.0254519141196047E-2</v>
      </c>
      <c r="AD53" s="549">
        <f t="shared" si="24"/>
        <v>2.0254519141196047E-2</v>
      </c>
      <c r="AE53" s="549">
        <f t="shared" si="25"/>
        <v>2.0254519141196047E-2</v>
      </c>
      <c r="AF53" s="550">
        <f t="shared" si="26"/>
        <v>2.0254519141196047E-2</v>
      </c>
      <c r="AG53" s="557">
        <v>0</v>
      </c>
      <c r="AH53" s="558">
        <v>0</v>
      </c>
      <c r="AI53" s="558">
        <v>0</v>
      </c>
      <c r="AJ53" s="559">
        <v>0</v>
      </c>
      <c r="AK53" s="560">
        <v>0</v>
      </c>
      <c r="AL53" s="552">
        <f>VLOOKUP($A53,'[1]Post-Consumer Transport'!$C$33:$K$88,3,FALSE)+VLOOKUP($A53,'[1]Post-Consumer Transport'!$C$33:$K$88,4,FALSE)</f>
        <v>2.0254519141196047E-2</v>
      </c>
      <c r="AM53" s="553">
        <f t="shared" si="97"/>
        <v>2.0254519141196047E-2</v>
      </c>
      <c r="AN53" s="549">
        <f t="shared" si="28"/>
        <v>2.0254519141196047E-2</v>
      </c>
      <c r="AO53" s="549">
        <f t="shared" si="29"/>
        <v>2.0254519141196047E-2</v>
      </c>
      <c r="AP53" s="550">
        <f t="shared" si="30"/>
        <v>2.0254519141196047E-2</v>
      </c>
      <c r="AQ53" s="557">
        <v>0</v>
      </c>
      <c r="AR53" s="558">
        <v>0</v>
      </c>
      <c r="AS53" s="558">
        <v>0</v>
      </c>
      <c r="AT53" s="559">
        <v>0</v>
      </c>
      <c r="AU53" s="560">
        <v>0</v>
      </c>
      <c r="AV53" s="552">
        <f>VLOOKUP($A53,'[1]Post-Consumer Transport'!$C$33:$K$88,3,FALSE)+VLOOKUP($A53,'[1]Post-Consumer Transport'!$C$33:$K$88,4,FALSE)</f>
        <v>2.0254519141196047E-2</v>
      </c>
      <c r="AW53" s="553">
        <f t="shared" si="98"/>
        <v>2.0254519141196047E-2</v>
      </c>
      <c r="AX53" s="549">
        <f t="shared" si="32"/>
        <v>2.0254519141196047E-2</v>
      </c>
      <c r="AY53" s="549">
        <f t="shared" si="33"/>
        <v>2.0254519141196047E-2</v>
      </c>
      <c r="AZ53" s="550">
        <f t="shared" si="34"/>
        <v>2.0254519141196047E-2</v>
      </c>
      <c r="BB53" s="557">
        <v>0</v>
      </c>
      <c r="BC53" s="558">
        <v>0</v>
      </c>
      <c r="BD53" s="558">
        <v>0</v>
      </c>
      <c r="BE53" s="559">
        <v>0</v>
      </c>
      <c r="BF53" s="560">
        <v>0</v>
      </c>
      <c r="BG53" s="552">
        <f>VLOOKUP($A53,'[1]Post-Consumer Transport'!$C$33:$K$88,3,FALSE)+VLOOKUP($A53,'[1]Post-Consumer Transport'!$C$33:$K$88,4,FALSE)</f>
        <v>2.0254519141196047E-2</v>
      </c>
      <c r="BH53" s="553">
        <f t="shared" si="99"/>
        <v>2.0254519141196047E-2</v>
      </c>
      <c r="BI53" s="549">
        <f t="shared" si="36"/>
        <v>2.0254519141196047E-2</v>
      </c>
      <c r="BJ53" s="549">
        <f t="shared" si="37"/>
        <v>2.0254519141196047E-2</v>
      </c>
      <c r="BK53" s="550">
        <f t="shared" si="38"/>
        <v>2.0254519141196047E-2</v>
      </c>
      <c r="BL53" s="888">
        <v>0</v>
      </c>
      <c r="BM53" s="889">
        <v>0</v>
      </c>
      <c r="BN53" s="889">
        <v>0</v>
      </c>
      <c r="BO53" s="890">
        <v>0</v>
      </c>
      <c r="BP53" s="891">
        <v>0</v>
      </c>
      <c r="BQ53" s="885">
        <f>VLOOKUP($A53,'[1]Post-Consumer Transport'!$C$33:$K$88,3,FALSE)+VLOOKUP($A53,'[1]Post-Consumer Transport'!$C$33:$K$88,4,FALSE)</f>
        <v>2.0254519141196047E-2</v>
      </c>
      <c r="BR53" s="886">
        <f t="shared" si="100"/>
        <v>2.0254519141196047E-2</v>
      </c>
      <c r="BS53" s="882">
        <f t="shared" si="40"/>
        <v>2.0254519141196047E-2</v>
      </c>
      <c r="BT53" s="882">
        <f t="shared" si="41"/>
        <v>2.0254519141196047E-2</v>
      </c>
      <c r="BU53" s="883">
        <f t="shared" si="42"/>
        <v>2.0254519141196047E-2</v>
      </c>
      <c r="BV53" s="557">
        <v>0</v>
      </c>
      <c r="BW53" s="558">
        <v>0</v>
      </c>
      <c r="BX53" s="558">
        <v>0</v>
      </c>
      <c r="BY53" s="559">
        <v>0</v>
      </c>
      <c r="BZ53" s="560">
        <v>0</v>
      </c>
      <c r="CA53" s="552">
        <f>VLOOKUP($A53,'[1]Post-Consumer Transport'!$C$33:$K$88,3,FALSE)+VLOOKUP($A53,'[1]Post-Consumer Transport'!$C$33:$K$88,4,FALSE)</f>
        <v>2.0254519141196047E-2</v>
      </c>
      <c r="CB53" s="553">
        <f t="shared" si="101"/>
        <v>2.0254519141196047E-2</v>
      </c>
      <c r="CC53" s="549">
        <f t="shared" si="44"/>
        <v>2.0254519141196047E-2</v>
      </c>
      <c r="CD53" s="549">
        <f t="shared" si="45"/>
        <v>2.0254519141196047E-2</v>
      </c>
      <c r="CE53" s="550">
        <f t="shared" si="46"/>
        <v>2.0254519141196047E-2</v>
      </c>
      <c r="CF53" s="557">
        <v>0</v>
      </c>
      <c r="CG53" s="558">
        <v>0</v>
      </c>
      <c r="CH53" s="558">
        <v>0</v>
      </c>
      <c r="CI53" s="559">
        <v>0</v>
      </c>
      <c r="CJ53" s="560">
        <v>0</v>
      </c>
      <c r="CK53" s="552">
        <f>VLOOKUP($A53,'[1]Post-Consumer Transport'!$C$33:$K$88,3,FALSE)+VLOOKUP($A53,'[1]Post-Consumer Transport'!$C$33:$K$88,4,FALSE)</f>
        <v>2.0254519141196047E-2</v>
      </c>
      <c r="CL53" s="553">
        <f t="shared" si="102"/>
        <v>2.0254519141196047E-2</v>
      </c>
      <c r="CM53" s="549">
        <f t="shared" si="48"/>
        <v>2.0254519141196047E-2</v>
      </c>
      <c r="CN53" s="549">
        <f t="shared" si="49"/>
        <v>2.0254519141196047E-2</v>
      </c>
      <c r="CO53" s="550">
        <f t="shared" si="50"/>
        <v>2.0254519141196047E-2</v>
      </c>
      <c r="CP53" s="557">
        <v>0</v>
      </c>
      <c r="CQ53" s="558">
        <v>0</v>
      </c>
      <c r="CR53" s="558">
        <v>0</v>
      </c>
      <c r="CS53" s="559">
        <v>0</v>
      </c>
      <c r="CT53" s="560">
        <v>0</v>
      </c>
      <c r="CU53" s="552">
        <f>VLOOKUP($A53,'[1]Post-Consumer Transport'!$C$33:$K$88,3,FALSE)+VLOOKUP($A53,'[1]Post-Consumer Transport'!$C$33:$K$88,4,FALSE)</f>
        <v>2.0254519141196047E-2</v>
      </c>
      <c r="CV53" s="553">
        <f t="shared" si="103"/>
        <v>2.0254519141196047E-2</v>
      </c>
      <c r="CW53" s="549">
        <f t="shared" si="52"/>
        <v>2.0254519141196047E-2</v>
      </c>
      <c r="CX53" s="549">
        <f t="shared" si="53"/>
        <v>2.0254519141196047E-2</v>
      </c>
      <c r="CY53" s="550">
        <f t="shared" si="54"/>
        <v>2.0254519141196047E-2</v>
      </c>
      <c r="DA53" s="557">
        <v>0</v>
      </c>
      <c r="DB53" s="558">
        <v>0</v>
      </c>
      <c r="DC53" s="558">
        <v>0</v>
      </c>
      <c r="DD53" s="559">
        <v>0</v>
      </c>
      <c r="DE53" s="560">
        <v>0</v>
      </c>
      <c r="DF53" s="552">
        <f>VLOOKUP($A53,'[1]Post-Consumer Transport'!$C$33:$K$88,3,FALSE)+VLOOKUP($A53,'[1]Post-Consumer Transport'!$C$33:$K$88,4,FALSE)</f>
        <v>2.0254519141196047E-2</v>
      </c>
      <c r="DG53" s="553">
        <f t="shared" si="104"/>
        <v>2.0254519141196047E-2</v>
      </c>
      <c r="DH53" s="549">
        <f t="shared" si="56"/>
        <v>2.0254519141196047E-2</v>
      </c>
      <c r="DI53" s="549">
        <f t="shared" si="57"/>
        <v>2.0254519141196047E-2</v>
      </c>
      <c r="DJ53" s="550">
        <f t="shared" si="58"/>
        <v>2.0254519141196047E-2</v>
      </c>
      <c r="DK53" s="557">
        <v>0</v>
      </c>
      <c r="DL53" s="558">
        <v>0</v>
      </c>
      <c r="DM53" s="558">
        <v>0</v>
      </c>
      <c r="DN53" s="559">
        <v>0</v>
      </c>
      <c r="DO53" s="560">
        <v>0</v>
      </c>
      <c r="DP53" s="552">
        <f>VLOOKUP($A53,'[1]Post-Consumer Transport'!$C$33:$K$88,3,FALSE)+VLOOKUP($A53,'[1]Post-Consumer Transport'!$C$33:$K$88,4,FALSE)</f>
        <v>2.0254519141196047E-2</v>
      </c>
      <c r="DQ53" s="553">
        <f t="shared" si="105"/>
        <v>2.0254519141196047E-2</v>
      </c>
      <c r="DR53" s="549">
        <f t="shared" si="60"/>
        <v>2.0254519141196047E-2</v>
      </c>
      <c r="DS53" s="549">
        <f t="shared" si="61"/>
        <v>2.0254519141196047E-2</v>
      </c>
      <c r="DT53" s="550">
        <f t="shared" si="62"/>
        <v>2.0254519141196047E-2</v>
      </c>
      <c r="DU53" s="557">
        <v>0</v>
      </c>
      <c r="DV53" s="558">
        <v>0</v>
      </c>
      <c r="DW53" s="558">
        <v>0</v>
      </c>
      <c r="DX53" s="559">
        <v>0</v>
      </c>
      <c r="DY53" s="560">
        <v>0</v>
      </c>
      <c r="DZ53" s="552">
        <f>VLOOKUP($A53,'[1]Post-Consumer Transport'!$C$33:$K$88,3,FALSE)+VLOOKUP($A53,'[1]Post-Consumer Transport'!$C$33:$K$88,4,FALSE)</f>
        <v>2.0254519141196047E-2</v>
      </c>
      <c r="EA53" s="553">
        <f t="shared" si="106"/>
        <v>2.0254519141196047E-2</v>
      </c>
      <c r="EB53" s="549">
        <f t="shared" si="64"/>
        <v>2.0254519141196047E-2</v>
      </c>
      <c r="EC53" s="549">
        <f t="shared" si="65"/>
        <v>2.0254519141196047E-2</v>
      </c>
      <c r="ED53" s="550">
        <f t="shared" si="66"/>
        <v>2.0254519141196047E-2</v>
      </c>
      <c r="EE53" s="557">
        <v>0</v>
      </c>
      <c r="EF53" s="558">
        <v>0</v>
      </c>
      <c r="EG53" s="558">
        <v>0</v>
      </c>
      <c r="EH53" s="559">
        <v>0</v>
      </c>
      <c r="EI53" s="560">
        <v>0</v>
      </c>
      <c r="EJ53" s="552">
        <f>VLOOKUP($A53,'[1]Post-Consumer Transport'!$C$33:$K$88,3,FALSE)+VLOOKUP($A53,'[1]Post-Consumer Transport'!$C$33:$K$88,4,FALSE)</f>
        <v>2.0254519141196047E-2</v>
      </c>
      <c r="EK53" s="553">
        <f t="shared" si="107"/>
        <v>2.0254519141196047E-2</v>
      </c>
      <c r="EL53" s="549">
        <f t="shared" si="68"/>
        <v>2.0254519141196047E-2</v>
      </c>
      <c r="EM53" s="549">
        <f t="shared" si="69"/>
        <v>2.0254519141196047E-2</v>
      </c>
      <c r="EN53" s="550">
        <f t="shared" si="70"/>
        <v>2.0254519141196047E-2</v>
      </c>
      <c r="EO53" s="557">
        <v>0</v>
      </c>
      <c r="EP53" s="558">
        <v>0</v>
      </c>
      <c r="EQ53" s="558">
        <v>0</v>
      </c>
      <c r="ER53" s="559">
        <v>0</v>
      </c>
      <c r="ES53" s="560">
        <v>0</v>
      </c>
      <c r="ET53" s="552">
        <f>VLOOKUP($A53,'[1]Post-Consumer Transport'!$C$33:$K$88,3,FALSE)+VLOOKUP($A53,'[1]Post-Consumer Transport'!$C$33:$K$88,4,FALSE)</f>
        <v>2.0254519141196047E-2</v>
      </c>
      <c r="EU53" s="553">
        <f t="shared" si="108"/>
        <v>2.0254519141196047E-2</v>
      </c>
      <c r="EV53" s="549">
        <f t="shared" si="72"/>
        <v>2.0254519141196047E-2</v>
      </c>
      <c r="EW53" s="549">
        <f t="shared" si="73"/>
        <v>2.0254519141196047E-2</v>
      </c>
      <c r="EX53" s="550">
        <f t="shared" si="74"/>
        <v>2.0254519141196047E-2</v>
      </c>
      <c r="EZ53" s="557">
        <v>0</v>
      </c>
      <c r="FA53" s="558">
        <v>0</v>
      </c>
      <c r="FB53" s="558">
        <v>0</v>
      </c>
      <c r="FC53" s="559">
        <v>0</v>
      </c>
      <c r="FD53" s="560">
        <v>0</v>
      </c>
      <c r="FE53" s="552">
        <f>VLOOKUP($A53,'[1]Post-Consumer Transport'!$C$33:$K$88,3,FALSE)+VLOOKUP($A53,'[1]Post-Consumer Transport'!$C$33:$K$88,4,FALSE)</f>
        <v>2.0254519141196047E-2</v>
      </c>
      <c r="FF53" s="553">
        <f t="shared" si="109"/>
        <v>2.0254519141196047E-2</v>
      </c>
      <c r="FG53" s="549">
        <f t="shared" si="76"/>
        <v>2.0254519141196047E-2</v>
      </c>
      <c r="FH53" s="549">
        <f t="shared" si="77"/>
        <v>2.0254519141196047E-2</v>
      </c>
      <c r="FI53" s="550">
        <f t="shared" si="78"/>
        <v>2.0254519141196047E-2</v>
      </c>
      <c r="FJ53" s="557">
        <v>0</v>
      </c>
      <c r="FK53" s="558">
        <v>0</v>
      </c>
      <c r="FL53" s="558">
        <v>0</v>
      </c>
      <c r="FM53" s="559">
        <v>0</v>
      </c>
      <c r="FN53" s="560">
        <v>0</v>
      </c>
      <c r="FO53" s="552">
        <f>VLOOKUP($A53,'[1]Post-Consumer Transport'!$C$33:$K$88,3,FALSE)+VLOOKUP($A53,'[1]Post-Consumer Transport'!$C$33:$K$88,4,FALSE)</f>
        <v>2.0254519141196047E-2</v>
      </c>
      <c r="FP53" s="553">
        <f t="shared" si="110"/>
        <v>2.0254519141196047E-2</v>
      </c>
      <c r="FQ53" s="549">
        <f t="shared" si="80"/>
        <v>2.0254519141196047E-2</v>
      </c>
      <c r="FR53" s="549">
        <f t="shared" si="81"/>
        <v>2.0254519141196047E-2</v>
      </c>
      <c r="FS53" s="550">
        <f t="shared" si="82"/>
        <v>2.0254519141196047E-2</v>
      </c>
      <c r="FT53" s="557">
        <v>0</v>
      </c>
      <c r="FU53" s="558">
        <v>0</v>
      </c>
      <c r="FV53" s="558">
        <v>0</v>
      </c>
      <c r="FW53" s="559">
        <v>0</v>
      </c>
      <c r="FX53" s="560">
        <v>0</v>
      </c>
      <c r="FY53" s="552">
        <f>VLOOKUP($A53,'[1]Post-Consumer Transport'!$C$33:$K$88,3,FALSE)+VLOOKUP($A53,'[1]Post-Consumer Transport'!$C$33:$K$88,4,FALSE)</f>
        <v>2.0254519141196047E-2</v>
      </c>
      <c r="FZ53" s="553">
        <f t="shared" si="111"/>
        <v>2.0254519141196047E-2</v>
      </c>
      <c r="GA53" s="549">
        <f t="shared" si="84"/>
        <v>2.0254519141196047E-2</v>
      </c>
      <c r="GB53" s="549">
        <f t="shared" si="85"/>
        <v>2.0254519141196047E-2</v>
      </c>
      <c r="GC53" s="550">
        <f t="shared" si="86"/>
        <v>2.0254519141196047E-2</v>
      </c>
      <c r="GD53" s="557">
        <v>0</v>
      </c>
      <c r="GE53" s="558">
        <v>0</v>
      </c>
      <c r="GF53" s="558">
        <v>0</v>
      </c>
      <c r="GG53" s="559">
        <v>0</v>
      </c>
      <c r="GH53" s="560">
        <v>0</v>
      </c>
      <c r="GI53" s="552">
        <f>VLOOKUP($A53,'[1]Post-Consumer Transport'!$C$33:$K$88,3,FALSE)+VLOOKUP($A53,'[1]Post-Consumer Transport'!$C$33:$K$88,4,FALSE)</f>
        <v>2.0254519141196047E-2</v>
      </c>
      <c r="GJ53" s="553">
        <f t="shared" si="112"/>
        <v>2.0254519141196047E-2</v>
      </c>
      <c r="GK53" s="549">
        <f t="shared" si="88"/>
        <v>2.0254519141196047E-2</v>
      </c>
      <c r="GL53" s="549">
        <f t="shared" si="89"/>
        <v>2.0254519141196047E-2</v>
      </c>
      <c r="GM53" s="550">
        <f t="shared" si="90"/>
        <v>2.0254519141196047E-2</v>
      </c>
      <c r="GN53" s="557">
        <v>0</v>
      </c>
      <c r="GO53" s="558">
        <v>0</v>
      </c>
      <c r="GP53" s="558">
        <v>0</v>
      </c>
      <c r="GQ53" s="559">
        <v>0</v>
      </c>
      <c r="GR53" s="560">
        <v>0</v>
      </c>
      <c r="GS53" s="552">
        <f>VLOOKUP($A53,'[1]Post-Consumer Transport'!$C$33:$K$88,3,FALSE)+VLOOKUP($A53,'[1]Post-Consumer Transport'!$C$33:$K$88,4,FALSE)</f>
        <v>2.0254519141196047E-2</v>
      </c>
      <c r="GT53" s="553">
        <f t="shared" si="113"/>
        <v>2.0254519141196047E-2</v>
      </c>
      <c r="GU53" s="549">
        <f t="shared" si="92"/>
        <v>2.0254519141196047E-2</v>
      </c>
      <c r="GV53" s="549">
        <f t="shared" si="93"/>
        <v>2.0254519141196047E-2</v>
      </c>
      <c r="GW53" s="550">
        <f t="shared" si="94"/>
        <v>2.0254519141196047E-2</v>
      </c>
    </row>
    <row r="54" spans="1:205" s="499" customFormat="1" x14ac:dyDescent="0.25">
      <c r="A54" s="498" t="str">
        <f t="shared" si="16"/>
        <v>Clay Bricks</v>
      </c>
      <c r="B54" s="556" t="s">
        <v>455</v>
      </c>
      <c r="C54" s="557">
        <v>0</v>
      </c>
      <c r="D54" s="558">
        <v>0</v>
      </c>
      <c r="E54" s="558">
        <v>0</v>
      </c>
      <c r="F54" s="559">
        <v>0</v>
      </c>
      <c r="G54" s="560">
        <v>0</v>
      </c>
      <c r="H54" s="552">
        <f>VLOOKUP($A54,'[1]Post-Consumer Transport'!$C$33:$K$88,3,FALSE)+VLOOKUP($A54,'[1]Post-Consumer Transport'!$C$33:$K$88,4,FALSE)</f>
        <v>2.0254519141196047E-2</v>
      </c>
      <c r="I54" s="553">
        <f t="shared" si="17"/>
        <v>2.0254519141196047E-2</v>
      </c>
      <c r="J54" s="549">
        <f t="shared" si="18"/>
        <v>2.0254519141196047E-2</v>
      </c>
      <c r="K54" s="549">
        <f t="shared" si="18"/>
        <v>2.0254519141196047E-2</v>
      </c>
      <c r="L54" s="550">
        <f t="shared" si="18"/>
        <v>2.0254519141196047E-2</v>
      </c>
      <c r="M54" s="557">
        <v>0</v>
      </c>
      <c r="N54" s="558">
        <v>0</v>
      </c>
      <c r="O54" s="558">
        <v>0</v>
      </c>
      <c r="P54" s="559">
        <v>0</v>
      </c>
      <c r="Q54" s="560">
        <v>0</v>
      </c>
      <c r="R54" s="552">
        <f>VLOOKUP($A54,'[1]Post-Consumer Transport'!$C$33:$K$88,3,FALSE)+VLOOKUP($A54,'[1]Post-Consumer Transport'!$C$33:$K$88,4,FALSE)</f>
        <v>2.0254519141196047E-2</v>
      </c>
      <c r="S54" s="553">
        <f t="shared" si="95"/>
        <v>2.0254519141196047E-2</v>
      </c>
      <c r="T54" s="549">
        <f t="shared" si="20"/>
        <v>2.0254519141196047E-2</v>
      </c>
      <c r="U54" s="549">
        <f t="shared" si="21"/>
        <v>2.0254519141196047E-2</v>
      </c>
      <c r="V54" s="550">
        <f t="shared" si="22"/>
        <v>2.0254519141196047E-2</v>
      </c>
      <c r="W54" s="557">
        <v>0</v>
      </c>
      <c r="X54" s="558">
        <v>0</v>
      </c>
      <c r="Y54" s="558">
        <v>0</v>
      </c>
      <c r="Z54" s="559">
        <v>0</v>
      </c>
      <c r="AA54" s="560">
        <v>0</v>
      </c>
      <c r="AB54" s="552">
        <f>VLOOKUP($A54,'[1]Post-Consumer Transport'!$C$33:$K$88,3,FALSE)+VLOOKUP($A54,'[1]Post-Consumer Transport'!$C$33:$K$88,4,FALSE)</f>
        <v>2.0254519141196047E-2</v>
      </c>
      <c r="AC54" s="553">
        <f t="shared" si="96"/>
        <v>2.0254519141196047E-2</v>
      </c>
      <c r="AD54" s="549">
        <f t="shared" si="24"/>
        <v>2.0254519141196047E-2</v>
      </c>
      <c r="AE54" s="549">
        <f t="shared" si="25"/>
        <v>2.0254519141196047E-2</v>
      </c>
      <c r="AF54" s="550">
        <f t="shared" si="26"/>
        <v>2.0254519141196047E-2</v>
      </c>
      <c r="AG54" s="557">
        <v>0</v>
      </c>
      <c r="AH54" s="558">
        <v>0</v>
      </c>
      <c r="AI54" s="558">
        <v>0</v>
      </c>
      <c r="AJ54" s="559">
        <v>0</v>
      </c>
      <c r="AK54" s="560">
        <v>0</v>
      </c>
      <c r="AL54" s="552">
        <f>VLOOKUP($A54,'[1]Post-Consumer Transport'!$C$33:$K$88,3,FALSE)+VLOOKUP($A54,'[1]Post-Consumer Transport'!$C$33:$K$88,4,FALSE)</f>
        <v>2.0254519141196047E-2</v>
      </c>
      <c r="AM54" s="553">
        <f t="shared" si="97"/>
        <v>2.0254519141196047E-2</v>
      </c>
      <c r="AN54" s="549">
        <f t="shared" si="28"/>
        <v>2.0254519141196047E-2</v>
      </c>
      <c r="AO54" s="549">
        <f t="shared" si="29"/>
        <v>2.0254519141196047E-2</v>
      </c>
      <c r="AP54" s="550">
        <f t="shared" si="30"/>
        <v>2.0254519141196047E-2</v>
      </c>
      <c r="AQ54" s="557">
        <v>0</v>
      </c>
      <c r="AR54" s="558">
        <v>0</v>
      </c>
      <c r="AS54" s="558">
        <v>0</v>
      </c>
      <c r="AT54" s="559">
        <v>0</v>
      </c>
      <c r="AU54" s="560">
        <v>0</v>
      </c>
      <c r="AV54" s="552">
        <f>VLOOKUP($A54,'[1]Post-Consumer Transport'!$C$33:$K$88,3,FALSE)+VLOOKUP($A54,'[1]Post-Consumer Transport'!$C$33:$K$88,4,FALSE)</f>
        <v>2.0254519141196047E-2</v>
      </c>
      <c r="AW54" s="553">
        <f t="shared" si="98"/>
        <v>2.0254519141196047E-2</v>
      </c>
      <c r="AX54" s="549">
        <f t="shared" si="32"/>
        <v>2.0254519141196047E-2</v>
      </c>
      <c r="AY54" s="549">
        <f t="shared" si="33"/>
        <v>2.0254519141196047E-2</v>
      </c>
      <c r="AZ54" s="550">
        <f t="shared" si="34"/>
        <v>2.0254519141196047E-2</v>
      </c>
      <c r="BB54" s="557">
        <v>0</v>
      </c>
      <c r="BC54" s="558">
        <v>0</v>
      </c>
      <c r="BD54" s="558">
        <v>0</v>
      </c>
      <c r="BE54" s="559">
        <v>0</v>
      </c>
      <c r="BF54" s="560">
        <v>0</v>
      </c>
      <c r="BG54" s="552">
        <f>VLOOKUP($A54,'[1]Post-Consumer Transport'!$C$33:$K$88,3,FALSE)+VLOOKUP($A54,'[1]Post-Consumer Transport'!$C$33:$K$88,4,FALSE)</f>
        <v>2.0254519141196047E-2</v>
      </c>
      <c r="BH54" s="553">
        <f t="shared" si="99"/>
        <v>2.0254519141196047E-2</v>
      </c>
      <c r="BI54" s="549">
        <f t="shared" si="36"/>
        <v>2.0254519141196047E-2</v>
      </c>
      <c r="BJ54" s="549">
        <f t="shared" si="37"/>
        <v>2.0254519141196047E-2</v>
      </c>
      <c r="BK54" s="550">
        <f t="shared" si="38"/>
        <v>2.0254519141196047E-2</v>
      </c>
      <c r="BL54" s="888">
        <v>0</v>
      </c>
      <c r="BM54" s="889">
        <v>0</v>
      </c>
      <c r="BN54" s="889">
        <v>0</v>
      </c>
      <c r="BO54" s="890">
        <v>0</v>
      </c>
      <c r="BP54" s="891">
        <v>0</v>
      </c>
      <c r="BQ54" s="885">
        <f>VLOOKUP($A54,'[1]Post-Consumer Transport'!$C$33:$K$88,3,FALSE)+VLOOKUP($A54,'[1]Post-Consumer Transport'!$C$33:$K$88,4,FALSE)</f>
        <v>2.0254519141196047E-2</v>
      </c>
      <c r="BR54" s="886">
        <f t="shared" si="100"/>
        <v>2.0254519141196047E-2</v>
      </c>
      <c r="BS54" s="882">
        <f t="shared" si="40"/>
        <v>2.0254519141196047E-2</v>
      </c>
      <c r="BT54" s="882">
        <f t="shared" si="41"/>
        <v>2.0254519141196047E-2</v>
      </c>
      <c r="BU54" s="883">
        <f t="shared" si="42"/>
        <v>2.0254519141196047E-2</v>
      </c>
      <c r="BV54" s="557">
        <v>0</v>
      </c>
      <c r="BW54" s="558">
        <v>0</v>
      </c>
      <c r="BX54" s="558">
        <v>0</v>
      </c>
      <c r="BY54" s="559">
        <v>0</v>
      </c>
      <c r="BZ54" s="560">
        <v>0</v>
      </c>
      <c r="CA54" s="552">
        <f>VLOOKUP($A54,'[1]Post-Consumer Transport'!$C$33:$K$88,3,FALSE)+VLOOKUP($A54,'[1]Post-Consumer Transport'!$C$33:$K$88,4,FALSE)</f>
        <v>2.0254519141196047E-2</v>
      </c>
      <c r="CB54" s="553">
        <f t="shared" si="101"/>
        <v>2.0254519141196047E-2</v>
      </c>
      <c r="CC54" s="549">
        <f t="shared" si="44"/>
        <v>2.0254519141196047E-2</v>
      </c>
      <c r="CD54" s="549">
        <f t="shared" si="45"/>
        <v>2.0254519141196047E-2</v>
      </c>
      <c r="CE54" s="550">
        <f t="shared" si="46"/>
        <v>2.0254519141196047E-2</v>
      </c>
      <c r="CF54" s="557">
        <v>0</v>
      </c>
      <c r="CG54" s="558">
        <v>0</v>
      </c>
      <c r="CH54" s="558">
        <v>0</v>
      </c>
      <c r="CI54" s="559">
        <v>0</v>
      </c>
      <c r="CJ54" s="560">
        <v>0</v>
      </c>
      <c r="CK54" s="552">
        <f>VLOOKUP($A54,'[1]Post-Consumer Transport'!$C$33:$K$88,3,FALSE)+VLOOKUP($A54,'[1]Post-Consumer Transport'!$C$33:$K$88,4,FALSE)</f>
        <v>2.0254519141196047E-2</v>
      </c>
      <c r="CL54" s="553">
        <f t="shared" si="102"/>
        <v>2.0254519141196047E-2</v>
      </c>
      <c r="CM54" s="549">
        <f t="shared" si="48"/>
        <v>2.0254519141196047E-2</v>
      </c>
      <c r="CN54" s="549">
        <f t="shared" si="49"/>
        <v>2.0254519141196047E-2</v>
      </c>
      <c r="CO54" s="550">
        <f t="shared" si="50"/>
        <v>2.0254519141196047E-2</v>
      </c>
      <c r="CP54" s="557">
        <v>0</v>
      </c>
      <c r="CQ54" s="558">
        <v>0</v>
      </c>
      <c r="CR54" s="558">
        <v>0</v>
      </c>
      <c r="CS54" s="559">
        <v>0</v>
      </c>
      <c r="CT54" s="560">
        <v>0</v>
      </c>
      <c r="CU54" s="552">
        <f>VLOOKUP($A54,'[1]Post-Consumer Transport'!$C$33:$K$88,3,FALSE)+VLOOKUP($A54,'[1]Post-Consumer Transport'!$C$33:$K$88,4,FALSE)</f>
        <v>2.0254519141196047E-2</v>
      </c>
      <c r="CV54" s="553">
        <f t="shared" si="103"/>
        <v>2.0254519141196047E-2</v>
      </c>
      <c r="CW54" s="549">
        <f t="shared" si="52"/>
        <v>2.0254519141196047E-2</v>
      </c>
      <c r="CX54" s="549">
        <f t="shared" si="53"/>
        <v>2.0254519141196047E-2</v>
      </c>
      <c r="CY54" s="550">
        <f t="shared" si="54"/>
        <v>2.0254519141196047E-2</v>
      </c>
      <c r="DA54" s="557">
        <v>0</v>
      </c>
      <c r="DB54" s="558">
        <v>0</v>
      </c>
      <c r="DC54" s="558">
        <v>0</v>
      </c>
      <c r="DD54" s="559">
        <v>0</v>
      </c>
      <c r="DE54" s="560">
        <v>0</v>
      </c>
      <c r="DF54" s="552">
        <f>VLOOKUP($A54,'[1]Post-Consumer Transport'!$C$33:$K$88,3,FALSE)+VLOOKUP($A54,'[1]Post-Consumer Transport'!$C$33:$K$88,4,FALSE)</f>
        <v>2.0254519141196047E-2</v>
      </c>
      <c r="DG54" s="553">
        <f t="shared" si="104"/>
        <v>2.0254519141196047E-2</v>
      </c>
      <c r="DH54" s="549">
        <f t="shared" si="56"/>
        <v>2.0254519141196047E-2</v>
      </c>
      <c r="DI54" s="549">
        <f t="shared" si="57"/>
        <v>2.0254519141196047E-2</v>
      </c>
      <c r="DJ54" s="550">
        <f t="shared" si="58"/>
        <v>2.0254519141196047E-2</v>
      </c>
      <c r="DK54" s="557">
        <v>0</v>
      </c>
      <c r="DL54" s="558">
        <v>0</v>
      </c>
      <c r="DM54" s="558">
        <v>0</v>
      </c>
      <c r="DN54" s="559">
        <v>0</v>
      </c>
      <c r="DO54" s="560">
        <v>0</v>
      </c>
      <c r="DP54" s="552">
        <f>VLOOKUP($A54,'[1]Post-Consumer Transport'!$C$33:$K$88,3,FALSE)+VLOOKUP($A54,'[1]Post-Consumer Transport'!$C$33:$K$88,4,FALSE)</f>
        <v>2.0254519141196047E-2</v>
      </c>
      <c r="DQ54" s="553">
        <f t="shared" si="105"/>
        <v>2.0254519141196047E-2</v>
      </c>
      <c r="DR54" s="549">
        <f t="shared" si="60"/>
        <v>2.0254519141196047E-2</v>
      </c>
      <c r="DS54" s="549">
        <f t="shared" si="61"/>
        <v>2.0254519141196047E-2</v>
      </c>
      <c r="DT54" s="550">
        <f t="shared" si="62"/>
        <v>2.0254519141196047E-2</v>
      </c>
      <c r="DU54" s="557">
        <v>0</v>
      </c>
      <c r="DV54" s="558">
        <v>0</v>
      </c>
      <c r="DW54" s="558">
        <v>0</v>
      </c>
      <c r="DX54" s="559">
        <v>0</v>
      </c>
      <c r="DY54" s="560">
        <v>0</v>
      </c>
      <c r="DZ54" s="552">
        <f>VLOOKUP($A54,'[1]Post-Consumer Transport'!$C$33:$K$88,3,FALSE)+VLOOKUP($A54,'[1]Post-Consumer Transport'!$C$33:$K$88,4,FALSE)</f>
        <v>2.0254519141196047E-2</v>
      </c>
      <c r="EA54" s="553">
        <f t="shared" si="106"/>
        <v>2.0254519141196047E-2</v>
      </c>
      <c r="EB54" s="549">
        <f t="shared" si="64"/>
        <v>2.0254519141196047E-2</v>
      </c>
      <c r="EC54" s="549">
        <f t="shared" si="65"/>
        <v>2.0254519141196047E-2</v>
      </c>
      <c r="ED54" s="550">
        <f t="shared" si="66"/>
        <v>2.0254519141196047E-2</v>
      </c>
      <c r="EE54" s="557">
        <v>0</v>
      </c>
      <c r="EF54" s="558">
        <v>0</v>
      </c>
      <c r="EG54" s="558">
        <v>0</v>
      </c>
      <c r="EH54" s="559">
        <v>0</v>
      </c>
      <c r="EI54" s="560">
        <v>0</v>
      </c>
      <c r="EJ54" s="552">
        <f>VLOOKUP($A54,'[1]Post-Consumer Transport'!$C$33:$K$88,3,FALSE)+VLOOKUP($A54,'[1]Post-Consumer Transport'!$C$33:$K$88,4,FALSE)</f>
        <v>2.0254519141196047E-2</v>
      </c>
      <c r="EK54" s="553">
        <f t="shared" si="107"/>
        <v>2.0254519141196047E-2</v>
      </c>
      <c r="EL54" s="549">
        <f t="shared" si="68"/>
        <v>2.0254519141196047E-2</v>
      </c>
      <c r="EM54" s="549">
        <f t="shared" si="69"/>
        <v>2.0254519141196047E-2</v>
      </c>
      <c r="EN54" s="550">
        <f t="shared" si="70"/>
        <v>2.0254519141196047E-2</v>
      </c>
      <c r="EO54" s="557">
        <v>0</v>
      </c>
      <c r="EP54" s="558">
        <v>0</v>
      </c>
      <c r="EQ54" s="558">
        <v>0</v>
      </c>
      <c r="ER54" s="559">
        <v>0</v>
      </c>
      <c r="ES54" s="560">
        <v>0</v>
      </c>
      <c r="ET54" s="552">
        <f>VLOOKUP($A54,'[1]Post-Consumer Transport'!$C$33:$K$88,3,FALSE)+VLOOKUP($A54,'[1]Post-Consumer Transport'!$C$33:$K$88,4,FALSE)</f>
        <v>2.0254519141196047E-2</v>
      </c>
      <c r="EU54" s="553">
        <f t="shared" si="108"/>
        <v>2.0254519141196047E-2</v>
      </c>
      <c r="EV54" s="549">
        <f t="shared" si="72"/>
        <v>2.0254519141196047E-2</v>
      </c>
      <c r="EW54" s="549">
        <f t="shared" si="73"/>
        <v>2.0254519141196047E-2</v>
      </c>
      <c r="EX54" s="550">
        <f t="shared" si="74"/>
        <v>2.0254519141196047E-2</v>
      </c>
      <c r="EZ54" s="557">
        <v>0</v>
      </c>
      <c r="FA54" s="558">
        <v>0</v>
      </c>
      <c r="FB54" s="558">
        <v>0</v>
      </c>
      <c r="FC54" s="559">
        <v>0</v>
      </c>
      <c r="FD54" s="560">
        <v>0</v>
      </c>
      <c r="FE54" s="552">
        <f>VLOOKUP($A54,'[1]Post-Consumer Transport'!$C$33:$K$88,3,FALSE)+VLOOKUP($A54,'[1]Post-Consumer Transport'!$C$33:$K$88,4,FALSE)</f>
        <v>2.0254519141196047E-2</v>
      </c>
      <c r="FF54" s="553">
        <f t="shared" si="109"/>
        <v>2.0254519141196047E-2</v>
      </c>
      <c r="FG54" s="549">
        <f t="shared" si="76"/>
        <v>2.0254519141196047E-2</v>
      </c>
      <c r="FH54" s="549">
        <f t="shared" si="77"/>
        <v>2.0254519141196047E-2</v>
      </c>
      <c r="FI54" s="550">
        <f t="shared" si="78"/>
        <v>2.0254519141196047E-2</v>
      </c>
      <c r="FJ54" s="557">
        <v>0</v>
      </c>
      <c r="FK54" s="558">
        <v>0</v>
      </c>
      <c r="FL54" s="558">
        <v>0</v>
      </c>
      <c r="FM54" s="559">
        <v>0</v>
      </c>
      <c r="FN54" s="560">
        <v>0</v>
      </c>
      <c r="FO54" s="552">
        <f>VLOOKUP($A54,'[1]Post-Consumer Transport'!$C$33:$K$88,3,FALSE)+VLOOKUP($A54,'[1]Post-Consumer Transport'!$C$33:$K$88,4,FALSE)</f>
        <v>2.0254519141196047E-2</v>
      </c>
      <c r="FP54" s="553">
        <f t="shared" si="110"/>
        <v>2.0254519141196047E-2</v>
      </c>
      <c r="FQ54" s="549">
        <f t="shared" si="80"/>
        <v>2.0254519141196047E-2</v>
      </c>
      <c r="FR54" s="549">
        <f t="shared" si="81"/>
        <v>2.0254519141196047E-2</v>
      </c>
      <c r="FS54" s="550">
        <f t="shared" si="82"/>
        <v>2.0254519141196047E-2</v>
      </c>
      <c r="FT54" s="557">
        <v>0</v>
      </c>
      <c r="FU54" s="558">
        <v>0</v>
      </c>
      <c r="FV54" s="558">
        <v>0</v>
      </c>
      <c r="FW54" s="559">
        <v>0</v>
      </c>
      <c r="FX54" s="560">
        <v>0</v>
      </c>
      <c r="FY54" s="552">
        <f>VLOOKUP($A54,'[1]Post-Consumer Transport'!$C$33:$K$88,3,FALSE)+VLOOKUP($A54,'[1]Post-Consumer Transport'!$C$33:$K$88,4,FALSE)</f>
        <v>2.0254519141196047E-2</v>
      </c>
      <c r="FZ54" s="553">
        <f t="shared" si="111"/>
        <v>2.0254519141196047E-2</v>
      </c>
      <c r="GA54" s="549">
        <f t="shared" si="84"/>
        <v>2.0254519141196047E-2</v>
      </c>
      <c r="GB54" s="549">
        <f t="shared" si="85"/>
        <v>2.0254519141196047E-2</v>
      </c>
      <c r="GC54" s="550">
        <f t="shared" si="86"/>
        <v>2.0254519141196047E-2</v>
      </c>
      <c r="GD54" s="557">
        <v>0</v>
      </c>
      <c r="GE54" s="558">
        <v>0</v>
      </c>
      <c r="GF54" s="558">
        <v>0</v>
      </c>
      <c r="GG54" s="559">
        <v>0</v>
      </c>
      <c r="GH54" s="560">
        <v>0</v>
      </c>
      <c r="GI54" s="552">
        <f>VLOOKUP($A54,'[1]Post-Consumer Transport'!$C$33:$K$88,3,FALSE)+VLOOKUP($A54,'[1]Post-Consumer Transport'!$C$33:$K$88,4,FALSE)</f>
        <v>2.0254519141196047E-2</v>
      </c>
      <c r="GJ54" s="553">
        <f t="shared" si="112"/>
        <v>2.0254519141196047E-2</v>
      </c>
      <c r="GK54" s="549">
        <f t="shared" si="88"/>
        <v>2.0254519141196047E-2</v>
      </c>
      <c r="GL54" s="549">
        <f t="shared" si="89"/>
        <v>2.0254519141196047E-2</v>
      </c>
      <c r="GM54" s="550">
        <f t="shared" si="90"/>
        <v>2.0254519141196047E-2</v>
      </c>
      <c r="GN54" s="557">
        <v>0</v>
      </c>
      <c r="GO54" s="558">
        <v>0</v>
      </c>
      <c r="GP54" s="558">
        <v>0</v>
      </c>
      <c r="GQ54" s="559">
        <v>0</v>
      </c>
      <c r="GR54" s="560">
        <v>0</v>
      </c>
      <c r="GS54" s="552">
        <f>VLOOKUP($A54,'[1]Post-Consumer Transport'!$C$33:$K$88,3,FALSE)+VLOOKUP($A54,'[1]Post-Consumer Transport'!$C$33:$K$88,4,FALSE)</f>
        <v>2.0254519141196047E-2</v>
      </c>
      <c r="GT54" s="553">
        <f t="shared" si="113"/>
        <v>2.0254519141196047E-2</v>
      </c>
      <c r="GU54" s="549">
        <f t="shared" si="92"/>
        <v>2.0254519141196047E-2</v>
      </c>
      <c r="GV54" s="549">
        <f t="shared" si="93"/>
        <v>2.0254519141196047E-2</v>
      </c>
      <c r="GW54" s="550">
        <f t="shared" si="94"/>
        <v>2.0254519141196047E-2</v>
      </c>
    </row>
    <row r="55" spans="1:205" s="499" customFormat="1" x14ac:dyDescent="0.25">
      <c r="A55" s="498" t="str">
        <f t="shared" si="16"/>
        <v>Concrete</v>
      </c>
      <c r="B55" s="556" t="s">
        <v>476</v>
      </c>
      <c r="C55" s="557">
        <v>0</v>
      </c>
      <c r="D55" s="558">
        <v>0</v>
      </c>
      <c r="E55" s="558">
        <v>0</v>
      </c>
      <c r="F55" s="559">
        <v>0</v>
      </c>
      <c r="G55" s="560">
        <v>0</v>
      </c>
      <c r="H55" s="552">
        <f>VLOOKUP($A55,'[1]Post-Consumer Transport'!$C$33:$K$88,3,FALSE)+VLOOKUP($A55,'[1]Post-Consumer Transport'!$C$33:$K$88,4,FALSE)</f>
        <v>2.0254519141196047E-2</v>
      </c>
      <c r="I55" s="553">
        <f t="shared" si="17"/>
        <v>2.0254519141196047E-2</v>
      </c>
      <c r="J55" s="549">
        <f t="shared" si="18"/>
        <v>2.0254519141196047E-2</v>
      </c>
      <c r="K55" s="549">
        <f t="shared" si="18"/>
        <v>2.0254519141196047E-2</v>
      </c>
      <c r="L55" s="550">
        <f t="shared" si="18"/>
        <v>2.0254519141196047E-2</v>
      </c>
      <c r="M55" s="557">
        <v>0</v>
      </c>
      <c r="N55" s="558">
        <v>0</v>
      </c>
      <c r="O55" s="558">
        <v>0</v>
      </c>
      <c r="P55" s="559">
        <v>0</v>
      </c>
      <c r="Q55" s="560">
        <v>0</v>
      </c>
      <c r="R55" s="552">
        <f>VLOOKUP($A55,'[1]Post-Consumer Transport'!$C$33:$K$88,3,FALSE)+VLOOKUP($A55,'[1]Post-Consumer Transport'!$C$33:$K$88,4,FALSE)</f>
        <v>2.0254519141196047E-2</v>
      </c>
      <c r="S55" s="553">
        <f t="shared" si="95"/>
        <v>2.0254519141196047E-2</v>
      </c>
      <c r="T55" s="549">
        <f t="shared" si="20"/>
        <v>2.0254519141196047E-2</v>
      </c>
      <c r="U55" s="549">
        <f t="shared" si="21"/>
        <v>2.0254519141196047E-2</v>
      </c>
      <c r="V55" s="550">
        <f t="shared" si="22"/>
        <v>2.0254519141196047E-2</v>
      </c>
      <c r="W55" s="557">
        <v>0</v>
      </c>
      <c r="X55" s="558">
        <v>0</v>
      </c>
      <c r="Y55" s="558">
        <v>0</v>
      </c>
      <c r="Z55" s="559">
        <v>0</v>
      </c>
      <c r="AA55" s="560">
        <v>0</v>
      </c>
      <c r="AB55" s="552">
        <f>VLOOKUP($A55,'[1]Post-Consumer Transport'!$C$33:$K$88,3,FALSE)+VLOOKUP($A55,'[1]Post-Consumer Transport'!$C$33:$K$88,4,FALSE)</f>
        <v>2.0254519141196047E-2</v>
      </c>
      <c r="AC55" s="553">
        <f t="shared" si="96"/>
        <v>2.0254519141196047E-2</v>
      </c>
      <c r="AD55" s="549">
        <f t="shared" si="24"/>
        <v>2.0254519141196047E-2</v>
      </c>
      <c r="AE55" s="549">
        <f t="shared" si="25"/>
        <v>2.0254519141196047E-2</v>
      </c>
      <c r="AF55" s="550">
        <f t="shared" si="26"/>
        <v>2.0254519141196047E-2</v>
      </c>
      <c r="AG55" s="557">
        <v>0</v>
      </c>
      <c r="AH55" s="558">
        <v>0</v>
      </c>
      <c r="AI55" s="558">
        <v>0</v>
      </c>
      <c r="AJ55" s="559">
        <v>0</v>
      </c>
      <c r="AK55" s="560">
        <v>0</v>
      </c>
      <c r="AL55" s="552">
        <f>VLOOKUP($A55,'[1]Post-Consumer Transport'!$C$33:$K$88,3,FALSE)+VLOOKUP($A55,'[1]Post-Consumer Transport'!$C$33:$K$88,4,FALSE)</f>
        <v>2.0254519141196047E-2</v>
      </c>
      <c r="AM55" s="553">
        <f t="shared" si="97"/>
        <v>2.0254519141196047E-2</v>
      </c>
      <c r="AN55" s="549">
        <f t="shared" si="28"/>
        <v>2.0254519141196047E-2</v>
      </c>
      <c r="AO55" s="549">
        <f t="shared" si="29"/>
        <v>2.0254519141196047E-2</v>
      </c>
      <c r="AP55" s="550">
        <f t="shared" si="30"/>
        <v>2.0254519141196047E-2</v>
      </c>
      <c r="AQ55" s="557">
        <v>0</v>
      </c>
      <c r="AR55" s="558">
        <v>0</v>
      </c>
      <c r="AS55" s="558">
        <v>0</v>
      </c>
      <c r="AT55" s="559">
        <v>0</v>
      </c>
      <c r="AU55" s="560">
        <v>0</v>
      </c>
      <c r="AV55" s="552">
        <f>VLOOKUP($A55,'[1]Post-Consumer Transport'!$C$33:$K$88,3,FALSE)+VLOOKUP($A55,'[1]Post-Consumer Transport'!$C$33:$K$88,4,FALSE)</f>
        <v>2.0254519141196047E-2</v>
      </c>
      <c r="AW55" s="553">
        <f t="shared" si="98"/>
        <v>2.0254519141196047E-2</v>
      </c>
      <c r="AX55" s="549">
        <f t="shared" si="32"/>
        <v>2.0254519141196047E-2</v>
      </c>
      <c r="AY55" s="549">
        <f t="shared" si="33"/>
        <v>2.0254519141196047E-2</v>
      </c>
      <c r="AZ55" s="550">
        <f t="shared" si="34"/>
        <v>2.0254519141196047E-2</v>
      </c>
      <c r="BB55" s="557">
        <v>0</v>
      </c>
      <c r="BC55" s="558">
        <v>0</v>
      </c>
      <c r="BD55" s="558">
        <v>0</v>
      </c>
      <c r="BE55" s="559">
        <v>0</v>
      </c>
      <c r="BF55" s="560">
        <v>0</v>
      </c>
      <c r="BG55" s="552">
        <f>VLOOKUP($A55,'[1]Post-Consumer Transport'!$C$33:$K$88,3,FALSE)+VLOOKUP($A55,'[1]Post-Consumer Transport'!$C$33:$K$88,4,FALSE)</f>
        <v>2.0254519141196047E-2</v>
      </c>
      <c r="BH55" s="553">
        <f t="shared" si="99"/>
        <v>2.0254519141196047E-2</v>
      </c>
      <c r="BI55" s="549">
        <f t="shared" si="36"/>
        <v>2.0254519141196047E-2</v>
      </c>
      <c r="BJ55" s="549">
        <f t="shared" si="37"/>
        <v>2.0254519141196047E-2</v>
      </c>
      <c r="BK55" s="550">
        <f t="shared" si="38"/>
        <v>2.0254519141196047E-2</v>
      </c>
      <c r="BL55" s="888">
        <v>0</v>
      </c>
      <c r="BM55" s="889">
        <v>0</v>
      </c>
      <c r="BN55" s="889">
        <v>0</v>
      </c>
      <c r="BO55" s="890">
        <v>0</v>
      </c>
      <c r="BP55" s="891">
        <v>0</v>
      </c>
      <c r="BQ55" s="885">
        <f>VLOOKUP($A55,'[1]Post-Consumer Transport'!$C$33:$K$88,3,FALSE)+VLOOKUP($A55,'[1]Post-Consumer Transport'!$C$33:$K$88,4,FALSE)</f>
        <v>2.0254519141196047E-2</v>
      </c>
      <c r="BR55" s="886">
        <f t="shared" si="100"/>
        <v>2.0254519141196047E-2</v>
      </c>
      <c r="BS55" s="882">
        <f t="shared" si="40"/>
        <v>2.0254519141196047E-2</v>
      </c>
      <c r="BT55" s="882">
        <f t="shared" si="41"/>
        <v>2.0254519141196047E-2</v>
      </c>
      <c r="BU55" s="883">
        <f t="shared" si="42"/>
        <v>2.0254519141196047E-2</v>
      </c>
      <c r="BV55" s="557">
        <v>0</v>
      </c>
      <c r="BW55" s="558">
        <v>0</v>
      </c>
      <c r="BX55" s="558">
        <v>0</v>
      </c>
      <c r="BY55" s="559">
        <v>0</v>
      </c>
      <c r="BZ55" s="560">
        <v>0</v>
      </c>
      <c r="CA55" s="552">
        <f>VLOOKUP($A55,'[1]Post-Consumer Transport'!$C$33:$K$88,3,FALSE)+VLOOKUP($A55,'[1]Post-Consumer Transport'!$C$33:$K$88,4,FALSE)</f>
        <v>2.0254519141196047E-2</v>
      </c>
      <c r="CB55" s="553">
        <f t="shared" si="101"/>
        <v>2.0254519141196047E-2</v>
      </c>
      <c r="CC55" s="549">
        <f t="shared" si="44"/>
        <v>2.0254519141196047E-2</v>
      </c>
      <c r="CD55" s="549">
        <f t="shared" si="45"/>
        <v>2.0254519141196047E-2</v>
      </c>
      <c r="CE55" s="550">
        <f t="shared" si="46"/>
        <v>2.0254519141196047E-2</v>
      </c>
      <c r="CF55" s="557">
        <v>0</v>
      </c>
      <c r="CG55" s="558">
        <v>0</v>
      </c>
      <c r="CH55" s="558">
        <v>0</v>
      </c>
      <c r="CI55" s="559">
        <v>0</v>
      </c>
      <c r="CJ55" s="560">
        <v>0</v>
      </c>
      <c r="CK55" s="552">
        <f>VLOOKUP($A55,'[1]Post-Consumer Transport'!$C$33:$K$88,3,FALSE)+VLOOKUP($A55,'[1]Post-Consumer Transport'!$C$33:$K$88,4,FALSE)</f>
        <v>2.0254519141196047E-2</v>
      </c>
      <c r="CL55" s="553">
        <f t="shared" si="102"/>
        <v>2.0254519141196047E-2</v>
      </c>
      <c r="CM55" s="549">
        <f t="shared" si="48"/>
        <v>2.0254519141196047E-2</v>
      </c>
      <c r="CN55" s="549">
        <f t="shared" si="49"/>
        <v>2.0254519141196047E-2</v>
      </c>
      <c r="CO55" s="550">
        <f t="shared" si="50"/>
        <v>2.0254519141196047E-2</v>
      </c>
      <c r="CP55" s="557">
        <v>0</v>
      </c>
      <c r="CQ55" s="558">
        <v>0</v>
      </c>
      <c r="CR55" s="558">
        <v>0</v>
      </c>
      <c r="CS55" s="559">
        <v>0</v>
      </c>
      <c r="CT55" s="560">
        <v>0</v>
      </c>
      <c r="CU55" s="552">
        <f>VLOOKUP($A55,'[1]Post-Consumer Transport'!$C$33:$K$88,3,FALSE)+VLOOKUP($A55,'[1]Post-Consumer Transport'!$C$33:$K$88,4,FALSE)</f>
        <v>2.0254519141196047E-2</v>
      </c>
      <c r="CV55" s="553">
        <f t="shared" si="103"/>
        <v>2.0254519141196047E-2</v>
      </c>
      <c r="CW55" s="549">
        <f t="shared" si="52"/>
        <v>2.0254519141196047E-2</v>
      </c>
      <c r="CX55" s="549">
        <f t="shared" si="53"/>
        <v>2.0254519141196047E-2</v>
      </c>
      <c r="CY55" s="550">
        <f t="shared" si="54"/>
        <v>2.0254519141196047E-2</v>
      </c>
      <c r="DA55" s="557">
        <v>0</v>
      </c>
      <c r="DB55" s="558">
        <v>0</v>
      </c>
      <c r="DC55" s="558">
        <v>0</v>
      </c>
      <c r="DD55" s="559">
        <v>0</v>
      </c>
      <c r="DE55" s="560">
        <v>0</v>
      </c>
      <c r="DF55" s="552">
        <f>VLOOKUP($A55,'[1]Post-Consumer Transport'!$C$33:$K$88,3,FALSE)+VLOOKUP($A55,'[1]Post-Consumer Transport'!$C$33:$K$88,4,FALSE)</f>
        <v>2.0254519141196047E-2</v>
      </c>
      <c r="DG55" s="553">
        <f t="shared" si="104"/>
        <v>2.0254519141196047E-2</v>
      </c>
      <c r="DH55" s="549">
        <f t="shared" si="56"/>
        <v>2.0254519141196047E-2</v>
      </c>
      <c r="DI55" s="549">
        <f t="shared" si="57"/>
        <v>2.0254519141196047E-2</v>
      </c>
      <c r="DJ55" s="550">
        <f t="shared" si="58"/>
        <v>2.0254519141196047E-2</v>
      </c>
      <c r="DK55" s="557">
        <v>0</v>
      </c>
      <c r="DL55" s="558">
        <v>0</v>
      </c>
      <c r="DM55" s="558">
        <v>0</v>
      </c>
      <c r="DN55" s="559">
        <v>0</v>
      </c>
      <c r="DO55" s="560">
        <v>0</v>
      </c>
      <c r="DP55" s="552">
        <f>VLOOKUP($A55,'[1]Post-Consumer Transport'!$C$33:$K$88,3,FALSE)+VLOOKUP($A55,'[1]Post-Consumer Transport'!$C$33:$K$88,4,FALSE)</f>
        <v>2.0254519141196047E-2</v>
      </c>
      <c r="DQ55" s="553">
        <f t="shared" si="105"/>
        <v>2.0254519141196047E-2</v>
      </c>
      <c r="DR55" s="549">
        <f t="shared" si="60"/>
        <v>2.0254519141196047E-2</v>
      </c>
      <c r="DS55" s="549">
        <f t="shared" si="61"/>
        <v>2.0254519141196047E-2</v>
      </c>
      <c r="DT55" s="550">
        <f t="shared" si="62"/>
        <v>2.0254519141196047E-2</v>
      </c>
      <c r="DU55" s="557">
        <v>0</v>
      </c>
      <c r="DV55" s="558">
        <v>0</v>
      </c>
      <c r="DW55" s="558">
        <v>0</v>
      </c>
      <c r="DX55" s="559">
        <v>0</v>
      </c>
      <c r="DY55" s="560">
        <v>0</v>
      </c>
      <c r="DZ55" s="552">
        <f>VLOOKUP($A55,'[1]Post-Consumer Transport'!$C$33:$K$88,3,FALSE)+VLOOKUP($A55,'[1]Post-Consumer Transport'!$C$33:$K$88,4,FALSE)</f>
        <v>2.0254519141196047E-2</v>
      </c>
      <c r="EA55" s="553">
        <f t="shared" si="106"/>
        <v>2.0254519141196047E-2</v>
      </c>
      <c r="EB55" s="549">
        <f t="shared" si="64"/>
        <v>2.0254519141196047E-2</v>
      </c>
      <c r="EC55" s="549">
        <f t="shared" si="65"/>
        <v>2.0254519141196047E-2</v>
      </c>
      <c r="ED55" s="550">
        <f t="shared" si="66"/>
        <v>2.0254519141196047E-2</v>
      </c>
      <c r="EE55" s="557">
        <v>0</v>
      </c>
      <c r="EF55" s="558">
        <v>0</v>
      </c>
      <c r="EG55" s="558">
        <v>0</v>
      </c>
      <c r="EH55" s="559">
        <v>0</v>
      </c>
      <c r="EI55" s="560">
        <v>0</v>
      </c>
      <c r="EJ55" s="552">
        <f>VLOOKUP($A55,'[1]Post-Consumer Transport'!$C$33:$K$88,3,FALSE)+VLOOKUP($A55,'[1]Post-Consumer Transport'!$C$33:$K$88,4,FALSE)</f>
        <v>2.0254519141196047E-2</v>
      </c>
      <c r="EK55" s="553">
        <f t="shared" si="107"/>
        <v>2.0254519141196047E-2</v>
      </c>
      <c r="EL55" s="549">
        <f t="shared" si="68"/>
        <v>2.0254519141196047E-2</v>
      </c>
      <c r="EM55" s="549">
        <f t="shared" si="69"/>
        <v>2.0254519141196047E-2</v>
      </c>
      <c r="EN55" s="550">
        <f t="shared" si="70"/>
        <v>2.0254519141196047E-2</v>
      </c>
      <c r="EO55" s="557">
        <v>0</v>
      </c>
      <c r="EP55" s="558">
        <v>0</v>
      </c>
      <c r="EQ55" s="558">
        <v>0</v>
      </c>
      <c r="ER55" s="559">
        <v>0</v>
      </c>
      <c r="ES55" s="560">
        <v>0</v>
      </c>
      <c r="ET55" s="552">
        <f>VLOOKUP($A55,'[1]Post-Consumer Transport'!$C$33:$K$88,3,FALSE)+VLOOKUP($A55,'[1]Post-Consumer Transport'!$C$33:$K$88,4,FALSE)</f>
        <v>2.0254519141196047E-2</v>
      </c>
      <c r="EU55" s="553">
        <f t="shared" si="108"/>
        <v>2.0254519141196047E-2</v>
      </c>
      <c r="EV55" s="549">
        <f t="shared" si="72"/>
        <v>2.0254519141196047E-2</v>
      </c>
      <c r="EW55" s="549">
        <f t="shared" si="73"/>
        <v>2.0254519141196047E-2</v>
      </c>
      <c r="EX55" s="550">
        <f t="shared" si="74"/>
        <v>2.0254519141196047E-2</v>
      </c>
      <c r="EZ55" s="557">
        <v>0</v>
      </c>
      <c r="FA55" s="558">
        <v>0</v>
      </c>
      <c r="FB55" s="558">
        <v>0</v>
      </c>
      <c r="FC55" s="559">
        <v>0</v>
      </c>
      <c r="FD55" s="560">
        <v>0</v>
      </c>
      <c r="FE55" s="552">
        <f>VLOOKUP($A55,'[1]Post-Consumer Transport'!$C$33:$K$88,3,FALSE)+VLOOKUP($A55,'[1]Post-Consumer Transport'!$C$33:$K$88,4,FALSE)</f>
        <v>2.0254519141196047E-2</v>
      </c>
      <c r="FF55" s="553">
        <f t="shared" si="109"/>
        <v>2.0254519141196047E-2</v>
      </c>
      <c r="FG55" s="549">
        <f t="shared" si="76"/>
        <v>2.0254519141196047E-2</v>
      </c>
      <c r="FH55" s="549">
        <f t="shared" si="77"/>
        <v>2.0254519141196047E-2</v>
      </c>
      <c r="FI55" s="550">
        <f t="shared" si="78"/>
        <v>2.0254519141196047E-2</v>
      </c>
      <c r="FJ55" s="557">
        <v>0</v>
      </c>
      <c r="FK55" s="558">
        <v>0</v>
      </c>
      <c r="FL55" s="558">
        <v>0</v>
      </c>
      <c r="FM55" s="559">
        <v>0</v>
      </c>
      <c r="FN55" s="560">
        <v>0</v>
      </c>
      <c r="FO55" s="552">
        <f>VLOOKUP($A55,'[1]Post-Consumer Transport'!$C$33:$K$88,3,FALSE)+VLOOKUP($A55,'[1]Post-Consumer Transport'!$C$33:$K$88,4,FALSE)</f>
        <v>2.0254519141196047E-2</v>
      </c>
      <c r="FP55" s="553">
        <f t="shared" si="110"/>
        <v>2.0254519141196047E-2</v>
      </c>
      <c r="FQ55" s="549">
        <f t="shared" si="80"/>
        <v>2.0254519141196047E-2</v>
      </c>
      <c r="FR55" s="549">
        <f t="shared" si="81"/>
        <v>2.0254519141196047E-2</v>
      </c>
      <c r="FS55" s="550">
        <f t="shared" si="82"/>
        <v>2.0254519141196047E-2</v>
      </c>
      <c r="FT55" s="557">
        <v>0</v>
      </c>
      <c r="FU55" s="558">
        <v>0</v>
      </c>
      <c r="FV55" s="558">
        <v>0</v>
      </c>
      <c r="FW55" s="559">
        <v>0</v>
      </c>
      <c r="FX55" s="560">
        <v>0</v>
      </c>
      <c r="FY55" s="552">
        <f>VLOOKUP($A55,'[1]Post-Consumer Transport'!$C$33:$K$88,3,FALSE)+VLOOKUP($A55,'[1]Post-Consumer Transport'!$C$33:$K$88,4,FALSE)</f>
        <v>2.0254519141196047E-2</v>
      </c>
      <c r="FZ55" s="553">
        <f t="shared" si="111"/>
        <v>2.0254519141196047E-2</v>
      </c>
      <c r="GA55" s="549">
        <f t="shared" si="84"/>
        <v>2.0254519141196047E-2</v>
      </c>
      <c r="GB55" s="549">
        <f t="shared" si="85"/>
        <v>2.0254519141196047E-2</v>
      </c>
      <c r="GC55" s="550">
        <f t="shared" si="86"/>
        <v>2.0254519141196047E-2</v>
      </c>
      <c r="GD55" s="557">
        <v>0</v>
      </c>
      <c r="GE55" s="558">
        <v>0</v>
      </c>
      <c r="GF55" s="558">
        <v>0</v>
      </c>
      <c r="GG55" s="559">
        <v>0</v>
      </c>
      <c r="GH55" s="560">
        <v>0</v>
      </c>
      <c r="GI55" s="552">
        <f>VLOOKUP($A55,'[1]Post-Consumer Transport'!$C$33:$K$88,3,FALSE)+VLOOKUP($A55,'[1]Post-Consumer Transport'!$C$33:$K$88,4,FALSE)</f>
        <v>2.0254519141196047E-2</v>
      </c>
      <c r="GJ55" s="553">
        <f t="shared" si="112"/>
        <v>2.0254519141196047E-2</v>
      </c>
      <c r="GK55" s="549">
        <f t="shared" si="88"/>
        <v>2.0254519141196047E-2</v>
      </c>
      <c r="GL55" s="549">
        <f t="shared" si="89"/>
        <v>2.0254519141196047E-2</v>
      </c>
      <c r="GM55" s="550">
        <f t="shared" si="90"/>
        <v>2.0254519141196047E-2</v>
      </c>
      <c r="GN55" s="557">
        <v>0</v>
      </c>
      <c r="GO55" s="558">
        <v>0</v>
      </c>
      <c r="GP55" s="558">
        <v>0</v>
      </c>
      <c r="GQ55" s="559">
        <v>0</v>
      </c>
      <c r="GR55" s="560">
        <v>0</v>
      </c>
      <c r="GS55" s="552">
        <f>VLOOKUP($A55,'[1]Post-Consumer Transport'!$C$33:$K$88,3,FALSE)+VLOOKUP($A55,'[1]Post-Consumer Transport'!$C$33:$K$88,4,FALSE)</f>
        <v>2.0254519141196047E-2</v>
      </c>
      <c r="GT55" s="553">
        <f t="shared" si="113"/>
        <v>2.0254519141196047E-2</v>
      </c>
      <c r="GU55" s="549">
        <f t="shared" si="92"/>
        <v>2.0254519141196047E-2</v>
      </c>
      <c r="GV55" s="549">
        <f t="shared" si="93"/>
        <v>2.0254519141196047E-2</v>
      </c>
      <c r="GW55" s="550">
        <f t="shared" si="94"/>
        <v>2.0254519141196047E-2</v>
      </c>
    </row>
    <row r="56" spans="1:205" s="499" customFormat="1" x14ac:dyDescent="0.25">
      <c r="A56" s="498" t="str">
        <f t="shared" si="16"/>
        <v>Fly Ash</v>
      </c>
      <c r="B56" s="556" t="s">
        <v>131</v>
      </c>
      <c r="C56" s="557">
        <v>0</v>
      </c>
      <c r="D56" s="558">
        <v>0</v>
      </c>
      <c r="E56" s="558">
        <v>0</v>
      </c>
      <c r="F56" s="559">
        <v>0</v>
      </c>
      <c r="G56" s="560">
        <v>0</v>
      </c>
      <c r="H56" s="552">
        <f>VLOOKUP($A56,'[1]Post-Consumer Transport'!$C$33:$K$88,3,FALSE)+VLOOKUP($A56,'[1]Post-Consumer Transport'!$C$33:$K$88,4,FALSE)</f>
        <v>2.0254519141196047E-2</v>
      </c>
      <c r="I56" s="553">
        <f t="shared" si="17"/>
        <v>2.0254519141196047E-2</v>
      </c>
      <c r="J56" s="549">
        <f t="shared" si="18"/>
        <v>2.0254519141196047E-2</v>
      </c>
      <c r="K56" s="549">
        <f t="shared" si="18"/>
        <v>2.0254519141196047E-2</v>
      </c>
      <c r="L56" s="550">
        <f t="shared" si="18"/>
        <v>2.0254519141196047E-2</v>
      </c>
      <c r="M56" s="557">
        <v>0</v>
      </c>
      <c r="N56" s="558">
        <v>0</v>
      </c>
      <c r="O56" s="558">
        <v>0</v>
      </c>
      <c r="P56" s="559">
        <v>0</v>
      </c>
      <c r="Q56" s="560">
        <v>0</v>
      </c>
      <c r="R56" s="552">
        <f>VLOOKUP($A56,'[1]Post-Consumer Transport'!$C$33:$K$88,3,FALSE)+VLOOKUP($A56,'[1]Post-Consumer Transport'!$C$33:$K$88,4,FALSE)</f>
        <v>2.0254519141196047E-2</v>
      </c>
      <c r="S56" s="553">
        <f t="shared" si="95"/>
        <v>2.0254519141196047E-2</v>
      </c>
      <c r="T56" s="549">
        <f t="shared" si="20"/>
        <v>2.0254519141196047E-2</v>
      </c>
      <c r="U56" s="549">
        <f t="shared" si="21"/>
        <v>2.0254519141196047E-2</v>
      </c>
      <c r="V56" s="550">
        <f t="shared" si="22"/>
        <v>2.0254519141196047E-2</v>
      </c>
      <c r="W56" s="557">
        <v>0</v>
      </c>
      <c r="X56" s="558">
        <v>0</v>
      </c>
      <c r="Y56" s="558">
        <v>0</v>
      </c>
      <c r="Z56" s="559">
        <v>0</v>
      </c>
      <c r="AA56" s="560">
        <v>0</v>
      </c>
      <c r="AB56" s="552">
        <f>VLOOKUP($A56,'[1]Post-Consumer Transport'!$C$33:$K$88,3,FALSE)+VLOOKUP($A56,'[1]Post-Consumer Transport'!$C$33:$K$88,4,FALSE)</f>
        <v>2.0254519141196047E-2</v>
      </c>
      <c r="AC56" s="553">
        <f t="shared" si="96"/>
        <v>2.0254519141196047E-2</v>
      </c>
      <c r="AD56" s="549">
        <f t="shared" si="24"/>
        <v>2.0254519141196047E-2</v>
      </c>
      <c r="AE56" s="549">
        <f t="shared" si="25"/>
        <v>2.0254519141196047E-2</v>
      </c>
      <c r="AF56" s="550">
        <f t="shared" si="26"/>
        <v>2.0254519141196047E-2</v>
      </c>
      <c r="AG56" s="557">
        <v>0</v>
      </c>
      <c r="AH56" s="558">
        <v>0</v>
      </c>
      <c r="AI56" s="558">
        <v>0</v>
      </c>
      <c r="AJ56" s="559">
        <v>0</v>
      </c>
      <c r="AK56" s="560">
        <v>0</v>
      </c>
      <c r="AL56" s="552">
        <f>VLOOKUP($A56,'[1]Post-Consumer Transport'!$C$33:$K$88,3,FALSE)+VLOOKUP($A56,'[1]Post-Consumer Transport'!$C$33:$K$88,4,FALSE)</f>
        <v>2.0254519141196047E-2</v>
      </c>
      <c r="AM56" s="553">
        <f t="shared" si="97"/>
        <v>2.0254519141196047E-2</v>
      </c>
      <c r="AN56" s="549">
        <f t="shared" si="28"/>
        <v>2.0254519141196047E-2</v>
      </c>
      <c r="AO56" s="549">
        <f t="shared" si="29"/>
        <v>2.0254519141196047E-2</v>
      </c>
      <c r="AP56" s="550">
        <f t="shared" si="30"/>
        <v>2.0254519141196047E-2</v>
      </c>
      <c r="AQ56" s="557">
        <v>0</v>
      </c>
      <c r="AR56" s="558">
        <v>0</v>
      </c>
      <c r="AS56" s="558">
        <v>0</v>
      </c>
      <c r="AT56" s="559">
        <v>0</v>
      </c>
      <c r="AU56" s="560">
        <v>0</v>
      </c>
      <c r="AV56" s="552">
        <f>VLOOKUP($A56,'[1]Post-Consumer Transport'!$C$33:$K$88,3,FALSE)+VLOOKUP($A56,'[1]Post-Consumer Transport'!$C$33:$K$88,4,FALSE)</f>
        <v>2.0254519141196047E-2</v>
      </c>
      <c r="AW56" s="553">
        <f t="shared" si="98"/>
        <v>2.0254519141196047E-2</v>
      </c>
      <c r="AX56" s="549">
        <f t="shared" si="32"/>
        <v>2.0254519141196047E-2</v>
      </c>
      <c r="AY56" s="549">
        <f t="shared" si="33"/>
        <v>2.0254519141196047E-2</v>
      </c>
      <c r="AZ56" s="550">
        <f t="shared" si="34"/>
        <v>2.0254519141196047E-2</v>
      </c>
      <c r="BB56" s="557">
        <v>0</v>
      </c>
      <c r="BC56" s="558">
        <v>0</v>
      </c>
      <c r="BD56" s="558">
        <v>0</v>
      </c>
      <c r="BE56" s="559">
        <v>0</v>
      </c>
      <c r="BF56" s="560">
        <v>0</v>
      </c>
      <c r="BG56" s="552">
        <f>VLOOKUP($A56,'[1]Post-Consumer Transport'!$C$33:$K$88,3,FALSE)+VLOOKUP($A56,'[1]Post-Consumer Transport'!$C$33:$K$88,4,FALSE)</f>
        <v>2.0254519141196047E-2</v>
      </c>
      <c r="BH56" s="553">
        <f t="shared" si="99"/>
        <v>2.0254519141196047E-2</v>
      </c>
      <c r="BI56" s="549">
        <f t="shared" si="36"/>
        <v>2.0254519141196047E-2</v>
      </c>
      <c r="BJ56" s="549">
        <f t="shared" si="37"/>
        <v>2.0254519141196047E-2</v>
      </c>
      <c r="BK56" s="550">
        <f t="shared" si="38"/>
        <v>2.0254519141196047E-2</v>
      </c>
      <c r="BL56" s="888">
        <v>0</v>
      </c>
      <c r="BM56" s="889">
        <v>0</v>
      </c>
      <c r="BN56" s="889">
        <v>0</v>
      </c>
      <c r="BO56" s="890">
        <v>0</v>
      </c>
      <c r="BP56" s="891">
        <v>0</v>
      </c>
      <c r="BQ56" s="885">
        <f>VLOOKUP($A56,'[1]Post-Consumer Transport'!$C$33:$K$88,3,FALSE)+VLOOKUP($A56,'[1]Post-Consumer Transport'!$C$33:$K$88,4,FALSE)</f>
        <v>2.0254519141196047E-2</v>
      </c>
      <c r="BR56" s="886">
        <f t="shared" si="100"/>
        <v>2.0254519141196047E-2</v>
      </c>
      <c r="BS56" s="882">
        <f t="shared" si="40"/>
        <v>2.0254519141196047E-2</v>
      </c>
      <c r="BT56" s="882">
        <f t="shared" si="41"/>
        <v>2.0254519141196047E-2</v>
      </c>
      <c r="BU56" s="883">
        <f t="shared" si="42"/>
        <v>2.0254519141196047E-2</v>
      </c>
      <c r="BV56" s="557">
        <v>0</v>
      </c>
      <c r="BW56" s="558">
        <v>0</v>
      </c>
      <c r="BX56" s="558">
        <v>0</v>
      </c>
      <c r="BY56" s="559">
        <v>0</v>
      </c>
      <c r="BZ56" s="560">
        <v>0</v>
      </c>
      <c r="CA56" s="552">
        <f>VLOOKUP($A56,'[1]Post-Consumer Transport'!$C$33:$K$88,3,FALSE)+VLOOKUP($A56,'[1]Post-Consumer Transport'!$C$33:$K$88,4,FALSE)</f>
        <v>2.0254519141196047E-2</v>
      </c>
      <c r="CB56" s="553">
        <f t="shared" si="101"/>
        <v>2.0254519141196047E-2</v>
      </c>
      <c r="CC56" s="549">
        <f t="shared" si="44"/>
        <v>2.0254519141196047E-2</v>
      </c>
      <c r="CD56" s="549">
        <f t="shared" si="45"/>
        <v>2.0254519141196047E-2</v>
      </c>
      <c r="CE56" s="550">
        <f t="shared" si="46"/>
        <v>2.0254519141196047E-2</v>
      </c>
      <c r="CF56" s="557">
        <v>0</v>
      </c>
      <c r="CG56" s="558">
        <v>0</v>
      </c>
      <c r="CH56" s="558">
        <v>0</v>
      </c>
      <c r="CI56" s="559">
        <v>0</v>
      </c>
      <c r="CJ56" s="560">
        <v>0</v>
      </c>
      <c r="CK56" s="552">
        <f>VLOOKUP($A56,'[1]Post-Consumer Transport'!$C$33:$K$88,3,FALSE)+VLOOKUP($A56,'[1]Post-Consumer Transport'!$C$33:$K$88,4,FALSE)</f>
        <v>2.0254519141196047E-2</v>
      </c>
      <c r="CL56" s="553">
        <f t="shared" si="102"/>
        <v>2.0254519141196047E-2</v>
      </c>
      <c r="CM56" s="549">
        <f t="shared" si="48"/>
        <v>2.0254519141196047E-2</v>
      </c>
      <c r="CN56" s="549">
        <f t="shared" si="49"/>
        <v>2.0254519141196047E-2</v>
      </c>
      <c r="CO56" s="550">
        <f t="shared" si="50"/>
        <v>2.0254519141196047E-2</v>
      </c>
      <c r="CP56" s="557">
        <v>0</v>
      </c>
      <c r="CQ56" s="558">
        <v>0</v>
      </c>
      <c r="CR56" s="558">
        <v>0</v>
      </c>
      <c r="CS56" s="559">
        <v>0</v>
      </c>
      <c r="CT56" s="560">
        <v>0</v>
      </c>
      <c r="CU56" s="552">
        <f>VLOOKUP($A56,'[1]Post-Consumer Transport'!$C$33:$K$88,3,FALSE)+VLOOKUP($A56,'[1]Post-Consumer Transport'!$C$33:$K$88,4,FALSE)</f>
        <v>2.0254519141196047E-2</v>
      </c>
      <c r="CV56" s="553">
        <f t="shared" si="103"/>
        <v>2.0254519141196047E-2</v>
      </c>
      <c r="CW56" s="549">
        <f t="shared" si="52"/>
        <v>2.0254519141196047E-2</v>
      </c>
      <c r="CX56" s="549">
        <f t="shared" si="53"/>
        <v>2.0254519141196047E-2</v>
      </c>
      <c r="CY56" s="550">
        <f t="shared" si="54"/>
        <v>2.0254519141196047E-2</v>
      </c>
      <c r="DA56" s="557">
        <v>0</v>
      </c>
      <c r="DB56" s="558">
        <v>0</v>
      </c>
      <c r="DC56" s="558">
        <v>0</v>
      </c>
      <c r="DD56" s="559">
        <v>0</v>
      </c>
      <c r="DE56" s="560">
        <v>0</v>
      </c>
      <c r="DF56" s="552">
        <f>VLOOKUP($A56,'[1]Post-Consumer Transport'!$C$33:$K$88,3,FALSE)+VLOOKUP($A56,'[1]Post-Consumer Transport'!$C$33:$K$88,4,FALSE)</f>
        <v>2.0254519141196047E-2</v>
      </c>
      <c r="DG56" s="553">
        <f t="shared" si="104"/>
        <v>2.0254519141196047E-2</v>
      </c>
      <c r="DH56" s="549">
        <f t="shared" si="56"/>
        <v>2.0254519141196047E-2</v>
      </c>
      <c r="DI56" s="549">
        <f t="shared" si="57"/>
        <v>2.0254519141196047E-2</v>
      </c>
      <c r="DJ56" s="550">
        <f t="shared" si="58"/>
        <v>2.0254519141196047E-2</v>
      </c>
      <c r="DK56" s="557">
        <v>0</v>
      </c>
      <c r="DL56" s="558">
        <v>0</v>
      </c>
      <c r="DM56" s="558">
        <v>0</v>
      </c>
      <c r="DN56" s="559">
        <v>0</v>
      </c>
      <c r="DO56" s="560">
        <v>0</v>
      </c>
      <c r="DP56" s="552">
        <f>VLOOKUP($A56,'[1]Post-Consumer Transport'!$C$33:$K$88,3,FALSE)+VLOOKUP($A56,'[1]Post-Consumer Transport'!$C$33:$K$88,4,FALSE)</f>
        <v>2.0254519141196047E-2</v>
      </c>
      <c r="DQ56" s="553">
        <f t="shared" si="105"/>
        <v>2.0254519141196047E-2</v>
      </c>
      <c r="DR56" s="549">
        <f t="shared" si="60"/>
        <v>2.0254519141196047E-2</v>
      </c>
      <c r="DS56" s="549">
        <f t="shared" si="61"/>
        <v>2.0254519141196047E-2</v>
      </c>
      <c r="DT56" s="550">
        <f t="shared" si="62"/>
        <v>2.0254519141196047E-2</v>
      </c>
      <c r="DU56" s="557">
        <v>0</v>
      </c>
      <c r="DV56" s="558">
        <v>0</v>
      </c>
      <c r="DW56" s="558">
        <v>0</v>
      </c>
      <c r="DX56" s="559">
        <v>0</v>
      </c>
      <c r="DY56" s="560">
        <v>0</v>
      </c>
      <c r="DZ56" s="552">
        <f>VLOOKUP($A56,'[1]Post-Consumer Transport'!$C$33:$K$88,3,FALSE)+VLOOKUP($A56,'[1]Post-Consumer Transport'!$C$33:$K$88,4,FALSE)</f>
        <v>2.0254519141196047E-2</v>
      </c>
      <c r="EA56" s="553">
        <f t="shared" si="106"/>
        <v>2.0254519141196047E-2</v>
      </c>
      <c r="EB56" s="549">
        <f t="shared" si="64"/>
        <v>2.0254519141196047E-2</v>
      </c>
      <c r="EC56" s="549">
        <f t="shared" si="65"/>
        <v>2.0254519141196047E-2</v>
      </c>
      <c r="ED56" s="550">
        <f t="shared" si="66"/>
        <v>2.0254519141196047E-2</v>
      </c>
      <c r="EE56" s="557">
        <v>0</v>
      </c>
      <c r="EF56" s="558">
        <v>0</v>
      </c>
      <c r="EG56" s="558">
        <v>0</v>
      </c>
      <c r="EH56" s="559">
        <v>0</v>
      </c>
      <c r="EI56" s="560">
        <v>0</v>
      </c>
      <c r="EJ56" s="552">
        <f>VLOOKUP($A56,'[1]Post-Consumer Transport'!$C$33:$K$88,3,FALSE)+VLOOKUP($A56,'[1]Post-Consumer Transport'!$C$33:$K$88,4,FALSE)</f>
        <v>2.0254519141196047E-2</v>
      </c>
      <c r="EK56" s="553">
        <f t="shared" si="107"/>
        <v>2.0254519141196047E-2</v>
      </c>
      <c r="EL56" s="549">
        <f t="shared" si="68"/>
        <v>2.0254519141196047E-2</v>
      </c>
      <c r="EM56" s="549">
        <f t="shared" si="69"/>
        <v>2.0254519141196047E-2</v>
      </c>
      <c r="EN56" s="550">
        <f t="shared" si="70"/>
        <v>2.0254519141196047E-2</v>
      </c>
      <c r="EO56" s="557">
        <v>0</v>
      </c>
      <c r="EP56" s="558">
        <v>0</v>
      </c>
      <c r="EQ56" s="558">
        <v>0</v>
      </c>
      <c r="ER56" s="559">
        <v>0</v>
      </c>
      <c r="ES56" s="560">
        <v>0</v>
      </c>
      <c r="ET56" s="552">
        <f>VLOOKUP($A56,'[1]Post-Consumer Transport'!$C$33:$K$88,3,FALSE)+VLOOKUP($A56,'[1]Post-Consumer Transport'!$C$33:$K$88,4,FALSE)</f>
        <v>2.0254519141196047E-2</v>
      </c>
      <c r="EU56" s="553">
        <f t="shared" si="108"/>
        <v>2.0254519141196047E-2</v>
      </c>
      <c r="EV56" s="549">
        <f t="shared" si="72"/>
        <v>2.0254519141196047E-2</v>
      </c>
      <c r="EW56" s="549">
        <f t="shared" si="73"/>
        <v>2.0254519141196047E-2</v>
      </c>
      <c r="EX56" s="550">
        <f t="shared" si="74"/>
        <v>2.0254519141196047E-2</v>
      </c>
      <c r="EZ56" s="557">
        <v>0</v>
      </c>
      <c r="FA56" s="558">
        <v>0</v>
      </c>
      <c r="FB56" s="558">
        <v>0</v>
      </c>
      <c r="FC56" s="559">
        <v>0</v>
      </c>
      <c r="FD56" s="560">
        <v>0</v>
      </c>
      <c r="FE56" s="552">
        <f>VLOOKUP($A56,'[1]Post-Consumer Transport'!$C$33:$K$88,3,FALSE)+VLOOKUP($A56,'[1]Post-Consumer Transport'!$C$33:$K$88,4,FALSE)</f>
        <v>2.0254519141196047E-2</v>
      </c>
      <c r="FF56" s="553">
        <f t="shared" si="109"/>
        <v>2.0254519141196047E-2</v>
      </c>
      <c r="FG56" s="549">
        <f t="shared" si="76"/>
        <v>2.0254519141196047E-2</v>
      </c>
      <c r="FH56" s="549">
        <f t="shared" si="77"/>
        <v>2.0254519141196047E-2</v>
      </c>
      <c r="FI56" s="550">
        <f t="shared" si="78"/>
        <v>2.0254519141196047E-2</v>
      </c>
      <c r="FJ56" s="557">
        <v>0</v>
      </c>
      <c r="FK56" s="558">
        <v>0</v>
      </c>
      <c r="FL56" s="558">
        <v>0</v>
      </c>
      <c r="FM56" s="559">
        <v>0</v>
      </c>
      <c r="FN56" s="560">
        <v>0</v>
      </c>
      <c r="FO56" s="552">
        <f>VLOOKUP($A56,'[1]Post-Consumer Transport'!$C$33:$K$88,3,FALSE)+VLOOKUP($A56,'[1]Post-Consumer Transport'!$C$33:$K$88,4,FALSE)</f>
        <v>2.0254519141196047E-2</v>
      </c>
      <c r="FP56" s="553">
        <f t="shared" si="110"/>
        <v>2.0254519141196047E-2</v>
      </c>
      <c r="FQ56" s="549">
        <f t="shared" si="80"/>
        <v>2.0254519141196047E-2</v>
      </c>
      <c r="FR56" s="549">
        <f t="shared" si="81"/>
        <v>2.0254519141196047E-2</v>
      </c>
      <c r="FS56" s="550">
        <f t="shared" si="82"/>
        <v>2.0254519141196047E-2</v>
      </c>
      <c r="FT56" s="557">
        <v>0</v>
      </c>
      <c r="FU56" s="558">
        <v>0</v>
      </c>
      <c r="FV56" s="558">
        <v>0</v>
      </c>
      <c r="FW56" s="559">
        <v>0</v>
      </c>
      <c r="FX56" s="560">
        <v>0</v>
      </c>
      <c r="FY56" s="552">
        <f>VLOOKUP($A56,'[1]Post-Consumer Transport'!$C$33:$K$88,3,FALSE)+VLOOKUP($A56,'[1]Post-Consumer Transport'!$C$33:$K$88,4,FALSE)</f>
        <v>2.0254519141196047E-2</v>
      </c>
      <c r="FZ56" s="553">
        <f t="shared" si="111"/>
        <v>2.0254519141196047E-2</v>
      </c>
      <c r="GA56" s="549">
        <f t="shared" si="84"/>
        <v>2.0254519141196047E-2</v>
      </c>
      <c r="GB56" s="549">
        <f t="shared" si="85"/>
        <v>2.0254519141196047E-2</v>
      </c>
      <c r="GC56" s="550">
        <f t="shared" si="86"/>
        <v>2.0254519141196047E-2</v>
      </c>
      <c r="GD56" s="557">
        <v>0</v>
      </c>
      <c r="GE56" s="558">
        <v>0</v>
      </c>
      <c r="GF56" s="558">
        <v>0</v>
      </c>
      <c r="GG56" s="559">
        <v>0</v>
      </c>
      <c r="GH56" s="560">
        <v>0</v>
      </c>
      <c r="GI56" s="552">
        <f>VLOOKUP($A56,'[1]Post-Consumer Transport'!$C$33:$K$88,3,FALSE)+VLOOKUP($A56,'[1]Post-Consumer Transport'!$C$33:$K$88,4,FALSE)</f>
        <v>2.0254519141196047E-2</v>
      </c>
      <c r="GJ56" s="553">
        <f t="shared" si="112"/>
        <v>2.0254519141196047E-2</v>
      </c>
      <c r="GK56" s="549">
        <f t="shared" si="88"/>
        <v>2.0254519141196047E-2</v>
      </c>
      <c r="GL56" s="549">
        <f t="shared" si="89"/>
        <v>2.0254519141196047E-2</v>
      </c>
      <c r="GM56" s="550">
        <f t="shared" si="90"/>
        <v>2.0254519141196047E-2</v>
      </c>
      <c r="GN56" s="557">
        <v>0</v>
      </c>
      <c r="GO56" s="558">
        <v>0</v>
      </c>
      <c r="GP56" s="558">
        <v>0</v>
      </c>
      <c r="GQ56" s="559">
        <v>0</v>
      </c>
      <c r="GR56" s="560">
        <v>0</v>
      </c>
      <c r="GS56" s="552">
        <f>VLOOKUP($A56,'[1]Post-Consumer Transport'!$C$33:$K$88,3,FALSE)+VLOOKUP($A56,'[1]Post-Consumer Transport'!$C$33:$K$88,4,FALSE)</f>
        <v>2.0254519141196047E-2</v>
      </c>
      <c r="GT56" s="553">
        <f t="shared" si="113"/>
        <v>2.0254519141196047E-2</v>
      </c>
      <c r="GU56" s="549">
        <f t="shared" si="92"/>
        <v>2.0254519141196047E-2</v>
      </c>
      <c r="GV56" s="549">
        <f t="shared" si="93"/>
        <v>2.0254519141196047E-2</v>
      </c>
      <c r="GW56" s="550">
        <f t="shared" si="94"/>
        <v>2.0254519141196047E-2</v>
      </c>
    </row>
    <row r="57" spans="1:205" s="499" customFormat="1" x14ac:dyDescent="0.25">
      <c r="A57" s="498" t="str">
        <f t="shared" si="16"/>
        <v>Tires</v>
      </c>
      <c r="B57" s="556" t="s">
        <v>444</v>
      </c>
      <c r="C57" s="557">
        <v>0</v>
      </c>
      <c r="D57" s="558">
        <v>0</v>
      </c>
      <c r="E57" s="558">
        <v>0</v>
      </c>
      <c r="F57" s="559">
        <v>0</v>
      </c>
      <c r="G57" s="560">
        <v>0</v>
      </c>
      <c r="H57" s="552">
        <f>VLOOKUP($A57,'[1]Post-Consumer Transport'!$C$33:$K$88,3,FALSE)+VLOOKUP($A57,'[1]Post-Consumer Transport'!$C$33:$K$88,4,FALSE)</f>
        <v>2.0254519141196047E-2</v>
      </c>
      <c r="I57" s="553">
        <f t="shared" si="17"/>
        <v>2.0254519141196047E-2</v>
      </c>
      <c r="J57" s="549">
        <f t="shared" si="18"/>
        <v>2.0254519141196047E-2</v>
      </c>
      <c r="K57" s="549">
        <f t="shared" si="18"/>
        <v>2.0254519141196047E-2</v>
      </c>
      <c r="L57" s="550">
        <f t="shared" si="18"/>
        <v>2.0254519141196047E-2</v>
      </c>
      <c r="M57" s="557">
        <v>0</v>
      </c>
      <c r="N57" s="558">
        <v>0</v>
      </c>
      <c r="O57" s="558">
        <v>0</v>
      </c>
      <c r="P57" s="559">
        <v>0</v>
      </c>
      <c r="Q57" s="560">
        <v>0</v>
      </c>
      <c r="R57" s="552">
        <f>VLOOKUP($A57,'[1]Post-Consumer Transport'!$C$33:$K$88,3,FALSE)+VLOOKUP($A57,'[1]Post-Consumer Transport'!$C$33:$K$88,4,FALSE)</f>
        <v>2.0254519141196047E-2</v>
      </c>
      <c r="S57" s="553">
        <f t="shared" si="95"/>
        <v>2.0254519141196047E-2</v>
      </c>
      <c r="T57" s="549">
        <f t="shared" si="20"/>
        <v>2.0254519141196047E-2</v>
      </c>
      <c r="U57" s="549">
        <f t="shared" si="21"/>
        <v>2.0254519141196047E-2</v>
      </c>
      <c r="V57" s="550">
        <f t="shared" si="22"/>
        <v>2.0254519141196047E-2</v>
      </c>
      <c r="W57" s="557">
        <v>0</v>
      </c>
      <c r="X57" s="558">
        <v>0</v>
      </c>
      <c r="Y57" s="558">
        <v>0</v>
      </c>
      <c r="Z57" s="559">
        <v>0</v>
      </c>
      <c r="AA57" s="560">
        <v>0</v>
      </c>
      <c r="AB57" s="552">
        <f>VLOOKUP($A57,'[1]Post-Consumer Transport'!$C$33:$K$88,3,FALSE)+VLOOKUP($A57,'[1]Post-Consumer Transport'!$C$33:$K$88,4,FALSE)</f>
        <v>2.0254519141196047E-2</v>
      </c>
      <c r="AC57" s="553">
        <f t="shared" si="96"/>
        <v>2.0254519141196047E-2</v>
      </c>
      <c r="AD57" s="549">
        <f t="shared" si="24"/>
        <v>2.0254519141196047E-2</v>
      </c>
      <c r="AE57" s="549">
        <f t="shared" si="25"/>
        <v>2.0254519141196047E-2</v>
      </c>
      <c r="AF57" s="550">
        <f t="shared" si="26"/>
        <v>2.0254519141196047E-2</v>
      </c>
      <c r="AG57" s="557">
        <v>0</v>
      </c>
      <c r="AH57" s="558">
        <v>0</v>
      </c>
      <c r="AI57" s="558">
        <v>0</v>
      </c>
      <c r="AJ57" s="559">
        <v>0</v>
      </c>
      <c r="AK57" s="560">
        <v>0</v>
      </c>
      <c r="AL57" s="552">
        <f>VLOOKUP($A57,'[1]Post-Consumer Transport'!$C$33:$K$88,3,FALSE)+VLOOKUP($A57,'[1]Post-Consumer Transport'!$C$33:$K$88,4,FALSE)</f>
        <v>2.0254519141196047E-2</v>
      </c>
      <c r="AM57" s="553">
        <f t="shared" si="97"/>
        <v>2.0254519141196047E-2</v>
      </c>
      <c r="AN57" s="549">
        <f t="shared" si="28"/>
        <v>2.0254519141196047E-2</v>
      </c>
      <c r="AO57" s="549">
        <f t="shared" si="29"/>
        <v>2.0254519141196047E-2</v>
      </c>
      <c r="AP57" s="550">
        <f t="shared" si="30"/>
        <v>2.0254519141196047E-2</v>
      </c>
      <c r="AQ57" s="557">
        <v>0</v>
      </c>
      <c r="AR57" s="558">
        <v>0</v>
      </c>
      <c r="AS57" s="558">
        <v>0</v>
      </c>
      <c r="AT57" s="559">
        <v>0</v>
      </c>
      <c r="AU57" s="560">
        <v>0</v>
      </c>
      <c r="AV57" s="552">
        <f>VLOOKUP($A57,'[1]Post-Consumer Transport'!$C$33:$K$88,3,FALSE)+VLOOKUP($A57,'[1]Post-Consumer Transport'!$C$33:$K$88,4,FALSE)</f>
        <v>2.0254519141196047E-2</v>
      </c>
      <c r="AW57" s="553">
        <f t="shared" si="98"/>
        <v>2.0254519141196047E-2</v>
      </c>
      <c r="AX57" s="549">
        <f t="shared" si="32"/>
        <v>2.0254519141196047E-2</v>
      </c>
      <c r="AY57" s="549">
        <f t="shared" si="33"/>
        <v>2.0254519141196047E-2</v>
      </c>
      <c r="AZ57" s="550">
        <f t="shared" si="34"/>
        <v>2.0254519141196047E-2</v>
      </c>
      <c r="BB57" s="557">
        <v>0</v>
      </c>
      <c r="BC57" s="558">
        <v>0</v>
      </c>
      <c r="BD57" s="558">
        <v>0</v>
      </c>
      <c r="BE57" s="559">
        <v>0</v>
      </c>
      <c r="BF57" s="560">
        <v>0</v>
      </c>
      <c r="BG57" s="552">
        <f>VLOOKUP($A57,'[1]Post-Consumer Transport'!$C$33:$K$88,3,FALSE)+VLOOKUP($A57,'[1]Post-Consumer Transport'!$C$33:$K$88,4,FALSE)</f>
        <v>2.0254519141196047E-2</v>
      </c>
      <c r="BH57" s="553">
        <f t="shared" si="99"/>
        <v>2.0254519141196047E-2</v>
      </c>
      <c r="BI57" s="549">
        <f t="shared" si="36"/>
        <v>2.0254519141196047E-2</v>
      </c>
      <c r="BJ57" s="549">
        <f t="shared" si="37"/>
        <v>2.0254519141196047E-2</v>
      </c>
      <c r="BK57" s="550">
        <f t="shared" si="38"/>
        <v>2.0254519141196047E-2</v>
      </c>
      <c r="BL57" s="888">
        <v>0</v>
      </c>
      <c r="BM57" s="889">
        <v>0</v>
      </c>
      <c r="BN57" s="889">
        <v>0</v>
      </c>
      <c r="BO57" s="890">
        <v>0</v>
      </c>
      <c r="BP57" s="891">
        <v>0</v>
      </c>
      <c r="BQ57" s="885">
        <f>VLOOKUP($A57,'[1]Post-Consumer Transport'!$C$33:$K$88,3,FALSE)+VLOOKUP($A57,'[1]Post-Consumer Transport'!$C$33:$K$88,4,FALSE)</f>
        <v>2.0254519141196047E-2</v>
      </c>
      <c r="BR57" s="886">
        <f t="shared" si="100"/>
        <v>2.0254519141196047E-2</v>
      </c>
      <c r="BS57" s="882">
        <f t="shared" si="40"/>
        <v>2.0254519141196047E-2</v>
      </c>
      <c r="BT57" s="882">
        <f t="shared" si="41"/>
        <v>2.0254519141196047E-2</v>
      </c>
      <c r="BU57" s="883">
        <f t="shared" si="42"/>
        <v>2.0254519141196047E-2</v>
      </c>
      <c r="BV57" s="557">
        <v>0</v>
      </c>
      <c r="BW57" s="558">
        <v>0</v>
      </c>
      <c r="BX57" s="558">
        <v>0</v>
      </c>
      <c r="BY57" s="559">
        <v>0</v>
      </c>
      <c r="BZ57" s="560">
        <v>0</v>
      </c>
      <c r="CA57" s="552">
        <f>VLOOKUP($A57,'[1]Post-Consumer Transport'!$C$33:$K$88,3,FALSE)+VLOOKUP($A57,'[1]Post-Consumer Transport'!$C$33:$K$88,4,FALSE)</f>
        <v>2.0254519141196047E-2</v>
      </c>
      <c r="CB57" s="553">
        <f t="shared" si="101"/>
        <v>2.0254519141196047E-2</v>
      </c>
      <c r="CC57" s="549">
        <f t="shared" si="44"/>
        <v>2.0254519141196047E-2</v>
      </c>
      <c r="CD57" s="549">
        <f t="shared" si="45"/>
        <v>2.0254519141196047E-2</v>
      </c>
      <c r="CE57" s="550">
        <f t="shared" si="46"/>
        <v>2.0254519141196047E-2</v>
      </c>
      <c r="CF57" s="557">
        <v>0</v>
      </c>
      <c r="CG57" s="558">
        <v>0</v>
      </c>
      <c r="CH57" s="558">
        <v>0</v>
      </c>
      <c r="CI57" s="559">
        <v>0</v>
      </c>
      <c r="CJ57" s="560">
        <v>0</v>
      </c>
      <c r="CK57" s="552">
        <f>VLOOKUP($A57,'[1]Post-Consumer Transport'!$C$33:$K$88,3,FALSE)+VLOOKUP($A57,'[1]Post-Consumer Transport'!$C$33:$K$88,4,FALSE)</f>
        <v>2.0254519141196047E-2</v>
      </c>
      <c r="CL57" s="553">
        <f t="shared" si="102"/>
        <v>2.0254519141196047E-2</v>
      </c>
      <c r="CM57" s="549">
        <f t="shared" si="48"/>
        <v>2.0254519141196047E-2</v>
      </c>
      <c r="CN57" s="549">
        <f t="shared" si="49"/>
        <v>2.0254519141196047E-2</v>
      </c>
      <c r="CO57" s="550">
        <f t="shared" si="50"/>
        <v>2.0254519141196047E-2</v>
      </c>
      <c r="CP57" s="557">
        <v>0</v>
      </c>
      <c r="CQ57" s="558">
        <v>0</v>
      </c>
      <c r="CR57" s="558">
        <v>0</v>
      </c>
      <c r="CS57" s="559">
        <v>0</v>
      </c>
      <c r="CT57" s="560">
        <v>0</v>
      </c>
      <c r="CU57" s="552">
        <f>VLOOKUP($A57,'[1]Post-Consumer Transport'!$C$33:$K$88,3,FALSE)+VLOOKUP($A57,'[1]Post-Consumer Transport'!$C$33:$K$88,4,FALSE)</f>
        <v>2.0254519141196047E-2</v>
      </c>
      <c r="CV57" s="553">
        <f t="shared" si="103"/>
        <v>2.0254519141196047E-2</v>
      </c>
      <c r="CW57" s="549">
        <f t="shared" si="52"/>
        <v>2.0254519141196047E-2</v>
      </c>
      <c r="CX57" s="549">
        <f t="shared" si="53"/>
        <v>2.0254519141196047E-2</v>
      </c>
      <c r="CY57" s="550">
        <f t="shared" si="54"/>
        <v>2.0254519141196047E-2</v>
      </c>
      <c r="DA57" s="557">
        <v>0</v>
      </c>
      <c r="DB57" s="558">
        <v>0</v>
      </c>
      <c r="DC57" s="558">
        <v>0</v>
      </c>
      <c r="DD57" s="559">
        <v>0</v>
      </c>
      <c r="DE57" s="560">
        <v>0</v>
      </c>
      <c r="DF57" s="552">
        <f>VLOOKUP($A57,'[1]Post-Consumer Transport'!$C$33:$K$88,3,FALSE)+VLOOKUP($A57,'[1]Post-Consumer Transport'!$C$33:$K$88,4,FALSE)</f>
        <v>2.0254519141196047E-2</v>
      </c>
      <c r="DG57" s="553">
        <f t="shared" si="104"/>
        <v>2.0254519141196047E-2</v>
      </c>
      <c r="DH57" s="549">
        <f t="shared" si="56"/>
        <v>2.0254519141196047E-2</v>
      </c>
      <c r="DI57" s="549">
        <f t="shared" si="57"/>
        <v>2.0254519141196047E-2</v>
      </c>
      <c r="DJ57" s="550">
        <f t="shared" si="58"/>
        <v>2.0254519141196047E-2</v>
      </c>
      <c r="DK57" s="557">
        <v>0</v>
      </c>
      <c r="DL57" s="558">
        <v>0</v>
      </c>
      <c r="DM57" s="558">
        <v>0</v>
      </c>
      <c r="DN57" s="559">
        <v>0</v>
      </c>
      <c r="DO57" s="560">
        <v>0</v>
      </c>
      <c r="DP57" s="552">
        <f>VLOOKUP($A57,'[1]Post-Consumer Transport'!$C$33:$K$88,3,FALSE)+VLOOKUP($A57,'[1]Post-Consumer Transport'!$C$33:$K$88,4,FALSE)</f>
        <v>2.0254519141196047E-2</v>
      </c>
      <c r="DQ57" s="553">
        <f t="shared" si="105"/>
        <v>2.0254519141196047E-2</v>
      </c>
      <c r="DR57" s="549">
        <f t="shared" si="60"/>
        <v>2.0254519141196047E-2</v>
      </c>
      <c r="DS57" s="549">
        <f t="shared" si="61"/>
        <v>2.0254519141196047E-2</v>
      </c>
      <c r="DT57" s="550">
        <f t="shared" si="62"/>
        <v>2.0254519141196047E-2</v>
      </c>
      <c r="DU57" s="557">
        <v>0</v>
      </c>
      <c r="DV57" s="558">
        <v>0</v>
      </c>
      <c r="DW57" s="558">
        <v>0</v>
      </c>
      <c r="DX57" s="559">
        <v>0</v>
      </c>
      <c r="DY57" s="560">
        <v>0</v>
      </c>
      <c r="DZ57" s="552">
        <f>VLOOKUP($A57,'[1]Post-Consumer Transport'!$C$33:$K$88,3,FALSE)+VLOOKUP($A57,'[1]Post-Consumer Transport'!$C$33:$K$88,4,FALSE)</f>
        <v>2.0254519141196047E-2</v>
      </c>
      <c r="EA57" s="553">
        <f t="shared" si="106"/>
        <v>2.0254519141196047E-2</v>
      </c>
      <c r="EB57" s="549">
        <f t="shared" si="64"/>
        <v>2.0254519141196047E-2</v>
      </c>
      <c r="EC57" s="549">
        <f t="shared" si="65"/>
        <v>2.0254519141196047E-2</v>
      </c>
      <c r="ED57" s="550">
        <f t="shared" si="66"/>
        <v>2.0254519141196047E-2</v>
      </c>
      <c r="EE57" s="557">
        <v>0</v>
      </c>
      <c r="EF57" s="558">
        <v>0</v>
      </c>
      <c r="EG57" s="558">
        <v>0</v>
      </c>
      <c r="EH57" s="559">
        <v>0</v>
      </c>
      <c r="EI57" s="560">
        <v>0</v>
      </c>
      <c r="EJ57" s="552">
        <f>VLOOKUP($A57,'[1]Post-Consumer Transport'!$C$33:$K$88,3,FALSE)+VLOOKUP($A57,'[1]Post-Consumer Transport'!$C$33:$K$88,4,FALSE)</f>
        <v>2.0254519141196047E-2</v>
      </c>
      <c r="EK57" s="553">
        <f t="shared" si="107"/>
        <v>2.0254519141196047E-2</v>
      </c>
      <c r="EL57" s="549">
        <f t="shared" si="68"/>
        <v>2.0254519141196047E-2</v>
      </c>
      <c r="EM57" s="549">
        <f t="shared" si="69"/>
        <v>2.0254519141196047E-2</v>
      </c>
      <c r="EN57" s="550">
        <f t="shared" si="70"/>
        <v>2.0254519141196047E-2</v>
      </c>
      <c r="EO57" s="557">
        <v>0</v>
      </c>
      <c r="EP57" s="558">
        <v>0</v>
      </c>
      <c r="EQ57" s="558">
        <v>0</v>
      </c>
      <c r="ER57" s="559">
        <v>0</v>
      </c>
      <c r="ES57" s="560">
        <v>0</v>
      </c>
      <c r="ET57" s="552">
        <f>VLOOKUP($A57,'[1]Post-Consumer Transport'!$C$33:$K$88,3,FALSE)+VLOOKUP($A57,'[1]Post-Consumer Transport'!$C$33:$K$88,4,FALSE)</f>
        <v>2.0254519141196047E-2</v>
      </c>
      <c r="EU57" s="553">
        <f t="shared" si="108"/>
        <v>2.0254519141196047E-2</v>
      </c>
      <c r="EV57" s="549">
        <f t="shared" si="72"/>
        <v>2.0254519141196047E-2</v>
      </c>
      <c r="EW57" s="549">
        <f t="shared" si="73"/>
        <v>2.0254519141196047E-2</v>
      </c>
      <c r="EX57" s="550">
        <f t="shared" si="74"/>
        <v>2.0254519141196047E-2</v>
      </c>
      <c r="EZ57" s="557">
        <v>0</v>
      </c>
      <c r="FA57" s="558">
        <v>0</v>
      </c>
      <c r="FB57" s="558">
        <v>0</v>
      </c>
      <c r="FC57" s="559">
        <v>0</v>
      </c>
      <c r="FD57" s="560">
        <v>0</v>
      </c>
      <c r="FE57" s="552">
        <f>VLOOKUP($A57,'[1]Post-Consumer Transport'!$C$33:$K$88,3,FALSE)+VLOOKUP($A57,'[1]Post-Consumer Transport'!$C$33:$K$88,4,FALSE)</f>
        <v>2.0254519141196047E-2</v>
      </c>
      <c r="FF57" s="553">
        <f t="shared" si="109"/>
        <v>2.0254519141196047E-2</v>
      </c>
      <c r="FG57" s="549">
        <f t="shared" si="76"/>
        <v>2.0254519141196047E-2</v>
      </c>
      <c r="FH57" s="549">
        <f t="shared" si="77"/>
        <v>2.0254519141196047E-2</v>
      </c>
      <c r="FI57" s="550">
        <f t="shared" si="78"/>
        <v>2.0254519141196047E-2</v>
      </c>
      <c r="FJ57" s="557">
        <v>0</v>
      </c>
      <c r="FK57" s="558">
        <v>0</v>
      </c>
      <c r="FL57" s="558">
        <v>0</v>
      </c>
      <c r="FM57" s="559">
        <v>0</v>
      </c>
      <c r="FN57" s="560">
        <v>0</v>
      </c>
      <c r="FO57" s="552">
        <f>VLOOKUP($A57,'[1]Post-Consumer Transport'!$C$33:$K$88,3,FALSE)+VLOOKUP($A57,'[1]Post-Consumer Transport'!$C$33:$K$88,4,FALSE)</f>
        <v>2.0254519141196047E-2</v>
      </c>
      <c r="FP57" s="553">
        <f t="shared" si="110"/>
        <v>2.0254519141196047E-2</v>
      </c>
      <c r="FQ57" s="549">
        <f t="shared" si="80"/>
        <v>2.0254519141196047E-2</v>
      </c>
      <c r="FR57" s="549">
        <f t="shared" si="81"/>
        <v>2.0254519141196047E-2</v>
      </c>
      <c r="FS57" s="550">
        <f t="shared" si="82"/>
        <v>2.0254519141196047E-2</v>
      </c>
      <c r="FT57" s="557">
        <v>0</v>
      </c>
      <c r="FU57" s="558">
        <v>0</v>
      </c>
      <c r="FV57" s="558">
        <v>0</v>
      </c>
      <c r="FW57" s="559">
        <v>0</v>
      </c>
      <c r="FX57" s="560">
        <v>0</v>
      </c>
      <c r="FY57" s="552">
        <f>VLOOKUP($A57,'[1]Post-Consumer Transport'!$C$33:$K$88,3,FALSE)+VLOOKUP($A57,'[1]Post-Consumer Transport'!$C$33:$K$88,4,FALSE)</f>
        <v>2.0254519141196047E-2</v>
      </c>
      <c r="FZ57" s="553">
        <f t="shared" si="111"/>
        <v>2.0254519141196047E-2</v>
      </c>
      <c r="GA57" s="549">
        <f t="shared" si="84"/>
        <v>2.0254519141196047E-2</v>
      </c>
      <c r="GB57" s="549">
        <f t="shared" si="85"/>
        <v>2.0254519141196047E-2</v>
      </c>
      <c r="GC57" s="550">
        <f t="shared" si="86"/>
        <v>2.0254519141196047E-2</v>
      </c>
      <c r="GD57" s="557">
        <v>0</v>
      </c>
      <c r="GE57" s="558">
        <v>0</v>
      </c>
      <c r="GF57" s="558">
        <v>0</v>
      </c>
      <c r="GG57" s="559">
        <v>0</v>
      </c>
      <c r="GH57" s="560">
        <v>0</v>
      </c>
      <c r="GI57" s="552">
        <f>VLOOKUP($A57,'[1]Post-Consumer Transport'!$C$33:$K$88,3,FALSE)+VLOOKUP($A57,'[1]Post-Consumer Transport'!$C$33:$K$88,4,FALSE)</f>
        <v>2.0254519141196047E-2</v>
      </c>
      <c r="GJ57" s="553">
        <f t="shared" si="112"/>
        <v>2.0254519141196047E-2</v>
      </c>
      <c r="GK57" s="549">
        <f t="shared" si="88"/>
        <v>2.0254519141196047E-2</v>
      </c>
      <c r="GL57" s="549">
        <f t="shared" si="89"/>
        <v>2.0254519141196047E-2</v>
      </c>
      <c r="GM57" s="550">
        <f t="shared" si="90"/>
        <v>2.0254519141196047E-2</v>
      </c>
      <c r="GN57" s="557">
        <v>0</v>
      </c>
      <c r="GO57" s="558">
        <v>0</v>
      </c>
      <c r="GP57" s="558">
        <v>0</v>
      </c>
      <c r="GQ57" s="559">
        <v>0</v>
      </c>
      <c r="GR57" s="560">
        <v>0</v>
      </c>
      <c r="GS57" s="552">
        <f>VLOOKUP($A57,'[1]Post-Consumer Transport'!$C$33:$K$88,3,FALSE)+VLOOKUP($A57,'[1]Post-Consumer Transport'!$C$33:$K$88,4,FALSE)</f>
        <v>2.0254519141196047E-2</v>
      </c>
      <c r="GT57" s="553">
        <f t="shared" si="113"/>
        <v>2.0254519141196047E-2</v>
      </c>
      <c r="GU57" s="549">
        <f t="shared" si="92"/>
        <v>2.0254519141196047E-2</v>
      </c>
      <c r="GV57" s="549">
        <f t="shared" si="93"/>
        <v>2.0254519141196047E-2</v>
      </c>
      <c r="GW57" s="550">
        <f t="shared" si="94"/>
        <v>2.0254519141196047E-2</v>
      </c>
    </row>
    <row r="58" spans="1:205" s="499" customFormat="1" x14ac:dyDescent="0.25">
      <c r="A58" s="498" t="str">
        <f t="shared" si="16"/>
        <v>Asphalt Concrete</v>
      </c>
      <c r="B58" s="556" t="s">
        <v>53</v>
      </c>
      <c r="C58" s="557">
        <v>0</v>
      </c>
      <c r="D58" s="558">
        <v>0</v>
      </c>
      <c r="E58" s="558">
        <v>0</v>
      </c>
      <c r="F58" s="559">
        <v>0</v>
      </c>
      <c r="G58" s="560">
        <v>0</v>
      </c>
      <c r="H58" s="552">
        <f>VLOOKUP($A58,'[1]Post-Consumer Transport'!$C$33:$K$88,3,FALSE)+VLOOKUP($A58,'[1]Post-Consumer Transport'!$C$33:$K$88,4,FALSE)</f>
        <v>2.0254519141196047E-2</v>
      </c>
      <c r="I58" s="553">
        <f t="shared" si="17"/>
        <v>2.0254519141196047E-2</v>
      </c>
      <c r="J58" s="549">
        <f t="shared" si="18"/>
        <v>2.0254519141196047E-2</v>
      </c>
      <c r="K58" s="549">
        <f t="shared" si="18"/>
        <v>2.0254519141196047E-2</v>
      </c>
      <c r="L58" s="550">
        <f t="shared" si="18"/>
        <v>2.0254519141196047E-2</v>
      </c>
      <c r="M58" s="557">
        <v>0</v>
      </c>
      <c r="N58" s="558">
        <v>0</v>
      </c>
      <c r="O58" s="558">
        <v>0</v>
      </c>
      <c r="P58" s="559">
        <v>0</v>
      </c>
      <c r="Q58" s="560">
        <v>0</v>
      </c>
      <c r="R58" s="552">
        <f>VLOOKUP($A58,'[1]Post-Consumer Transport'!$C$33:$K$88,3,FALSE)+VLOOKUP($A58,'[1]Post-Consumer Transport'!$C$33:$K$88,4,FALSE)</f>
        <v>2.0254519141196047E-2</v>
      </c>
      <c r="S58" s="553">
        <f t="shared" si="95"/>
        <v>2.0254519141196047E-2</v>
      </c>
      <c r="T58" s="549">
        <f t="shared" si="20"/>
        <v>2.0254519141196047E-2</v>
      </c>
      <c r="U58" s="549">
        <f t="shared" si="21"/>
        <v>2.0254519141196047E-2</v>
      </c>
      <c r="V58" s="550">
        <f t="shared" si="22"/>
        <v>2.0254519141196047E-2</v>
      </c>
      <c r="W58" s="557">
        <v>0</v>
      </c>
      <c r="X58" s="558">
        <v>0</v>
      </c>
      <c r="Y58" s="558">
        <v>0</v>
      </c>
      <c r="Z58" s="559">
        <v>0</v>
      </c>
      <c r="AA58" s="560">
        <v>0</v>
      </c>
      <c r="AB58" s="552">
        <f>VLOOKUP($A58,'[1]Post-Consumer Transport'!$C$33:$K$88,3,FALSE)+VLOOKUP($A58,'[1]Post-Consumer Transport'!$C$33:$K$88,4,FALSE)</f>
        <v>2.0254519141196047E-2</v>
      </c>
      <c r="AC58" s="553">
        <f t="shared" si="96"/>
        <v>2.0254519141196047E-2</v>
      </c>
      <c r="AD58" s="549">
        <f t="shared" si="24"/>
        <v>2.0254519141196047E-2</v>
      </c>
      <c r="AE58" s="549">
        <f t="shared" si="25"/>
        <v>2.0254519141196047E-2</v>
      </c>
      <c r="AF58" s="550">
        <f t="shared" si="26"/>
        <v>2.0254519141196047E-2</v>
      </c>
      <c r="AG58" s="557">
        <v>0</v>
      </c>
      <c r="AH58" s="558">
        <v>0</v>
      </c>
      <c r="AI58" s="558">
        <v>0</v>
      </c>
      <c r="AJ58" s="559">
        <v>0</v>
      </c>
      <c r="AK58" s="560">
        <v>0</v>
      </c>
      <c r="AL58" s="552">
        <f>VLOOKUP($A58,'[1]Post-Consumer Transport'!$C$33:$K$88,3,FALSE)+VLOOKUP($A58,'[1]Post-Consumer Transport'!$C$33:$K$88,4,FALSE)</f>
        <v>2.0254519141196047E-2</v>
      </c>
      <c r="AM58" s="553">
        <f t="shared" si="97"/>
        <v>2.0254519141196047E-2</v>
      </c>
      <c r="AN58" s="549">
        <f t="shared" si="28"/>
        <v>2.0254519141196047E-2</v>
      </c>
      <c r="AO58" s="549">
        <f t="shared" si="29"/>
        <v>2.0254519141196047E-2</v>
      </c>
      <c r="AP58" s="550">
        <f t="shared" si="30"/>
        <v>2.0254519141196047E-2</v>
      </c>
      <c r="AQ58" s="557">
        <v>0</v>
      </c>
      <c r="AR58" s="558">
        <v>0</v>
      </c>
      <c r="AS58" s="558">
        <v>0</v>
      </c>
      <c r="AT58" s="559">
        <v>0</v>
      </c>
      <c r="AU58" s="560">
        <v>0</v>
      </c>
      <c r="AV58" s="552">
        <f>VLOOKUP($A58,'[1]Post-Consumer Transport'!$C$33:$K$88,3,FALSE)+VLOOKUP($A58,'[1]Post-Consumer Transport'!$C$33:$K$88,4,FALSE)</f>
        <v>2.0254519141196047E-2</v>
      </c>
      <c r="AW58" s="553">
        <f t="shared" si="98"/>
        <v>2.0254519141196047E-2</v>
      </c>
      <c r="AX58" s="549">
        <f t="shared" si="32"/>
        <v>2.0254519141196047E-2</v>
      </c>
      <c r="AY58" s="549">
        <f t="shared" si="33"/>
        <v>2.0254519141196047E-2</v>
      </c>
      <c r="AZ58" s="550">
        <f t="shared" si="34"/>
        <v>2.0254519141196047E-2</v>
      </c>
      <c r="BB58" s="557">
        <v>0</v>
      </c>
      <c r="BC58" s="558">
        <v>0</v>
      </c>
      <c r="BD58" s="558">
        <v>0</v>
      </c>
      <c r="BE58" s="559">
        <v>0</v>
      </c>
      <c r="BF58" s="560">
        <v>0</v>
      </c>
      <c r="BG58" s="552">
        <f>VLOOKUP($A58,'[1]Post-Consumer Transport'!$C$33:$K$88,3,FALSE)+VLOOKUP($A58,'[1]Post-Consumer Transport'!$C$33:$K$88,4,FALSE)</f>
        <v>2.0254519141196047E-2</v>
      </c>
      <c r="BH58" s="553">
        <f t="shared" si="99"/>
        <v>2.0254519141196047E-2</v>
      </c>
      <c r="BI58" s="549">
        <f t="shared" si="36"/>
        <v>2.0254519141196047E-2</v>
      </c>
      <c r="BJ58" s="549">
        <f t="shared" si="37"/>
        <v>2.0254519141196047E-2</v>
      </c>
      <c r="BK58" s="550">
        <f t="shared" si="38"/>
        <v>2.0254519141196047E-2</v>
      </c>
      <c r="BL58" s="888">
        <v>0</v>
      </c>
      <c r="BM58" s="889">
        <v>0</v>
      </c>
      <c r="BN58" s="889">
        <v>0</v>
      </c>
      <c r="BO58" s="890">
        <v>0</v>
      </c>
      <c r="BP58" s="891">
        <v>0</v>
      </c>
      <c r="BQ58" s="885">
        <f>VLOOKUP($A58,'[1]Post-Consumer Transport'!$C$33:$K$88,3,FALSE)+VLOOKUP($A58,'[1]Post-Consumer Transport'!$C$33:$K$88,4,FALSE)</f>
        <v>2.0254519141196047E-2</v>
      </c>
      <c r="BR58" s="886">
        <f t="shared" si="100"/>
        <v>2.0254519141196047E-2</v>
      </c>
      <c r="BS58" s="882">
        <f t="shared" si="40"/>
        <v>2.0254519141196047E-2</v>
      </c>
      <c r="BT58" s="882">
        <f t="shared" si="41"/>
        <v>2.0254519141196047E-2</v>
      </c>
      <c r="BU58" s="883">
        <f t="shared" si="42"/>
        <v>2.0254519141196047E-2</v>
      </c>
      <c r="BV58" s="557">
        <v>0</v>
      </c>
      <c r="BW58" s="558">
        <v>0</v>
      </c>
      <c r="BX58" s="558">
        <v>0</v>
      </c>
      <c r="BY58" s="559">
        <v>0</v>
      </c>
      <c r="BZ58" s="560">
        <v>0</v>
      </c>
      <c r="CA58" s="552">
        <f>VLOOKUP($A58,'[1]Post-Consumer Transport'!$C$33:$K$88,3,FALSE)+VLOOKUP($A58,'[1]Post-Consumer Transport'!$C$33:$K$88,4,FALSE)</f>
        <v>2.0254519141196047E-2</v>
      </c>
      <c r="CB58" s="553">
        <f t="shared" si="101"/>
        <v>2.0254519141196047E-2</v>
      </c>
      <c r="CC58" s="549">
        <f t="shared" si="44"/>
        <v>2.0254519141196047E-2</v>
      </c>
      <c r="CD58" s="549">
        <f t="shared" si="45"/>
        <v>2.0254519141196047E-2</v>
      </c>
      <c r="CE58" s="550">
        <f t="shared" si="46"/>
        <v>2.0254519141196047E-2</v>
      </c>
      <c r="CF58" s="557">
        <v>0</v>
      </c>
      <c r="CG58" s="558">
        <v>0</v>
      </c>
      <c r="CH58" s="558">
        <v>0</v>
      </c>
      <c r="CI58" s="559">
        <v>0</v>
      </c>
      <c r="CJ58" s="560">
        <v>0</v>
      </c>
      <c r="CK58" s="552">
        <f>VLOOKUP($A58,'[1]Post-Consumer Transport'!$C$33:$K$88,3,FALSE)+VLOOKUP($A58,'[1]Post-Consumer Transport'!$C$33:$K$88,4,FALSE)</f>
        <v>2.0254519141196047E-2</v>
      </c>
      <c r="CL58" s="553">
        <f t="shared" si="102"/>
        <v>2.0254519141196047E-2</v>
      </c>
      <c r="CM58" s="549">
        <f t="shared" si="48"/>
        <v>2.0254519141196047E-2</v>
      </c>
      <c r="CN58" s="549">
        <f t="shared" si="49"/>
        <v>2.0254519141196047E-2</v>
      </c>
      <c r="CO58" s="550">
        <f t="shared" si="50"/>
        <v>2.0254519141196047E-2</v>
      </c>
      <c r="CP58" s="557">
        <v>0</v>
      </c>
      <c r="CQ58" s="558">
        <v>0</v>
      </c>
      <c r="CR58" s="558">
        <v>0</v>
      </c>
      <c r="CS58" s="559">
        <v>0</v>
      </c>
      <c r="CT58" s="560">
        <v>0</v>
      </c>
      <c r="CU58" s="552">
        <f>VLOOKUP($A58,'[1]Post-Consumer Transport'!$C$33:$K$88,3,FALSE)+VLOOKUP($A58,'[1]Post-Consumer Transport'!$C$33:$K$88,4,FALSE)</f>
        <v>2.0254519141196047E-2</v>
      </c>
      <c r="CV58" s="553">
        <f t="shared" si="103"/>
        <v>2.0254519141196047E-2</v>
      </c>
      <c r="CW58" s="549">
        <f t="shared" si="52"/>
        <v>2.0254519141196047E-2</v>
      </c>
      <c r="CX58" s="549">
        <f t="shared" si="53"/>
        <v>2.0254519141196047E-2</v>
      </c>
      <c r="CY58" s="550">
        <f t="shared" si="54"/>
        <v>2.0254519141196047E-2</v>
      </c>
      <c r="DA58" s="557">
        <v>0</v>
      </c>
      <c r="DB58" s="558">
        <v>0</v>
      </c>
      <c r="DC58" s="558">
        <v>0</v>
      </c>
      <c r="DD58" s="559">
        <v>0</v>
      </c>
      <c r="DE58" s="560">
        <v>0</v>
      </c>
      <c r="DF58" s="552">
        <f>VLOOKUP($A58,'[1]Post-Consumer Transport'!$C$33:$K$88,3,FALSE)+VLOOKUP($A58,'[1]Post-Consumer Transport'!$C$33:$K$88,4,FALSE)</f>
        <v>2.0254519141196047E-2</v>
      </c>
      <c r="DG58" s="553">
        <f t="shared" si="104"/>
        <v>2.0254519141196047E-2</v>
      </c>
      <c r="DH58" s="549">
        <f t="shared" si="56"/>
        <v>2.0254519141196047E-2</v>
      </c>
      <c r="DI58" s="549">
        <f t="shared" si="57"/>
        <v>2.0254519141196047E-2</v>
      </c>
      <c r="DJ58" s="550">
        <f t="shared" si="58"/>
        <v>2.0254519141196047E-2</v>
      </c>
      <c r="DK58" s="557">
        <v>0</v>
      </c>
      <c r="DL58" s="558">
        <v>0</v>
      </c>
      <c r="DM58" s="558">
        <v>0</v>
      </c>
      <c r="DN58" s="559">
        <v>0</v>
      </c>
      <c r="DO58" s="560">
        <v>0</v>
      </c>
      <c r="DP58" s="552">
        <f>VLOOKUP($A58,'[1]Post-Consumer Transport'!$C$33:$K$88,3,FALSE)+VLOOKUP($A58,'[1]Post-Consumer Transport'!$C$33:$K$88,4,FALSE)</f>
        <v>2.0254519141196047E-2</v>
      </c>
      <c r="DQ58" s="553">
        <f t="shared" si="105"/>
        <v>2.0254519141196047E-2</v>
      </c>
      <c r="DR58" s="549">
        <f t="shared" si="60"/>
        <v>2.0254519141196047E-2</v>
      </c>
      <c r="DS58" s="549">
        <f t="shared" si="61"/>
        <v>2.0254519141196047E-2</v>
      </c>
      <c r="DT58" s="550">
        <f t="shared" si="62"/>
        <v>2.0254519141196047E-2</v>
      </c>
      <c r="DU58" s="557">
        <v>0</v>
      </c>
      <c r="DV58" s="558">
        <v>0</v>
      </c>
      <c r="DW58" s="558">
        <v>0</v>
      </c>
      <c r="DX58" s="559">
        <v>0</v>
      </c>
      <c r="DY58" s="560">
        <v>0</v>
      </c>
      <c r="DZ58" s="552">
        <f>VLOOKUP($A58,'[1]Post-Consumer Transport'!$C$33:$K$88,3,FALSE)+VLOOKUP($A58,'[1]Post-Consumer Transport'!$C$33:$K$88,4,FALSE)</f>
        <v>2.0254519141196047E-2</v>
      </c>
      <c r="EA58" s="553">
        <f t="shared" si="106"/>
        <v>2.0254519141196047E-2</v>
      </c>
      <c r="EB58" s="549">
        <f t="shared" si="64"/>
        <v>2.0254519141196047E-2</v>
      </c>
      <c r="EC58" s="549">
        <f t="shared" si="65"/>
        <v>2.0254519141196047E-2</v>
      </c>
      <c r="ED58" s="550">
        <f t="shared" si="66"/>
        <v>2.0254519141196047E-2</v>
      </c>
      <c r="EE58" s="557">
        <v>0</v>
      </c>
      <c r="EF58" s="558">
        <v>0</v>
      </c>
      <c r="EG58" s="558">
        <v>0</v>
      </c>
      <c r="EH58" s="559">
        <v>0</v>
      </c>
      <c r="EI58" s="560">
        <v>0</v>
      </c>
      <c r="EJ58" s="552">
        <f>VLOOKUP($A58,'[1]Post-Consumer Transport'!$C$33:$K$88,3,FALSE)+VLOOKUP($A58,'[1]Post-Consumer Transport'!$C$33:$K$88,4,FALSE)</f>
        <v>2.0254519141196047E-2</v>
      </c>
      <c r="EK58" s="553">
        <f t="shared" si="107"/>
        <v>2.0254519141196047E-2</v>
      </c>
      <c r="EL58" s="549">
        <f t="shared" si="68"/>
        <v>2.0254519141196047E-2</v>
      </c>
      <c r="EM58" s="549">
        <f t="shared" si="69"/>
        <v>2.0254519141196047E-2</v>
      </c>
      <c r="EN58" s="550">
        <f t="shared" si="70"/>
        <v>2.0254519141196047E-2</v>
      </c>
      <c r="EO58" s="557">
        <v>0</v>
      </c>
      <c r="EP58" s="558">
        <v>0</v>
      </c>
      <c r="EQ58" s="558">
        <v>0</v>
      </c>
      <c r="ER58" s="559">
        <v>0</v>
      </c>
      <c r="ES58" s="560">
        <v>0</v>
      </c>
      <c r="ET58" s="552">
        <f>VLOOKUP($A58,'[1]Post-Consumer Transport'!$C$33:$K$88,3,FALSE)+VLOOKUP($A58,'[1]Post-Consumer Transport'!$C$33:$K$88,4,FALSE)</f>
        <v>2.0254519141196047E-2</v>
      </c>
      <c r="EU58" s="553">
        <f t="shared" si="108"/>
        <v>2.0254519141196047E-2</v>
      </c>
      <c r="EV58" s="549">
        <f t="shared" si="72"/>
        <v>2.0254519141196047E-2</v>
      </c>
      <c r="EW58" s="549">
        <f t="shared" si="73"/>
        <v>2.0254519141196047E-2</v>
      </c>
      <c r="EX58" s="550">
        <f t="shared" si="74"/>
        <v>2.0254519141196047E-2</v>
      </c>
      <c r="EZ58" s="557">
        <v>0</v>
      </c>
      <c r="FA58" s="558">
        <v>0</v>
      </c>
      <c r="FB58" s="558">
        <v>0</v>
      </c>
      <c r="FC58" s="559">
        <v>0</v>
      </c>
      <c r="FD58" s="560">
        <v>0</v>
      </c>
      <c r="FE58" s="552">
        <f>VLOOKUP($A58,'[1]Post-Consumer Transport'!$C$33:$K$88,3,FALSE)+VLOOKUP($A58,'[1]Post-Consumer Transport'!$C$33:$K$88,4,FALSE)</f>
        <v>2.0254519141196047E-2</v>
      </c>
      <c r="FF58" s="553">
        <f t="shared" si="109"/>
        <v>2.0254519141196047E-2</v>
      </c>
      <c r="FG58" s="549">
        <f t="shared" si="76"/>
        <v>2.0254519141196047E-2</v>
      </c>
      <c r="FH58" s="549">
        <f t="shared" si="77"/>
        <v>2.0254519141196047E-2</v>
      </c>
      <c r="FI58" s="550">
        <f t="shared" si="78"/>
        <v>2.0254519141196047E-2</v>
      </c>
      <c r="FJ58" s="557">
        <v>0</v>
      </c>
      <c r="FK58" s="558">
        <v>0</v>
      </c>
      <c r="FL58" s="558">
        <v>0</v>
      </c>
      <c r="FM58" s="559">
        <v>0</v>
      </c>
      <c r="FN58" s="560">
        <v>0</v>
      </c>
      <c r="FO58" s="552">
        <f>VLOOKUP($A58,'[1]Post-Consumer Transport'!$C$33:$K$88,3,FALSE)+VLOOKUP($A58,'[1]Post-Consumer Transport'!$C$33:$K$88,4,FALSE)</f>
        <v>2.0254519141196047E-2</v>
      </c>
      <c r="FP58" s="553">
        <f t="shared" si="110"/>
        <v>2.0254519141196047E-2</v>
      </c>
      <c r="FQ58" s="549">
        <f t="shared" si="80"/>
        <v>2.0254519141196047E-2</v>
      </c>
      <c r="FR58" s="549">
        <f t="shared" si="81"/>
        <v>2.0254519141196047E-2</v>
      </c>
      <c r="FS58" s="550">
        <f t="shared" si="82"/>
        <v>2.0254519141196047E-2</v>
      </c>
      <c r="FT58" s="557">
        <v>0</v>
      </c>
      <c r="FU58" s="558">
        <v>0</v>
      </c>
      <c r="FV58" s="558">
        <v>0</v>
      </c>
      <c r="FW58" s="559">
        <v>0</v>
      </c>
      <c r="FX58" s="560">
        <v>0</v>
      </c>
      <c r="FY58" s="552">
        <f>VLOOKUP($A58,'[1]Post-Consumer Transport'!$C$33:$K$88,3,FALSE)+VLOOKUP($A58,'[1]Post-Consumer Transport'!$C$33:$K$88,4,FALSE)</f>
        <v>2.0254519141196047E-2</v>
      </c>
      <c r="FZ58" s="553">
        <f t="shared" si="111"/>
        <v>2.0254519141196047E-2</v>
      </c>
      <c r="GA58" s="549">
        <f t="shared" si="84"/>
        <v>2.0254519141196047E-2</v>
      </c>
      <c r="GB58" s="549">
        <f t="shared" si="85"/>
        <v>2.0254519141196047E-2</v>
      </c>
      <c r="GC58" s="550">
        <f t="shared" si="86"/>
        <v>2.0254519141196047E-2</v>
      </c>
      <c r="GD58" s="557">
        <v>0</v>
      </c>
      <c r="GE58" s="558">
        <v>0</v>
      </c>
      <c r="GF58" s="558">
        <v>0</v>
      </c>
      <c r="GG58" s="559">
        <v>0</v>
      </c>
      <c r="GH58" s="560">
        <v>0</v>
      </c>
      <c r="GI58" s="552">
        <f>VLOOKUP($A58,'[1]Post-Consumer Transport'!$C$33:$K$88,3,FALSE)+VLOOKUP($A58,'[1]Post-Consumer Transport'!$C$33:$K$88,4,FALSE)</f>
        <v>2.0254519141196047E-2</v>
      </c>
      <c r="GJ58" s="553">
        <f t="shared" si="112"/>
        <v>2.0254519141196047E-2</v>
      </c>
      <c r="GK58" s="549">
        <f t="shared" si="88"/>
        <v>2.0254519141196047E-2</v>
      </c>
      <c r="GL58" s="549">
        <f t="shared" si="89"/>
        <v>2.0254519141196047E-2</v>
      </c>
      <c r="GM58" s="550">
        <f t="shared" si="90"/>
        <v>2.0254519141196047E-2</v>
      </c>
      <c r="GN58" s="557">
        <v>0</v>
      </c>
      <c r="GO58" s="558">
        <v>0</v>
      </c>
      <c r="GP58" s="558">
        <v>0</v>
      </c>
      <c r="GQ58" s="559">
        <v>0</v>
      </c>
      <c r="GR58" s="560">
        <v>0</v>
      </c>
      <c r="GS58" s="552">
        <f>VLOOKUP($A58,'[1]Post-Consumer Transport'!$C$33:$K$88,3,FALSE)+VLOOKUP($A58,'[1]Post-Consumer Transport'!$C$33:$K$88,4,FALSE)</f>
        <v>2.0254519141196047E-2</v>
      </c>
      <c r="GT58" s="553">
        <f t="shared" si="113"/>
        <v>2.0254519141196047E-2</v>
      </c>
      <c r="GU58" s="549">
        <f t="shared" si="92"/>
        <v>2.0254519141196047E-2</v>
      </c>
      <c r="GV58" s="549">
        <f t="shared" si="93"/>
        <v>2.0254519141196047E-2</v>
      </c>
      <c r="GW58" s="550">
        <f t="shared" si="94"/>
        <v>2.0254519141196047E-2</v>
      </c>
    </row>
    <row r="59" spans="1:205" s="499" customFormat="1" x14ac:dyDescent="0.25">
      <c r="A59" s="498" t="str">
        <f t="shared" si="16"/>
        <v>Asphalt Shingles</v>
      </c>
      <c r="B59" s="556" t="s">
        <v>54</v>
      </c>
      <c r="C59" s="557">
        <v>0</v>
      </c>
      <c r="D59" s="558">
        <v>0</v>
      </c>
      <c r="E59" s="558">
        <v>0</v>
      </c>
      <c r="F59" s="559">
        <v>0</v>
      </c>
      <c r="G59" s="560">
        <v>0</v>
      </c>
      <c r="H59" s="552">
        <f>VLOOKUP($A59,'[1]Post-Consumer Transport'!$C$33:$K$88,3,FALSE)+VLOOKUP($A59,'[1]Post-Consumer Transport'!$C$33:$K$88,4,FALSE)</f>
        <v>2.0254519141196047E-2</v>
      </c>
      <c r="I59" s="553">
        <f t="shared" si="17"/>
        <v>2.0254519141196047E-2</v>
      </c>
      <c r="J59" s="549">
        <f t="shared" si="18"/>
        <v>2.0254519141196047E-2</v>
      </c>
      <c r="K59" s="549">
        <f t="shared" si="18"/>
        <v>2.0254519141196047E-2</v>
      </c>
      <c r="L59" s="550">
        <f t="shared" si="18"/>
        <v>2.0254519141196047E-2</v>
      </c>
      <c r="M59" s="557">
        <v>0</v>
      </c>
      <c r="N59" s="558">
        <v>0</v>
      </c>
      <c r="O59" s="558">
        <v>0</v>
      </c>
      <c r="P59" s="559">
        <v>0</v>
      </c>
      <c r="Q59" s="560">
        <v>0</v>
      </c>
      <c r="R59" s="552">
        <f>VLOOKUP($A59,'[1]Post-Consumer Transport'!$C$33:$K$88,3,FALSE)+VLOOKUP($A59,'[1]Post-Consumer Transport'!$C$33:$K$88,4,FALSE)</f>
        <v>2.0254519141196047E-2</v>
      </c>
      <c r="S59" s="553">
        <f t="shared" si="95"/>
        <v>2.0254519141196047E-2</v>
      </c>
      <c r="T59" s="549">
        <f t="shared" si="20"/>
        <v>2.0254519141196047E-2</v>
      </c>
      <c r="U59" s="549">
        <f t="shared" si="21"/>
        <v>2.0254519141196047E-2</v>
      </c>
      <c r="V59" s="550">
        <f t="shared" si="22"/>
        <v>2.0254519141196047E-2</v>
      </c>
      <c r="W59" s="557">
        <v>0</v>
      </c>
      <c r="X59" s="558">
        <v>0</v>
      </c>
      <c r="Y59" s="558">
        <v>0</v>
      </c>
      <c r="Z59" s="559">
        <v>0</v>
      </c>
      <c r="AA59" s="560">
        <v>0</v>
      </c>
      <c r="AB59" s="552">
        <f>VLOOKUP($A59,'[1]Post-Consumer Transport'!$C$33:$K$88,3,FALSE)+VLOOKUP($A59,'[1]Post-Consumer Transport'!$C$33:$K$88,4,FALSE)</f>
        <v>2.0254519141196047E-2</v>
      </c>
      <c r="AC59" s="553">
        <f t="shared" si="96"/>
        <v>2.0254519141196047E-2</v>
      </c>
      <c r="AD59" s="549">
        <f t="shared" si="24"/>
        <v>2.0254519141196047E-2</v>
      </c>
      <c r="AE59" s="549">
        <f t="shared" si="25"/>
        <v>2.0254519141196047E-2</v>
      </c>
      <c r="AF59" s="550">
        <f t="shared" si="26"/>
        <v>2.0254519141196047E-2</v>
      </c>
      <c r="AG59" s="557">
        <v>0</v>
      </c>
      <c r="AH59" s="558">
        <v>0</v>
      </c>
      <c r="AI59" s="558">
        <v>0</v>
      </c>
      <c r="AJ59" s="559">
        <v>0</v>
      </c>
      <c r="AK59" s="560">
        <v>0</v>
      </c>
      <c r="AL59" s="552">
        <f>VLOOKUP($A59,'[1]Post-Consumer Transport'!$C$33:$K$88,3,FALSE)+VLOOKUP($A59,'[1]Post-Consumer Transport'!$C$33:$K$88,4,FALSE)</f>
        <v>2.0254519141196047E-2</v>
      </c>
      <c r="AM59" s="553">
        <f t="shared" si="97"/>
        <v>2.0254519141196047E-2</v>
      </c>
      <c r="AN59" s="549">
        <f t="shared" si="28"/>
        <v>2.0254519141196047E-2</v>
      </c>
      <c r="AO59" s="549">
        <f t="shared" si="29"/>
        <v>2.0254519141196047E-2</v>
      </c>
      <c r="AP59" s="550">
        <f t="shared" si="30"/>
        <v>2.0254519141196047E-2</v>
      </c>
      <c r="AQ59" s="557">
        <v>0</v>
      </c>
      <c r="AR59" s="558">
        <v>0</v>
      </c>
      <c r="AS59" s="558">
        <v>0</v>
      </c>
      <c r="AT59" s="559">
        <v>0</v>
      </c>
      <c r="AU59" s="560">
        <v>0</v>
      </c>
      <c r="AV59" s="552">
        <f>VLOOKUP($A59,'[1]Post-Consumer Transport'!$C$33:$K$88,3,FALSE)+VLOOKUP($A59,'[1]Post-Consumer Transport'!$C$33:$K$88,4,FALSE)</f>
        <v>2.0254519141196047E-2</v>
      </c>
      <c r="AW59" s="553">
        <f t="shared" si="98"/>
        <v>2.0254519141196047E-2</v>
      </c>
      <c r="AX59" s="549">
        <f t="shared" si="32"/>
        <v>2.0254519141196047E-2</v>
      </c>
      <c r="AY59" s="549">
        <f t="shared" si="33"/>
        <v>2.0254519141196047E-2</v>
      </c>
      <c r="AZ59" s="550">
        <f t="shared" si="34"/>
        <v>2.0254519141196047E-2</v>
      </c>
      <c r="BB59" s="557">
        <v>0</v>
      </c>
      <c r="BC59" s="558">
        <v>0</v>
      </c>
      <c r="BD59" s="558">
        <v>0</v>
      </c>
      <c r="BE59" s="559">
        <v>0</v>
      </c>
      <c r="BF59" s="560">
        <v>0</v>
      </c>
      <c r="BG59" s="552">
        <f>VLOOKUP($A59,'[1]Post-Consumer Transport'!$C$33:$K$88,3,FALSE)+VLOOKUP($A59,'[1]Post-Consumer Transport'!$C$33:$K$88,4,FALSE)</f>
        <v>2.0254519141196047E-2</v>
      </c>
      <c r="BH59" s="553">
        <f t="shared" si="99"/>
        <v>2.0254519141196047E-2</v>
      </c>
      <c r="BI59" s="549">
        <f t="shared" si="36"/>
        <v>2.0254519141196047E-2</v>
      </c>
      <c r="BJ59" s="549">
        <f t="shared" si="37"/>
        <v>2.0254519141196047E-2</v>
      </c>
      <c r="BK59" s="550">
        <f t="shared" si="38"/>
        <v>2.0254519141196047E-2</v>
      </c>
      <c r="BL59" s="888">
        <v>0</v>
      </c>
      <c r="BM59" s="889">
        <v>0</v>
      </c>
      <c r="BN59" s="889">
        <v>0</v>
      </c>
      <c r="BO59" s="890">
        <v>0</v>
      </c>
      <c r="BP59" s="891">
        <v>0</v>
      </c>
      <c r="BQ59" s="885">
        <f>VLOOKUP($A59,'[1]Post-Consumer Transport'!$C$33:$K$88,3,FALSE)+VLOOKUP($A59,'[1]Post-Consumer Transport'!$C$33:$K$88,4,FALSE)</f>
        <v>2.0254519141196047E-2</v>
      </c>
      <c r="BR59" s="886">
        <f t="shared" si="100"/>
        <v>2.0254519141196047E-2</v>
      </c>
      <c r="BS59" s="882">
        <f t="shared" si="40"/>
        <v>2.0254519141196047E-2</v>
      </c>
      <c r="BT59" s="882">
        <f t="shared" si="41"/>
        <v>2.0254519141196047E-2</v>
      </c>
      <c r="BU59" s="883">
        <f t="shared" si="42"/>
        <v>2.0254519141196047E-2</v>
      </c>
      <c r="BV59" s="557">
        <v>0</v>
      </c>
      <c r="BW59" s="558">
        <v>0</v>
      </c>
      <c r="BX59" s="558">
        <v>0</v>
      </c>
      <c r="BY59" s="559">
        <v>0</v>
      </c>
      <c r="BZ59" s="560">
        <v>0</v>
      </c>
      <c r="CA59" s="552">
        <f>VLOOKUP($A59,'[1]Post-Consumer Transport'!$C$33:$K$88,3,FALSE)+VLOOKUP($A59,'[1]Post-Consumer Transport'!$C$33:$K$88,4,FALSE)</f>
        <v>2.0254519141196047E-2</v>
      </c>
      <c r="CB59" s="553">
        <f t="shared" si="101"/>
        <v>2.0254519141196047E-2</v>
      </c>
      <c r="CC59" s="549">
        <f t="shared" si="44"/>
        <v>2.0254519141196047E-2</v>
      </c>
      <c r="CD59" s="549">
        <f t="shared" si="45"/>
        <v>2.0254519141196047E-2</v>
      </c>
      <c r="CE59" s="550">
        <f t="shared" si="46"/>
        <v>2.0254519141196047E-2</v>
      </c>
      <c r="CF59" s="557">
        <v>0</v>
      </c>
      <c r="CG59" s="558">
        <v>0</v>
      </c>
      <c r="CH59" s="558">
        <v>0</v>
      </c>
      <c r="CI59" s="559">
        <v>0</v>
      </c>
      <c r="CJ59" s="560">
        <v>0</v>
      </c>
      <c r="CK59" s="552">
        <f>VLOOKUP($A59,'[1]Post-Consumer Transport'!$C$33:$K$88,3,FALSE)+VLOOKUP($A59,'[1]Post-Consumer Transport'!$C$33:$K$88,4,FALSE)</f>
        <v>2.0254519141196047E-2</v>
      </c>
      <c r="CL59" s="553">
        <f t="shared" si="102"/>
        <v>2.0254519141196047E-2</v>
      </c>
      <c r="CM59" s="549">
        <f t="shared" si="48"/>
        <v>2.0254519141196047E-2</v>
      </c>
      <c r="CN59" s="549">
        <f t="shared" si="49"/>
        <v>2.0254519141196047E-2</v>
      </c>
      <c r="CO59" s="550">
        <f t="shared" si="50"/>
        <v>2.0254519141196047E-2</v>
      </c>
      <c r="CP59" s="557">
        <v>0</v>
      </c>
      <c r="CQ59" s="558">
        <v>0</v>
      </c>
      <c r="CR59" s="558">
        <v>0</v>
      </c>
      <c r="CS59" s="559">
        <v>0</v>
      </c>
      <c r="CT59" s="560">
        <v>0</v>
      </c>
      <c r="CU59" s="552">
        <f>VLOOKUP($A59,'[1]Post-Consumer Transport'!$C$33:$K$88,3,FALSE)+VLOOKUP($A59,'[1]Post-Consumer Transport'!$C$33:$K$88,4,FALSE)</f>
        <v>2.0254519141196047E-2</v>
      </c>
      <c r="CV59" s="553">
        <f t="shared" si="103"/>
        <v>2.0254519141196047E-2</v>
      </c>
      <c r="CW59" s="549">
        <f t="shared" si="52"/>
        <v>2.0254519141196047E-2</v>
      </c>
      <c r="CX59" s="549">
        <f t="shared" si="53"/>
        <v>2.0254519141196047E-2</v>
      </c>
      <c r="CY59" s="550">
        <f t="shared" si="54"/>
        <v>2.0254519141196047E-2</v>
      </c>
      <c r="DA59" s="557">
        <v>0</v>
      </c>
      <c r="DB59" s="558">
        <v>0</v>
      </c>
      <c r="DC59" s="558">
        <v>0</v>
      </c>
      <c r="DD59" s="559">
        <v>0</v>
      </c>
      <c r="DE59" s="560">
        <v>0</v>
      </c>
      <c r="DF59" s="552">
        <f>VLOOKUP($A59,'[1]Post-Consumer Transport'!$C$33:$K$88,3,FALSE)+VLOOKUP($A59,'[1]Post-Consumer Transport'!$C$33:$K$88,4,FALSE)</f>
        <v>2.0254519141196047E-2</v>
      </c>
      <c r="DG59" s="553">
        <f t="shared" si="104"/>
        <v>2.0254519141196047E-2</v>
      </c>
      <c r="DH59" s="549">
        <f t="shared" si="56"/>
        <v>2.0254519141196047E-2</v>
      </c>
      <c r="DI59" s="549">
        <f t="shared" si="57"/>
        <v>2.0254519141196047E-2</v>
      </c>
      <c r="DJ59" s="550">
        <f t="shared" si="58"/>
        <v>2.0254519141196047E-2</v>
      </c>
      <c r="DK59" s="557">
        <v>0</v>
      </c>
      <c r="DL59" s="558">
        <v>0</v>
      </c>
      <c r="DM59" s="558">
        <v>0</v>
      </c>
      <c r="DN59" s="559">
        <v>0</v>
      </c>
      <c r="DO59" s="560">
        <v>0</v>
      </c>
      <c r="DP59" s="552">
        <f>VLOOKUP($A59,'[1]Post-Consumer Transport'!$C$33:$K$88,3,FALSE)+VLOOKUP($A59,'[1]Post-Consumer Transport'!$C$33:$K$88,4,FALSE)</f>
        <v>2.0254519141196047E-2</v>
      </c>
      <c r="DQ59" s="553">
        <f t="shared" si="105"/>
        <v>2.0254519141196047E-2</v>
      </c>
      <c r="DR59" s="549">
        <f t="shared" si="60"/>
        <v>2.0254519141196047E-2</v>
      </c>
      <c r="DS59" s="549">
        <f t="shared" si="61"/>
        <v>2.0254519141196047E-2</v>
      </c>
      <c r="DT59" s="550">
        <f t="shared" si="62"/>
        <v>2.0254519141196047E-2</v>
      </c>
      <c r="DU59" s="557">
        <v>0</v>
      </c>
      <c r="DV59" s="558">
        <v>0</v>
      </c>
      <c r="DW59" s="558">
        <v>0</v>
      </c>
      <c r="DX59" s="559">
        <v>0</v>
      </c>
      <c r="DY59" s="560">
        <v>0</v>
      </c>
      <c r="DZ59" s="552">
        <f>VLOOKUP($A59,'[1]Post-Consumer Transport'!$C$33:$K$88,3,FALSE)+VLOOKUP($A59,'[1]Post-Consumer Transport'!$C$33:$K$88,4,FALSE)</f>
        <v>2.0254519141196047E-2</v>
      </c>
      <c r="EA59" s="553">
        <f t="shared" si="106"/>
        <v>2.0254519141196047E-2</v>
      </c>
      <c r="EB59" s="549">
        <f t="shared" si="64"/>
        <v>2.0254519141196047E-2</v>
      </c>
      <c r="EC59" s="549">
        <f t="shared" si="65"/>
        <v>2.0254519141196047E-2</v>
      </c>
      <c r="ED59" s="550">
        <f t="shared" si="66"/>
        <v>2.0254519141196047E-2</v>
      </c>
      <c r="EE59" s="557">
        <v>0</v>
      </c>
      <c r="EF59" s="558">
        <v>0</v>
      </c>
      <c r="EG59" s="558">
        <v>0</v>
      </c>
      <c r="EH59" s="559">
        <v>0</v>
      </c>
      <c r="EI59" s="560">
        <v>0</v>
      </c>
      <c r="EJ59" s="552">
        <f>VLOOKUP($A59,'[1]Post-Consumer Transport'!$C$33:$K$88,3,FALSE)+VLOOKUP($A59,'[1]Post-Consumer Transport'!$C$33:$K$88,4,FALSE)</f>
        <v>2.0254519141196047E-2</v>
      </c>
      <c r="EK59" s="553">
        <f t="shared" si="107"/>
        <v>2.0254519141196047E-2</v>
      </c>
      <c r="EL59" s="549">
        <f t="shared" si="68"/>
        <v>2.0254519141196047E-2</v>
      </c>
      <c r="EM59" s="549">
        <f t="shared" si="69"/>
        <v>2.0254519141196047E-2</v>
      </c>
      <c r="EN59" s="550">
        <f t="shared" si="70"/>
        <v>2.0254519141196047E-2</v>
      </c>
      <c r="EO59" s="557">
        <v>0</v>
      </c>
      <c r="EP59" s="558">
        <v>0</v>
      </c>
      <c r="EQ59" s="558">
        <v>0</v>
      </c>
      <c r="ER59" s="559">
        <v>0</v>
      </c>
      <c r="ES59" s="560">
        <v>0</v>
      </c>
      <c r="ET59" s="552">
        <f>VLOOKUP($A59,'[1]Post-Consumer Transport'!$C$33:$K$88,3,FALSE)+VLOOKUP($A59,'[1]Post-Consumer Transport'!$C$33:$K$88,4,FALSE)</f>
        <v>2.0254519141196047E-2</v>
      </c>
      <c r="EU59" s="553">
        <f t="shared" si="108"/>
        <v>2.0254519141196047E-2</v>
      </c>
      <c r="EV59" s="549">
        <f t="shared" si="72"/>
        <v>2.0254519141196047E-2</v>
      </c>
      <c r="EW59" s="549">
        <f t="shared" si="73"/>
        <v>2.0254519141196047E-2</v>
      </c>
      <c r="EX59" s="550">
        <f t="shared" si="74"/>
        <v>2.0254519141196047E-2</v>
      </c>
      <c r="EZ59" s="557">
        <v>0</v>
      </c>
      <c r="FA59" s="558">
        <v>0</v>
      </c>
      <c r="FB59" s="558">
        <v>0</v>
      </c>
      <c r="FC59" s="559">
        <v>0</v>
      </c>
      <c r="FD59" s="560">
        <v>0</v>
      </c>
      <c r="FE59" s="552">
        <f>VLOOKUP($A59,'[1]Post-Consumer Transport'!$C$33:$K$88,3,FALSE)+VLOOKUP($A59,'[1]Post-Consumer Transport'!$C$33:$K$88,4,FALSE)</f>
        <v>2.0254519141196047E-2</v>
      </c>
      <c r="FF59" s="553">
        <f t="shared" si="109"/>
        <v>2.0254519141196047E-2</v>
      </c>
      <c r="FG59" s="549">
        <f t="shared" si="76"/>
        <v>2.0254519141196047E-2</v>
      </c>
      <c r="FH59" s="549">
        <f t="shared" si="77"/>
        <v>2.0254519141196047E-2</v>
      </c>
      <c r="FI59" s="550">
        <f t="shared" si="78"/>
        <v>2.0254519141196047E-2</v>
      </c>
      <c r="FJ59" s="557">
        <v>0</v>
      </c>
      <c r="FK59" s="558">
        <v>0</v>
      </c>
      <c r="FL59" s="558">
        <v>0</v>
      </c>
      <c r="FM59" s="559">
        <v>0</v>
      </c>
      <c r="FN59" s="560">
        <v>0</v>
      </c>
      <c r="FO59" s="552">
        <f>VLOOKUP($A59,'[1]Post-Consumer Transport'!$C$33:$K$88,3,FALSE)+VLOOKUP($A59,'[1]Post-Consumer Transport'!$C$33:$K$88,4,FALSE)</f>
        <v>2.0254519141196047E-2</v>
      </c>
      <c r="FP59" s="553">
        <f t="shared" si="110"/>
        <v>2.0254519141196047E-2</v>
      </c>
      <c r="FQ59" s="549">
        <f t="shared" si="80"/>
        <v>2.0254519141196047E-2</v>
      </c>
      <c r="FR59" s="549">
        <f t="shared" si="81"/>
        <v>2.0254519141196047E-2</v>
      </c>
      <c r="FS59" s="550">
        <f t="shared" si="82"/>
        <v>2.0254519141196047E-2</v>
      </c>
      <c r="FT59" s="557">
        <v>0</v>
      </c>
      <c r="FU59" s="558">
        <v>0</v>
      </c>
      <c r="FV59" s="558">
        <v>0</v>
      </c>
      <c r="FW59" s="559">
        <v>0</v>
      </c>
      <c r="FX59" s="560">
        <v>0</v>
      </c>
      <c r="FY59" s="552">
        <f>VLOOKUP($A59,'[1]Post-Consumer Transport'!$C$33:$K$88,3,FALSE)+VLOOKUP($A59,'[1]Post-Consumer Transport'!$C$33:$K$88,4,FALSE)</f>
        <v>2.0254519141196047E-2</v>
      </c>
      <c r="FZ59" s="553">
        <f t="shared" si="111"/>
        <v>2.0254519141196047E-2</v>
      </c>
      <c r="GA59" s="549">
        <f t="shared" si="84"/>
        <v>2.0254519141196047E-2</v>
      </c>
      <c r="GB59" s="549">
        <f t="shared" si="85"/>
        <v>2.0254519141196047E-2</v>
      </c>
      <c r="GC59" s="550">
        <f t="shared" si="86"/>
        <v>2.0254519141196047E-2</v>
      </c>
      <c r="GD59" s="557">
        <v>0</v>
      </c>
      <c r="GE59" s="558">
        <v>0</v>
      </c>
      <c r="GF59" s="558">
        <v>0</v>
      </c>
      <c r="GG59" s="559">
        <v>0</v>
      </c>
      <c r="GH59" s="560">
        <v>0</v>
      </c>
      <c r="GI59" s="552">
        <f>VLOOKUP($A59,'[1]Post-Consumer Transport'!$C$33:$K$88,3,FALSE)+VLOOKUP($A59,'[1]Post-Consumer Transport'!$C$33:$K$88,4,FALSE)</f>
        <v>2.0254519141196047E-2</v>
      </c>
      <c r="GJ59" s="553">
        <f t="shared" si="112"/>
        <v>2.0254519141196047E-2</v>
      </c>
      <c r="GK59" s="549">
        <f t="shared" si="88"/>
        <v>2.0254519141196047E-2</v>
      </c>
      <c r="GL59" s="549">
        <f t="shared" si="89"/>
        <v>2.0254519141196047E-2</v>
      </c>
      <c r="GM59" s="550">
        <f t="shared" si="90"/>
        <v>2.0254519141196047E-2</v>
      </c>
      <c r="GN59" s="557">
        <v>0</v>
      </c>
      <c r="GO59" s="558">
        <v>0</v>
      </c>
      <c r="GP59" s="558">
        <v>0</v>
      </c>
      <c r="GQ59" s="559">
        <v>0</v>
      </c>
      <c r="GR59" s="560">
        <v>0</v>
      </c>
      <c r="GS59" s="552">
        <f>VLOOKUP($A59,'[1]Post-Consumer Transport'!$C$33:$K$88,3,FALSE)+VLOOKUP($A59,'[1]Post-Consumer Transport'!$C$33:$K$88,4,FALSE)</f>
        <v>2.0254519141196047E-2</v>
      </c>
      <c r="GT59" s="553">
        <f t="shared" si="113"/>
        <v>2.0254519141196047E-2</v>
      </c>
      <c r="GU59" s="549">
        <f t="shared" si="92"/>
        <v>2.0254519141196047E-2</v>
      </c>
      <c r="GV59" s="549">
        <f t="shared" si="93"/>
        <v>2.0254519141196047E-2</v>
      </c>
      <c r="GW59" s="550">
        <f t="shared" si="94"/>
        <v>2.0254519141196047E-2</v>
      </c>
    </row>
    <row r="60" spans="1:205" x14ac:dyDescent="0.25">
      <c r="A60" s="494" t="s">
        <v>55</v>
      </c>
      <c r="B60" s="561" t="s">
        <v>55</v>
      </c>
      <c r="C60" s="622">
        <f>VLOOKUP($A60,[1]!LandfillTypicalK2,C$7,FALSE)</f>
        <v>0</v>
      </c>
      <c r="D60" s="623">
        <f>VLOOKUP($A60,[1]!LandfillTypicalK2,D$7,FALSE)</f>
        <v>0</v>
      </c>
      <c r="E60" s="538">
        <f>VLOOKUP($A60,[1]!LandfillTypicalK2,E$7,FALSE)</f>
        <v>0</v>
      </c>
      <c r="F60" s="621">
        <f>VLOOKUP($A60,[1]!LandfillTypicalK2,F$7,FALSE)</f>
        <v>0</v>
      </c>
      <c r="G60" s="540">
        <f>-1*VLOOKUP("Gypsum",[1]Landfilling!$N$27:$R$41,5,FALSE)</f>
        <v>-8.1295848500533341E-2</v>
      </c>
      <c r="H60" s="541">
        <f>VLOOKUP($A60,'[1]Post-Consumer Transport'!$C$33:$K$88,3,FALSE)+VLOOKUP($A60,'[1]Post-Consumer Transport'!$C$33:$K$88,4,FALSE)</f>
        <v>2.0254519141196047E-2</v>
      </c>
      <c r="I60" s="542">
        <f t="shared" si="17"/>
        <v>-6.1041329359337294E-2</v>
      </c>
      <c r="J60" s="538">
        <f t="shared" si="18"/>
        <v>-6.1041329359337294E-2</v>
      </c>
      <c r="K60" s="538">
        <f t="shared" si="18"/>
        <v>-6.1041329359337294E-2</v>
      </c>
      <c r="L60" s="539">
        <f t="shared" si="18"/>
        <v>-6.1041329359337294E-2</v>
      </c>
      <c r="M60" s="537">
        <f>VLOOKUP($A60,[1]!LandfillTypicalK4,M$7,FALSE)</f>
        <v>0</v>
      </c>
      <c r="N60" s="538">
        <f>VLOOKUP($A60,[1]!LandfillTypicalK4,N$7,FALSE)</f>
        <v>0</v>
      </c>
      <c r="O60" s="538">
        <f>VLOOKUP($A60,[1]!LandfillTypicalK4,O$7,FALSE)</f>
        <v>0</v>
      </c>
      <c r="P60" s="539">
        <f>VLOOKUP($A60,[1]!LandfillTypicalK4,P$7,FALSE)</f>
        <v>0</v>
      </c>
      <c r="Q60" s="540">
        <f>-1*VLOOKUP("Gypsum",[1]Landfilling!$N$27:$R$41,5,FALSE)</f>
        <v>-8.1295848500533341E-2</v>
      </c>
      <c r="R60" s="541">
        <f>VLOOKUP($A60,'[1]Post-Consumer Transport'!$C$33:$K$88,3,FALSE)+VLOOKUP($A60,'[1]Post-Consumer Transport'!$C$33:$K$88,4,FALSE)</f>
        <v>2.0254519141196047E-2</v>
      </c>
      <c r="S60" s="542">
        <f t="shared" si="95"/>
        <v>-6.1041329359337294E-2</v>
      </c>
      <c r="T60" s="538">
        <f t="shared" si="20"/>
        <v>-6.1041329359337294E-2</v>
      </c>
      <c r="U60" s="538">
        <f t="shared" si="21"/>
        <v>-6.1041329359337294E-2</v>
      </c>
      <c r="V60" s="539">
        <f t="shared" si="22"/>
        <v>-6.1041329359337294E-2</v>
      </c>
      <c r="W60" s="537">
        <f>VLOOKUP($A60,[1]!LandfillTypicalK6,W$7,FALSE)</f>
        <v>0</v>
      </c>
      <c r="X60" s="538">
        <f>VLOOKUP($A60,[1]!LandfillTypicalK6,X$7,FALSE)</f>
        <v>0</v>
      </c>
      <c r="Y60" s="538">
        <f>VLOOKUP($A60,[1]!LandfillTypicalK6,Y$7,FALSE)</f>
        <v>0</v>
      </c>
      <c r="Z60" s="539">
        <f>VLOOKUP($A60,[1]!LandfillTypicalK6,Z$7,FALSE)</f>
        <v>0</v>
      </c>
      <c r="AA60" s="540">
        <f>-1*VLOOKUP("Gypsum",[1]Landfilling!$N$27:$R$41,5,FALSE)</f>
        <v>-8.1295848500533341E-2</v>
      </c>
      <c r="AB60" s="541">
        <f>VLOOKUP($A60,'[1]Post-Consumer Transport'!$C$33:$K$88,3,FALSE)+VLOOKUP($A60,'[1]Post-Consumer Transport'!$C$33:$K$88,4,FALSE)</f>
        <v>2.0254519141196047E-2</v>
      </c>
      <c r="AC60" s="542">
        <f t="shared" si="96"/>
        <v>-6.1041329359337294E-2</v>
      </c>
      <c r="AD60" s="538">
        <f t="shared" si="24"/>
        <v>-6.1041329359337294E-2</v>
      </c>
      <c r="AE60" s="538">
        <f t="shared" si="25"/>
        <v>-6.1041329359337294E-2</v>
      </c>
      <c r="AF60" s="539">
        <f t="shared" si="26"/>
        <v>-6.1041329359337294E-2</v>
      </c>
      <c r="AG60" s="537">
        <f>VLOOKUP($A60,[1]!LandfillTypicalK12,AG$7,FALSE)</f>
        <v>0</v>
      </c>
      <c r="AH60" s="538">
        <f>VLOOKUP($A60,[1]!LandfillTypicalK12,AH$7,FALSE)</f>
        <v>0</v>
      </c>
      <c r="AI60" s="538">
        <f>VLOOKUP($A60,[1]!LandfillTypicalK12,AI$7,FALSE)</f>
        <v>0</v>
      </c>
      <c r="AJ60" s="539">
        <f>VLOOKUP($A60,[1]!LandfillTypicalK12,AJ$7,FALSE)</f>
        <v>0</v>
      </c>
      <c r="AK60" s="540">
        <f>-1*VLOOKUP("Gypsum",[1]Landfilling!$N$27:$R$41,5,FALSE)</f>
        <v>-8.1295848500533341E-2</v>
      </c>
      <c r="AL60" s="541">
        <f>VLOOKUP($A60,'[1]Post-Consumer Transport'!$C$33:$K$88,3,FALSE)+VLOOKUP($A60,'[1]Post-Consumer Transport'!$C$33:$K$88,4,FALSE)</f>
        <v>2.0254519141196047E-2</v>
      </c>
      <c r="AM60" s="542">
        <f t="shared" si="97"/>
        <v>-6.1041329359337294E-2</v>
      </c>
      <c r="AN60" s="538">
        <f t="shared" si="28"/>
        <v>-6.1041329359337294E-2</v>
      </c>
      <c r="AO60" s="538">
        <f t="shared" si="29"/>
        <v>-6.1041329359337294E-2</v>
      </c>
      <c r="AP60" s="539">
        <f t="shared" si="30"/>
        <v>-6.1041329359337294E-2</v>
      </c>
      <c r="AQ60" s="537">
        <f>VLOOKUP($A60,[1]!LandfillTypicalNatlAverage,AQ$7,FALSE)</f>
        <v>0</v>
      </c>
      <c r="AR60" s="538">
        <f>VLOOKUP($A60,[1]!LandfillTypicalNatlAverage,AR$7,FALSE)</f>
        <v>0</v>
      </c>
      <c r="AS60" s="538">
        <f>VLOOKUP($A60,[1]!LandfillTypicalNatlAverage,AS$7,FALSE)</f>
        <v>0</v>
      </c>
      <c r="AT60" s="539">
        <f>VLOOKUP($A60,[1]!LandfillTypicalNatlAverage,AT$7,FALSE)</f>
        <v>0</v>
      </c>
      <c r="AU60" s="540">
        <f>-1*VLOOKUP("Gypsum",[1]Landfilling!$N$27:$R$41,5,FALSE)</f>
        <v>-8.1295848500533341E-2</v>
      </c>
      <c r="AV60" s="541">
        <f>VLOOKUP($A60,'[1]Post-Consumer Transport'!$C$33:$K$88,3,FALSE)+VLOOKUP($A60,'[1]Post-Consumer Transport'!$C$33:$K$88,4,FALSE)</f>
        <v>2.0254519141196047E-2</v>
      </c>
      <c r="AW60" s="542">
        <f t="shared" si="98"/>
        <v>-6.1041329359337294E-2</v>
      </c>
      <c r="AX60" s="538">
        <f t="shared" si="32"/>
        <v>-6.1041329359337294E-2</v>
      </c>
      <c r="AY60" s="538">
        <f t="shared" si="33"/>
        <v>-6.1041329359337294E-2</v>
      </c>
      <c r="AZ60" s="539">
        <f t="shared" si="34"/>
        <v>-6.1041329359337294E-2</v>
      </c>
      <c r="BB60" s="537">
        <f>VLOOKUP($A60,[1]!LandfillAggressiveK2,BB$7,FALSE)</f>
        <v>0</v>
      </c>
      <c r="BC60" s="538">
        <f>VLOOKUP($A60,[1]!LandfillAggressiveK2,BC$7,FALSE)</f>
        <v>0</v>
      </c>
      <c r="BD60" s="538">
        <f>VLOOKUP($A60,[1]!LandfillAggressiveK2,BD$7,FALSE)</f>
        <v>0</v>
      </c>
      <c r="BE60" s="539">
        <f>VLOOKUP($A60,[1]!LandfillAggressiveK2,BE$7,FALSE)</f>
        <v>0</v>
      </c>
      <c r="BF60" s="540">
        <f>-1*VLOOKUP("Gypsum",[1]Landfilling!$N$27:$R$41,5,FALSE)</f>
        <v>-8.1295848500533341E-2</v>
      </c>
      <c r="BG60" s="541">
        <f>VLOOKUP($A60,'[1]Post-Consumer Transport'!$C$33:$K$88,3,FALSE)+VLOOKUP($A60,'[1]Post-Consumer Transport'!$C$33:$K$88,4,FALSE)</f>
        <v>2.0254519141196047E-2</v>
      </c>
      <c r="BH60" s="542">
        <f t="shared" si="99"/>
        <v>-6.1041329359337294E-2</v>
      </c>
      <c r="BI60" s="538">
        <f t="shared" si="36"/>
        <v>-6.1041329359337294E-2</v>
      </c>
      <c r="BJ60" s="538">
        <f t="shared" si="37"/>
        <v>-6.1041329359337294E-2</v>
      </c>
      <c r="BK60" s="539">
        <f t="shared" si="38"/>
        <v>-6.1041329359337294E-2</v>
      </c>
      <c r="BL60" s="881">
        <f>VLOOKUP($A60,[1]!LandfillAggressiveK4,BL$7,FALSE)</f>
        <v>0</v>
      </c>
      <c r="BM60" s="882">
        <f>VLOOKUP($A60,[1]!LandfillAggressiveK4,BM$7,FALSE)</f>
        <v>0</v>
      </c>
      <c r="BN60" s="882">
        <f>VLOOKUP($A60,[1]!LandfillAggressiveK4,BN$7,FALSE)</f>
        <v>0</v>
      </c>
      <c r="BO60" s="883">
        <f>VLOOKUP($A60,[1]!LandfillAggressiveK4,BO$7,FALSE)</f>
        <v>0</v>
      </c>
      <c r="BP60" s="884">
        <f>-1*VLOOKUP("Gypsum",[1]Landfilling!$N$27:$R$41,5,FALSE)</f>
        <v>-8.1295848500533341E-2</v>
      </c>
      <c r="BQ60" s="885">
        <f>VLOOKUP($A60,'[1]Post-Consumer Transport'!$C$33:$K$88,3,FALSE)+VLOOKUP($A60,'[1]Post-Consumer Transport'!$C$33:$K$88,4,FALSE)</f>
        <v>2.0254519141196047E-2</v>
      </c>
      <c r="BR60" s="886">
        <f t="shared" si="100"/>
        <v>-6.1041329359337294E-2</v>
      </c>
      <c r="BS60" s="882">
        <f t="shared" si="40"/>
        <v>-6.1041329359337294E-2</v>
      </c>
      <c r="BT60" s="882">
        <f t="shared" si="41"/>
        <v>-6.1041329359337294E-2</v>
      </c>
      <c r="BU60" s="883">
        <f t="shared" si="42"/>
        <v>-6.1041329359337294E-2</v>
      </c>
      <c r="BV60" s="537">
        <f>VLOOKUP($A60,[1]!LandfillAggressiveK6,BV$7,FALSE)</f>
        <v>0</v>
      </c>
      <c r="BW60" s="538">
        <f>VLOOKUP($A60,[1]!LandfillAggressiveK6,BW$7,FALSE)</f>
        <v>0</v>
      </c>
      <c r="BX60" s="538">
        <f>VLOOKUP($A60,[1]!LandfillAggressiveK6,BX$7,FALSE)</f>
        <v>0</v>
      </c>
      <c r="BY60" s="539">
        <f>VLOOKUP($A60,[1]!LandfillAggressiveK6,BY$7,FALSE)</f>
        <v>0</v>
      </c>
      <c r="BZ60" s="540">
        <f>-1*VLOOKUP("Gypsum",[1]Landfilling!$N$27:$R$41,5,FALSE)</f>
        <v>-8.1295848500533341E-2</v>
      </c>
      <c r="CA60" s="541">
        <f>VLOOKUP($A60,'[1]Post-Consumer Transport'!$C$33:$K$88,3,FALSE)+VLOOKUP($A60,'[1]Post-Consumer Transport'!$C$33:$K$88,4,FALSE)</f>
        <v>2.0254519141196047E-2</v>
      </c>
      <c r="CB60" s="542">
        <f t="shared" si="101"/>
        <v>-6.1041329359337294E-2</v>
      </c>
      <c r="CC60" s="538">
        <f t="shared" si="44"/>
        <v>-6.1041329359337294E-2</v>
      </c>
      <c r="CD60" s="538">
        <f t="shared" si="45"/>
        <v>-6.1041329359337294E-2</v>
      </c>
      <c r="CE60" s="539">
        <f t="shared" si="46"/>
        <v>-6.1041329359337294E-2</v>
      </c>
      <c r="CF60" s="537">
        <f>VLOOKUP($A60,[1]!LandfillAggressiveK12,CF$7,FALSE)</f>
        <v>0</v>
      </c>
      <c r="CG60" s="538">
        <f>VLOOKUP($A60,[1]!LandfillAggressiveK12,CG$7,FALSE)</f>
        <v>0</v>
      </c>
      <c r="CH60" s="538">
        <f>VLOOKUP($A60,[1]!LandfillAggressiveK12,CH$7,FALSE)</f>
        <v>0</v>
      </c>
      <c r="CI60" s="539">
        <f>VLOOKUP($A60,[1]!LandfillAggressiveK12,CI$7,FALSE)</f>
        <v>0</v>
      </c>
      <c r="CJ60" s="540">
        <f>-1*VLOOKUP("Gypsum",[1]Landfilling!$N$27:$R$41,5,FALSE)</f>
        <v>-8.1295848500533341E-2</v>
      </c>
      <c r="CK60" s="541">
        <f>VLOOKUP($A60,'[1]Post-Consumer Transport'!$C$33:$K$88,3,FALSE)+VLOOKUP($A60,'[1]Post-Consumer Transport'!$C$33:$K$88,4,FALSE)</f>
        <v>2.0254519141196047E-2</v>
      </c>
      <c r="CL60" s="542">
        <f t="shared" si="102"/>
        <v>-6.1041329359337294E-2</v>
      </c>
      <c r="CM60" s="538">
        <f t="shared" si="48"/>
        <v>-6.1041329359337294E-2</v>
      </c>
      <c r="CN60" s="538">
        <f t="shared" si="49"/>
        <v>-6.1041329359337294E-2</v>
      </c>
      <c r="CO60" s="539">
        <f t="shared" si="50"/>
        <v>-6.1041329359337294E-2</v>
      </c>
      <c r="CP60" s="537">
        <f>VLOOKUP($A60,[1]!LandfillAggressiveNatlAverage,CP$7,FALSE)</f>
        <v>0</v>
      </c>
      <c r="CQ60" s="538">
        <f>VLOOKUP($A60,[1]!LandfillAggressiveNatlAverage,CQ$7,FALSE)</f>
        <v>0</v>
      </c>
      <c r="CR60" s="538">
        <f>VLOOKUP($A60,[1]!LandfillAggressiveNatlAverage,CR$7,FALSE)</f>
        <v>0</v>
      </c>
      <c r="CS60" s="539">
        <f>VLOOKUP($A60,[1]!LandfillAggressiveNatlAverage,CS$7,FALSE)</f>
        <v>0</v>
      </c>
      <c r="CT60" s="540">
        <f>-1*VLOOKUP("Gypsum",[1]Landfilling!$N$27:$R$41,5,FALSE)</f>
        <v>-8.1295848500533341E-2</v>
      </c>
      <c r="CU60" s="541">
        <f>VLOOKUP($A60,'[1]Post-Consumer Transport'!$C$33:$K$88,3,FALSE)+VLOOKUP($A60,'[1]Post-Consumer Transport'!$C$33:$K$88,4,FALSE)</f>
        <v>2.0254519141196047E-2</v>
      </c>
      <c r="CV60" s="542">
        <f t="shared" si="103"/>
        <v>-6.1041329359337294E-2</v>
      </c>
      <c r="CW60" s="538">
        <f t="shared" si="52"/>
        <v>-6.1041329359337294E-2</v>
      </c>
      <c r="CX60" s="538">
        <f t="shared" si="53"/>
        <v>-6.1041329359337294E-2</v>
      </c>
      <c r="CY60" s="539">
        <f t="shared" si="54"/>
        <v>-6.1041329359337294E-2</v>
      </c>
      <c r="DA60" s="537">
        <f>VLOOKUP($A60,[1]!LandfillWorstK2,DA$7,FALSE)</f>
        <v>0</v>
      </c>
      <c r="DB60" s="538">
        <f>VLOOKUP($A60,[1]!LandfillWorstK2,DB$7,FALSE)</f>
        <v>0</v>
      </c>
      <c r="DC60" s="538">
        <f>VLOOKUP($A60,[1]!LandfillWorstK2,DC$7,FALSE)</f>
        <v>0</v>
      </c>
      <c r="DD60" s="539">
        <f>VLOOKUP($A60,[1]!LandfillWorstK2,DD$7,FALSE)</f>
        <v>0</v>
      </c>
      <c r="DE60" s="540">
        <f>-1*VLOOKUP("Gypsum",[1]Landfilling!$N$27:$R$41,5,FALSE)</f>
        <v>-8.1295848500533341E-2</v>
      </c>
      <c r="DF60" s="541">
        <f>VLOOKUP($A60,'[1]Post-Consumer Transport'!$C$33:$K$88,3,FALSE)+VLOOKUP($A60,'[1]Post-Consumer Transport'!$C$33:$K$88,4,FALSE)</f>
        <v>2.0254519141196047E-2</v>
      </c>
      <c r="DG60" s="542">
        <f t="shared" si="104"/>
        <v>-6.1041329359337294E-2</v>
      </c>
      <c r="DH60" s="538">
        <f t="shared" si="56"/>
        <v>-6.1041329359337294E-2</v>
      </c>
      <c r="DI60" s="538">
        <f t="shared" si="57"/>
        <v>-6.1041329359337294E-2</v>
      </c>
      <c r="DJ60" s="539">
        <f t="shared" si="58"/>
        <v>-6.1041329359337294E-2</v>
      </c>
      <c r="DK60" s="537">
        <f>VLOOKUP($A60,[1]!LandfillWorstK4,DK$7,FALSE)</f>
        <v>0</v>
      </c>
      <c r="DL60" s="538">
        <f>VLOOKUP($A60,[1]!LandfillWorstK4,DL$7,FALSE)</f>
        <v>0</v>
      </c>
      <c r="DM60" s="538">
        <f>VLOOKUP($A60,[1]!LandfillWorstK4,DM$7,FALSE)</f>
        <v>0</v>
      </c>
      <c r="DN60" s="539">
        <f>VLOOKUP($A60,[1]!LandfillWorstK4,DN$7,FALSE)</f>
        <v>0</v>
      </c>
      <c r="DO60" s="540">
        <f>-1*VLOOKUP("Gypsum",[1]Landfilling!$N$27:$R$41,5,FALSE)</f>
        <v>-8.1295848500533341E-2</v>
      </c>
      <c r="DP60" s="541">
        <f>VLOOKUP($A60,'[1]Post-Consumer Transport'!$C$33:$K$88,3,FALSE)+VLOOKUP($A60,'[1]Post-Consumer Transport'!$C$33:$K$88,4,FALSE)</f>
        <v>2.0254519141196047E-2</v>
      </c>
      <c r="DQ60" s="542">
        <f t="shared" si="105"/>
        <v>-6.1041329359337294E-2</v>
      </c>
      <c r="DR60" s="538">
        <f t="shared" si="60"/>
        <v>-6.1041329359337294E-2</v>
      </c>
      <c r="DS60" s="538">
        <f t="shared" si="61"/>
        <v>-6.1041329359337294E-2</v>
      </c>
      <c r="DT60" s="539">
        <f t="shared" si="62"/>
        <v>-6.1041329359337294E-2</v>
      </c>
      <c r="DU60" s="537">
        <f>VLOOKUP($A60,[1]!LandfillWorstK6,DU$7,FALSE)</f>
        <v>0</v>
      </c>
      <c r="DV60" s="538">
        <f>VLOOKUP($A60,[1]!LandfillWorstK6,DV$7,FALSE)</f>
        <v>0</v>
      </c>
      <c r="DW60" s="538">
        <f>VLOOKUP($A60,[1]!LandfillWorstK6,DW$7,FALSE)</f>
        <v>0</v>
      </c>
      <c r="DX60" s="539">
        <f>VLOOKUP($A60,[1]!LandfillWorstK6,DX$7,FALSE)</f>
        <v>0</v>
      </c>
      <c r="DY60" s="540">
        <f>-1*VLOOKUP("Gypsum",[1]Landfilling!$N$27:$R$41,5,FALSE)</f>
        <v>-8.1295848500533341E-2</v>
      </c>
      <c r="DZ60" s="541">
        <f>VLOOKUP($A60,'[1]Post-Consumer Transport'!$C$33:$K$88,3,FALSE)+VLOOKUP($A60,'[1]Post-Consumer Transport'!$C$33:$K$88,4,FALSE)</f>
        <v>2.0254519141196047E-2</v>
      </c>
      <c r="EA60" s="542">
        <f t="shared" si="106"/>
        <v>-6.1041329359337294E-2</v>
      </c>
      <c r="EB60" s="538">
        <f t="shared" si="64"/>
        <v>-6.1041329359337294E-2</v>
      </c>
      <c r="EC60" s="538">
        <f t="shared" si="65"/>
        <v>-6.1041329359337294E-2</v>
      </c>
      <c r="ED60" s="539">
        <f t="shared" si="66"/>
        <v>-6.1041329359337294E-2</v>
      </c>
      <c r="EE60" s="537">
        <f>VLOOKUP($A60,[1]!LandfillWorstK12,EE$7,FALSE)</f>
        <v>0</v>
      </c>
      <c r="EF60" s="538">
        <f>VLOOKUP($A60,[1]!LandfillWorstK12,EF$7,FALSE)</f>
        <v>0</v>
      </c>
      <c r="EG60" s="538">
        <f>VLOOKUP($A60,[1]!LandfillWorstK12,EG$7,FALSE)</f>
        <v>0</v>
      </c>
      <c r="EH60" s="539">
        <f>VLOOKUP($A60,[1]!LandfillWorstK12,EH$7,FALSE)</f>
        <v>0</v>
      </c>
      <c r="EI60" s="540">
        <f>-1*VLOOKUP("Gypsum",[1]Landfilling!$N$27:$R$41,5,FALSE)</f>
        <v>-8.1295848500533341E-2</v>
      </c>
      <c r="EJ60" s="541">
        <f>VLOOKUP($A60,'[1]Post-Consumer Transport'!$C$33:$K$88,3,FALSE)+VLOOKUP($A60,'[1]Post-Consumer Transport'!$C$33:$K$88,4,FALSE)</f>
        <v>2.0254519141196047E-2</v>
      </c>
      <c r="EK60" s="542">
        <f t="shared" si="107"/>
        <v>-6.1041329359337294E-2</v>
      </c>
      <c r="EL60" s="538">
        <f t="shared" si="68"/>
        <v>-6.1041329359337294E-2</v>
      </c>
      <c r="EM60" s="538">
        <f t="shared" si="69"/>
        <v>-6.1041329359337294E-2</v>
      </c>
      <c r="EN60" s="539">
        <f t="shared" si="70"/>
        <v>-6.1041329359337294E-2</v>
      </c>
      <c r="EO60" s="537">
        <f>VLOOKUP($A60,[1]!LandfillWorstNatlAverage,EO$7,FALSE)</f>
        <v>0</v>
      </c>
      <c r="EP60" s="538">
        <f>VLOOKUP($A60,[1]!LandfillWorstNatlAverage,EP$7,FALSE)</f>
        <v>0</v>
      </c>
      <c r="EQ60" s="538">
        <f>VLOOKUP($A60,[1]!LandfillWorstNatlAverage,EQ$7,FALSE)</f>
        <v>0</v>
      </c>
      <c r="ER60" s="539">
        <f>VLOOKUP($A60,[1]!LandfillWorstNatlAverage,ER$7,FALSE)</f>
        <v>0</v>
      </c>
      <c r="ES60" s="540">
        <f>-1*VLOOKUP("Gypsum",[1]Landfilling!$N$27:$R$41,5,FALSE)</f>
        <v>-8.1295848500533341E-2</v>
      </c>
      <c r="ET60" s="541">
        <f>VLOOKUP($A60,'[1]Post-Consumer Transport'!$C$33:$K$88,3,FALSE)+VLOOKUP($A60,'[1]Post-Consumer Transport'!$C$33:$K$88,4,FALSE)</f>
        <v>2.0254519141196047E-2</v>
      </c>
      <c r="EU60" s="542">
        <f t="shared" si="108"/>
        <v>-6.1041329359337294E-2</v>
      </c>
      <c r="EV60" s="538">
        <f t="shared" si="72"/>
        <v>-6.1041329359337294E-2</v>
      </c>
      <c r="EW60" s="538">
        <f t="shared" si="73"/>
        <v>-6.1041329359337294E-2</v>
      </c>
      <c r="EX60" s="539">
        <f t="shared" si="74"/>
        <v>-6.1041329359337294E-2</v>
      </c>
      <c r="EZ60" s="537">
        <f>VLOOKUP($A60,[1]!LandfillCaliK2,EZ$7,FALSE)</f>
        <v>0</v>
      </c>
      <c r="FA60" s="538">
        <f>VLOOKUP($A60,[1]!LandfillCaliK2,FA$7,FALSE)</f>
        <v>0</v>
      </c>
      <c r="FB60" s="538">
        <f>VLOOKUP($A60,[1]!LandfillCaliK2,FB$7,FALSE)</f>
        <v>0</v>
      </c>
      <c r="FC60" s="539">
        <f>VLOOKUP($A60,[1]!LandfillCaliK2,FC$7,FALSE)</f>
        <v>0</v>
      </c>
      <c r="FD60" s="540">
        <f>-1*VLOOKUP("Gypsum",[1]Landfilling!$N$27:$R$41,5,FALSE)</f>
        <v>-8.1295848500533341E-2</v>
      </c>
      <c r="FE60" s="541">
        <f>VLOOKUP($A60,'[1]Post-Consumer Transport'!$C$33:$K$88,3,FALSE)+VLOOKUP($A60,'[1]Post-Consumer Transport'!$C$33:$K$88,4,FALSE)</f>
        <v>2.0254519141196047E-2</v>
      </c>
      <c r="FF60" s="542">
        <f t="shared" si="109"/>
        <v>-6.1041329359337294E-2</v>
      </c>
      <c r="FG60" s="538">
        <f t="shared" si="76"/>
        <v>-6.1041329359337294E-2</v>
      </c>
      <c r="FH60" s="538">
        <f t="shared" si="77"/>
        <v>-6.1041329359337294E-2</v>
      </c>
      <c r="FI60" s="539">
        <f t="shared" si="78"/>
        <v>-6.1041329359337294E-2</v>
      </c>
      <c r="FJ60" s="537">
        <f>VLOOKUP($A60,[1]!LandfillCaliK4,FJ$7,FALSE)</f>
        <v>0</v>
      </c>
      <c r="FK60" s="538">
        <f>VLOOKUP($A60,[1]!LandfillCaliK4,FK$7,FALSE)</f>
        <v>0</v>
      </c>
      <c r="FL60" s="538">
        <f>VLOOKUP($A60,[1]!LandfillCaliK4,FL$7,FALSE)</f>
        <v>0</v>
      </c>
      <c r="FM60" s="539">
        <f>VLOOKUP($A60,[1]!LandfillCaliK4,FM$7,FALSE)</f>
        <v>0</v>
      </c>
      <c r="FN60" s="540">
        <f>-1*VLOOKUP("Gypsum",[1]Landfilling!$N$27:$R$41,5,FALSE)</f>
        <v>-8.1295848500533341E-2</v>
      </c>
      <c r="FO60" s="541">
        <f>VLOOKUP($A60,'[1]Post-Consumer Transport'!$C$33:$K$88,3,FALSE)+VLOOKUP($A60,'[1]Post-Consumer Transport'!$C$33:$K$88,4,FALSE)</f>
        <v>2.0254519141196047E-2</v>
      </c>
      <c r="FP60" s="542">
        <f t="shared" si="110"/>
        <v>-6.1041329359337294E-2</v>
      </c>
      <c r="FQ60" s="538">
        <f t="shared" si="80"/>
        <v>-6.1041329359337294E-2</v>
      </c>
      <c r="FR60" s="538">
        <f t="shared" si="81"/>
        <v>-6.1041329359337294E-2</v>
      </c>
      <c r="FS60" s="539">
        <f t="shared" si="82"/>
        <v>-6.1041329359337294E-2</v>
      </c>
      <c r="FT60" s="537">
        <f>VLOOKUP($A60,[1]!LandfillCaliK6,FT$7,FALSE)</f>
        <v>0</v>
      </c>
      <c r="FU60" s="538">
        <f>VLOOKUP($A60,[1]!LandfillCaliK6,FU$7,FALSE)</f>
        <v>0</v>
      </c>
      <c r="FV60" s="538">
        <f>VLOOKUP($A60,[1]!LandfillCaliK6,FV$7,FALSE)</f>
        <v>0</v>
      </c>
      <c r="FW60" s="539">
        <f>VLOOKUP($A60,[1]!LandfillCaliK6,FW$7,FALSE)</f>
        <v>0</v>
      </c>
      <c r="FX60" s="540">
        <f>-1*VLOOKUP("Gypsum",[1]Landfilling!$N$27:$R$41,5,FALSE)</f>
        <v>-8.1295848500533341E-2</v>
      </c>
      <c r="FY60" s="541">
        <f>VLOOKUP($A60,'[1]Post-Consumer Transport'!$C$33:$K$88,3,FALSE)+VLOOKUP($A60,'[1]Post-Consumer Transport'!$C$33:$K$88,4,FALSE)</f>
        <v>2.0254519141196047E-2</v>
      </c>
      <c r="FZ60" s="542">
        <f t="shared" si="111"/>
        <v>-6.1041329359337294E-2</v>
      </c>
      <c r="GA60" s="538">
        <f t="shared" si="84"/>
        <v>-6.1041329359337294E-2</v>
      </c>
      <c r="GB60" s="538">
        <f t="shared" si="85"/>
        <v>-6.1041329359337294E-2</v>
      </c>
      <c r="GC60" s="539">
        <f t="shared" si="86"/>
        <v>-6.1041329359337294E-2</v>
      </c>
      <c r="GD60" s="537">
        <f>VLOOKUP($A60,[1]!LandfillCaliK12,GD$7,FALSE)</f>
        <v>0</v>
      </c>
      <c r="GE60" s="538">
        <f>VLOOKUP($A60,[1]!LandfillCaliK12,GE$7,FALSE)</f>
        <v>0</v>
      </c>
      <c r="GF60" s="538">
        <f>VLOOKUP($A60,[1]!LandfillCaliK12,GF$7,FALSE)</f>
        <v>0</v>
      </c>
      <c r="GG60" s="539">
        <f>VLOOKUP($A60,[1]!LandfillCaliK12,GG$7,FALSE)</f>
        <v>0</v>
      </c>
      <c r="GH60" s="540">
        <f>-1*VLOOKUP("Gypsum",[1]Landfilling!$N$27:$R$41,5,FALSE)</f>
        <v>-8.1295848500533341E-2</v>
      </c>
      <c r="GI60" s="541">
        <f>VLOOKUP($A60,'[1]Post-Consumer Transport'!$C$33:$K$88,3,FALSE)+VLOOKUP($A60,'[1]Post-Consumer Transport'!$C$33:$K$88,4,FALSE)</f>
        <v>2.0254519141196047E-2</v>
      </c>
      <c r="GJ60" s="542">
        <f t="shared" si="112"/>
        <v>-6.1041329359337294E-2</v>
      </c>
      <c r="GK60" s="538">
        <f t="shared" si="88"/>
        <v>-6.1041329359337294E-2</v>
      </c>
      <c r="GL60" s="538">
        <f t="shared" si="89"/>
        <v>-6.1041329359337294E-2</v>
      </c>
      <c r="GM60" s="539">
        <f t="shared" si="90"/>
        <v>-6.1041329359337294E-2</v>
      </c>
      <c r="GN60" s="537">
        <f>VLOOKUP($A60,[1]!LandfillCaliNatlAverage,GN$7,FALSE)</f>
        <v>0</v>
      </c>
      <c r="GO60" s="538">
        <f>VLOOKUP($A60,[1]!LandfillCaliNatlAverage,GO$7,FALSE)</f>
        <v>0</v>
      </c>
      <c r="GP60" s="538">
        <f>VLOOKUP($A60,[1]!LandfillCaliNatlAverage,GP$7,FALSE)</f>
        <v>0</v>
      </c>
      <c r="GQ60" s="539">
        <f>VLOOKUP($A60,[1]!LandfillCaliNatlAverage,GQ$7,FALSE)</f>
        <v>0</v>
      </c>
      <c r="GR60" s="540">
        <f>-1*VLOOKUP("Gypsum",[1]Landfilling!$N$27:$R$41,5,FALSE)</f>
        <v>-8.1295848500533341E-2</v>
      </c>
      <c r="GS60" s="541">
        <f>VLOOKUP($A60,'[1]Post-Consumer Transport'!$C$33:$K$88,3,FALSE)+VLOOKUP($A60,'[1]Post-Consumer Transport'!$C$33:$K$88,4,FALSE)</f>
        <v>2.0254519141196047E-2</v>
      </c>
      <c r="GT60" s="542">
        <f t="shared" si="113"/>
        <v>-6.1041329359337294E-2</v>
      </c>
      <c r="GU60" s="538">
        <f t="shared" si="92"/>
        <v>-6.1041329359337294E-2</v>
      </c>
      <c r="GV60" s="538">
        <f t="shared" si="93"/>
        <v>-6.1041329359337294E-2</v>
      </c>
      <c r="GW60" s="539">
        <f t="shared" si="94"/>
        <v>-6.1041329359337294E-2</v>
      </c>
    </row>
    <row r="61" spans="1:205" s="499" customFormat="1" x14ac:dyDescent="0.25">
      <c r="A61" s="498" t="str">
        <f t="shared" si="16"/>
        <v>Fiberglass Insulation</v>
      </c>
      <c r="B61" s="556" t="s">
        <v>56</v>
      </c>
      <c r="C61" s="557">
        <v>0</v>
      </c>
      <c r="D61" s="558">
        <v>0</v>
      </c>
      <c r="E61" s="558">
        <v>0</v>
      </c>
      <c r="F61" s="559">
        <v>0</v>
      </c>
      <c r="G61" s="560">
        <v>0</v>
      </c>
      <c r="H61" s="552">
        <f>VLOOKUP($A61,'[1]Post-Consumer Transport'!$C$33:$K$88,3,FALSE)+VLOOKUP($A61,'[1]Post-Consumer Transport'!$C$33:$K$88,4,FALSE)</f>
        <v>2.0254519141196047E-2</v>
      </c>
      <c r="I61" s="553">
        <f t="shared" si="17"/>
        <v>2.0254519141196047E-2</v>
      </c>
      <c r="J61" s="549">
        <f t="shared" si="18"/>
        <v>2.0254519141196047E-2</v>
      </c>
      <c r="K61" s="549">
        <f t="shared" si="18"/>
        <v>2.0254519141196047E-2</v>
      </c>
      <c r="L61" s="550">
        <f t="shared" si="18"/>
        <v>2.0254519141196047E-2</v>
      </c>
      <c r="M61" s="557">
        <v>0</v>
      </c>
      <c r="N61" s="558">
        <v>0</v>
      </c>
      <c r="O61" s="558">
        <v>0</v>
      </c>
      <c r="P61" s="559">
        <v>0</v>
      </c>
      <c r="Q61" s="560">
        <v>0</v>
      </c>
      <c r="R61" s="552">
        <f>VLOOKUP($A61,'[1]Post-Consumer Transport'!$C$33:$K$88,3,FALSE)+VLOOKUP($A61,'[1]Post-Consumer Transport'!$C$33:$K$88,4,FALSE)</f>
        <v>2.0254519141196047E-2</v>
      </c>
      <c r="S61" s="553">
        <f t="shared" si="95"/>
        <v>2.0254519141196047E-2</v>
      </c>
      <c r="T61" s="549">
        <f t="shared" si="20"/>
        <v>2.0254519141196047E-2</v>
      </c>
      <c r="U61" s="549">
        <f t="shared" si="21"/>
        <v>2.0254519141196047E-2</v>
      </c>
      <c r="V61" s="550">
        <f t="shared" si="22"/>
        <v>2.0254519141196047E-2</v>
      </c>
      <c r="W61" s="557">
        <v>0</v>
      </c>
      <c r="X61" s="558">
        <v>0</v>
      </c>
      <c r="Y61" s="558">
        <v>0</v>
      </c>
      <c r="Z61" s="559">
        <v>0</v>
      </c>
      <c r="AA61" s="560">
        <v>0</v>
      </c>
      <c r="AB61" s="552">
        <f>VLOOKUP($A61,'[1]Post-Consumer Transport'!$C$33:$K$88,3,FALSE)+VLOOKUP($A61,'[1]Post-Consumer Transport'!$C$33:$K$88,4,FALSE)</f>
        <v>2.0254519141196047E-2</v>
      </c>
      <c r="AC61" s="553">
        <f t="shared" si="96"/>
        <v>2.0254519141196047E-2</v>
      </c>
      <c r="AD61" s="549">
        <f t="shared" si="24"/>
        <v>2.0254519141196047E-2</v>
      </c>
      <c r="AE61" s="549">
        <f t="shared" si="25"/>
        <v>2.0254519141196047E-2</v>
      </c>
      <c r="AF61" s="550">
        <f t="shared" si="26"/>
        <v>2.0254519141196047E-2</v>
      </c>
      <c r="AG61" s="557">
        <v>0</v>
      </c>
      <c r="AH61" s="558">
        <v>0</v>
      </c>
      <c r="AI61" s="558">
        <v>0</v>
      </c>
      <c r="AJ61" s="559">
        <v>0</v>
      </c>
      <c r="AK61" s="560">
        <v>0</v>
      </c>
      <c r="AL61" s="552">
        <f>VLOOKUP($A61,'[1]Post-Consumer Transport'!$C$33:$K$88,3,FALSE)+VLOOKUP($A61,'[1]Post-Consumer Transport'!$C$33:$K$88,4,FALSE)</f>
        <v>2.0254519141196047E-2</v>
      </c>
      <c r="AM61" s="553">
        <f t="shared" si="97"/>
        <v>2.0254519141196047E-2</v>
      </c>
      <c r="AN61" s="549">
        <f t="shared" si="28"/>
        <v>2.0254519141196047E-2</v>
      </c>
      <c r="AO61" s="549">
        <f t="shared" si="29"/>
        <v>2.0254519141196047E-2</v>
      </c>
      <c r="AP61" s="550">
        <f t="shared" si="30"/>
        <v>2.0254519141196047E-2</v>
      </c>
      <c r="AQ61" s="557">
        <v>0</v>
      </c>
      <c r="AR61" s="558">
        <v>0</v>
      </c>
      <c r="AS61" s="558">
        <v>0</v>
      </c>
      <c r="AT61" s="559">
        <v>0</v>
      </c>
      <c r="AU61" s="560">
        <v>0</v>
      </c>
      <c r="AV61" s="552">
        <f>VLOOKUP($A61,'[1]Post-Consumer Transport'!$C$33:$K$88,3,FALSE)+VLOOKUP($A61,'[1]Post-Consumer Transport'!$C$33:$K$88,4,FALSE)</f>
        <v>2.0254519141196047E-2</v>
      </c>
      <c r="AW61" s="553">
        <f t="shared" si="98"/>
        <v>2.0254519141196047E-2</v>
      </c>
      <c r="AX61" s="549">
        <f t="shared" si="32"/>
        <v>2.0254519141196047E-2</v>
      </c>
      <c r="AY61" s="549">
        <f t="shared" si="33"/>
        <v>2.0254519141196047E-2</v>
      </c>
      <c r="AZ61" s="550">
        <f t="shared" si="34"/>
        <v>2.0254519141196047E-2</v>
      </c>
      <c r="BB61" s="557">
        <v>0</v>
      </c>
      <c r="BC61" s="558">
        <v>0</v>
      </c>
      <c r="BD61" s="558">
        <v>0</v>
      </c>
      <c r="BE61" s="559">
        <v>0</v>
      </c>
      <c r="BF61" s="560">
        <v>0</v>
      </c>
      <c r="BG61" s="552">
        <f>VLOOKUP($A61,'[1]Post-Consumer Transport'!$C$33:$K$88,3,FALSE)+VLOOKUP($A61,'[1]Post-Consumer Transport'!$C$33:$K$88,4,FALSE)</f>
        <v>2.0254519141196047E-2</v>
      </c>
      <c r="BH61" s="553">
        <f t="shared" si="99"/>
        <v>2.0254519141196047E-2</v>
      </c>
      <c r="BI61" s="549">
        <f t="shared" si="36"/>
        <v>2.0254519141196047E-2</v>
      </c>
      <c r="BJ61" s="549">
        <f t="shared" si="37"/>
        <v>2.0254519141196047E-2</v>
      </c>
      <c r="BK61" s="550">
        <f t="shared" si="38"/>
        <v>2.0254519141196047E-2</v>
      </c>
      <c r="BL61" s="888">
        <v>0</v>
      </c>
      <c r="BM61" s="889">
        <v>0</v>
      </c>
      <c r="BN61" s="889">
        <v>0</v>
      </c>
      <c r="BO61" s="890">
        <v>0</v>
      </c>
      <c r="BP61" s="891">
        <v>0</v>
      </c>
      <c r="BQ61" s="885">
        <f>VLOOKUP($A61,'[1]Post-Consumer Transport'!$C$33:$K$88,3,FALSE)+VLOOKUP($A61,'[1]Post-Consumer Transport'!$C$33:$K$88,4,FALSE)</f>
        <v>2.0254519141196047E-2</v>
      </c>
      <c r="BR61" s="886">
        <f t="shared" si="100"/>
        <v>2.0254519141196047E-2</v>
      </c>
      <c r="BS61" s="882">
        <f t="shared" si="40"/>
        <v>2.0254519141196047E-2</v>
      </c>
      <c r="BT61" s="882">
        <f t="shared" si="41"/>
        <v>2.0254519141196047E-2</v>
      </c>
      <c r="BU61" s="883">
        <f t="shared" si="42"/>
        <v>2.0254519141196047E-2</v>
      </c>
      <c r="BV61" s="557">
        <v>0</v>
      </c>
      <c r="BW61" s="558">
        <v>0</v>
      </c>
      <c r="BX61" s="558">
        <v>0</v>
      </c>
      <c r="BY61" s="559">
        <v>0</v>
      </c>
      <c r="BZ61" s="560">
        <v>0</v>
      </c>
      <c r="CA61" s="552">
        <f>VLOOKUP($A61,'[1]Post-Consumer Transport'!$C$33:$K$88,3,FALSE)+VLOOKUP($A61,'[1]Post-Consumer Transport'!$C$33:$K$88,4,FALSE)</f>
        <v>2.0254519141196047E-2</v>
      </c>
      <c r="CB61" s="553">
        <f t="shared" si="101"/>
        <v>2.0254519141196047E-2</v>
      </c>
      <c r="CC61" s="549">
        <f t="shared" si="44"/>
        <v>2.0254519141196047E-2</v>
      </c>
      <c r="CD61" s="549">
        <f t="shared" si="45"/>
        <v>2.0254519141196047E-2</v>
      </c>
      <c r="CE61" s="550">
        <f t="shared" si="46"/>
        <v>2.0254519141196047E-2</v>
      </c>
      <c r="CF61" s="557">
        <v>0</v>
      </c>
      <c r="CG61" s="558">
        <v>0</v>
      </c>
      <c r="CH61" s="558">
        <v>0</v>
      </c>
      <c r="CI61" s="559">
        <v>0</v>
      </c>
      <c r="CJ61" s="560">
        <v>0</v>
      </c>
      <c r="CK61" s="552">
        <f>VLOOKUP($A61,'[1]Post-Consumer Transport'!$C$33:$K$88,3,FALSE)+VLOOKUP($A61,'[1]Post-Consumer Transport'!$C$33:$K$88,4,FALSE)</f>
        <v>2.0254519141196047E-2</v>
      </c>
      <c r="CL61" s="553">
        <f t="shared" si="102"/>
        <v>2.0254519141196047E-2</v>
      </c>
      <c r="CM61" s="549">
        <f t="shared" si="48"/>
        <v>2.0254519141196047E-2</v>
      </c>
      <c r="CN61" s="549">
        <f t="shared" si="49"/>
        <v>2.0254519141196047E-2</v>
      </c>
      <c r="CO61" s="550">
        <f t="shared" si="50"/>
        <v>2.0254519141196047E-2</v>
      </c>
      <c r="CP61" s="557">
        <v>0</v>
      </c>
      <c r="CQ61" s="558">
        <v>0</v>
      </c>
      <c r="CR61" s="558">
        <v>0</v>
      </c>
      <c r="CS61" s="559">
        <v>0</v>
      </c>
      <c r="CT61" s="560">
        <v>0</v>
      </c>
      <c r="CU61" s="552">
        <f>VLOOKUP($A61,'[1]Post-Consumer Transport'!$C$33:$K$88,3,FALSE)+VLOOKUP($A61,'[1]Post-Consumer Transport'!$C$33:$K$88,4,FALSE)</f>
        <v>2.0254519141196047E-2</v>
      </c>
      <c r="CV61" s="553">
        <f t="shared" si="103"/>
        <v>2.0254519141196047E-2</v>
      </c>
      <c r="CW61" s="549">
        <f t="shared" si="52"/>
        <v>2.0254519141196047E-2</v>
      </c>
      <c r="CX61" s="549">
        <f t="shared" si="53"/>
        <v>2.0254519141196047E-2</v>
      </c>
      <c r="CY61" s="550">
        <f t="shared" si="54"/>
        <v>2.0254519141196047E-2</v>
      </c>
      <c r="DA61" s="557">
        <v>0</v>
      </c>
      <c r="DB61" s="558">
        <v>0</v>
      </c>
      <c r="DC61" s="558">
        <v>0</v>
      </c>
      <c r="DD61" s="559">
        <v>0</v>
      </c>
      <c r="DE61" s="560">
        <v>0</v>
      </c>
      <c r="DF61" s="552">
        <f>VLOOKUP($A61,'[1]Post-Consumer Transport'!$C$33:$K$88,3,FALSE)+VLOOKUP($A61,'[1]Post-Consumer Transport'!$C$33:$K$88,4,FALSE)</f>
        <v>2.0254519141196047E-2</v>
      </c>
      <c r="DG61" s="553">
        <f t="shared" si="104"/>
        <v>2.0254519141196047E-2</v>
      </c>
      <c r="DH61" s="549">
        <f t="shared" si="56"/>
        <v>2.0254519141196047E-2</v>
      </c>
      <c r="DI61" s="549">
        <f t="shared" si="57"/>
        <v>2.0254519141196047E-2</v>
      </c>
      <c r="DJ61" s="550">
        <f t="shared" si="58"/>
        <v>2.0254519141196047E-2</v>
      </c>
      <c r="DK61" s="557">
        <v>0</v>
      </c>
      <c r="DL61" s="558">
        <v>0</v>
      </c>
      <c r="DM61" s="558">
        <v>0</v>
      </c>
      <c r="DN61" s="559">
        <v>0</v>
      </c>
      <c r="DO61" s="560">
        <v>0</v>
      </c>
      <c r="DP61" s="552">
        <f>VLOOKUP($A61,'[1]Post-Consumer Transport'!$C$33:$K$88,3,FALSE)+VLOOKUP($A61,'[1]Post-Consumer Transport'!$C$33:$K$88,4,FALSE)</f>
        <v>2.0254519141196047E-2</v>
      </c>
      <c r="DQ61" s="553">
        <f t="shared" si="105"/>
        <v>2.0254519141196047E-2</v>
      </c>
      <c r="DR61" s="549">
        <f t="shared" si="60"/>
        <v>2.0254519141196047E-2</v>
      </c>
      <c r="DS61" s="549">
        <f t="shared" si="61"/>
        <v>2.0254519141196047E-2</v>
      </c>
      <c r="DT61" s="550">
        <f t="shared" si="62"/>
        <v>2.0254519141196047E-2</v>
      </c>
      <c r="DU61" s="557">
        <v>0</v>
      </c>
      <c r="DV61" s="558">
        <v>0</v>
      </c>
      <c r="DW61" s="558">
        <v>0</v>
      </c>
      <c r="DX61" s="559">
        <v>0</v>
      </c>
      <c r="DY61" s="560">
        <v>0</v>
      </c>
      <c r="DZ61" s="552">
        <f>VLOOKUP($A61,'[1]Post-Consumer Transport'!$C$33:$K$88,3,FALSE)+VLOOKUP($A61,'[1]Post-Consumer Transport'!$C$33:$K$88,4,FALSE)</f>
        <v>2.0254519141196047E-2</v>
      </c>
      <c r="EA61" s="553">
        <f t="shared" si="106"/>
        <v>2.0254519141196047E-2</v>
      </c>
      <c r="EB61" s="549">
        <f t="shared" si="64"/>
        <v>2.0254519141196047E-2</v>
      </c>
      <c r="EC61" s="549">
        <f t="shared" si="65"/>
        <v>2.0254519141196047E-2</v>
      </c>
      <c r="ED61" s="550">
        <f t="shared" si="66"/>
        <v>2.0254519141196047E-2</v>
      </c>
      <c r="EE61" s="557">
        <v>0</v>
      </c>
      <c r="EF61" s="558">
        <v>0</v>
      </c>
      <c r="EG61" s="558">
        <v>0</v>
      </c>
      <c r="EH61" s="559">
        <v>0</v>
      </c>
      <c r="EI61" s="560">
        <v>0</v>
      </c>
      <c r="EJ61" s="552">
        <f>VLOOKUP($A61,'[1]Post-Consumer Transport'!$C$33:$K$88,3,FALSE)+VLOOKUP($A61,'[1]Post-Consumer Transport'!$C$33:$K$88,4,FALSE)</f>
        <v>2.0254519141196047E-2</v>
      </c>
      <c r="EK61" s="553">
        <f t="shared" si="107"/>
        <v>2.0254519141196047E-2</v>
      </c>
      <c r="EL61" s="549">
        <f t="shared" si="68"/>
        <v>2.0254519141196047E-2</v>
      </c>
      <c r="EM61" s="549">
        <f t="shared" si="69"/>
        <v>2.0254519141196047E-2</v>
      </c>
      <c r="EN61" s="550">
        <f t="shared" si="70"/>
        <v>2.0254519141196047E-2</v>
      </c>
      <c r="EO61" s="557">
        <v>0</v>
      </c>
      <c r="EP61" s="558">
        <v>0</v>
      </c>
      <c r="EQ61" s="558">
        <v>0</v>
      </c>
      <c r="ER61" s="559">
        <v>0</v>
      </c>
      <c r="ES61" s="560">
        <v>0</v>
      </c>
      <c r="ET61" s="552">
        <f>VLOOKUP($A61,'[1]Post-Consumer Transport'!$C$33:$K$88,3,FALSE)+VLOOKUP($A61,'[1]Post-Consumer Transport'!$C$33:$K$88,4,FALSE)</f>
        <v>2.0254519141196047E-2</v>
      </c>
      <c r="EU61" s="553">
        <f t="shared" si="108"/>
        <v>2.0254519141196047E-2</v>
      </c>
      <c r="EV61" s="549">
        <f t="shared" si="72"/>
        <v>2.0254519141196047E-2</v>
      </c>
      <c r="EW61" s="549">
        <f t="shared" si="73"/>
        <v>2.0254519141196047E-2</v>
      </c>
      <c r="EX61" s="550">
        <f t="shared" si="74"/>
        <v>2.0254519141196047E-2</v>
      </c>
      <c r="EZ61" s="557">
        <v>0</v>
      </c>
      <c r="FA61" s="558">
        <v>0</v>
      </c>
      <c r="FB61" s="558">
        <v>0</v>
      </c>
      <c r="FC61" s="559">
        <v>0</v>
      </c>
      <c r="FD61" s="560">
        <v>0</v>
      </c>
      <c r="FE61" s="552">
        <f>VLOOKUP($A61,'[1]Post-Consumer Transport'!$C$33:$K$88,3,FALSE)+VLOOKUP($A61,'[1]Post-Consumer Transport'!$C$33:$K$88,4,FALSE)</f>
        <v>2.0254519141196047E-2</v>
      </c>
      <c r="FF61" s="553">
        <f t="shared" si="109"/>
        <v>2.0254519141196047E-2</v>
      </c>
      <c r="FG61" s="549">
        <f t="shared" si="76"/>
        <v>2.0254519141196047E-2</v>
      </c>
      <c r="FH61" s="549">
        <f t="shared" si="77"/>
        <v>2.0254519141196047E-2</v>
      </c>
      <c r="FI61" s="550">
        <f t="shared" si="78"/>
        <v>2.0254519141196047E-2</v>
      </c>
      <c r="FJ61" s="557">
        <v>0</v>
      </c>
      <c r="FK61" s="558">
        <v>0</v>
      </c>
      <c r="FL61" s="558">
        <v>0</v>
      </c>
      <c r="FM61" s="559">
        <v>0</v>
      </c>
      <c r="FN61" s="560">
        <v>0</v>
      </c>
      <c r="FO61" s="552">
        <f>VLOOKUP($A61,'[1]Post-Consumer Transport'!$C$33:$K$88,3,FALSE)+VLOOKUP($A61,'[1]Post-Consumer Transport'!$C$33:$K$88,4,FALSE)</f>
        <v>2.0254519141196047E-2</v>
      </c>
      <c r="FP61" s="553">
        <f t="shared" si="110"/>
        <v>2.0254519141196047E-2</v>
      </c>
      <c r="FQ61" s="549">
        <f t="shared" si="80"/>
        <v>2.0254519141196047E-2</v>
      </c>
      <c r="FR61" s="549">
        <f t="shared" si="81"/>
        <v>2.0254519141196047E-2</v>
      </c>
      <c r="FS61" s="550">
        <f t="shared" si="82"/>
        <v>2.0254519141196047E-2</v>
      </c>
      <c r="FT61" s="557">
        <v>0</v>
      </c>
      <c r="FU61" s="558">
        <v>0</v>
      </c>
      <c r="FV61" s="558">
        <v>0</v>
      </c>
      <c r="FW61" s="559">
        <v>0</v>
      </c>
      <c r="FX61" s="560">
        <v>0</v>
      </c>
      <c r="FY61" s="552">
        <f>VLOOKUP($A61,'[1]Post-Consumer Transport'!$C$33:$K$88,3,FALSE)+VLOOKUP($A61,'[1]Post-Consumer Transport'!$C$33:$K$88,4,FALSE)</f>
        <v>2.0254519141196047E-2</v>
      </c>
      <c r="FZ61" s="553">
        <f t="shared" si="111"/>
        <v>2.0254519141196047E-2</v>
      </c>
      <c r="GA61" s="549">
        <f t="shared" si="84"/>
        <v>2.0254519141196047E-2</v>
      </c>
      <c r="GB61" s="549">
        <f t="shared" si="85"/>
        <v>2.0254519141196047E-2</v>
      </c>
      <c r="GC61" s="550">
        <f t="shared" si="86"/>
        <v>2.0254519141196047E-2</v>
      </c>
      <c r="GD61" s="557">
        <v>0</v>
      </c>
      <c r="GE61" s="558">
        <v>0</v>
      </c>
      <c r="GF61" s="558">
        <v>0</v>
      </c>
      <c r="GG61" s="559">
        <v>0</v>
      </c>
      <c r="GH61" s="560">
        <v>0</v>
      </c>
      <c r="GI61" s="552">
        <f>VLOOKUP($A61,'[1]Post-Consumer Transport'!$C$33:$K$88,3,FALSE)+VLOOKUP($A61,'[1]Post-Consumer Transport'!$C$33:$K$88,4,FALSE)</f>
        <v>2.0254519141196047E-2</v>
      </c>
      <c r="GJ61" s="553">
        <f t="shared" si="112"/>
        <v>2.0254519141196047E-2</v>
      </c>
      <c r="GK61" s="549">
        <f t="shared" si="88"/>
        <v>2.0254519141196047E-2</v>
      </c>
      <c r="GL61" s="549">
        <f t="shared" si="89"/>
        <v>2.0254519141196047E-2</v>
      </c>
      <c r="GM61" s="550">
        <f t="shared" si="90"/>
        <v>2.0254519141196047E-2</v>
      </c>
      <c r="GN61" s="557">
        <v>0</v>
      </c>
      <c r="GO61" s="558">
        <v>0</v>
      </c>
      <c r="GP61" s="558">
        <v>0</v>
      </c>
      <c r="GQ61" s="559">
        <v>0</v>
      </c>
      <c r="GR61" s="560">
        <v>0</v>
      </c>
      <c r="GS61" s="552">
        <f>VLOOKUP($A61,'[1]Post-Consumer Transport'!$C$33:$K$88,3,FALSE)+VLOOKUP($A61,'[1]Post-Consumer Transport'!$C$33:$K$88,4,FALSE)</f>
        <v>2.0254519141196047E-2</v>
      </c>
      <c r="GT61" s="553">
        <f t="shared" si="113"/>
        <v>2.0254519141196047E-2</v>
      </c>
      <c r="GU61" s="549">
        <f t="shared" si="92"/>
        <v>2.0254519141196047E-2</v>
      </c>
      <c r="GV61" s="549">
        <f t="shared" si="93"/>
        <v>2.0254519141196047E-2</v>
      </c>
      <c r="GW61" s="550">
        <f t="shared" si="94"/>
        <v>2.0254519141196047E-2</v>
      </c>
    </row>
    <row r="62" spans="1:205" s="499" customFormat="1" x14ac:dyDescent="0.25">
      <c r="A62" s="498" t="str">
        <f t="shared" si="16"/>
        <v>Vinyl Flooring</v>
      </c>
      <c r="B62" s="556" t="s">
        <v>57</v>
      </c>
      <c r="C62" s="557">
        <v>0</v>
      </c>
      <c r="D62" s="558">
        <v>0</v>
      </c>
      <c r="E62" s="558">
        <v>0</v>
      </c>
      <c r="F62" s="559">
        <v>0</v>
      </c>
      <c r="G62" s="560">
        <v>0</v>
      </c>
      <c r="H62" s="552">
        <f>VLOOKUP($A62,'[1]Post-Consumer Transport'!$C$33:$K$88,3,FALSE)+VLOOKUP($A62,'[1]Post-Consumer Transport'!$C$33:$K$88,4,FALSE)</f>
        <v>2.0254519141196047E-2</v>
      </c>
      <c r="I62" s="553">
        <f t="shared" si="17"/>
        <v>2.0254519141196047E-2</v>
      </c>
      <c r="J62" s="549">
        <f t="shared" si="18"/>
        <v>2.0254519141196047E-2</v>
      </c>
      <c r="K62" s="549">
        <f t="shared" si="18"/>
        <v>2.0254519141196047E-2</v>
      </c>
      <c r="L62" s="550">
        <f t="shared" si="18"/>
        <v>2.0254519141196047E-2</v>
      </c>
      <c r="M62" s="557">
        <v>0</v>
      </c>
      <c r="N62" s="558">
        <v>0</v>
      </c>
      <c r="O62" s="558">
        <v>0</v>
      </c>
      <c r="P62" s="559">
        <v>0</v>
      </c>
      <c r="Q62" s="560">
        <v>0</v>
      </c>
      <c r="R62" s="552">
        <f>VLOOKUP($A62,'[1]Post-Consumer Transport'!$C$33:$K$88,3,FALSE)+VLOOKUP($A62,'[1]Post-Consumer Transport'!$C$33:$K$88,4,FALSE)</f>
        <v>2.0254519141196047E-2</v>
      </c>
      <c r="S62" s="553">
        <f t="shared" si="95"/>
        <v>2.0254519141196047E-2</v>
      </c>
      <c r="T62" s="549">
        <f t="shared" si="20"/>
        <v>2.0254519141196047E-2</v>
      </c>
      <c r="U62" s="549">
        <f t="shared" si="21"/>
        <v>2.0254519141196047E-2</v>
      </c>
      <c r="V62" s="550">
        <f t="shared" si="22"/>
        <v>2.0254519141196047E-2</v>
      </c>
      <c r="W62" s="557">
        <v>0</v>
      </c>
      <c r="X62" s="558">
        <v>0</v>
      </c>
      <c r="Y62" s="558">
        <v>0</v>
      </c>
      <c r="Z62" s="559">
        <v>0</v>
      </c>
      <c r="AA62" s="560">
        <v>0</v>
      </c>
      <c r="AB62" s="552">
        <f>VLOOKUP($A62,'[1]Post-Consumer Transport'!$C$33:$K$88,3,FALSE)+VLOOKUP($A62,'[1]Post-Consumer Transport'!$C$33:$K$88,4,FALSE)</f>
        <v>2.0254519141196047E-2</v>
      </c>
      <c r="AC62" s="553">
        <f t="shared" si="96"/>
        <v>2.0254519141196047E-2</v>
      </c>
      <c r="AD62" s="549">
        <f t="shared" si="24"/>
        <v>2.0254519141196047E-2</v>
      </c>
      <c r="AE62" s="549">
        <f t="shared" si="25"/>
        <v>2.0254519141196047E-2</v>
      </c>
      <c r="AF62" s="550">
        <f t="shared" si="26"/>
        <v>2.0254519141196047E-2</v>
      </c>
      <c r="AG62" s="557">
        <v>0</v>
      </c>
      <c r="AH62" s="558">
        <v>0</v>
      </c>
      <c r="AI62" s="558">
        <v>0</v>
      </c>
      <c r="AJ62" s="559">
        <v>0</v>
      </c>
      <c r="AK62" s="560">
        <v>0</v>
      </c>
      <c r="AL62" s="552">
        <f>VLOOKUP($A62,'[1]Post-Consumer Transport'!$C$33:$K$88,3,FALSE)+VLOOKUP($A62,'[1]Post-Consumer Transport'!$C$33:$K$88,4,FALSE)</f>
        <v>2.0254519141196047E-2</v>
      </c>
      <c r="AM62" s="553">
        <f t="shared" si="97"/>
        <v>2.0254519141196047E-2</v>
      </c>
      <c r="AN62" s="549">
        <f t="shared" si="28"/>
        <v>2.0254519141196047E-2</v>
      </c>
      <c r="AO62" s="549">
        <f t="shared" si="29"/>
        <v>2.0254519141196047E-2</v>
      </c>
      <c r="AP62" s="550">
        <f t="shared" si="30"/>
        <v>2.0254519141196047E-2</v>
      </c>
      <c r="AQ62" s="557">
        <v>0</v>
      </c>
      <c r="AR62" s="558">
        <v>0</v>
      </c>
      <c r="AS62" s="558">
        <v>0</v>
      </c>
      <c r="AT62" s="559">
        <v>0</v>
      </c>
      <c r="AU62" s="560">
        <v>0</v>
      </c>
      <c r="AV62" s="552">
        <f>VLOOKUP($A62,'[1]Post-Consumer Transport'!$C$33:$K$88,3,FALSE)+VLOOKUP($A62,'[1]Post-Consumer Transport'!$C$33:$K$88,4,FALSE)</f>
        <v>2.0254519141196047E-2</v>
      </c>
      <c r="AW62" s="553">
        <f t="shared" si="98"/>
        <v>2.0254519141196047E-2</v>
      </c>
      <c r="AX62" s="549">
        <f t="shared" si="32"/>
        <v>2.0254519141196047E-2</v>
      </c>
      <c r="AY62" s="549">
        <f t="shared" si="33"/>
        <v>2.0254519141196047E-2</v>
      </c>
      <c r="AZ62" s="550">
        <f t="shared" si="34"/>
        <v>2.0254519141196047E-2</v>
      </c>
      <c r="BB62" s="557">
        <v>0</v>
      </c>
      <c r="BC62" s="558">
        <v>0</v>
      </c>
      <c r="BD62" s="558">
        <v>0</v>
      </c>
      <c r="BE62" s="559">
        <v>0</v>
      </c>
      <c r="BF62" s="560">
        <v>0</v>
      </c>
      <c r="BG62" s="552">
        <f>VLOOKUP($A62,'[1]Post-Consumer Transport'!$C$33:$K$88,3,FALSE)+VLOOKUP($A62,'[1]Post-Consumer Transport'!$C$33:$K$88,4,FALSE)</f>
        <v>2.0254519141196047E-2</v>
      </c>
      <c r="BH62" s="553">
        <f t="shared" si="99"/>
        <v>2.0254519141196047E-2</v>
      </c>
      <c r="BI62" s="549">
        <f t="shared" si="36"/>
        <v>2.0254519141196047E-2</v>
      </c>
      <c r="BJ62" s="549">
        <f t="shared" si="37"/>
        <v>2.0254519141196047E-2</v>
      </c>
      <c r="BK62" s="550">
        <f t="shared" si="38"/>
        <v>2.0254519141196047E-2</v>
      </c>
      <c r="BL62" s="888">
        <v>0</v>
      </c>
      <c r="BM62" s="889">
        <v>0</v>
      </c>
      <c r="BN62" s="889">
        <v>0</v>
      </c>
      <c r="BO62" s="890">
        <v>0</v>
      </c>
      <c r="BP62" s="891">
        <v>0</v>
      </c>
      <c r="BQ62" s="885">
        <f>VLOOKUP($A62,'[1]Post-Consumer Transport'!$C$33:$K$88,3,FALSE)+VLOOKUP($A62,'[1]Post-Consumer Transport'!$C$33:$K$88,4,FALSE)</f>
        <v>2.0254519141196047E-2</v>
      </c>
      <c r="BR62" s="886">
        <f t="shared" si="100"/>
        <v>2.0254519141196047E-2</v>
      </c>
      <c r="BS62" s="882">
        <f t="shared" si="40"/>
        <v>2.0254519141196047E-2</v>
      </c>
      <c r="BT62" s="882">
        <f t="shared" si="41"/>
        <v>2.0254519141196047E-2</v>
      </c>
      <c r="BU62" s="883">
        <f t="shared" si="42"/>
        <v>2.0254519141196047E-2</v>
      </c>
      <c r="BV62" s="557">
        <v>0</v>
      </c>
      <c r="BW62" s="558">
        <v>0</v>
      </c>
      <c r="BX62" s="558">
        <v>0</v>
      </c>
      <c r="BY62" s="559">
        <v>0</v>
      </c>
      <c r="BZ62" s="560">
        <v>0</v>
      </c>
      <c r="CA62" s="552">
        <f>VLOOKUP($A62,'[1]Post-Consumer Transport'!$C$33:$K$88,3,FALSE)+VLOOKUP($A62,'[1]Post-Consumer Transport'!$C$33:$K$88,4,FALSE)</f>
        <v>2.0254519141196047E-2</v>
      </c>
      <c r="CB62" s="553">
        <f t="shared" si="101"/>
        <v>2.0254519141196047E-2</v>
      </c>
      <c r="CC62" s="549">
        <f t="shared" si="44"/>
        <v>2.0254519141196047E-2</v>
      </c>
      <c r="CD62" s="549">
        <f t="shared" si="45"/>
        <v>2.0254519141196047E-2</v>
      </c>
      <c r="CE62" s="550">
        <f t="shared" si="46"/>
        <v>2.0254519141196047E-2</v>
      </c>
      <c r="CF62" s="557">
        <v>0</v>
      </c>
      <c r="CG62" s="558">
        <v>0</v>
      </c>
      <c r="CH62" s="558">
        <v>0</v>
      </c>
      <c r="CI62" s="559">
        <v>0</v>
      </c>
      <c r="CJ62" s="560">
        <v>0</v>
      </c>
      <c r="CK62" s="552">
        <f>VLOOKUP($A62,'[1]Post-Consumer Transport'!$C$33:$K$88,3,FALSE)+VLOOKUP($A62,'[1]Post-Consumer Transport'!$C$33:$K$88,4,FALSE)</f>
        <v>2.0254519141196047E-2</v>
      </c>
      <c r="CL62" s="553">
        <f t="shared" si="102"/>
        <v>2.0254519141196047E-2</v>
      </c>
      <c r="CM62" s="549">
        <f t="shared" si="48"/>
        <v>2.0254519141196047E-2</v>
      </c>
      <c r="CN62" s="549">
        <f t="shared" si="49"/>
        <v>2.0254519141196047E-2</v>
      </c>
      <c r="CO62" s="550">
        <f t="shared" si="50"/>
        <v>2.0254519141196047E-2</v>
      </c>
      <c r="CP62" s="557">
        <v>0</v>
      </c>
      <c r="CQ62" s="558">
        <v>0</v>
      </c>
      <c r="CR62" s="558">
        <v>0</v>
      </c>
      <c r="CS62" s="559">
        <v>0</v>
      </c>
      <c r="CT62" s="560">
        <v>0</v>
      </c>
      <c r="CU62" s="552">
        <f>VLOOKUP($A62,'[1]Post-Consumer Transport'!$C$33:$K$88,3,FALSE)+VLOOKUP($A62,'[1]Post-Consumer Transport'!$C$33:$K$88,4,FALSE)</f>
        <v>2.0254519141196047E-2</v>
      </c>
      <c r="CV62" s="553">
        <f t="shared" si="103"/>
        <v>2.0254519141196047E-2</v>
      </c>
      <c r="CW62" s="549">
        <f t="shared" si="52"/>
        <v>2.0254519141196047E-2</v>
      </c>
      <c r="CX62" s="549">
        <f t="shared" si="53"/>
        <v>2.0254519141196047E-2</v>
      </c>
      <c r="CY62" s="550">
        <f t="shared" si="54"/>
        <v>2.0254519141196047E-2</v>
      </c>
      <c r="DA62" s="557">
        <v>0</v>
      </c>
      <c r="DB62" s="558">
        <v>0</v>
      </c>
      <c r="DC62" s="558">
        <v>0</v>
      </c>
      <c r="DD62" s="559">
        <v>0</v>
      </c>
      <c r="DE62" s="560">
        <v>0</v>
      </c>
      <c r="DF62" s="552">
        <f>VLOOKUP($A62,'[1]Post-Consumer Transport'!$C$33:$K$88,3,FALSE)+VLOOKUP($A62,'[1]Post-Consumer Transport'!$C$33:$K$88,4,FALSE)</f>
        <v>2.0254519141196047E-2</v>
      </c>
      <c r="DG62" s="553">
        <f t="shared" si="104"/>
        <v>2.0254519141196047E-2</v>
      </c>
      <c r="DH62" s="549">
        <f t="shared" si="56"/>
        <v>2.0254519141196047E-2</v>
      </c>
      <c r="DI62" s="549">
        <f t="shared" si="57"/>
        <v>2.0254519141196047E-2</v>
      </c>
      <c r="DJ62" s="550">
        <f t="shared" si="58"/>
        <v>2.0254519141196047E-2</v>
      </c>
      <c r="DK62" s="557">
        <v>0</v>
      </c>
      <c r="DL62" s="558">
        <v>0</v>
      </c>
      <c r="DM62" s="558">
        <v>0</v>
      </c>
      <c r="DN62" s="559">
        <v>0</v>
      </c>
      <c r="DO62" s="560">
        <v>0</v>
      </c>
      <c r="DP62" s="552">
        <f>VLOOKUP($A62,'[1]Post-Consumer Transport'!$C$33:$K$88,3,FALSE)+VLOOKUP($A62,'[1]Post-Consumer Transport'!$C$33:$K$88,4,FALSE)</f>
        <v>2.0254519141196047E-2</v>
      </c>
      <c r="DQ62" s="553">
        <f t="shared" si="105"/>
        <v>2.0254519141196047E-2</v>
      </c>
      <c r="DR62" s="549">
        <f t="shared" si="60"/>
        <v>2.0254519141196047E-2</v>
      </c>
      <c r="DS62" s="549">
        <f t="shared" si="61"/>
        <v>2.0254519141196047E-2</v>
      </c>
      <c r="DT62" s="550">
        <f t="shared" si="62"/>
        <v>2.0254519141196047E-2</v>
      </c>
      <c r="DU62" s="557">
        <v>0</v>
      </c>
      <c r="DV62" s="558">
        <v>0</v>
      </c>
      <c r="DW62" s="558">
        <v>0</v>
      </c>
      <c r="DX62" s="559">
        <v>0</v>
      </c>
      <c r="DY62" s="560">
        <v>0</v>
      </c>
      <c r="DZ62" s="552">
        <f>VLOOKUP($A62,'[1]Post-Consumer Transport'!$C$33:$K$88,3,FALSE)+VLOOKUP($A62,'[1]Post-Consumer Transport'!$C$33:$K$88,4,FALSE)</f>
        <v>2.0254519141196047E-2</v>
      </c>
      <c r="EA62" s="553">
        <f t="shared" si="106"/>
        <v>2.0254519141196047E-2</v>
      </c>
      <c r="EB62" s="549">
        <f t="shared" si="64"/>
        <v>2.0254519141196047E-2</v>
      </c>
      <c r="EC62" s="549">
        <f t="shared" si="65"/>
        <v>2.0254519141196047E-2</v>
      </c>
      <c r="ED62" s="550">
        <f t="shared" si="66"/>
        <v>2.0254519141196047E-2</v>
      </c>
      <c r="EE62" s="557">
        <v>0</v>
      </c>
      <c r="EF62" s="558">
        <v>0</v>
      </c>
      <c r="EG62" s="558">
        <v>0</v>
      </c>
      <c r="EH62" s="559">
        <v>0</v>
      </c>
      <c r="EI62" s="560">
        <v>0</v>
      </c>
      <c r="EJ62" s="552">
        <f>VLOOKUP($A62,'[1]Post-Consumer Transport'!$C$33:$K$88,3,FALSE)+VLOOKUP($A62,'[1]Post-Consumer Transport'!$C$33:$K$88,4,FALSE)</f>
        <v>2.0254519141196047E-2</v>
      </c>
      <c r="EK62" s="553">
        <f t="shared" si="107"/>
        <v>2.0254519141196047E-2</v>
      </c>
      <c r="EL62" s="549">
        <f t="shared" si="68"/>
        <v>2.0254519141196047E-2</v>
      </c>
      <c r="EM62" s="549">
        <f t="shared" si="69"/>
        <v>2.0254519141196047E-2</v>
      </c>
      <c r="EN62" s="550">
        <f t="shared" si="70"/>
        <v>2.0254519141196047E-2</v>
      </c>
      <c r="EO62" s="557">
        <v>0</v>
      </c>
      <c r="EP62" s="558">
        <v>0</v>
      </c>
      <c r="EQ62" s="558">
        <v>0</v>
      </c>
      <c r="ER62" s="559">
        <v>0</v>
      </c>
      <c r="ES62" s="560">
        <v>0</v>
      </c>
      <c r="ET62" s="552">
        <f>VLOOKUP($A62,'[1]Post-Consumer Transport'!$C$33:$K$88,3,FALSE)+VLOOKUP($A62,'[1]Post-Consumer Transport'!$C$33:$K$88,4,FALSE)</f>
        <v>2.0254519141196047E-2</v>
      </c>
      <c r="EU62" s="553">
        <f t="shared" si="108"/>
        <v>2.0254519141196047E-2</v>
      </c>
      <c r="EV62" s="549">
        <f t="shared" si="72"/>
        <v>2.0254519141196047E-2</v>
      </c>
      <c r="EW62" s="549">
        <f t="shared" si="73"/>
        <v>2.0254519141196047E-2</v>
      </c>
      <c r="EX62" s="550">
        <f t="shared" si="74"/>
        <v>2.0254519141196047E-2</v>
      </c>
      <c r="EZ62" s="557">
        <v>0</v>
      </c>
      <c r="FA62" s="558">
        <v>0</v>
      </c>
      <c r="FB62" s="558">
        <v>0</v>
      </c>
      <c r="FC62" s="559">
        <v>0</v>
      </c>
      <c r="FD62" s="560">
        <v>0</v>
      </c>
      <c r="FE62" s="552">
        <f>VLOOKUP($A62,'[1]Post-Consumer Transport'!$C$33:$K$88,3,FALSE)+VLOOKUP($A62,'[1]Post-Consumer Transport'!$C$33:$K$88,4,FALSE)</f>
        <v>2.0254519141196047E-2</v>
      </c>
      <c r="FF62" s="553">
        <f t="shared" si="109"/>
        <v>2.0254519141196047E-2</v>
      </c>
      <c r="FG62" s="549">
        <f t="shared" si="76"/>
        <v>2.0254519141196047E-2</v>
      </c>
      <c r="FH62" s="549">
        <f t="shared" si="77"/>
        <v>2.0254519141196047E-2</v>
      </c>
      <c r="FI62" s="550">
        <f t="shared" si="78"/>
        <v>2.0254519141196047E-2</v>
      </c>
      <c r="FJ62" s="557">
        <v>0</v>
      </c>
      <c r="FK62" s="558">
        <v>0</v>
      </c>
      <c r="FL62" s="558">
        <v>0</v>
      </c>
      <c r="FM62" s="559">
        <v>0</v>
      </c>
      <c r="FN62" s="560">
        <v>0</v>
      </c>
      <c r="FO62" s="552">
        <f>VLOOKUP($A62,'[1]Post-Consumer Transport'!$C$33:$K$88,3,FALSE)+VLOOKUP($A62,'[1]Post-Consumer Transport'!$C$33:$K$88,4,FALSE)</f>
        <v>2.0254519141196047E-2</v>
      </c>
      <c r="FP62" s="553">
        <f t="shared" si="110"/>
        <v>2.0254519141196047E-2</v>
      </c>
      <c r="FQ62" s="549">
        <f t="shared" si="80"/>
        <v>2.0254519141196047E-2</v>
      </c>
      <c r="FR62" s="549">
        <f t="shared" si="81"/>
        <v>2.0254519141196047E-2</v>
      </c>
      <c r="FS62" s="550">
        <f t="shared" si="82"/>
        <v>2.0254519141196047E-2</v>
      </c>
      <c r="FT62" s="557">
        <v>0</v>
      </c>
      <c r="FU62" s="558">
        <v>0</v>
      </c>
      <c r="FV62" s="558">
        <v>0</v>
      </c>
      <c r="FW62" s="559">
        <v>0</v>
      </c>
      <c r="FX62" s="560">
        <v>0</v>
      </c>
      <c r="FY62" s="552">
        <f>VLOOKUP($A62,'[1]Post-Consumer Transport'!$C$33:$K$88,3,FALSE)+VLOOKUP($A62,'[1]Post-Consumer Transport'!$C$33:$K$88,4,FALSE)</f>
        <v>2.0254519141196047E-2</v>
      </c>
      <c r="FZ62" s="553">
        <f t="shared" si="111"/>
        <v>2.0254519141196047E-2</v>
      </c>
      <c r="GA62" s="549">
        <f t="shared" si="84"/>
        <v>2.0254519141196047E-2</v>
      </c>
      <c r="GB62" s="549">
        <f t="shared" si="85"/>
        <v>2.0254519141196047E-2</v>
      </c>
      <c r="GC62" s="550">
        <f t="shared" si="86"/>
        <v>2.0254519141196047E-2</v>
      </c>
      <c r="GD62" s="557">
        <v>0</v>
      </c>
      <c r="GE62" s="558">
        <v>0</v>
      </c>
      <c r="GF62" s="558">
        <v>0</v>
      </c>
      <c r="GG62" s="559">
        <v>0</v>
      </c>
      <c r="GH62" s="560">
        <v>0</v>
      </c>
      <c r="GI62" s="552">
        <f>VLOOKUP($A62,'[1]Post-Consumer Transport'!$C$33:$K$88,3,FALSE)+VLOOKUP($A62,'[1]Post-Consumer Transport'!$C$33:$K$88,4,FALSE)</f>
        <v>2.0254519141196047E-2</v>
      </c>
      <c r="GJ62" s="553">
        <f t="shared" si="112"/>
        <v>2.0254519141196047E-2</v>
      </c>
      <c r="GK62" s="549">
        <f t="shared" si="88"/>
        <v>2.0254519141196047E-2</v>
      </c>
      <c r="GL62" s="549">
        <f t="shared" si="89"/>
        <v>2.0254519141196047E-2</v>
      </c>
      <c r="GM62" s="550">
        <f t="shared" si="90"/>
        <v>2.0254519141196047E-2</v>
      </c>
      <c r="GN62" s="557">
        <v>0</v>
      </c>
      <c r="GO62" s="558">
        <v>0</v>
      </c>
      <c r="GP62" s="558">
        <v>0</v>
      </c>
      <c r="GQ62" s="559">
        <v>0</v>
      </c>
      <c r="GR62" s="560">
        <v>0</v>
      </c>
      <c r="GS62" s="552">
        <f>VLOOKUP($A62,'[1]Post-Consumer Transport'!$C$33:$K$88,3,FALSE)+VLOOKUP($A62,'[1]Post-Consumer Transport'!$C$33:$K$88,4,FALSE)</f>
        <v>2.0254519141196047E-2</v>
      </c>
      <c r="GT62" s="553">
        <f t="shared" si="113"/>
        <v>2.0254519141196047E-2</v>
      </c>
      <c r="GU62" s="549">
        <f t="shared" si="92"/>
        <v>2.0254519141196047E-2</v>
      </c>
      <c r="GV62" s="549">
        <f t="shared" si="93"/>
        <v>2.0254519141196047E-2</v>
      </c>
      <c r="GW62" s="550">
        <f t="shared" si="94"/>
        <v>2.0254519141196047E-2</v>
      </c>
    </row>
    <row r="63" spans="1:205" x14ac:dyDescent="0.25">
      <c r="A63" s="494" t="str">
        <f t="shared" si="16"/>
        <v>Wood Flooring</v>
      </c>
      <c r="B63" s="561" t="s">
        <v>58</v>
      </c>
      <c r="C63" s="622">
        <f>VLOOKUP($A63,[1]!LandfillTypicalK2,C$7,FALSE)</f>
        <v>0.16329325320000032</v>
      </c>
      <c r="D63" s="623">
        <f>VLOOKUP($A63,[1]!LandfillTypicalK2,D$7,FALSE)</f>
        <v>0.16329325320000032</v>
      </c>
      <c r="E63" s="538">
        <f>VLOOKUP($A63,[1]!LandfillTypicalK2,E$7,FALSE)</f>
        <v>0.16329325320000032</v>
      </c>
      <c r="F63" s="621">
        <f>VLOOKUP($A63,[1]!LandfillTypicalK2,F$7,FALSE)</f>
        <v>0.16329325320000032</v>
      </c>
      <c r="G63" s="540">
        <f>-1*VLOOKUP($A63,[1]Landfilling!$N$27:$R$41,5,FALSE)</f>
        <v>-1.0428088586299999</v>
      </c>
      <c r="H63" s="541">
        <f>VLOOKUP($A63,'[1]Post-Consumer Transport'!$C$33:$K$88,3,FALSE)+VLOOKUP($A63,'[1]Post-Consumer Transport'!$C$33:$K$88,4,FALSE)</f>
        <v>2.0254519141196047E-2</v>
      </c>
      <c r="I63" s="542">
        <f>C63+G63+H63</f>
        <v>-0.8592610862888036</v>
      </c>
      <c r="J63" s="538">
        <f>D63+$G63+$H63</f>
        <v>-0.8592610862888036</v>
      </c>
      <c r="K63" s="538">
        <f>E63+$G63+$H63</f>
        <v>-0.8592610862888036</v>
      </c>
      <c r="L63" s="539">
        <f t="shared" si="18"/>
        <v>-0.8592610862888036</v>
      </c>
      <c r="M63" s="537">
        <f>VLOOKUP($A63,[1]!LandfillTypicalK4,M$7,FALSE)</f>
        <v>0.16329325320000032</v>
      </c>
      <c r="N63" s="538">
        <f>VLOOKUP($A63,[1]!LandfillTypicalK4,N$7,FALSE)</f>
        <v>0.16329325320000032</v>
      </c>
      <c r="O63" s="538">
        <f>VLOOKUP($A63,[1]!LandfillTypicalK4,O$7,FALSE)</f>
        <v>0.16329325320000032</v>
      </c>
      <c r="P63" s="539">
        <f>VLOOKUP($A63,[1]!LandfillTypicalK4,P$7,FALSE)</f>
        <v>0.16329325320000032</v>
      </c>
      <c r="Q63" s="540">
        <f>-1*VLOOKUP($A63,[1]Landfilling!$N$27:$R$41,5,FALSE)</f>
        <v>-1.0428088586299999</v>
      </c>
      <c r="R63" s="541">
        <f>VLOOKUP($A63,'[1]Post-Consumer Transport'!$C$33:$K$88,3,FALSE)+VLOOKUP($A63,'[1]Post-Consumer Transport'!$C$33:$K$88,4,FALSE)</f>
        <v>2.0254519141196047E-2</v>
      </c>
      <c r="S63" s="542">
        <f t="shared" si="95"/>
        <v>-0.8592610862888036</v>
      </c>
      <c r="T63" s="538">
        <f t="shared" si="20"/>
        <v>-0.8592610862888036</v>
      </c>
      <c r="U63" s="538">
        <f t="shared" si="21"/>
        <v>-0.8592610862888036</v>
      </c>
      <c r="V63" s="539">
        <f t="shared" si="22"/>
        <v>-0.8592610862888036</v>
      </c>
      <c r="W63" s="537">
        <f>VLOOKUP($A63,[1]!LandfillTypicalK6,W$7,FALSE)</f>
        <v>0.16329325320000032</v>
      </c>
      <c r="X63" s="538">
        <f>VLOOKUP($A63,[1]!LandfillTypicalK6,X$7,FALSE)</f>
        <v>0.16329325320000032</v>
      </c>
      <c r="Y63" s="538">
        <f>VLOOKUP($A63,[1]!LandfillTypicalK6,Y$7,FALSE)</f>
        <v>0.16329325320000032</v>
      </c>
      <c r="Z63" s="539">
        <f>VLOOKUP($A63,[1]!LandfillTypicalK6,Z$7,FALSE)</f>
        <v>0.16329325320000032</v>
      </c>
      <c r="AA63" s="540">
        <f>-1*VLOOKUP($A63,[1]Landfilling!$N$27:$R$41,5,FALSE)</f>
        <v>-1.0428088586299999</v>
      </c>
      <c r="AB63" s="541">
        <f>VLOOKUP($A63,'[1]Post-Consumer Transport'!$C$33:$K$88,3,FALSE)+VLOOKUP($A63,'[1]Post-Consumer Transport'!$C$33:$K$88,4,FALSE)</f>
        <v>2.0254519141196047E-2</v>
      </c>
      <c r="AC63" s="542">
        <f t="shared" si="96"/>
        <v>-0.8592610862888036</v>
      </c>
      <c r="AD63" s="538">
        <f t="shared" si="24"/>
        <v>-0.8592610862888036</v>
      </c>
      <c r="AE63" s="538">
        <f t="shared" si="25"/>
        <v>-0.8592610862888036</v>
      </c>
      <c r="AF63" s="539">
        <f t="shared" si="26"/>
        <v>-0.8592610862888036</v>
      </c>
      <c r="AG63" s="537">
        <f>VLOOKUP($A63,[1]!LandfillTypicalK12,AG$7,FALSE)</f>
        <v>0.16329325320000032</v>
      </c>
      <c r="AH63" s="538">
        <f>VLOOKUP($A63,[1]!LandfillTypicalK12,AH$7,FALSE)</f>
        <v>0.16329325320000032</v>
      </c>
      <c r="AI63" s="538">
        <f>VLOOKUP($A63,[1]!LandfillTypicalK12,AI$7,FALSE)</f>
        <v>0.16329325320000032</v>
      </c>
      <c r="AJ63" s="539">
        <f>VLOOKUP($A63,[1]!LandfillTypicalK12,AJ$7,FALSE)</f>
        <v>0.16329325320000032</v>
      </c>
      <c r="AK63" s="540">
        <f>-1*VLOOKUP($A63,[1]Landfilling!$N$27:$R$41,5,FALSE)</f>
        <v>-1.0428088586299999</v>
      </c>
      <c r="AL63" s="541">
        <f>VLOOKUP($A63,'[1]Post-Consumer Transport'!$C$33:$K$88,3,FALSE)+VLOOKUP($A63,'[1]Post-Consumer Transport'!$C$33:$K$88,4,FALSE)</f>
        <v>2.0254519141196047E-2</v>
      </c>
      <c r="AM63" s="542">
        <f t="shared" si="97"/>
        <v>-0.8592610862888036</v>
      </c>
      <c r="AN63" s="538">
        <f t="shared" si="28"/>
        <v>-0.8592610862888036</v>
      </c>
      <c r="AO63" s="538">
        <f t="shared" si="29"/>
        <v>-0.8592610862888036</v>
      </c>
      <c r="AP63" s="539">
        <f t="shared" si="30"/>
        <v>-0.8592610862888036</v>
      </c>
      <c r="AQ63" s="537">
        <f>VLOOKUP($A63,[1]!LandfillTypicalNatlAverage,AQ$7,FALSE)</f>
        <v>0.16329325320000032</v>
      </c>
      <c r="AR63" s="538">
        <f>VLOOKUP($A63,[1]!LandfillTypicalNatlAverage,AR$7,FALSE)</f>
        <v>0.16329325320000032</v>
      </c>
      <c r="AS63" s="538">
        <f>VLOOKUP($A63,[1]!LandfillTypicalNatlAverage,AS$7,FALSE)</f>
        <v>0.16329325320000032</v>
      </c>
      <c r="AT63" s="539">
        <f>VLOOKUP($A63,[1]!LandfillTypicalNatlAverage,AT$7,FALSE)</f>
        <v>0.16329325320000032</v>
      </c>
      <c r="AU63" s="540">
        <f>-1*VLOOKUP($A63,[1]Landfilling!$N$27:$R$41,5,FALSE)</f>
        <v>-1.0428088586299999</v>
      </c>
      <c r="AV63" s="541">
        <f>VLOOKUP($A63,'[1]Post-Consumer Transport'!$C$33:$K$88,3,FALSE)+VLOOKUP($A63,'[1]Post-Consumer Transport'!$C$33:$K$88,4,FALSE)</f>
        <v>2.0254519141196047E-2</v>
      </c>
      <c r="AW63" s="542">
        <f>AQ63+AU63+AV63</f>
        <v>-0.8592610862888036</v>
      </c>
      <c r="AX63" s="538">
        <f>AR63+$G63+$H63</f>
        <v>-0.8592610862888036</v>
      </c>
      <c r="AY63" s="538">
        <f t="shared" si="33"/>
        <v>-0.8592610862888036</v>
      </c>
      <c r="AZ63" s="539">
        <f t="shared" si="34"/>
        <v>-0.8592610862888036</v>
      </c>
      <c r="BB63" s="537">
        <f>VLOOKUP($A63,[1]!LandfillAggressiveK2,BB$7,FALSE)</f>
        <v>0.16329325320000032</v>
      </c>
      <c r="BC63" s="538">
        <f>VLOOKUP($A63,[1]!LandfillAggressiveK2,BC$7,FALSE)</f>
        <v>0.16329325320000032</v>
      </c>
      <c r="BD63" s="538">
        <f>VLOOKUP($A63,[1]!LandfillAggressiveK2,BD$7,FALSE)</f>
        <v>0.16329325320000032</v>
      </c>
      <c r="BE63" s="539">
        <f>VLOOKUP($A63,[1]!LandfillAggressiveK2,BE$7,FALSE)</f>
        <v>0.16329325320000032</v>
      </c>
      <c r="BF63" s="540">
        <f>-1*VLOOKUP($A63,[1]Landfilling!$N$27:$R$41,5,FALSE)</f>
        <v>-1.0428088586299999</v>
      </c>
      <c r="BG63" s="541">
        <f>VLOOKUP($A63,'[1]Post-Consumer Transport'!$C$33:$K$88,3,FALSE)+VLOOKUP($A63,'[1]Post-Consumer Transport'!$C$33:$K$88,4,FALSE)</f>
        <v>2.0254519141196047E-2</v>
      </c>
      <c r="BH63" s="542">
        <f t="shared" si="99"/>
        <v>-0.8592610862888036</v>
      </c>
      <c r="BI63" s="538">
        <f t="shared" si="36"/>
        <v>-0.8592610862888036</v>
      </c>
      <c r="BJ63" s="538">
        <f t="shared" si="37"/>
        <v>-0.8592610862888036</v>
      </c>
      <c r="BK63" s="539">
        <f t="shared" si="38"/>
        <v>-0.8592610862888036</v>
      </c>
      <c r="BL63" s="881">
        <f>VLOOKUP($A63,[1]!LandfillAggressiveK4,BL$7,FALSE)</f>
        <v>0.16329325320000032</v>
      </c>
      <c r="BM63" s="882">
        <f>VLOOKUP($A63,[1]!LandfillAggressiveK4,BM$7,FALSE)</f>
        <v>0.16329325320000032</v>
      </c>
      <c r="BN63" s="882">
        <f>VLOOKUP($A63,[1]!LandfillAggressiveK4,BN$7,FALSE)</f>
        <v>0.16329325320000032</v>
      </c>
      <c r="BO63" s="883">
        <f>VLOOKUP($A63,[1]!LandfillAggressiveK4,BO$7,FALSE)</f>
        <v>0.16329325320000032</v>
      </c>
      <c r="BP63" s="884">
        <f>-1*VLOOKUP($A63,[1]Landfilling!$N$27:$R$41,5,FALSE)</f>
        <v>-1.0428088586299999</v>
      </c>
      <c r="BQ63" s="885">
        <f>VLOOKUP($A63,'[1]Post-Consumer Transport'!$C$33:$K$88,3,FALSE)+VLOOKUP($A63,'[1]Post-Consumer Transport'!$C$33:$K$88,4,FALSE)</f>
        <v>2.0254519141196047E-2</v>
      </c>
      <c r="BR63" s="886">
        <f t="shared" si="100"/>
        <v>-0.8592610862888036</v>
      </c>
      <c r="BS63" s="882">
        <f t="shared" si="40"/>
        <v>-0.8592610862888036</v>
      </c>
      <c r="BT63" s="882">
        <f t="shared" si="41"/>
        <v>-0.8592610862888036</v>
      </c>
      <c r="BU63" s="883">
        <f t="shared" si="42"/>
        <v>-0.8592610862888036</v>
      </c>
      <c r="BV63" s="537">
        <f>VLOOKUP($A63,[1]!LandfillAggressiveK6,BV$7,FALSE)</f>
        <v>0.16329325320000032</v>
      </c>
      <c r="BW63" s="538">
        <f>VLOOKUP($A63,[1]!LandfillAggressiveK6,BW$7,FALSE)</f>
        <v>0.16329325320000032</v>
      </c>
      <c r="BX63" s="538">
        <f>VLOOKUP($A63,[1]!LandfillAggressiveK6,BX$7,FALSE)</f>
        <v>0.16329325320000032</v>
      </c>
      <c r="BY63" s="539">
        <f>VLOOKUP($A63,[1]!LandfillAggressiveK6,BY$7,FALSE)</f>
        <v>0.16329325320000032</v>
      </c>
      <c r="BZ63" s="540">
        <f>-1*VLOOKUP($A63,[1]Landfilling!$N$27:$R$41,5,FALSE)</f>
        <v>-1.0428088586299999</v>
      </c>
      <c r="CA63" s="541">
        <f>VLOOKUP($A63,'[1]Post-Consumer Transport'!$C$33:$K$88,3,FALSE)+VLOOKUP($A63,'[1]Post-Consumer Transport'!$C$33:$K$88,4,FALSE)</f>
        <v>2.0254519141196047E-2</v>
      </c>
      <c r="CB63" s="542">
        <f t="shared" si="101"/>
        <v>-0.8592610862888036</v>
      </c>
      <c r="CC63" s="538">
        <f t="shared" si="44"/>
        <v>-0.8592610862888036</v>
      </c>
      <c r="CD63" s="538">
        <f t="shared" si="45"/>
        <v>-0.8592610862888036</v>
      </c>
      <c r="CE63" s="539">
        <f t="shared" si="46"/>
        <v>-0.8592610862888036</v>
      </c>
      <c r="CF63" s="537">
        <f>VLOOKUP($A63,[1]!LandfillAggressiveK12,CF$7,FALSE)</f>
        <v>0.16329325320000032</v>
      </c>
      <c r="CG63" s="538">
        <f>VLOOKUP($A63,[1]!LandfillAggressiveK12,CG$7,FALSE)</f>
        <v>0.16329325320000032</v>
      </c>
      <c r="CH63" s="538">
        <f>VLOOKUP($A63,[1]!LandfillAggressiveK12,CH$7,FALSE)</f>
        <v>0.16329325320000032</v>
      </c>
      <c r="CI63" s="539">
        <f>VLOOKUP($A63,[1]!LandfillAggressiveK12,CI$7,FALSE)</f>
        <v>0.16329325320000032</v>
      </c>
      <c r="CJ63" s="540">
        <f>-1*VLOOKUP($A63,[1]Landfilling!$N$27:$R$41,5,FALSE)</f>
        <v>-1.0428088586299999</v>
      </c>
      <c r="CK63" s="541">
        <f>VLOOKUP($A63,'[1]Post-Consumer Transport'!$C$33:$K$88,3,FALSE)+VLOOKUP($A63,'[1]Post-Consumer Transport'!$C$33:$K$88,4,FALSE)</f>
        <v>2.0254519141196047E-2</v>
      </c>
      <c r="CL63" s="542">
        <f t="shared" si="102"/>
        <v>-0.8592610862888036</v>
      </c>
      <c r="CM63" s="538">
        <f t="shared" si="48"/>
        <v>-0.8592610862888036</v>
      </c>
      <c r="CN63" s="538">
        <f t="shared" si="49"/>
        <v>-0.8592610862888036</v>
      </c>
      <c r="CO63" s="539">
        <f t="shared" si="50"/>
        <v>-0.8592610862888036</v>
      </c>
      <c r="CP63" s="537">
        <f>VLOOKUP($A63,[1]!LandfillAggressiveNatlAverage,CP$7,FALSE)</f>
        <v>0.16329325320000032</v>
      </c>
      <c r="CQ63" s="538">
        <f>VLOOKUP($A63,[1]!LandfillAggressiveNatlAverage,CQ$7,FALSE)</f>
        <v>0.16329325320000032</v>
      </c>
      <c r="CR63" s="538">
        <f>VLOOKUP($A63,[1]!LandfillAggressiveNatlAverage,CR$7,FALSE)</f>
        <v>0.16329325320000032</v>
      </c>
      <c r="CS63" s="539">
        <f>VLOOKUP($A63,[1]!LandfillAggressiveNatlAverage,CS$7,FALSE)</f>
        <v>0.16329325320000032</v>
      </c>
      <c r="CT63" s="540">
        <f>-1*VLOOKUP($A63,[1]Landfilling!$N$27:$R$41,5,FALSE)</f>
        <v>-1.0428088586299999</v>
      </c>
      <c r="CU63" s="541">
        <f>VLOOKUP($A63,'[1]Post-Consumer Transport'!$C$33:$K$88,3,FALSE)+VLOOKUP($A63,'[1]Post-Consumer Transport'!$C$33:$K$88,4,FALSE)</f>
        <v>2.0254519141196047E-2</v>
      </c>
      <c r="CV63" s="542">
        <f t="shared" si="103"/>
        <v>-0.8592610862888036</v>
      </c>
      <c r="CW63" s="538">
        <f t="shared" si="52"/>
        <v>-0.8592610862888036</v>
      </c>
      <c r="CX63" s="538">
        <f t="shared" si="53"/>
        <v>-0.8592610862888036</v>
      </c>
      <c r="CY63" s="539">
        <f t="shared" si="54"/>
        <v>-0.8592610862888036</v>
      </c>
      <c r="DA63" s="537">
        <f>VLOOKUP($A63,[1]!LandfillWorstK2,DA$7,FALSE)</f>
        <v>0.16329325320000032</v>
      </c>
      <c r="DB63" s="538">
        <f>VLOOKUP($A63,[1]!LandfillWorstK2,DB$7,FALSE)</f>
        <v>0.16329325320000032</v>
      </c>
      <c r="DC63" s="538">
        <f>VLOOKUP($A63,[1]!LandfillWorstK2,DC$7,FALSE)</f>
        <v>0.16329325320000032</v>
      </c>
      <c r="DD63" s="539">
        <f>VLOOKUP($A63,[1]!LandfillWorstK2,DD$7,FALSE)</f>
        <v>0.16329325320000032</v>
      </c>
      <c r="DE63" s="540">
        <f>-1*VLOOKUP($A63,[1]Landfilling!$N$27:$R$41,5,FALSE)</f>
        <v>-1.0428088586299999</v>
      </c>
      <c r="DF63" s="541">
        <f>VLOOKUP($A63,'[1]Post-Consumer Transport'!$C$33:$K$88,3,FALSE)+VLOOKUP($A63,'[1]Post-Consumer Transport'!$C$33:$K$88,4,FALSE)</f>
        <v>2.0254519141196047E-2</v>
      </c>
      <c r="DG63" s="542">
        <f t="shared" si="104"/>
        <v>-0.8592610862888036</v>
      </c>
      <c r="DH63" s="538">
        <f t="shared" si="56"/>
        <v>-0.8592610862888036</v>
      </c>
      <c r="DI63" s="538">
        <f t="shared" si="57"/>
        <v>-0.8592610862888036</v>
      </c>
      <c r="DJ63" s="539">
        <f t="shared" si="58"/>
        <v>-0.8592610862888036</v>
      </c>
      <c r="DK63" s="537">
        <f>VLOOKUP($A63,[1]!LandfillWorstK4,DK$7,FALSE)</f>
        <v>0.16329325320000032</v>
      </c>
      <c r="DL63" s="538">
        <f>VLOOKUP($A63,[1]!LandfillWorstK4,DL$7,FALSE)</f>
        <v>0.16329325320000032</v>
      </c>
      <c r="DM63" s="538">
        <f>VLOOKUP($A63,[1]!LandfillWorstK4,DM$7,FALSE)</f>
        <v>0.16329325320000032</v>
      </c>
      <c r="DN63" s="539">
        <f>VLOOKUP($A63,[1]!LandfillWorstK4,DN$7,FALSE)</f>
        <v>0.16329325320000032</v>
      </c>
      <c r="DO63" s="540">
        <f>-1*VLOOKUP($A63,[1]Landfilling!$N$27:$R$41,5,FALSE)</f>
        <v>-1.0428088586299999</v>
      </c>
      <c r="DP63" s="541">
        <f>VLOOKUP($A63,'[1]Post-Consumer Transport'!$C$33:$K$88,3,FALSE)+VLOOKUP($A63,'[1]Post-Consumer Transport'!$C$33:$K$88,4,FALSE)</f>
        <v>2.0254519141196047E-2</v>
      </c>
      <c r="DQ63" s="542">
        <f t="shared" si="105"/>
        <v>-0.8592610862888036</v>
      </c>
      <c r="DR63" s="538">
        <f t="shared" si="60"/>
        <v>-0.8592610862888036</v>
      </c>
      <c r="DS63" s="538">
        <f t="shared" si="61"/>
        <v>-0.8592610862888036</v>
      </c>
      <c r="DT63" s="539">
        <f t="shared" si="62"/>
        <v>-0.8592610862888036</v>
      </c>
      <c r="DU63" s="537">
        <f>VLOOKUP($A63,[1]!LandfillWorstK6,DU$7,FALSE)</f>
        <v>0.16329325320000032</v>
      </c>
      <c r="DV63" s="538">
        <f>VLOOKUP($A63,[1]!LandfillWorstK6,DV$7,FALSE)</f>
        <v>0.16329325320000032</v>
      </c>
      <c r="DW63" s="538">
        <f>VLOOKUP($A63,[1]!LandfillWorstK6,DW$7,FALSE)</f>
        <v>0.16329325320000032</v>
      </c>
      <c r="DX63" s="539">
        <f>VLOOKUP($A63,[1]!LandfillWorstK6,DX$7,FALSE)</f>
        <v>0.16329325320000032</v>
      </c>
      <c r="DY63" s="540">
        <f>-1*VLOOKUP($A63,[1]Landfilling!$N$27:$R$41,5,FALSE)</f>
        <v>-1.0428088586299999</v>
      </c>
      <c r="DZ63" s="541">
        <f>VLOOKUP($A63,'[1]Post-Consumer Transport'!$C$33:$K$88,3,FALSE)+VLOOKUP($A63,'[1]Post-Consumer Transport'!$C$33:$K$88,4,FALSE)</f>
        <v>2.0254519141196047E-2</v>
      </c>
      <c r="EA63" s="542">
        <f t="shared" si="106"/>
        <v>-0.8592610862888036</v>
      </c>
      <c r="EB63" s="538">
        <f t="shared" si="64"/>
        <v>-0.8592610862888036</v>
      </c>
      <c r="EC63" s="538">
        <f t="shared" si="65"/>
        <v>-0.8592610862888036</v>
      </c>
      <c r="ED63" s="539">
        <f t="shared" si="66"/>
        <v>-0.8592610862888036</v>
      </c>
      <c r="EE63" s="537">
        <f>VLOOKUP($A63,[1]!LandfillWorstK12,EE$7,FALSE)</f>
        <v>0.16329325320000032</v>
      </c>
      <c r="EF63" s="538">
        <f>VLOOKUP($A63,[1]!LandfillWorstK12,EF$7,FALSE)</f>
        <v>0.16329325320000032</v>
      </c>
      <c r="EG63" s="538">
        <f>VLOOKUP($A63,[1]!LandfillWorstK12,EG$7,FALSE)</f>
        <v>0.16329325320000032</v>
      </c>
      <c r="EH63" s="539">
        <f>VLOOKUP($A63,[1]!LandfillWorstK12,EH$7,FALSE)</f>
        <v>0.16329325320000032</v>
      </c>
      <c r="EI63" s="540">
        <f>-1*VLOOKUP($A63,[1]Landfilling!$N$27:$R$41,5,FALSE)</f>
        <v>-1.0428088586299999</v>
      </c>
      <c r="EJ63" s="541">
        <f>VLOOKUP($A63,'[1]Post-Consumer Transport'!$C$33:$K$88,3,FALSE)+VLOOKUP($A63,'[1]Post-Consumer Transport'!$C$33:$K$88,4,FALSE)</f>
        <v>2.0254519141196047E-2</v>
      </c>
      <c r="EK63" s="542">
        <f t="shared" si="107"/>
        <v>-0.8592610862888036</v>
      </c>
      <c r="EL63" s="538">
        <f t="shared" si="68"/>
        <v>-0.8592610862888036</v>
      </c>
      <c r="EM63" s="538">
        <f t="shared" si="69"/>
        <v>-0.8592610862888036</v>
      </c>
      <c r="EN63" s="539">
        <f t="shared" si="70"/>
        <v>-0.8592610862888036</v>
      </c>
      <c r="EO63" s="537">
        <f>VLOOKUP($A63,[1]!LandfillWorstNatlAverage,EO$7,FALSE)</f>
        <v>0.16329325320000032</v>
      </c>
      <c r="EP63" s="538">
        <f>VLOOKUP($A63,[1]!LandfillWorstNatlAverage,EP$7,FALSE)</f>
        <v>0.16329325320000032</v>
      </c>
      <c r="EQ63" s="538">
        <f>VLOOKUP($A63,[1]!LandfillWorstNatlAverage,EQ$7,FALSE)</f>
        <v>0.16329325320000032</v>
      </c>
      <c r="ER63" s="539">
        <f>VLOOKUP($A63,[1]!LandfillWorstNatlAverage,ER$7,FALSE)</f>
        <v>0.16329325320000032</v>
      </c>
      <c r="ES63" s="540">
        <f>-1*VLOOKUP($A63,[1]Landfilling!$N$27:$R$41,5,FALSE)</f>
        <v>-1.0428088586299999</v>
      </c>
      <c r="ET63" s="541">
        <f>VLOOKUP($A63,'[1]Post-Consumer Transport'!$C$33:$K$88,3,FALSE)+VLOOKUP($A63,'[1]Post-Consumer Transport'!$C$33:$K$88,4,FALSE)</f>
        <v>2.0254519141196047E-2</v>
      </c>
      <c r="EU63" s="542">
        <f t="shared" si="108"/>
        <v>-0.8592610862888036</v>
      </c>
      <c r="EV63" s="538">
        <f t="shared" si="72"/>
        <v>-0.8592610862888036</v>
      </c>
      <c r="EW63" s="538">
        <f t="shared" si="73"/>
        <v>-0.8592610862888036</v>
      </c>
      <c r="EX63" s="539">
        <f t="shared" si="74"/>
        <v>-0.8592610862888036</v>
      </c>
      <c r="EZ63" s="537">
        <f>VLOOKUP($A63,[1]!LandfillCaliK2,EZ$7,FALSE)</f>
        <v>0.16329325320000032</v>
      </c>
      <c r="FA63" s="538">
        <f>VLOOKUP($A63,[1]!LandfillCaliK2,FA$7,FALSE)</f>
        <v>0.16329325320000032</v>
      </c>
      <c r="FB63" s="538">
        <f>VLOOKUP($A63,[1]!LandfillCaliK2,FB$7,FALSE)</f>
        <v>0.16329325320000032</v>
      </c>
      <c r="FC63" s="539">
        <f>VLOOKUP($A63,[1]!LandfillCaliK2,FC$7,FALSE)</f>
        <v>0.16329325320000032</v>
      </c>
      <c r="FD63" s="540">
        <f>-1*VLOOKUP($A63,[1]Landfilling!$N$27:$R$41,5,FALSE)</f>
        <v>-1.0428088586299999</v>
      </c>
      <c r="FE63" s="541">
        <f>VLOOKUP($A63,'[1]Post-Consumer Transport'!$C$33:$K$88,3,FALSE)+VLOOKUP($A63,'[1]Post-Consumer Transport'!$C$33:$K$88,4,FALSE)</f>
        <v>2.0254519141196047E-2</v>
      </c>
      <c r="FF63" s="542">
        <f t="shared" si="109"/>
        <v>-0.8592610862888036</v>
      </c>
      <c r="FG63" s="538">
        <f t="shared" si="76"/>
        <v>-0.8592610862888036</v>
      </c>
      <c r="FH63" s="538">
        <f t="shared" si="77"/>
        <v>-0.8592610862888036</v>
      </c>
      <c r="FI63" s="539">
        <f t="shared" si="78"/>
        <v>-0.8592610862888036</v>
      </c>
      <c r="FJ63" s="537">
        <f>VLOOKUP($A63,[1]!LandfillCaliK4,FJ$7,FALSE)</f>
        <v>0.16329325320000032</v>
      </c>
      <c r="FK63" s="538">
        <f>VLOOKUP($A63,[1]!LandfillCaliK4,FK$7,FALSE)</f>
        <v>0.16329325320000032</v>
      </c>
      <c r="FL63" s="538">
        <f>VLOOKUP($A63,[1]!LandfillCaliK4,FL$7,FALSE)</f>
        <v>0.16329325320000032</v>
      </c>
      <c r="FM63" s="539">
        <f>VLOOKUP($A63,[1]!LandfillCaliK4,FM$7,FALSE)</f>
        <v>0.16329325320000032</v>
      </c>
      <c r="FN63" s="540">
        <f>-1*VLOOKUP($A63,[1]Landfilling!$N$27:$R$41,5,FALSE)</f>
        <v>-1.0428088586299999</v>
      </c>
      <c r="FO63" s="541">
        <f>VLOOKUP($A63,'[1]Post-Consumer Transport'!$C$33:$K$88,3,FALSE)+VLOOKUP($A63,'[1]Post-Consumer Transport'!$C$33:$K$88,4,FALSE)</f>
        <v>2.0254519141196047E-2</v>
      </c>
      <c r="FP63" s="542">
        <f t="shared" si="110"/>
        <v>-0.8592610862888036</v>
      </c>
      <c r="FQ63" s="538">
        <f t="shared" si="80"/>
        <v>-0.8592610862888036</v>
      </c>
      <c r="FR63" s="538">
        <f t="shared" si="81"/>
        <v>-0.8592610862888036</v>
      </c>
      <c r="FS63" s="539">
        <f t="shared" si="82"/>
        <v>-0.8592610862888036</v>
      </c>
      <c r="FT63" s="537">
        <f>VLOOKUP($A63,[1]!LandfillCaliK6,FT$7,FALSE)</f>
        <v>0.16329325320000032</v>
      </c>
      <c r="FU63" s="538">
        <f>VLOOKUP($A63,[1]!LandfillCaliK6,FU$7,FALSE)</f>
        <v>0.16329325320000032</v>
      </c>
      <c r="FV63" s="538">
        <f>VLOOKUP($A63,[1]!LandfillCaliK6,FV$7,FALSE)</f>
        <v>0.16329325320000032</v>
      </c>
      <c r="FW63" s="539">
        <f>VLOOKUP($A63,[1]!LandfillCaliK6,FW$7,FALSE)</f>
        <v>0.16329325320000032</v>
      </c>
      <c r="FX63" s="540">
        <f>-1*VLOOKUP($A63,[1]Landfilling!$N$27:$R$41,5,FALSE)</f>
        <v>-1.0428088586299999</v>
      </c>
      <c r="FY63" s="541">
        <f>VLOOKUP($A63,'[1]Post-Consumer Transport'!$C$33:$K$88,3,FALSE)+VLOOKUP($A63,'[1]Post-Consumer Transport'!$C$33:$K$88,4,FALSE)</f>
        <v>2.0254519141196047E-2</v>
      </c>
      <c r="FZ63" s="542">
        <f t="shared" si="111"/>
        <v>-0.8592610862888036</v>
      </c>
      <c r="GA63" s="538">
        <f t="shared" si="84"/>
        <v>-0.8592610862888036</v>
      </c>
      <c r="GB63" s="538">
        <f t="shared" si="85"/>
        <v>-0.8592610862888036</v>
      </c>
      <c r="GC63" s="539">
        <f t="shared" si="86"/>
        <v>-0.8592610862888036</v>
      </c>
      <c r="GD63" s="537">
        <f>VLOOKUP($A63,[1]!LandfillCaliK12,GD$7,FALSE)</f>
        <v>0.16329325320000032</v>
      </c>
      <c r="GE63" s="538">
        <f>VLOOKUP($A63,[1]!LandfillCaliK12,GE$7,FALSE)</f>
        <v>0.16329325320000032</v>
      </c>
      <c r="GF63" s="538">
        <f>VLOOKUP($A63,[1]!LandfillCaliK12,GF$7,FALSE)</f>
        <v>0.16329325320000032</v>
      </c>
      <c r="GG63" s="539">
        <f>VLOOKUP($A63,[1]!LandfillCaliK12,GG$7,FALSE)</f>
        <v>0.16329325320000032</v>
      </c>
      <c r="GH63" s="540">
        <f>-1*VLOOKUP($A63,[1]Landfilling!$N$27:$R$41,5,FALSE)</f>
        <v>-1.0428088586299999</v>
      </c>
      <c r="GI63" s="541">
        <f>VLOOKUP($A63,'[1]Post-Consumer Transport'!$C$33:$K$88,3,FALSE)+VLOOKUP($A63,'[1]Post-Consumer Transport'!$C$33:$K$88,4,FALSE)</f>
        <v>2.0254519141196047E-2</v>
      </c>
      <c r="GJ63" s="542">
        <f t="shared" si="112"/>
        <v>-0.8592610862888036</v>
      </c>
      <c r="GK63" s="538">
        <f t="shared" si="88"/>
        <v>-0.8592610862888036</v>
      </c>
      <c r="GL63" s="538">
        <f t="shared" si="89"/>
        <v>-0.8592610862888036</v>
      </c>
      <c r="GM63" s="539">
        <f t="shared" si="90"/>
        <v>-0.8592610862888036</v>
      </c>
      <c r="GN63" s="537">
        <f>VLOOKUP($A63,[1]!LandfillCaliNatlAverage,GN$7,FALSE)</f>
        <v>0.16329325320000032</v>
      </c>
      <c r="GO63" s="538">
        <f>VLOOKUP($A63,[1]!LandfillCaliNatlAverage,GO$7,FALSE)</f>
        <v>0.16329325320000032</v>
      </c>
      <c r="GP63" s="538">
        <f>VLOOKUP($A63,[1]!LandfillCaliNatlAverage,GP$7,FALSE)</f>
        <v>0.16329325320000032</v>
      </c>
      <c r="GQ63" s="539">
        <f>VLOOKUP($A63,[1]!LandfillCaliNatlAverage,GQ$7,FALSE)</f>
        <v>0.16329325320000032</v>
      </c>
      <c r="GR63" s="540">
        <f>-1*VLOOKUP($A63,[1]Landfilling!$N$27:$R$41,5,FALSE)</f>
        <v>-1.0428088586299999</v>
      </c>
      <c r="GS63" s="541">
        <f>VLOOKUP($A63,'[1]Post-Consumer Transport'!$C$33:$K$88,3,FALSE)+VLOOKUP($A63,'[1]Post-Consumer Transport'!$C$33:$K$88,4,FALSE)</f>
        <v>2.0254519141196047E-2</v>
      </c>
      <c r="GT63" s="542">
        <f t="shared" si="113"/>
        <v>-0.8592610862888036</v>
      </c>
      <c r="GU63" s="538">
        <f t="shared" si="92"/>
        <v>-0.8592610862888036</v>
      </c>
      <c r="GV63" s="538">
        <f t="shared" si="93"/>
        <v>-0.8592610862888036</v>
      </c>
      <c r="GW63" s="539">
        <f t="shared" si="94"/>
        <v>-0.8592610862888036</v>
      </c>
    </row>
    <row r="64" spans="1:205" s="499" customFormat="1" x14ac:dyDescent="0.25">
      <c r="A64" s="498" t="str">
        <f t="shared" si="16"/>
        <v>Aluminum Ingot</v>
      </c>
      <c r="B64" s="556" t="s">
        <v>84</v>
      </c>
      <c r="C64" s="557">
        <v>0</v>
      </c>
      <c r="D64" s="558">
        <v>0</v>
      </c>
      <c r="E64" s="558">
        <v>0</v>
      </c>
      <c r="F64" s="559">
        <v>0</v>
      </c>
      <c r="G64" s="560">
        <v>0</v>
      </c>
      <c r="H64" s="552">
        <f>VLOOKUP($A64,'[1]Post-Consumer Transport'!$C$33:$K$88,3,FALSE)+VLOOKUP($A64,'[1]Post-Consumer Transport'!$C$33:$K$88,4,FALSE)</f>
        <v>2.0254519141196047E-2</v>
      </c>
      <c r="I64" s="553">
        <f t="shared" si="17"/>
        <v>2.0254519141196047E-2</v>
      </c>
      <c r="J64" s="549">
        <f t="shared" si="18"/>
        <v>2.0254519141196047E-2</v>
      </c>
      <c r="K64" s="549">
        <f t="shared" si="18"/>
        <v>2.0254519141196047E-2</v>
      </c>
      <c r="L64" s="550">
        <f t="shared" si="18"/>
        <v>2.0254519141196047E-2</v>
      </c>
      <c r="M64" s="557">
        <v>0</v>
      </c>
      <c r="N64" s="558">
        <v>0</v>
      </c>
      <c r="O64" s="558">
        <v>0</v>
      </c>
      <c r="P64" s="559">
        <v>0</v>
      </c>
      <c r="Q64" s="560">
        <v>0</v>
      </c>
      <c r="R64" s="552">
        <f>VLOOKUP($A64,'[1]Post-Consumer Transport'!$C$33:$K$88,3,FALSE)+VLOOKUP($A64,'[1]Post-Consumer Transport'!$C$33:$K$88,4,FALSE)</f>
        <v>2.0254519141196047E-2</v>
      </c>
      <c r="S64" s="553">
        <f t="shared" si="95"/>
        <v>2.0254519141196047E-2</v>
      </c>
      <c r="T64" s="549">
        <f t="shared" si="20"/>
        <v>2.0254519141196047E-2</v>
      </c>
      <c r="U64" s="549">
        <f t="shared" si="21"/>
        <v>2.0254519141196047E-2</v>
      </c>
      <c r="V64" s="550">
        <f t="shared" si="22"/>
        <v>2.0254519141196047E-2</v>
      </c>
      <c r="W64" s="557">
        <v>0</v>
      </c>
      <c r="X64" s="558">
        <v>0</v>
      </c>
      <c r="Y64" s="558">
        <v>0</v>
      </c>
      <c r="Z64" s="559">
        <v>0</v>
      </c>
      <c r="AA64" s="560">
        <v>0</v>
      </c>
      <c r="AB64" s="552">
        <f>VLOOKUP($A64,'[1]Post-Consumer Transport'!$C$33:$K$88,3,FALSE)+VLOOKUP($A64,'[1]Post-Consumer Transport'!$C$33:$K$88,4,FALSE)</f>
        <v>2.0254519141196047E-2</v>
      </c>
      <c r="AC64" s="553">
        <f t="shared" si="96"/>
        <v>2.0254519141196047E-2</v>
      </c>
      <c r="AD64" s="549">
        <f t="shared" si="24"/>
        <v>2.0254519141196047E-2</v>
      </c>
      <c r="AE64" s="549">
        <f t="shared" si="25"/>
        <v>2.0254519141196047E-2</v>
      </c>
      <c r="AF64" s="550">
        <f t="shared" si="26"/>
        <v>2.0254519141196047E-2</v>
      </c>
      <c r="AG64" s="557">
        <v>0</v>
      </c>
      <c r="AH64" s="558">
        <v>0</v>
      </c>
      <c r="AI64" s="558">
        <v>0</v>
      </c>
      <c r="AJ64" s="559">
        <v>0</v>
      </c>
      <c r="AK64" s="560">
        <v>0</v>
      </c>
      <c r="AL64" s="552">
        <f>VLOOKUP($A64,'[1]Post-Consumer Transport'!$C$33:$K$88,3,FALSE)+VLOOKUP($A64,'[1]Post-Consumer Transport'!$C$33:$K$88,4,FALSE)</f>
        <v>2.0254519141196047E-2</v>
      </c>
      <c r="AM64" s="553">
        <f t="shared" si="97"/>
        <v>2.0254519141196047E-2</v>
      </c>
      <c r="AN64" s="549">
        <f t="shared" si="28"/>
        <v>2.0254519141196047E-2</v>
      </c>
      <c r="AO64" s="549">
        <f t="shared" si="29"/>
        <v>2.0254519141196047E-2</v>
      </c>
      <c r="AP64" s="550">
        <f t="shared" si="30"/>
        <v>2.0254519141196047E-2</v>
      </c>
      <c r="AQ64" s="557">
        <v>0</v>
      </c>
      <c r="AR64" s="558">
        <v>0</v>
      </c>
      <c r="AS64" s="558">
        <v>0</v>
      </c>
      <c r="AT64" s="559">
        <v>0</v>
      </c>
      <c r="AU64" s="560">
        <v>0</v>
      </c>
      <c r="AV64" s="552">
        <f>VLOOKUP($A64,'[1]Post-Consumer Transport'!$C$33:$K$88,3,FALSE)+VLOOKUP($A64,'[1]Post-Consumer Transport'!$C$33:$K$88,4,FALSE)</f>
        <v>2.0254519141196047E-2</v>
      </c>
      <c r="AW64" s="553">
        <f t="shared" si="98"/>
        <v>2.0254519141196047E-2</v>
      </c>
      <c r="AX64" s="549">
        <f t="shared" si="32"/>
        <v>2.0254519141196047E-2</v>
      </c>
      <c r="AY64" s="549">
        <f t="shared" si="33"/>
        <v>2.0254519141196047E-2</v>
      </c>
      <c r="AZ64" s="550">
        <f t="shared" si="34"/>
        <v>2.0254519141196047E-2</v>
      </c>
      <c r="BB64" s="557">
        <v>0</v>
      </c>
      <c r="BC64" s="558">
        <v>0</v>
      </c>
      <c r="BD64" s="558">
        <v>0</v>
      </c>
      <c r="BE64" s="559">
        <v>0</v>
      </c>
      <c r="BF64" s="560">
        <v>0</v>
      </c>
      <c r="BG64" s="552">
        <f>VLOOKUP($A64,'[1]Post-Consumer Transport'!$C$33:$K$88,3,FALSE)+VLOOKUP($A64,'[1]Post-Consumer Transport'!$C$33:$K$88,4,FALSE)</f>
        <v>2.0254519141196047E-2</v>
      </c>
      <c r="BH64" s="553">
        <f t="shared" si="99"/>
        <v>2.0254519141196047E-2</v>
      </c>
      <c r="BI64" s="549">
        <f t="shared" si="36"/>
        <v>2.0254519141196047E-2</v>
      </c>
      <c r="BJ64" s="549">
        <f t="shared" si="37"/>
        <v>2.0254519141196047E-2</v>
      </c>
      <c r="BK64" s="550">
        <f t="shared" si="38"/>
        <v>2.0254519141196047E-2</v>
      </c>
      <c r="BL64" s="888">
        <v>0</v>
      </c>
      <c r="BM64" s="889">
        <v>0</v>
      </c>
      <c r="BN64" s="889">
        <v>0</v>
      </c>
      <c r="BO64" s="890">
        <v>0</v>
      </c>
      <c r="BP64" s="891">
        <v>0</v>
      </c>
      <c r="BQ64" s="885">
        <f>VLOOKUP($A64,'[1]Post-Consumer Transport'!$C$33:$K$88,3,FALSE)+VLOOKUP($A64,'[1]Post-Consumer Transport'!$C$33:$K$88,4,FALSE)</f>
        <v>2.0254519141196047E-2</v>
      </c>
      <c r="BR64" s="886">
        <f t="shared" si="100"/>
        <v>2.0254519141196047E-2</v>
      </c>
      <c r="BS64" s="882">
        <f t="shared" si="40"/>
        <v>2.0254519141196047E-2</v>
      </c>
      <c r="BT64" s="882">
        <f t="shared" si="41"/>
        <v>2.0254519141196047E-2</v>
      </c>
      <c r="BU64" s="883">
        <f t="shared" si="42"/>
        <v>2.0254519141196047E-2</v>
      </c>
      <c r="BV64" s="557">
        <v>0</v>
      </c>
      <c r="BW64" s="558">
        <v>0</v>
      </c>
      <c r="BX64" s="558">
        <v>0</v>
      </c>
      <c r="BY64" s="559">
        <v>0</v>
      </c>
      <c r="BZ64" s="560">
        <v>0</v>
      </c>
      <c r="CA64" s="552">
        <f>VLOOKUP($A64,'[1]Post-Consumer Transport'!$C$33:$K$88,3,FALSE)+VLOOKUP($A64,'[1]Post-Consumer Transport'!$C$33:$K$88,4,FALSE)</f>
        <v>2.0254519141196047E-2</v>
      </c>
      <c r="CB64" s="553">
        <f t="shared" si="101"/>
        <v>2.0254519141196047E-2</v>
      </c>
      <c r="CC64" s="549">
        <f t="shared" si="44"/>
        <v>2.0254519141196047E-2</v>
      </c>
      <c r="CD64" s="549">
        <f t="shared" si="45"/>
        <v>2.0254519141196047E-2</v>
      </c>
      <c r="CE64" s="550">
        <f t="shared" si="46"/>
        <v>2.0254519141196047E-2</v>
      </c>
      <c r="CF64" s="557">
        <v>0</v>
      </c>
      <c r="CG64" s="558">
        <v>0</v>
      </c>
      <c r="CH64" s="558">
        <v>0</v>
      </c>
      <c r="CI64" s="559">
        <v>0</v>
      </c>
      <c r="CJ64" s="560">
        <v>0</v>
      </c>
      <c r="CK64" s="552">
        <f>VLOOKUP($A64,'[1]Post-Consumer Transport'!$C$33:$K$88,3,FALSE)+VLOOKUP($A64,'[1]Post-Consumer Transport'!$C$33:$K$88,4,FALSE)</f>
        <v>2.0254519141196047E-2</v>
      </c>
      <c r="CL64" s="553">
        <f t="shared" si="102"/>
        <v>2.0254519141196047E-2</v>
      </c>
      <c r="CM64" s="549">
        <f t="shared" si="48"/>
        <v>2.0254519141196047E-2</v>
      </c>
      <c r="CN64" s="549">
        <f t="shared" si="49"/>
        <v>2.0254519141196047E-2</v>
      </c>
      <c r="CO64" s="550">
        <f t="shared" si="50"/>
        <v>2.0254519141196047E-2</v>
      </c>
      <c r="CP64" s="557">
        <v>0</v>
      </c>
      <c r="CQ64" s="558">
        <v>0</v>
      </c>
      <c r="CR64" s="558">
        <v>0</v>
      </c>
      <c r="CS64" s="559">
        <v>0</v>
      </c>
      <c r="CT64" s="560">
        <v>0</v>
      </c>
      <c r="CU64" s="552">
        <f>VLOOKUP($A64,'[1]Post-Consumer Transport'!$C$33:$K$88,3,FALSE)+VLOOKUP($A64,'[1]Post-Consumer Transport'!$C$33:$K$88,4,FALSE)</f>
        <v>2.0254519141196047E-2</v>
      </c>
      <c r="CV64" s="553">
        <f t="shared" si="103"/>
        <v>2.0254519141196047E-2</v>
      </c>
      <c r="CW64" s="549">
        <f t="shared" si="52"/>
        <v>2.0254519141196047E-2</v>
      </c>
      <c r="CX64" s="549">
        <f t="shared" si="53"/>
        <v>2.0254519141196047E-2</v>
      </c>
      <c r="CY64" s="550">
        <f t="shared" si="54"/>
        <v>2.0254519141196047E-2</v>
      </c>
      <c r="DA64" s="557">
        <v>0</v>
      </c>
      <c r="DB64" s="558">
        <v>0</v>
      </c>
      <c r="DC64" s="558">
        <v>0</v>
      </c>
      <c r="DD64" s="559">
        <v>0</v>
      </c>
      <c r="DE64" s="560">
        <v>0</v>
      </c>
      <c r="DF64" s="552">
        <f>VLOOKUP($A64,'[1]Post-Consumer Transport'!$C$33:$K$88,3,FALSE)+VLOOKUP($A64,'[1]Post-Consumer Transport'!$C$33:$K$88,4,FALSE)</f>
        <v>2.0254519141196047E-2</v>
      </c>
      <c r="DG64" s="553">
        <f t="shared" si="104"/>
        <v>2.0254519141196047E-2</v>
      </c>
      <c r="DH64" s="549">
        <f t="shared" si="56"/>
        <v>2.0254519141196047E-2</v>
      </c>
      <c r="DI64" s="549">
        <f t="shared" si="57"/>
        <v>2.0254519141196047E-2</v>
      </c>
      <c r="DJ64" s="550">
        <f t="shared" si="58"/>
        <v>2.0254519141196047E-2</v>
      </c>
      <c r="DK64" s="557">
        <v>0</v>
      </c>
      <c r="DL64" s="558">
        <v>0</v>
      </c>
      <c r="DM64" s="558">
        <v>0</v>
      </c>
      <c r="DN64" s="559">
        <v>0</v>
      </c>
      <c r="DO64" s="560">
        <v>0</v>
      </c>
      <c r="DP64" s="552">
        <f>VLOOKUP($A64,'[1]Post-Consumer Transport'!$C$33:$K$88,3,FALSE)+VLOOKUP($A64,'[1]Post-Consumer Transport'!$C$33:$K$88,4,FALSE)</f>
        <v>2.0254519141196047E-2</v>
      </c>
      <c r="DQ64" s="553">
        <f t="shared" si="105"/>
        <v>2.0254519141196047E-2</v>
      </c>
      <c r="DR64" s="549">
        <f t="shared" si="60"/>
        <v>2.0254519141196047E-2</v>
      </c>
      <c r="DS64" s="549">
        <f t="shared" si="61"/>
        <v>2.0254519141196047E-2</v>
      </c>
      <c r="DT64" s="550">
        <f t="shared" si="62"/>
        <v>2.0254519141196047E-2</v>
      </c>
      <c r="DU64" s="557">
        <v>0</v>
      </c>
      <c r="DV64" s="558">
        <v>0</v>
      </c>
      <c r="DW64" s="558">
        <v>0</v>
      </c>
      <c r="DX64" s="559">
        <v>0</v>
      </c>
      <c r="DY64" s="560">
        <v>0</v>
      </c>
      <c r="DZ64" s="552">
        <f>VLOOKUP($A64,'[1]Post-Consumer Transport'!$C$33:$K$88,3,FALSE)+VLOOKUP($A64,'[1]Post-Consumer Transport'!$C$33:$K$88,4,FALSE)</f>
        <v>2.0254519141196047E-2</v>
      </c>
      <c r="EA64" s="553">
        <f t="shared" si="106"/>
        <v>2.0254519141196047E-2</v>
      </c>
      <c r="EB64" s="549">
        <f t="shared" si="64"/>
        <v>2.0254519141196047E-2</v>
      </c>
      <c r="EC64" s="549">
        <f t="shared" si="65"/>
        <v>2.0254519141196047E-2</v>
      </c>
      <c r="ED64" s="550">
        <f t="shared" si="66"/>
        <v>2.0254519141196047E-2</v>
      </c>
      <c r="EE64" s="557">
        <v>0</v>
      </c>
      <c r="EF64" s="558">
        <v>0</v>
      </c>
      <c r="EG64" s="558">
        <v>0</v>
      </c>
      <c r="EH64" s="559">
        <v>0</v>
      </c>
      <c r="EI64" s="560">
        <v>0</v>
      </c>
      <c r="EJ64" s="552">
        <f>VLOOKUP($A64,'[1]Post-Consumer Transport'!$C$33:$K$88,3,FALSE)+VLOOKUP($A64,'[1]Post-Consumer Transport'!$C$33:$K$88,4,FALSE)</f>
        <v>2.0254519141196047E-2</v>
      </c>
      <c r="EK64" s="553">
        <f t="shared" si="107"/>
        <v>2.0254519141196047E-2</v>
      </c>
      <c r="EL64" s="549">
        <f t="shared" si="68"/>
        <v>2.0254519141196047E-2</v>
      </c>
      <c r="EM64" s="549">
        <f t="shared" si="69"/>
        <v>2.0254519141196047E-2</v>
      </c>
      <c r="EN64" s="550">
        <f t="shared" si="70"/>
        <v>2.0254519141196047E-2</v>
      </c>
      <c r="EO64" s="557">
        <v>0</v>
      </c>
      <c r="EP64" s="558">
        <v>0</v>
      </c>
      <c r="EQ64" s="558">
        <v>0</v>
      </c>
      <c r="ER64" s="559">
        <v>0</v>
      </c>
      <c r="ES64" s="560">
        <v>0</v>
      </c>
      <c r="ET64" s="552">
        <f>VLOOKUP($A64,'[1]Post-Consumer Transport'!$C$33:$K$88,3,FALSE)+VLOOKUP($A64,'[1]Post-Consumer Transport'!$C$33:$K$88,4,FALSE)</f>
        <v>2.0254519141196047E-2</v>
      </c>
      <c r="EU64" s="553">
        <f t="shared" si="108"/>
        <v>2.0254519141196047E-2</v>
      </c>
      <c r="EV64" s="549">
        <f t="shared" si="72"/>
        <v>2.0254519141196047E-2</v>
      </c>
      <c r="EW64" s="549">
        <f t="shared" si="73"/>
        <v>2.0254519141196047E-2</v>
      </c>
      <c r="EX64" s="550">
        <f t="shared" si="74"/>
        <v>2.0254519141196047E-2</v>
      </c>
      <c r="EZ64" s="557">
        <v>0</v>
      </c>
      <c r="FA64" s="558">
        <v>0</v>
      </c>
      <c r="FB64" s="558">
        <v>0</v>
      </c>
      <c r="FC64" s="559">
        <v>0</v>
      </c>
      <c r="FD64" s="560">
        <v>0</v>
      </c>
      <c r="FE64" s="552">
        <f>VLOOKUP($A64,'[1]Post-Consumer Transport'!$C$33:$K$88,3,FALSE)+VLOOKUP($A64,'[1]Post-Consumer Transport'!$C$33:$K$88,4,FALSE)</f>
        <v>2.0254519141196047E-2</v>
      </c>
      <c r="FF64" s="553">
        <f t="shared" si="109"/>
        <v>2.0254519141196047E-2</v>
      </c>
      <c r="FG64" s="549">
        <f t="shared" si="76"/>
        <v>2.0254519141196047E-2</v>
      </c>
      <c r="FH64" s="549">
        <f t="shared" si="77"/>
        <v>2.0254519141196047E-2</v>
      </c>
      <c r="FI64" s="550">
        <f t="shared" si="78"/>
        <v>2.0254519141196047E-2</v>
      </c>
      <c r="FJ64" s="557">
        <v>0</v>
      </c>
      <c r="FK64" s="558">
        <v>0</v>
      </c>
      <c r="FL64" s="558">
        <v>0</v>
      </c>
      <c r="FM64" s="559">
        <v>0</v>
      </c>
      <c r="FN64" s="560">
        <v>0</v>
      </c>
      <c r="FO64" s="552">
        <f>VLOOKUP($A64,'[1]Post-Consumer Transport'!$C$33:$K$88,3,FALSE)+VLOOKUP($A64,'[1]Post-Consumer Transport'!$C$33:$K$88,4,FALSE)</f>
        <v>2.0254519141196047E-2</v>
      </c>
      <c r="FP64" s="553">
        <f t="shared" si="110"/>
        <v>2.0254519141196047E-2</v>
      </c>
      <c r="FQ64" s="549">
        <f t="shared" si="80"/>
        <v>2.0254519141196047E-2</v>
      </c>
      <c r="FR64" s="549">
        <f t="shared" si="81"/>
        <v>2.0254519141196047E-2</v>
      </c>
      <c r="FS64" s="550">
        <f t="shared" si="82"/>
        <v>2.0254519141196047E-2</v>
      </c>
      <c r="FT64" s="557">
        <v>0</v>
      </c>
      <c r="FU64" s="558">
        <v>0</v>
      </c>
      <c r="FV64" s="558">
        <v>0</v>
      </c>
      <c r="FW64" s="559">
        <v>0</v>
      </c>
      <c r="FX64" s="560">
        <v>0</v>
      </c>
      <c r="FY64" s="552">
        <f>VLOOKUP($A64,'[1]Post-Consumer Transport'!$C$33:$K$88,3,FALSE)+VLOOKUP($A64,'[1]Post-Consumer Transport'!$C$33:$K$88,4,FALSE)</f>
        <v>2.0254519141196047E-2</v>
      </c>
      <c r="FZ64" s="553">
        <f t="shared" si="111"/>
        <v>2.0254519141196047E-2</v>
      </c>
      <c r="GA64" s="549">
        <f t="shared" si="84"/>
        <v>2.0254519141196047E-2</v>
      </c>
      <c r="GB64" s="549">
        <f t="shared" si="85"/>
        <v>2.0254519141196047E-2</v>
      </c>
      <c r="GC64" s="550">
        <f t="shared" si="86"/>
        <v>2.0254519141196047E-2</v>
      </c>
      <c r="GD64" s="557">
        <v>0</v>
      </c>
      <c r="GE64" s="558">
        <v>0</v>
      </c>
      <c r="GF64" s="558">
        <v>0</v>
      </c>
      <c r="GG64" s="559">
        <v>0</v>
      </c>
      <c r="GH64" s="560">
        <v>0</v>
      </c>
      <c r="GI64" s="552">
        <f>VLOOKUP($A64,'[1]Post-Consumer Transport'!$C$33:$K$88,3,FALSE)+VLOOKUP($A64,'[1]Post-Consumer Transport'!$C$33:$K$88,4,FALSE)</f>
        <v>2.0254519141196047E-2</v>
      </c>
      <c r="GJ64" s="553">
        <f t="shared" si="112"/>
        <v>2.0254519141196047E-2</v>
      </c>
      <c r="GK64" s="549">
        <f t="shared" si="88"/>
        <v>2.0254519141196047E-2</v>
      </c>
      <c r="GL64" s="549">
        <f t="shared" si="89"/>
        <v>2.0254519141196047E-2</v>
      </c>
      <c r="GM64" s="550">
        <f t="shared" si="90"/>
        <v>2.0254519141196047E-2</v>
      </c>
      <c r="GN64" s="557">
        <v>0</v>
      </c>
      <c r="GO64" s="558">
        <v>0</v>
      </c>
      <c r="GP64" s="558">
        <v>0</v>
      </c>
      <c r="GQ64" s="559">
        <v>0</v>
      </c>
      <c r="GR64" s="560">
        <v>0</v>
      </c>
      <c r="GS64" s="552">
        <f>VLOOKUP($A64,'[1]Post-Consumer Transport'!$C$33:$K$88,3,FALSE)+VLOOKUP($A64,'[1]Post-Consumer Transport'!$C$33:$K$88,4,FALSE)</f>
        <v>2.0254519141196047E-2</v>
      </c>
      <c r="GT64" s="553">
        <f t="shared" si="113"/>
        <v>2.0254519141196047E-2</v>
      </c>
      <c r="GU64" s="549">
        <f t="shared" si="92"/>
        <v>2.0254519141196047E-2</v>
      </c>
      <c r="GV64" s="549">
        <f t="shared" si="93"/>
        <v>2.0254519141196047E-2</v>
      </c>
      <c r="GW64" s="550">
        <f t="shared" si="94"/>
        <v>2.0254519141196047E-2</v>
      </c>
    </row>
    <row r="65" spans="1:205" s="499" customFormat="1" x14ac:dyDescent="0.25">
      <c r="A65" s="498" t="str">
        <f t="shared" si="16"/>
        <v>PLA</v>
      </c>
      <c r="B65" s="556" t="s">
        <v>85</v>
      </c>
      <c r="C65" s="557">
        <v>0</v>
      </c>
      <c r="D65" s="558">
        <v>0</v>
      </c>
      <c r="E65" s="558">
        <v>0</v>
      </c>
      <c r="F65" s="559">
        <v>0</v>
      </c>
      <c r="G65" s="540">
        <f>[1]PLA!$F$104*ton_metric_ton</f>
        <v>-1.66286962842</v>
      </c>
      <c r="H65" s="552">
        <f>VLOOKUP($A65,'[1]Post-Consumer Transport'!$C$33:$K$88,3,FALSE)+VLOOKUP($A65,'[1]Post-Consumer Transport'!$C$33:$K$88,4,FALSE)</f>
        <v>2.0254519141196047E-2</v>
      </c>
      <c r="I65" s="553">
        <f t="shared" si="17"/>
        <v>-1.6426151092788039</v>
      </c>
      <c r="J65" s="549">
        <f t="shared" si="18"/>
        <v>-1.6426151092788039</v>
      </c>
      <c r="K65" s="549">
        <f t="shared" si="18"/>
        <v>-1.6426151092788039</v>
      </c>
      <c r="L65" s="550">
        <f t="shared" si="18"/>
        <v>-1.6426151092788039</v>
      </c>
      <c r="M65" s="557">
        <v>0</v>
      </c>
      <c r="N65" s="558">
        <v>0</v>
      </c>
      <c r="O65" s="558">
        <v>0</v>
      </c>
      <c r="P65" s="559">
        <v>0</v>
      </c>
      <c r="Q65" s="540">
        <f>[1]PLA!$F$104*ton_metric_ton</f>
        <v>-1.66286962842</v>
      </c>
      <c r="R65" s="552">
        <f>VLOOKUP($A65,'[1]Post-Consumer Transport'!$C$33:$K$88,3,FALSE)+VLOOKUP($A65,'[1]Post-Consumer Transport'!$C$33:$K$88,4,FALSE)</f>
        <v>2.0254519141196047E-2</v>
      </c>
      <c r="S65" s="553">
        <f t="shared" si="95"/>
        <v>-1.6426151092788039</v>
      </c>
      <c r="T65" s="549">
        <f t="shared" si="20"/>
        <v>-1.6426151092788039</v>
      </c>
      <c r="U65" s="549">
        <f t="shared" si="21"/>
        <v>-1.6426151092788039</v>
      </c>
      <c r="V65" s="550">
        <f t="shared" si="22"/>
        <v>-1.6426151092788039</v>
      </c>
      <c r="W65" s="557">
        <v>0</v>
      </c>
      <c r="X65" s="558">
        <v>0</v>
      </c>
      <c r="Y65" s="558">
        <v>0</v>
      </c>
      <c r="Z65" s="559">
        <v>0</v>
      </c>
      <c r="AA65" s="540">
        <f>[1]PLA!$F$104*ton_metric_ton</f>
        <v>-1.66286962842</v>
      </c>
      <c r="AB65" s="552">
        <f>VLOOKUP($A65,'[1]Post-Consumer Transport'!$C$33:$K$88,3,FALSE)+VLOOKUP($A65,'[1]Post-Consumer Transport'!$C$33:$K$88,4,FALSE)</f>
        <v>2.0254519141196047E-2</v>
      </c>
      <c r="AC65" s="553">
        <f t="shared" si="96"/>
        <v>-1.6426151092788039</v>
      </c>
      <c r="AD65" s="549">
        <f t="shared" si="24"/>
        <v>-1.6426151092788039</v>
      </c>
      <c r="AE65" s="549">
        <f t="shared" si="25"/>
        <v>-1.6426151092788039</v>
      </c>
      <c r="AF65" s="550">
        <f t="shared" si="26"/>
        <v>-1.6426151092788039</v>
      </c>
      <c r="AG65" s="557">
        <v>0</v>
      </c>
      <c r="AH65" s="558">
        <v>0</v>
      </c>
      <c r="AI65" s="558">
        <v>0</v>
      </c>
      <c r="AJ65" s="559">
        <v>0</v>
      </c>
      <c r="AK65" s="540">
        <f>[1]PLA!$F$104*ton_metric_ton</f>
        <v>-1.66286962842</v>
      </c>
      <c r="AL65" s="552">
        <f>VLOOKUP($A65,'[1]Post-Consumer Transport'!$C$33:$K$88,3,FALSE)+VLOOKUP($A65,'[1]Post-Consumer Transport'!$C$33:$K$88,4,FALSE)</f>
        <v>2.0254519141196047E-2</v>
      </c>
      <c r="AM65" s="553">
        <f t="shared" si="97"/>
        <v>-1.6426151092788039</v>
      </c>
      <c r="AN65" s="549">
        <f t="shared" si="28"/>
        <v>-1.6426151092788039</v>
      </c>
      <c r="AO65" s="549">
        <f t="shared" si="29"/>
        <v>-1.6426151092788039</v>
      </c>
      <c r="AP65" s="550">
        <f t="shared" si="30"/>
        <v>-1.6426151092788039</v>
      </c>
      <c r="AQ65" s="557">
        <v>0</v>
      </c>
      <c r="AR65" s="558">
        <v>0</v>
      </c>
      <c r="AS65" s="558">
        <v>0</v>
      </c>
      <c r="AT65" s="559">
        <v>0</v>
      </c>
      <c r="AU65" s="540">
        <f>[1]PLA!$F$104*ton_metric_ton</f>
        <v>-1.66286962842</v>
      </c>
      <c r="AV65" s="552">
        <f>VLOOKUP($A65,'[1]Post-Consumer Transport'!$C$33:$K$88,3,FALSE)+VLOOKUP($A65,'[1]Post-Consumer Transport'!$C$33:$K$88,4,FALSE)</f>
        <v>2.0254519141196047E-2</v>
      </c>
      <c r="AW65" s="553">
        <f t="shared" si="98"/>
        <v>-1.6426151092788039</v>
      </c>
      <c r="AX65" s="549">
        <f t="shared" si="32"/>
        <v>-1.6426151092788039</v>
      </c>
      <c r="AY65" s="549">
        <f t="shared" si="33"/>
        <v>-1.6426151092788039</v>
      </c>
      <c r="AZ65" s="550">
        <f t="shared" si="34"/>
        <v>-1.6426151092788039</v>
      </c>
      <c r="BB65" s="557">
        <v>0</v>
      </c>
      <c r="BC65" s="558">
        <v>0</v>
      </c>
      <c r="BD65" s="558">
        <v>0</v>
      </c>
      <c r="BE65" s="559">
        <v>0</v>
      </c>
      <c r="BF65" s="540">
        <f>[1]PLA!$F$104*ton_metric_ton</f>
        <v>-1.66286962842</v>
      </c>
      <c r="BG65" s="552">
        <f>VLOOKUP($A65,'[1]Post-Consumer Transport'!$C$33:$K$88,3,FALSE)+VLOOKUP($A65,'[1]Post-Consumer Transport'!$C$33:$K$88,4,FALSE)</f>
        <v>2.0254519141196047E-2</v>
      </c>
      <c r="BH65" s="553">
        <f t="shared" si="99"/>
        <v>-1.6426151092788039</v>
      </c>
      <c r="BI65" s="549">
        <f t="shared" si="36"/>
        <v>-1.6426151092788039</v>
      </c>
      <c r="BJ65" s="549">
        <f t="shared" si="37"/>
        <v>-1.6426151092788039</v>
      </c>
      <c r="BK65" s="550">
        <f t="shared" si="38"/>
        <v>-1.6426151092788039</v>
      </c>
      <c r="BL65" s="888">
        <v>0</v>
      </c>
      <c r="BM65" s="889">
        <v>0</v>
      </c>
      <c r="BN65" s="889">
        <v>0</v>
      </c>
      <c r="BO65" s="890">
        <v>0</v>
      </c>
      <c r="BP65" s="884">
        <f>[1]PLA!$F$104*ton_metric_ton</f>
        <v>-1.66286962842</v>
      </c>
      <c r="BQ65" s="885">
        <f>VLOOKUP($A65,'[1]Post-Consumer Transport'!$C$33:$K$88,3,FALSE)+VLOOKUP($A65,'[1]Post-Consumer Transport'!$C$33:$K$88,4,FALSE)</f>
        <v>2.0254519141196047E-2</v>
      </c>
      <c r="BR65" s="886">
        <f t="shared" si="100"/>
        <v>-1.6426151092788039</v>
      </c>
      <c r="BS65" s="882">
        <f t="shared" si="40"/>
        <v>-1.6426151092788039</v>
      </c>
      <c r="BT65" s="882">
        <f t="shared" si="41"/>
        <v>-1.6426151092788039</v>
      </c>
      <c r="BU65" s="883">
        <f t="shared" si="42"/>
        <v>-1.6426151092788039</v>
      </c>
      <c r="BV65" s="557">
        <v>0</v>
      </c>
      <c r="BW65" s="558">
        <v>0</v>
      </c>
      <c r="BX65" s="558">
        <v>0</v>
      </c>
      <c r="BY65" s="559">
        <v>0</v>
      </c>
      <c r="BZ65" s="540">
        <f>[1]PLA!$F$104*ton_metric_ton</f>
        <v>-1.66286962842</v>
      </c>
      <c r="CA65" s="552">
        <f>VLOOKUP($A65,'[1]Post-Consumer Transport'!$C$33:$K$88,3,FALSE)+VLOOKUP($A65,'[1]Post-Consumer Transport'!$C$33:$K$88,4,FALSE)</f>
        <v>2.0254519141196047E-2</v>
      </c>
      <c r="CB65" s="553">
        <f t="shared" si="101"/>
        <v>-1.6426151092788039</v>
      </c>
      <c r="CC65" s="549">
        <f t="shared" si="44"/>
        <v>-1.6426151092788039</v>
      </c>
      <c r="CD65" s="549">
        <f t="shared" si="45"/>
        <v>-1.6426151092788039</v>
      </c>
      <c r="CE65" s="550">
        <f t="shared" si="46"/>
        <v>-1.6426151092788039</v>
      </c>
      <c r="CF65" s="557">
        <v>0</v>
      </c>
      <c r="CG65" s="558">
        <v>0</v>
      </c>
      <c r="CH65" s="558">
        <v>0</v>
      </c>
      <c r="CI65" s="559">
        <v>0</v>
      </c>
      <c r="CJ65" s="540">
        <f>[1]PLA!$F$104*ton_metric_ton</f>
        <v>-1.66286962842</v>
      </c>
      <c r="CK65" s="552">
        <f>VLOOKUP($A65,'[1]Post-Consumer Transport'!$C$33:$K$88,3,FALSE)+VLOOKUP($A65,'[1]Post-Consumer Transport'!$C$33:$K$88,4,FALSE)</f>
        <v>2.0254519141196047E-2</v>
      </c>
      <c r="CL65" s="553">
        <f t="shared" si="102"/>
        <v>-1.6426151092788039</v>
      </c>
      <c r="CM65" s="549">
        <f t="shared" si="48"/>
        <v>-1.6426151092788039</v>
      </c>
      <c r="CN65" s="549">
        <f t="shared" si="49"/>
        <v>-1.6426151092788039</v>
      </c>
      <c r="CO65" s="550">
        <f t="shared" si="50"/>
        <v>-1.6426151092788039</v>
      </c>
      <c r="CP65" s="557">
        <v>0</v>
      </c>
      <c r="CQ65" s="558">
        <v>0</v>
      </c>
      <c r="CR65" s="558">
        <v>0</v>
      </c>
      <c r="CS65" s="559">
        <v>0</v>
      </c>
      <c r="CT65" s="540">
        <f>[1]PLA!$F$104*ton_metric_ton</f>
        <v>-1.66286962842</v>
      </c>
      <c r="CU65" s="552">
        <f>VLOOKUP($A65,'[1]Post-Consumer Transport'!$C$33:$K$88,3,FALSE)+VLOOKUP($A65,'[1]Post-Consumer Transport'!$C$33:$K$88,4,FALSE)</f>
        <v>2.0254519141196047E-2</v>
      </c>
      <c r="CV65" s="553">
        <f t="shared" si="103"/>
        <v>-1.6426151092788039</v>
      </c>
      <c r="CW65" s="549">
        <f t="shared" si="52"/>
        <v>-1.6426151092788039</v>
      </c>
      <c r="CX65" s="549">
        <f t="shared" si="53"/>
        <v>-1.6426151092788039</v>
      </c>
      <c r="CY65" s="550">
        <f t="shared" si="54"/>
        <v>-1.6426151092788039</v>
      </c>
      <c r="DA65" s="557">
        <v>0</v>
      </c>
      <c r="DB65" s="558">
        <v>0</v>
      </c>
      <c r="DC65" s="558">
        <v>0</v>
      </c>
      <c r="DD65" s="559">
        <v>0</v>
      </c>
      <c r="DE65" s="540">
        <f>[1]PLA!$F$104*ton_metric_ton</f>
        <v>-1.66286962842</v>
      </c>
      <c r="DF65" s="552">
        <f>VLOOKUP($A65,'[1]Post-Consumer Transport'!$C$33:$K$88,3,FALSE)+VLOOKUP($A65,'[1]Post-Consumer Transport'!$C$33:$K$88,4,FALSE)</f>
        <v>2.0254519141196047E-2</v>
      </c>
      <c r="DG65" s="553">
        <f t="shared" si="104"/>
        <v>-1.6426151092788039</v>
      </c>
      <c r="DH65" s="549">
        <f t="shared" si="56"/>
        <v>-1.6426151092788039</v>
      </c>
      <c r="DI65" s="549">
        <f t="shared" si="57"/>
        <v>-1.6426151092788039</v>
      </c>
      <c r="DJ65" s="550">
        <f t="shared" si="58"/>
        <v>-1.6426151092788039</v>
      </c>
      <c r="DK65" s="557">
        <v>0</v>
      </c>
      <c r="DL65" s="558">
        <v>0</v>
      </c>
      <c r="DM65" s="558">
        <v>0</v>
      </c>
      <c r="DN65" s="559">
        <v>0</v>
      </c>
      <c r="DO65" s="540">
        <f>[1]PLA!$F$104*ton_metric_ton</f>
        <v>-1.66286962842</v>
      </c>
      <c r="DP65" s="552">
        <f>VLOOKUP($A65,'[1]Post-Consumer Transport'!$C$33:$K$88,3,FALSE)+VLOOKUP($A65,'[1]Post-Consumer Transport'!$C$33:$K$88,4,FALSE)</f>
        <v>2.0254519141196047E-2</v>
      </c>
      <c r="DQ65" s="553">
        <f t="shared" si="105"/>
        <v>-1.6426151092788039</v>
      </c>
      <c r="DR65" s="549">
        <f t="shared" si="60"/>
        <v>-1.6426151092788039</v>
      </c>
      <c r="DS65" s="549">
        <f t="shared" si="61"/>
        <v>-1.6426151092788039</v>
      </c>
      <c r="DT65" s="550">
        <f t="shared" si="62"/>
        <v>-1.6426151092788039</v>
      </c>
      <c r="DU65" s="557">
        <v>0</v>
      </c>
      <c r="DV65" s="558">
        <v>0</v>
      </c>
      <c r="DW65" s="558">
        <v>0</v>
      </c>
      <c r="DX65" s="559">
        <v>0</v>
      </c>
      <c r="DY65" s="540">
        <f>[1]PLA!$F$104*ton_metric_ton</f>
        <v>-1.66286962842</v>
      </c>
      <c r="DZ65" s="552">
        <f>VLOOKUP($A65,'[1]Post-Consumer Transport'!$C$33:$K$88,3,FALSE)+VLOOKUP($A65,'[1]Post-Consumer Transport'!$C$33:$K$88,4,FALSE)</f>
        <v>2.0254519141196047E-2</v>
      </c>
      <c r="EA65" s="553">
        <f t="shared" si="106"/>
        <v>-1.6426151092788039</v>
      </c>
      <c r="EB65" s="549">
        <f t="shared" si="64"/>
        <v>-1.6426151092788039</v>
      </c>
      <c r="EC65" s="549">
        <f t="shared" si="65"/>
        <v>-1.6426151092788039</v>
      </c>
      <c r="ED65" s="550">
        <f t="shared" si="66"/>
        <v>-1.6426151092788039</v>
      </c>
      <c r="EE65" s="557">
        <v>0</v>
      </c>
      <c r="EF65" s="558">
        <v>0</v>
      </c>
      <c r="EG65" s="558">
        <v>0</v>
      </c>
      <c r="EH65" s="559">
        <v>0</v>
      </c>
      <c r="EI65" s="540">
        <f>[1]PLA!$F$104*ton_metric_ton</f>
        <v>-1.66286962842</v>
      </c>
      <c r="EJ65" s="552">
        <f>VLOOKUP($A65,'[1]Post-Consumer Transport'!$C$33:$K$88,3,FALSE)+VLOOKUP($A65,'[1]Post-Consumer Transport'!$C$33:$K$88,4,FALSE)</f>
        <v>2.0254519141196047E-2</v>
      </c>
      <c r="EK65" s="553">
        <f t="shared" si="107"/>
        <v>-1.6426151092788039</v>
      </c>
      <c r="EL65" s="549">
        <f t="shared" si="68"/>
        <v>-1.6426151092788039</v>
      </c>
      <c r="EM65" s="549">
        <f t="shared" si="69"/>
        <v>-1.6426151092788039</v>
      </c>
      <c r="EN65" s="550">
        <f t="shared" si="70"/>
        <v>-1.6426151092788039</v>
      </c>
      <c r="EO65" s="557">
        <v>0</v>
      </c>
      <c r="EP65" s="558">
        <v>0</v>
      </c>
      <c r="EQ65" s="558">
        <v>0</v>
      </c>
      <c r="ER65" s="559">
        <v>0</v>
      </c>
      <c r="ES65" s="540">
        <f>[1]PLA!$F$104*ton_metric_ton</f>
        <v>-1.66286962842</v>
      </c>
      <c r="ET65" s="552">
        <f>VLOOKUP($A65,'[1]Post-Consumer Transport'!$C$33:$K$88,3,FALSE)+VLOOKUP($A65,'[1]Post-Consumer Transport'!$C$33:$K$88,4,FALSE)</f>
        <v>2.0254519141196047E-2</v>
      </c>
      <c r="EU65" s="553">
        <f t="shared" si="108"/>
        <v>-1.6426151092788039</v>
      </c>
      <c r="EV65" s="549">
        <f t="shared" si="72"/>
        <v>-1.6426151092788039</v>
      </c>
      <c r="EW65" s="549">
        <f t="shared" si="73"/>
        <v>-1.6426151092788039</v>
      </c>
      <c r="EX65" s="550">
        <f t="shared" si="74"/>
        <v>-1.6426151092788039</v>
      </c>
      <c r="EZ65" s="557">
        <v>0</v>
      </c>
      <c r="FA65" s="558">
        <v>0</v>
      </c>
      <c r="FB65" s="558">
        <v>0</v>
      </c>
      <c r="FC65" s="559">
        <v>0</v>
      </c>
      <c r="FD65" s="540">
        <f>[1]PLA!$F$104*ton_metric_ton</f>
        <v>-1.66286962842</v>
      </c>
      <c r="FE65" s="552">
        <f>VLOOKUP($A65,'[1]Post-Consumer Transport'!$C$33:$K$88,3,FALSE)+VLOOKUP($A65,'[1]Post-Consumer Transport'!$C$33:$K$88,4,FALSE)</f>
        <v>2.0254519141196047E-2</v>
      </c>
      <c r="FF65" s="553">
        <f t="shared" si="109"/>
        <v>-1.6426151092788039</v>
      </c>
      <c r="FG65" s="549">
        <f t="shared" si="76"/>
        <v>-1.6426151092788039</v>
      </c>
      <c r="FH65" s="549">
        <f t="shared" si="77"/>
        <v>-1.6426151092788039</v>
      </c>
      <c r="FI65" s="550">
        <f t="shared" si="78"/>
        <v>-1.6426151092788039</v>
      </c>
      <c r="FJ65" s="557">
        <v>0</v>
      </c>
      <c r="FK65" s="558">
        <v>0</v>
      </c>
      <c r="FL65" s="558">
        <v>0</v>
      </c>
      <c r="FM65" s="559">
        <v>0</v>
      </c>
      <c r="FN65" s="540">
        <f>[1]PLA!$F$104*ton_metric_ton</f>
        <v>-1.66286962842</v>
      </c>
      <c r="FO65" s="552">
        <f>VLOOKUP($A65,'[1]Post-Consumer Transport'!$C$33:$K$88,3,FALSE)+VLOOKUP($A65,'[1]Post-Consumer Transport'!$C$33:$K$88,4,FALSE)</f>
        <v>2.0254519141196047E-2</v>
      </c>
      <c r="FP65" s="553">
        <f t="shared" si="110"/>
        <v>-1.6426151092788039</v>
      </c>
      <c r="FQ65" s="549">
        <f t="shared" si="80"/>
        <v>-1.6426151092788039</v>
      </c>
      <c r="FR65" s="549">
        <f t="shared" si="81"/>
        <v>-1.6426151092788039</v>
      </c>
      <c r="FS65" s="550">
        <f t="shared" si="82"/>
        <v>-1.6426151092788039</v>
      </c>
      <c r="FT65" s="557">
        <v>0</v>
      </c>
      <c r="FU65" s="558">
        <v>0</v>
      </c>
      <c r="FV65" s="558">
        <v>0</v>
      </c>
      <c r="FW65" s="559">
        <v>0</v>
      </c>
      <c r="FX65" s="540">
        <f>[1]PLA!$F$104*ton_metric_ton</f>
        <v>-1.66286962842</v>
      </c>
      <c r="FY65" s="552">
        <f>VLOOKUP($A65,'[1]Post-Consumer Transport'!$C$33:$K$88,3,FALSE)+VLOOKUP($A65,'[1]Post-Consumer Transport'!$C$33:$K$88,4,FALSE)</f>
        <v>2.0254519141196047E-2</v>
      </c>
      <c r="FZ65" s="553">
        <f t="shared" si="111"/>
        <v>-1.6426151092788039</v>
      </c>
      <c r="GA65" s="549">
        <f t="shared" si="84"/>
        <v>-1.6426151092788039</v>
      </c>
      <c r="GB65" s="549">
        <f t="shared" si="85"/>
        <v>-1.6426151092788039</v>
      </c>
      <c r="GC65" s="550">
        <f t="shared" si="86"/>
        <v>-1.6426151092788039</v>
      </c>
      <c r="GD65" s="557">
        <v>0</v>
      </c>
      <c r="GE65" s="558">
        <v>0</v>
      </c>
      <c r="GF65" s="558">
        <v>0</v>
      </c>
      <c r="GG65" s="559">
        <v>0</v>
      </c>
      <c r="GH65" s="540">
        <f>[1]PLA!$F$104*ton_metric_ton</f>
        <v>-1.66286962842</v>
      </c>
      <c r="GI65" s="552">
        <f>VLOOKUP($A65,'[1]Post-Consumer Transport'!$C$33:$K$88,3,FALSE)+VLOOKUP($A65,'[1]Post-Consumer Transport'!$C$33:$K$88,4,FALSE)</f>
        <v>2.0254519141196047E-2</v>
      </c>
      <c r="GJ65" s="553">
        <f t="shared" si="112"/>
        <v>-1.6426151092788039</v>
      </c>
      <c r="GK65" s="549">
        <f t="shared" si="88"/>
        <v>-1.6426151092788039</v>
      </c>
      <c r="GL65" s="549">
        <f t="shared" si="89"/>
        <v>-1.6426151092788039</v>
      </c>
      <c r="GM65" s="550">
        <f t="shared" si="90"/>
        <v>-1.6426151092788039</v>
      </c>
      <c r="GN65" s="557">
        <v>0</v>
      </c>
      <c r="GO65" s="558">
        <v>0</v>
      </c>
      <c r="GP65" s="558">
        <v>0</v>
      </c>
      <c r="GQ65" s="559">
        <v>0</v>
      </c>
      <c r="GR65" s="540">
        <f>[1]PLA!$F$104*ton_metric_ton</f>
        <v>-1.66286962842</v>
      </c>
      <c r="GS65" s="552">
        <f>VLOOKUP($A65,'[1]Post-Consumer Transport'!$C$33:$K$88,3,FALSE)+VLOOKUP($A65,'[1]Post-Consumer Transport'!$C$33:$K$88,4,FALSE)</f>
        <v>2.0254519141196047E-2</v>
      </c>
      <c r="GT65" s="553">
        <f t="shared" si="113"/>
        <v>-1.6426151092788039</v>
      </c>
      <c r="GU65" s="549">
        <f t="shared" si="92"/>
        <v>-1.6426151092788039</v>
      </c>
      <c r="GV65" s="549">
        <f t="shared" si="93"/>
        <v>-1.6426151092788039</v>
      </c>
      <c r="GW65" s="550">
        <f t="shared" si="94"/>
        <v>-1.6426151092788039</v>
      </c>
    </row>
    <row r="66" spans="1:205" s="499" customFormat="1" x14ac:dyDescent="0.25">
      <c r="A66" s="498" t="str">
        <f t="shared" si="16"/>
        <v>LLDPE</v>
      </c>
      <c r="B66" s="556" t="s">
        <v>86</v>
      </c>
      <c r="C66" s="557">
        <v>0</v>
      </c>
      <c r="D66" s="558">
        <v>0</v>
      </c>
      <c r="E66" s="558">
        <v>0</v>
      </c>
      <c r="F66" s="559">
        <v>0</v>
      </c>
      <c r="G66" s="560">
        <v>0</v>
      </c>
      <c r="H66" s="552">
        <f>VLOOKUP($A66,'[1]Post-Consumer Transport'!$C$33:$K$88,3,FALSE)+VLOOKUP($A66,'[1]Post-Consumer Transport'!$C$33:$K$88,4,FALSE)</f>
        <v>2.0254519141196047E-2</v>
      </c>
      <c r="I66" s="553">
        <f t="shared" si="17"/>
        <v>2.0254519141196047E-2</v>
      </c>
      <c r="J66" s="549">
        <f t="shared" si="18"/>
        <v>2.0254519141196047E-2</v>
      </c>
      <c r="K66" s="549">
        <f t="shared" si="18"/>
        <v>2.0254519141196047E-2</v>
      </c>
      <c r="L66" s="550">
        <f t="shared" si="18"/>
        <v>2.0254519141196047E-2</v>
      </c>
      <c r="M66" s="557">
        <v>0</v>
      </c>
      <c r="N66" s="558">
        <v>0</v>
      </c>
      <c r="O66" s="558">
        <v>0</v>
      </c>
      <c r="P66" s="559">
        <v>0</v>
      </c>
      <c r="Q66" s="560">
        <v>0</v>
      </c>
      <c r="R66" s="552">
        <f>VLOOKUP($A66,'[1]Post-Consumer Transport'!$C$33:$K$88,3,FALSE)+VLOOKUP($A66,'[1]Post-Consumer Transport'!$C$33:$K$88,4,FALSE)</f>
        <v>2.0254519141196047E-2</v>
      </c>
      <c r="S66" s="553">
        <f t="shared" si="95"/>
        <v>2.0254519141196047E-2</v>
      </c>
      <c r="T66" s="549">
        <f t="shared" si="20"/>
        <v>2.0254519141196047E-2</v>
      </c>
      <c r="U66" s="549">
        <f t="shared" si="21"/>
        <v>2.0254519141196047E-2</v>
      </c>
      <c r="V66" s="550">
        <f t="shared" si="22"/>
        <v>2.0254519141196047E-2</v>
      </c>
      <c r="W66" s="557">
        <v>0</v>
      </c>
      <c r="X66" s="558">
        <v>0</v>
      </c>
      <c r="Y66" s="558">
        <v>0</v>
      </c>
      <c r="Z66" s="559">
        <v>0</v>
      </c>
      <c r="AA66" s="560">
        <v>0</v>
      </c>
      <c r="AB66" s="552">
        <f>VLOOKUP($A66,'[1]Post-Consumer Transport'!$C$33:$K$88,3,FALSE)+VLOOKUP($A66,'[1]Post-Consumer Transport'!$C$33:$K$88,4,FALSE)</f>
        <v>2.0254519141196047E-2</v>
      </c>
      <c r="AC66" s="553">
        <f t="shared" si="96"/>
        <v>2.0254519141196047E-2</v>
      </c>
      <c r="AD66" s="549">
        <f t="shared" si="24"/>
        <v>2.0254519141196047E-2</v>
      </c>
      <c r="AE66" s="549">
        <f t="shared" si="25"/>
        <v>2.0254519141196047E-2</v>
      </c>
      <c r="AF66" s="550">
        <f t="shared" si="26"/>
        <v>2.0254519141196047E-2</v>
      </c>
      <c r="AG66" s="557">
        <v>0</v>
      </c>
      <c r="AH66" s="558">
        <v>0</v>
      </c>
      <c r="AI66" s="558">
        <v>0</v>
      </c>
      <c r="AJ66" s="559">
        <v>0</v>
      </c>
      <c r="AK66" s="560">
        <v>0</v>
      </c>
      <c r="AL66" s="552">
        <f>VLOOKUP($A66,'[1]Post-Consumer Transport'!$C$33:$K$88,3,FALSE)+VLOOKUP($A66,'[1]Post-Consumer Transport'!$C$33:$K$88,4,FALSE)</f>
        <v>2.0254519141196047E-2</v>
      </c>
      <c r="AM66" s="553">
        <f t="shared" si="97"/>
        <v>2.0254519141196047E-2</v>
      </c>
      <c r="AN66" s="549">
        <f t="shared" si="28"/>
        <v>2.0254519141196047E-2</v>
      </c>
      <c r="AO66" s="549">
        <f t="shared" si="29"/>
        <v>2.0254519141196047E-2</v>
      </c>
      <c r="AP66" s="550">
        <f t="shared" si="30"/>
        <v>2.0254519141196047E-2</v>
      </c>
      <c r="AQ66" s="557">
        <v>0</v>
      </c>
      <c r="AR66" s="558">
        <v>0</v>
      </c>
      <c r="AS66" s="558">
        <v>0</v>
      </c>
      <c r="AT66" s="559">
        <v>0</v>
      </c>
      <c r="AU66" s="560">
        <v>0</v>
      </c>
      <c r="AV66" s="552">
        <f>VLOOKUP($A66,'[1]Post-Consumer Transport'!$C$33:$K$88,3,FALSE)+VLOOKUP($A66,'[1]Post-Consumer Transport'!$C$33:$K$88,4,FALSE)</f>
        <v>2.0254519141196047E-2</v>
      </c>
      <c r="AW66" s="553">
        <f t="shared" si="98"/>
        <v>2.0254519141196047E-2</v>
      </c>
      <c r="AX66" s="549">
        <f t="shared" si="32"/>
        <v>2.0254519141196047E-2</v>
      </c>
      <c r="AY66" s="549">
        <f t="shared" si="33"/>
        <v>2.0254519141196047E-2</v>
      </c>
      <c r="AZ66" s="550">
        <f t="shared" si="34"/>
        <v>2.0254519141196047E-2</v>
      </c>
      <c r="BB66" s="557">
        <v>0</v>
      </c>
      <c r="BC66" s="558">
        <v>0</v>
      </c>
      <c r="BD66" s="558">
        <v>0</v>
      </c>
      <c r="BE66" s="559">
        <v>0</v>
      </c>
      <c r="BF66" s="560">
        <v>0</v>
      </c>
      <c r="BG66" s="552">
        <f>VLOOKUP($A66,'[1]Post-Consumer Transport'!$C$33:$K$88,3,FALSE)+VLOOKUP($A66,'[1]Post-Consumer Transport'!$C$33:$K$88,4,FALSE)</f>
        <v>2.0254519141196047E-2</v>
      </c>
      <c r="BH66" s="553">
        <f t="shared" si="99"/>
        <v>2.0254519141196047E-2</v>
      </c>
      <c r="BI66" s="549">
        <f t="shared" si="36"/>
        <v>2.0254519141196047E-2</v>
      </c>
      <c r="BJ66" s="549">
        <f t="shared" si="37"/>
        <v>2.0254519141196047E-2</v>
      </c>
      <c r="BK66" s="550">
        <f t="shared" si="38"/>
        <v>2.0254519141196047E-2</v>
      </c>
      <c r="BL66" s="888">
        <v>0</v>
      </c>
      <c r="BM66" s="889">
        <v>0</v>
      </c>
      <c r="BN66" s="889">
        <v>0</v>
      </c>
      <c r="BO66" s="890">
        <v>0</v>
      </c>
      <c r="BP66" s="891">
        <v>0</v>
      </c>
      <c r="BQ66" s="885">
        <f>VLOOKUP($A66,'[1]Post-Consumer Transport'!$C$33:$K$88,3,FALSE)+VLOOKUP($A66,'[1]Post-Consumer Transport'!$C$33:$K$88,4,FALSE)</f>
        <v>2.0254519141196047E-2</v>
      </c>
      <c r="BR66" s="886">
        <f t="shared" si="100"/>
        <v>2.0254519141196047E-2</v>
      </c>
      <c r="BS66" s="882">
        <f t="shared" si="40"/>
        <v>2.0254519141196047E-2</v>
      </c>
      <c r="BT66" s="882">
        <f t="shared" si="41"/>
        <v>2.0254519141196047E-2</v>
      </c>
      <c r="BU66" s="883">
        <f t="shared" si="42"/>
        <v>2.0254519141196047E-2</v>
      </c>
      <c r="BV66" s="557">
        <v>0</v>
      </c>
      <c r="BW66" s="558">
        <v>0</v>
      </c>
      <c r="BX66" s="558">
        <v>0</v>
      </c>
      <c r="BY66" s="559">
        <v>0</v>
      </c>
      <c r="BZ66" s="560">
        <v>0</v>
      </c>
      <c r="CA66" s="552">
        <f>VLOOKUP($A66,'[1]Post-Consumer Transport'!$C$33:$K$88,3,FALSE)+VLOOKUP($A66,'[1]Post-Consumer Transport'!$C$33:$K$88,4,FALSE)</f>
        <v>2.0254519141196047E-2</v>
      </c>
      <c r="CB66" s="553">
        <f t="shared" si="101"/>
        <v>2.0254519141196047E-2</v>
      </c>
      <c r="CC66" s="549">
        <f t="shared" si="44"/>
        <v>2.0254519141196047E-2</v>
      </c>
      <c r="CD66" s="549">
        <f t="shared" si="45"/>
        <v>2.0254519141196047E-2</v>
      </c>
      <c r="CE66" s="550">
        <f t="shared" si="46"/>
        <v>2.0254519141196047E-2</v>
      </c>
      <c r="CF66" s="557">
        <v>0</v>
      </c>
      <c r="CG66" s="558">
        <v>0</v>
      </c>
      <c r="CH66" s="558">
        <v>0</v>
      </c>
      <c r="CI66" s="559">
        <v>0</v>
      </c>
      <c r="CJ66" s="560">
        <v>0</v>
      </c>
      <c r="CK66" s="552">
        <f>VLOOKUP($A66,'[1]Post-Consumer Transport'!$C$33:$K$88,3,FALSE)+VLOOKUP($A66,'[1]Post-Consumer Transport'!$C$33:$K$88,4,FALSE)</f>
        <v>2.0254519141196047E-2</v>
      </c>
      <c r="CL66" s="553">
        <f t="shared" si="102"/>
        <v>2.0254519141196047E-2</v>
      </c>
      <c r="CM66" s="549">
        <f t="shared" si="48"/>
        <v>2.0254519141196047E-2</v>
      </c>
      <c r="CN66" s="549">
        <f t="shared" si="49"/>
        <v>2.0254519141196047E-2</v>
      </c>
      <c r="CO66" s="550">
        <f t="shared" si="50"/>
        <v>2.0254519141196047E-2</v>
      </c>
      <c r="CP66" s="557">
        <v>0</v>
      </c>
      <c r="CQ66" s="558">
        <v>0</v>
      </c>
      <c r="CR66" s="558">
        <v>0</v>
      </c>
      <c r="CS66" s="559">
        <v>0</v>
      </c>
      <c r="CT66" s="560">
        <v>0</v>
      </c>
      <c r="CU66" s="552">
        <f>VLOOKUP($A66,'[1]Post-Consumer Transport'!$C$33:$K$88,3,FALSE)+VLOOKUP($A66,'[1]Post-Consumer Transport'!$C$33:$K$88,4,FALSE)</f>
        <v>2.0254519141196047E-2</v>
      </c>
      <c r="CV66" s="553">
        <f t="shared" si="103"/>
        <v>2.0254519141196047E-2</v>
      </c>
      <c r="CW66" s="549">
        <f t="shared" si="52"/>
        <v>2.0254519141196047E-2</v>
      </c>
      <c r="CX66" s="549">
        <f t="shared" si="53"/>
        <v>2.0254519141196047E-2</v>
      </c>
      <c r="CY66" s="550">
        <f t="shared" si="54"/>
        <v>2.0254519141196047E-2</v>
      </c>
      <c r="DA66" s="557">
        <v>0</v>
      </c>
      <c r="DB66" s="558">
        <v>0</v>
      </c>
      <c r="DC66" s="558">
        <v>0</v>
      </c>
      <c r="DD66" s="559">
        <v>0</v>
      </c>
      <c r="DE66" s="560">
        <v>0</v>
      </c>
      <c r="DF66" s="552">
        <f>VLOOKUP($A66,'[1]Post-Consumer Transport'!$C$33:$K$88,3,FALSE)+VLOOKUP($A66,'[1]Post-Consumer Transport'!$C$33:$K$88,4,FALSE)</f>
        <v>2.0254519141196047E-2</v>
      </c>
      <c r="DG66" s="553">
        <f t="shared" si="104"/>
        <v>2.0254519141196047E-2</v>
      </c>
      <c r="DH66" s="549">
        <f t="shared" si="56"/>
        <v>2.0254519141196047E-2</v>
      </c>
      <c r="DI66" s="549">
        <f t="shared" si="57"/>
        <v>2.0254519141196047E-2</v>
      </c>
      <c r="DJ66" s="550">
        <f t="shared" si="58"/>
        <v>2.0254519141196047E-2</v>
      </c>
      <c r="DK66" s="557">
        <v>0</v>
      </c>
      <c r="DL66" s="558">
        <v>0</v>
      </c>
      <c r="DM66" s="558">
        <v>0</v>
      </c>
      <c r="DN66" s="559">
        <v>0</v>
      </c>
      <c r="DO66" s="560">
        <v>0</v>
      </c>
      <c r="DP66" s="552">
        <f>VLOOKUP($A66,'[1]Post-Consumer Transport'!$C$33:$K$88,3,FALSE)+VLOOKUP($A66,'[1]Post-Consumer Transport'!$C$33:$K$88,4,FALSE)</f>
        <v>2.0254519141196047E-2</v>
      </c>
      <c r="DQ66" s="553">
        <f t="shared" si="105"/>
        <v>2.0254519141196047E-2</v>
      </c>
      <c r="DR66" s="549">
        <f t="shared" si="60"/>
        <v>2.0254519141196047E-2</v>
      </c>
      <c r="DS66" s="549">
        <f t="shared" si="61"/>
        <v>2.0254519141196047E-2</v>
      </c>
      <c r="DT66" s="550">
        <f t="shared" si="62"/>
        <v>2.0254519141196047E-2</v>
      </c>
      <c r="DU66" s="557">
        <v>0</v>
      </c>
      <c r="DV66" s="558">
        <v>0</v>
      </c>
      <c r="DW66" s="558">
        <v>0</v>
      </c>
      <c r="DX66" s="559">
        <v>0</v>
      </c>
      <c r="DY66" s="560">
        <v>0</v>
      </c>
      <c r="DZ66" s="552">
        <f>VLOOKUP($A66,'[1]Post-Consumer Transport'!$C$33:$K$88,3,FALSE)+VLOOKUP($A66,'[1]Post-Consumer Transport'!$C$33:$K$88,4,FALSE)</f>
        <v>2.0254519141196047E-2</v>
      </c>
      <c r="EA66" s="553">
        <f t="shared" si="106"/>
        <v>2.0254519141196047E-2</v>
      </c>
      <c r="EB66" s="549">
        <f t="shared" si="64"/>
        <v>2.0254519141196047E-2</v>
      </c>
      <c r="EC66" s="549">
        <f t="shared" si="65"/>
        <v>2.0254519141196047E-2</v>
      </c>
      <c r="ED66" s="550">
        <f t="shared" si="66"/>
        <v>2.0254519141196047E-2</v>
      </c>
      <c r="EE66" s="557">
        <v>0</v>
      </c>
      <c r="EF66" s="558">
        <v>0</v>
      </c>
      <c r="EG66" s="558">
        <v>0</v>
      </c>
      <c r="EH66" s="559">
        <v>0</v>
      </c>
      <c r="EI66" s="560">
        <v>0</v>
      </c>
      <c r="EJ66" s="552">
        <f>VLOOKUP($A66,'[1]Post-Consumer Transport'!$C$33:$K$88,3,FALSE)+VLOOKUP($A66,'[1]Post-Consumer Transport'!$C$33:$K$88,4,FALSE)</f>
        <v>2.0254519141196047E-2</v>
      </c>
      <c r="EK66" s="553">
        <f t="shared" si="107"/>
        <v>2.0254519141196047E-2</v>
      </c>
      <c r="EL66" s="549">
        <f t="shared" si="68"/>
        <v>2.0254519141196047E-2</v>
      </c>
      <c r="EM66" s="549">
        <f t="shared" si="69"/>
        <v>2.0254519141196047E-2</v>
      </c>
      <c r="EN66" s="550">
        <f t="shared" si="70"/>
        <v>2.0254519141196047E-2</v>
      </c>
      <c r="EO66" s="557">
        <v>0</v>
      </c>
      <c r="EP66" s="558">
        <v>0</v>
      </c>
      <c r="EQ66" s="558">
        <v>0</v>
      </c>
      <c r="ER66" s="559">
        <v>0</v>
      </c>
      <c r="ES66" s="560">
        <v>0</v>
      </c>
      <c r="ET66" s="552">
        <f>VLOOKUP($A66,'[1]Post-Consumer Transport'!$C$33:$K$88,3,FALSE)+VLOOKUP($A66,'[1]Post-Consumer Transport'!$C$33:$K$88,4,FALSE)</f>
        <v>2.0254519141196047E-2</v>
      </c>
      <c r="EU66" s="553">
        <f t="shared" si="108"/>
        <v>2.0254519141196047E-2</v>
      </c>
      <c r="EV66" s="549">
        <f t="shared" si="72"/>
        <v>2.0254519141196047E-2</v>
      </c>
      <c r="EW66" s="549">
        <f t="shared" si="73"/>
        <v>2.0254519141196047E-2</v>
      </c>
      <c r="EX66" s="550">
        <f t="shared" si="74"/>
        <v>2.0254519141196047E-2</v>
      </c>
      <c r="EZ66" s="557">
        <v>0</v>
      </c>
      <c r="FA66" s="558">
        <v>0</v>
      </c>
      <c r="FB66" s="558">
        <v>0</v>
      </c>
      <c r="FC66" s="559">
        <v>0</v>
      </c>
      <c r="FD66" s="560">
        <v>0</v>
      </c>
      <c r="FE66" s="552">
        <f>VLOOKUP($A66,'[1]Post-Consumer Transport'!$C$33:$K$88,3,FALSE)+VLOOKUP($A66,'[1]Post-Consumer Transport'!$C$33:$K$88,4,FALSE)</f>
        <v>2.0254519141196047E-2</v>
      </c>
      <c r="FF66" s="553">
        <f t="shared" si="109"/>
        <v>2.0254519141196047E-2</v>
      </c>
      <c r="FG66" s="549">
        <f t="shared" si="76"/>
        <v>2.0254519141196047E-2</v>
      </c>
      <c r="FH66" s="549">
        <f t="shared" si="77"/>
        <v>2.0254519141196047E-2</v>
      </c>
      <c r="FI66" s="550">
        <f t="shared" si="78"/>
        <v>2.0254519141196047E-2</v>
      </c>
      <c r="FJ66" s="557">
        <v>0</v>
      </c>
      <c r="FK66" s="558">
        <v>0</v>
      </c>
      <c r="FL66" s="558">
        <v>0</v>
      </c>
      <c r="FM66" s="559">
        <v>0</v>
      </c>
      <c r="FN66" s="560">
        <v>0</v>
      </c>
      <c r="FO66" s="552">
        <f>VLOOKUP($A66,'[1]Post-Consumer Transport'!$C$33:$K$88,3,FALSE)+VLOOKUP($A66,'[1]Post-Consumer Transport'!$C$33:$K$88,4,FALSE)</f>
        <v>2.0254519141196047E-2</v>
      </c>
      <c r="FP66" s="553">
        <f t="shared" si="110"/>
        <v>2.0254519141196047E-2</v>
      </c>
      <c r="FQ66" s="549">
        <f t="shared" si="80"/>
        <v>2.0254519141196047E-2</v>
      </c>
      <c r="FR66" s="549">
        <f t="shared" si="81"/>
        <v>2.0254519141196047E-2</v>
      </c>
      <c r="FS66" s="550">
        <f t="shared" si="82"/>
        <v>2.0254519141196047E-2</v>
      </c>
      <c r="FT66" s="557">
        <v>0</v>
      </c>
      <c r="FU66" s="558">
        <v>0</v>
      </c>
      <c r="FV66" s="558">
        <v>0</v>
      </c>
      <c r="FW66" s="559">
        <v>0</v>
      </c>
      <c r="FX66" s="560">
        <v>0</v>
      </c>
      <c r="FY66" s="552">
        <f>VLOOKUP($A66,'[1]Post-Consumer Transport'!$C$33:$K$88,3,FALSE)+VLOOKUP($A66,'[1]Post-Consumer Transport'!$C$33:$K$88,4,FALSE)</f>
        <v>2.0254519141196047E-2</v>
      </c>
      <c r="FZ66" s="553">
        <f t="shared" si="111"/>
        <v>2.0254519141196047E-2</v>
      </c>
      <c r="GA66" s="549">
        <f t="shared" si="84"/>
        <v>2.0254519141196047E-2</v>
      </c>
      <c r="GB66" s="549">
        <f t="shared" si="85"/>
        <v>2.0254519141196047E-2</v>
      </c>
      <c r="GC66" s="550">
        <f t="shared" si="86"/>
        <v>2.0254519141196047E-2</v>
      </c>
      <c r="GD66" s="557">
        <v>0</v>
      </c>
      <c r="GE66" s="558">
        <v>0</v>
      </c>
      <c r="GF66" s="558">
        <v>0</v>
      </c>
      <c r="GG66" s="559">
        <v>0</v>
      </c>
      <c r="GH66" s="560">
        <v>0</v>
      </c>
      <c r="GI66" s="552">
        <f>VLOOKUP($A66,'[1]Post-Consumer Transport'!$C$33:$K$88,3,FALSE)+VLOOKUP($A66,'[1]Post-Consumer Transport'!$C$33:$K$88,4,FALSE)</f>
        <v>2.0254519141196047E-2</v>
      </c>
      <c r="GJ66" s="553">
        <f t="shared" si="112"/>
        <v>2.0254519141196047E-2</v>
      </c>
      <c r="GK66" s="549">
        <f t="shared" si="88"/>
        <v>2.0254519141196047E-2</v>
      </c>
      <c r="GL66" s="549">
        <f t="shared" si="89"/>
        <v>2.0254519141196047E-2</v>
      </c>
      <c r="GM66" s="550">
        <f t="shared" si="90"/>
        <v>2.0254519141196047E-2</v>
      </c>
      <c r="GN66" s="557">
        <v>0</v>
      </c>
      <c r="GO66" s="558">
        <v>0</v>
      </c>
      <c r="GP66" s="558">
        <v>0</v>
      </c>
      <c r="GQ66" s="559">
        <v>0</v>
      </c>
      <c r="GR66" s="560">
        <v>0</v>
      </c>
      <c r="GS66" s="552">
        <f>VLOOKUP($A66,'[1]Post-Consumer Transport'!$C$33:$K$88,3,FALSE)+VLOOKUP($A66,'[1]Post-Consumer Transport'!$C$33:$K$88,4,FALSE)</f>
        <v>2.0254519141196047E-2</v>
      </c>
      <c r="GT66" s="553">
        <f t="shared" si="113"/>
        <v>2.0254519141196047E-2</v>
      </c>
      <c r="GU66" s="549">
        <f t="shared" si="92"/>
        <v>2.0254519141196047E-2</v>
      </c>
      <c r="GV66" s="549">
        <f t="shared" si="93"/>
        <v>2.0254519141196047E-2</v>
      </c>
      <c r="GW66" s="550">
        <f t="shared" si="94"/>
        <v>2.0254519141196047E-2</v>
      </c>
    </row>
    <row r="67" spans="1:205" s="499" customFormat="1" x14ac:dyDescent="0.25">
      <c r="A67" s="498" t="str">
        <f t="shared" si="16"/>
        <v>PP</v>
      </c>
      <c r="B67" s="556" t="s">
        <v>87</v>
      </c>
      <c r="C67" s="557">
        <v>0</v>
      </c>
      <c r="D67" s="558">
        <v>0</v>
      </c>
      <c r="E67" s="558">
        <v>0</v>
      </c>
      <c r="F67" s="559">
        <v>0</v>
      </c>
      <c r="G67" s="560">
        <v>0</v>
      </c>
      <c r="H67" s="552">
        <f>VLOOKUP($A67,'[1]Post-Consumer Transport'!$C$33:$K$88,3,FALSE)+VLOOKUP($A67,'[1]Post-Consumer Transport'!$C$33:$K$88,4,FALSE)</f>
        <v>2.0254519141196047E-2</v>
      </c>
      <c r="I67" s="553">
        <f t="shared" si="17"/>
        <v>2.0254519141196047E-2</v>
      </c>
      <c r="J67" s="549">
        <f t="shared" si="18"/>
        <v>2.0254519141196047E-2</v>
      </c>
      <c r="K67" s="549">
        <f t="shared" si="18"/>
        <v>2.0254519141196047E-2</v>
      </c>
      <c r="L67" s="550">
        <f t="shared" si="18"/>
        <v>2.0254519141196047E-2</v>
      </c>
      <c r="M67" s="557">
        <v>0</v>
      </c>
      <c r="N67" s="558">
        <v>0</v>
      </c>
      <c r="O67" s="558">
        <v>0</v>
      </c>
      <c r="P67" s="559">
        <v>0</v>
      </c>
      <c r="Q67" s="560">
        <v>0</v>
      </c>
      <c r="R67" s="552">
        <f>VLOOKUP($A67,'[1]Post-Consumer Transport'!$C$33:$K$88,3,FALSE)+VLOOKUP($A67,'[1]Post-Consumer Transport'!$C$33:$K$88,4,FALSE)</f>
        <v>2.0254519141196047E-2</v>
      </c>
      <c r="S67" s="553">
        <f t="shared" si="95"/>
        <v>2.0254519141196047E-2</v>
      </c>
      <c r="T67" s="549">
        <f t="shared" si="20"/>
        <v>2.0254519141196047E-2</v>
      </c>
      <c r="U67" s="549">
        <f t="shared" si="21"/>
        <v>2.0254519141196047E-2</v>
      </c>
      <c r="V67" s="550">
        <f t="shared" si="22"/>
        <v>2.0254519141196047E-2</v>
      </c>
      <c r="W67" s="557">
        <v>0</v>
      </c>
      <c r="X67" s="558">
        <v>0</v>
      </c>
      <c r="Y67" s="558">
        <v>0</v>
      </c>
      <c r="Z67" s="559">
        <v>0</v>
      </c>
      <c r="AA67" s="560">
        <v>0</v>
      </c>
      <c r="AB67" s="552">
        <f>VLOOKUP($A67,'[1]Post-Consumer Transport'!$C$33:$K$88,3,FALSE)+VLOOKUP($A67,'[1]Post-Consumer Transport'!$C$33:$K$88,4,FALSE)</f>
        <v>2.0254519141196047E-2</v>
      </c>
      <c r="AC67" s="553">
        <f t="shared" si="96"/>
        <v>2.0254519141196047E-2</v>
      </c>
      <c r="AD67" s="549">
        <f t="shared" si="24"/>
        <v>2.0254519141196047E-2</v>
      </c>
      <c r="AE67" s="549">
        <f t="shared" si="25"/>
        <v>2.0254519141196047E-2</v>
      </c>
      <c r="AF67" s="550">
        <f t="shared" si="26"/>
        <v>2.0254519141196047E-2</v>
      </c>
      <c r="AG67" s="557">
        <v>0</v>
      </c>
      <c r="AH67" s="558">
        <v>0</v>
      </c>
      <c r="AI67" s="558">
        <v>0</v>
      </c>
      <c r="AJ67" s="559">
        <v>0</v>
      </c>
      <c r="AK67" s="560">
        <v>0</v>
      </c>
      <c r="AL67" s="552">
        <f>VLOOKUP($A67,'[1]Post-Consumer Transport'!$C$33:$K$88,3,FALSE)+VLOOKUP($A67,'[1]Post-Consumer Transport'!$C$33:$K$88,4,FALSE)</f>
        <v>2.0254519141196047E-2</v>
      </c>
      <c r="AM67" s="553">
        <f t="shared" si="97"/>
        <v>2.0254519141196047E-2</v>
      </c>
      <c r="AN67" s="549">
        <f t="shared" si="28"/>
        <v>2.0254519141196047E-2</v>
      </c>
      <c r="AO67" s="549">
        <f t="shared" si="29"/>
        <v>2.0254519141196047E-2</v>
      </c>
      <c r="AP67" s="550">
        <f t="shared" si="30"/>
        <v>2.0254519141196047E-2</v>
      </c>
      <c r="AQ67" s="557">
        <v>0</v>
      </c>
      <c r="AR67" s="558">
        <v>0</v>
      </c>
      <c r="AS67" s="558">
        <v>0</v>
      </c>
      <c r="AT67" s="559">
        <v>0</v>
      </c>
      <c r="AU67" s="560">
        <v>0</v>
      </c>
      <c r="AV67" s="552">
        <f>VLOOKUP($A67,'[1]Post-Consumer Transport'!$C$33:$K$88,3,FALSE)+VLOOKUP($A67,'[1]Post-Consumer Transport'!$C$33:$K$88,4,FALSE)</f>
        <v>2.0254519141196047E-2</v>
      </c>
      <c r="AW67" s="553">
        <f t="shared" si="98"/>
        <v>2.0254519141196047E-2</v>
      </c>
      <c r="AX67" s="549">
        <f t="shared" si="32"/>
        <v>2.0254519141196047E-2</v>
      </c>
      <c r="AY67" s="549">
        <f t="shared" si="33"/>
        <v>2.0254519141196047E-2</v>
      </c>
      <c r="AZ67" s="550">
        <f t="shared" si="34"/>
        <v>2.0254519141196047E-2</v>
      </c>
      <c r="BB67" s="557">
        <v>0</v>
      </c>
      <c r="BC67" s="558">
        <v>0</v>
      </c>
      <c r="BD67" s="558">
        <v>0</v>
      </c>
      <c r="BE67" s="559">
        <v>0</v>
      </c>
      <c r="BF67" s="560">
        <v>0</v>
      </c>
      <c r="BG67" s="552">
        <f>VLOOKUP($A67,'[1]Post-Consumer Transport'!$C$33:$K$88,3,FALSE)+VLOOKUP($A67,'[1]Post-Consumer Transport'!$C$33:$K$88,4,FALSE)</f>
        <v>2.0254519141196047E-2</v>
      </c>
      <c r="BH67" s="553">
        <f t="shared" si="99"/>
        <v>2.0254519141196047E-2</v>
      </c>
      <c r="BI67" s="549">
        <f t="shared" si="36"/>
        <v>2.0254519141196047E-2</v>
      </c>
      <c r="BJ67" s="549">
        <f t="shared" si="37"/>
        <v>2.0254519141196047E-2</v>
      </c>
      <c r="BK67" s="550">
        <f t="shared" si="38"/>
        <v>2.0254519141196047E-2</v>
      </c>
      <c r="BL67" s="888">
        <v>0</v>
      </c>
      <c r="BM67" s="889">
        <v>0</v>
      </c>
      <c r="BN67" s="889">
        <v>0</v>
      </c>
      <c r="BO67" s="890">
        <v>0</v>
      </c>
      <c r="BP67" s="891">
        <v>0</v>
      </c>
      <c r="BQ67" s="885">
        <f>VLOOKUP($A67,'[1]Post-Consumer Transport'!$C$33:$K$88,3,FALSE)+VLOOKUP($A67,'[1]Post-Consumer Transport'!$C$33:$K$88,4,FALSE)</f>
        <v>2.0254519141196047E-2</v>
      </c>
      <c r="BR67" s="886">
        <f t="shared" si="100"/>
        <v>2.0254519141196047E-2</v>
      </c>
      <c r="BS67" s="882">
        <f t="shared" si="40"/>
        <v>2.0254519141196047E-2</v>
      </c>
      <c r="BT67" s="882">
        <f t="shared" si="41"/>
        <v>2.0254519141196047E-2</v>
      </c>
      <c r="BU67" s="883">
        <f t="shared" si="42"/>
        <v>2.0254519141196047E-2</v>
      </c>
      <c r="BV67" s="557">
        <v>0</v>
      </c>
      <c r="BW67" s="558">
        <v>0</v>
      </c>
      <c r="BX67" s="558">
        <v>0</v>
      </c>
      <c r="BY67" s="559">
        <v>0</v>
      </c>
      <c r="BZ67" s="560">
        <v>0</v>
      </c>
      <c r="CA67" s="552">
        <f>VLOOKUP($A67,'[1]Post-Consumer Transport'!$C$33:$K$88,3,FALSE)+VLOOKUP($A67,'[1]Post-Consumer Transport'!$C$33:$K$88,4,FALSE)</f>
        <v>2.0254519141196047E-2</v>
      </c>
      <c r="CB67" s="553">
        <f t="shared" si="101"/>
        <v>2.0254519141196047E-2</v>
      </c>
      <c r="CC67" s="549">
        <f t="shared" si="44"/>
        <v>2.0254519141196047E-2</v>
      </c>
      <c r="CD67" s="549">
        <f t="shared" si="45"/>
        <v>2.0254519141196047E-2</v>
      </c>
      <c r="CE67" s="550">
        <f t="shared" si="46"/>
        <v>2.0254519141196047E-2</v>
      </c>
      <c r="CF67" s="557">
        <v>0</v>
      </c>
      <c r="CG67" s="558">
        <v>0</v>
      </c>
      <c r="CH67" s="558">
        <v>0</v>
      </c>
      <c r="CI67" s="559">
        <v>0</v>
      </c>
      <c r="CJ67" s="560">
        <v>0</v>
      </c>
      <c r="CK67" s="552">
        <f>VLOOKUP($A67,'[1]Post-Consumer Transport'!$C$33:$K$88,3,FALSE)+VLOOKUP($A67,'[1]Post-Consumer Transport'!$C$33:$K$88,4,FALSE)</f>
        <v>2.0254519141196047E-2</v>
      </c>
      <c r="CL67" s="553">
        <f t="shared" si="102"/>
        <v>2.0254519141196047E-2</v>
      </c>
      <c r="CM67" s="549">
        <f t="shared" si="48"/>
        <v>2.0254519141196047E-2</v>
      </c>
      <c r="CN67" s="549">
        <f t="shared" si="49"/>
        <v>2.0254519141196047E-2</v>
      </c>
      <c r="CO67" s="550">
        <f t="shared" si="50"/>
        <v>2.0254519141196047E-2</v>
      </c>
      <c r="CP67" s="557">
        <v>0</v>
      </c>
      <c r="CQ67" s="558">
        <v>0</v>
      </c>
      <c r="CR67" s="558">
        <v>0</v>
      </c>
      <c r="CS67" s="559">
        <v>0</v>
      </c>
      <c r="CT67" s="560">
        <v>0</v>
      </c>
      <c r="CU67" s="552">
        <f>VLOOKUP($A67,'[1]Post-Consumer Transport'!$C$33:$K$88,3,FALSE)+VLOOKUP($A67,'[1]Post-Consumer Transport'!$C$33:$K$88,4,FALSE)</f>
        <v>2.0254519141196047E-2</v>
      </c>
      <c r="CV67" s="553">
        <f t="shared" si="103"/>
        <v>2.0254519141196047E-2</v>
      </c>
      <c r="CW67" s="549">
        <f t="shared" si="52"/>
        <v>2.0254519141196047E-2</v>
      </c>
      <c r="CX67" s="549">
        <f t="shared" si="53"/>
        <v>2.0254519141196047E-2</v>
      </c>
      <c r="CY67" s="550">
        <f t="shared" si="54"/>
        <v>2.0254519141196047E-2</v>
      </c>
      <c r="DA67" s="557">
        <v>0</v>
      </c>
      <c r="DB67" s="558">
        <v>0</v>
      </c>
      <c r="DC67" s="558">
        <v>0</v>
      </c>
      <c r="DD67" s="559">
        <v>0</v>
      </c>
      <c r="DE67" s="560">
        <v>0</v>
      </c>
      <c r="DF67" s="552">
        <f>VLOOKUP($A67,'[1]Post-Consumer Transport'!$C$33:$K$88,3,FALSE)+VLOOKUP($A67,'[1]Post-Consumer Transport'!$C$33:$K$88,4,FALSE)</f>
        <v>2.0254519141196047E-2</v>
      </c>
      <c r="DG67" s="553">
        <f t="shared" si="104"/>
        <v>2.0254519141196047E-2</v>
      </c>
      <c r="DH67" s="549">
        <f t="shared" si="56"/>
        <v>2.0254519141196047E-2</v>
      </c>
      <c r="DI67" s="549">
        <f t="shared" si="57"/>
        <v>2.0254519141196047E-2</v>
      </c>
      <c r="DJ67" s="550">
        <f t="shared" si="58"/>
        <v>2.0254519141196047E-2</v>
      </c>
      <c r="DK67" s="557">
        <v>0</v>
      </c>
      <c r="DL67" s="558">
        <v>0</v>
      </c>
      <c r="DM67" s="558">
        <v>0</v>
      </c>
      <c r="DN67" s="559">
        <v>0</v>
      </c>
      <c r="DO67" s="560">
        <v>0</v>
      </c>
      <c r="DP67" s="552">
        <f>VLOOKUP($A67,'[1]Post-Consumer Transport'!$C$33:$K$88,3,FALSE)+VLOOKUP($A67,'[1]Post-Consumer Transport'!$C$33:$K$88,4,FALSE)</f>
        <v>2.0254519141196047E-2</v>
      </c>
      <c r="DQ67" s="553">
        <f t="shared" si="105"/>
        <v>2.0254519141196047E-2</v>
      </c>
      <c r="DR67" s="549">
        <f t="shared" si="60"/>
        <v>2.0254519141196047E-2</v>
      </c>
      <c r="DS67" s="549">
        <f t="shared" si="61"/>
        <v>2.0254519141196047E-2</v>
      </c>
      <c r="DT67" s="550">
        <f t="shared" si="62"/>
        <v>2.0254519141196047E-2</v>
      </c>
      <c r="DU67" s="557">
        <v>0</v>
      </c>
      <c r="DV67" s="558">
        <v>0</v>
      </c>
      <c r="DW67" s="558">
        <v>0</v>
      </c>
      <c r="DX67" s="559">
        <v>0</v>
      </c>
      <c r="DY67" s="560">
        <v>0</v>
      </c>
      <c r="DZ67" s="552">
        <f>VLOOKUP($A67,'[1]Post-Consumer Transport'!$C$33:$K$88,3,FALSE)+VLOOKUP($A67,'[1]Post-Consumer Transport'!$C$33:$K$88,4,FALSE)</f>
        <v>2.0254519141196047E-2</v>
      </c>
      <c r="EA67" s="553">
        <f t="shared" si="106"/>
        <v>2.0254519141196047E-2</v>
      </c>
      <c r="EB67" s="549">
        <f t="shared" si="64"/>
        <v>2.0254519141196047E-2</v>
      </c>
      <c r="EC67" s="549">
        <f t="shared" si="65"/>
        <v>2.0254519141196047E-2</v>
      </c>
      <c r="ED67" s="550">
        <f t="shared" si="66"/>
        <v>2.0254519141196047E-2</v>
      </c>
      <c r="EE67" s="557">
        <v>0</v>
      </c>
      <c r="EF67" s="558">
        <v>0</v>
      </c>
      <c r="EG67" s="558">
        <v>0</v>
      </c>
      <c r="EH67" s="559">
        <v>0</v>
      </c>
      <c r="EI67" s="560">
        <v>0</v>
      </c>
      <c r="EJ67" s="552">
        <f>VLOOKUP($A67,'[1]Post-Consumer Transport'!$C$33:$K$88,3,FALSE)+VLOOKUP($A67,'[1]Post-Consumer Transport'!$C$33:$K$88,4,FALSE)</f>
        <v>2.0254519141196047E-2</v>
      </c>
      <c r="EK67" s="553">
        <f t="shared" si="107"/>
        <v>2.0254519141196047E-2</v>
      </c>
      <c r="EL67" s="549">
        <f t="shared" si="68"/>
        <v>2.0254519141196047E-2</v>
      </c>
      <c r="EM67" s="549">
        <f t="shared" si="69"/>
        <v>2.0254519141196047E-2</v>
      </c>
      <c r="EN67" s="550">
        <f t="shared" si="70"/>
        <v>2.0254519141196047E-2</v>
      </c>
      <c r="EO67" s="557">
        <v>0</v>
      </c>
      <c r="EP67" s="558">
        <v>0</v>
      </c>
      <c r="EQ67" s="558">
        <v>0</v>
      </c>
      <c r="ER67" s="559">
        <v>0</v>
      </c>
      <c r="ES67" s="560">
        <v>0</v>
      </c>
      <c r="ET67" s="552">
        <f>VLOOKUP($A67,'[1]Post-Consumer Transport'!$C$33:$K$88,3,FALSE)+VLOOKUP($A67,'[1]Post-Consumer Transport'!$C$33:$K$88,4,FALSE)</f>
        <v>2.0254519141196047E-2</v>
      </c>
      <c r="EU67" s="553">
        <f t="shared" si="108"/>
        <v>2.0254519141196047E-2</v>
      </c>
      <c r="EV67" s="549">
        <f t="shared" si="72"/>
        <v>2.0254519141196047E-2</v>
      </c>
      <c r="EW67" s="549">
        <f t="shared" si="73"/>
        <v>2.0254519141196047E-2</v>
      </c>
      <c r="EX67" s="550">
        <f t="shared" si="74"/>
        <v>2.0254519141196047E-2</v>
      </c>
      <c r="EZ67" s="557">
        <v>0</v>
      </c>
      <c r="FA67" s="558">
        <v>0</v>
      </c>
      <c r="FB67" s="558">
        <v>0</v>
      </c>
      <c r="FC67" s="559">
        <v>0</v>
      </c>
      <c r="FD67" s="560">
        <v>0</v>
      </c>
      <c r="FE67" s="552">
        <f>VLOOKUP($A67,'[1]Post-Consumer Transport'!$C$33:$K$88,3,FALSE)+VLOOKUP($A67,'[1]Post-Consumer Transport'!$C$33:$K$88,4,FALSE)</f>
        <v>2.0254519141196047E-2</v>
      </c>
      <c r="FF67" s="553">
        <f t="shared" si="109"/>
        <v>2.0254519141196047E-2</v>
      </c>
      <c r="FG67" s="549">
        <f t="shared" si="76"/>
        <v>2.0254519141196047E-2</v>
      </c>
      <c r="FH67" s="549">
        <f t="shared" si="77"/>
        <v>2.0254519141196047E-2</v>
      </c>
      <c r="FI67" s="550">
        <f t="shared" si="78"/>
        <v>2.0254519141196047E-2</v>
      </c>
      <c r="FJ67" s="557">
        <v>0</v>
      </c>
      <c r="FK67" s="558">
        <v>0</v>
      </c>
      <c r="FL67" s="558">
        <v>0</v>
      </c>
      <c r="FM67" s="559">
        <v>0</v>
      </c>
      <c r="FN67" s="560">
        <v>0</v>
      </c>
      <c r="FO67" s="552">
        <f>VLOOKUP($A67,'[1]Post-Consumer Transport'!$C$33:$K$88,3,FALSE)+VLOOKUP($A67,'[1]Post-Consumer Transport'!$C$33:$K$88,4,FALSE)</f>
        <v>2.0254519141196047E-2</v>
      </c>
      <c r="FP67" s="553">
        <f t="shared" si="110"/>
        <v>2.0254519141196047E-2</v>
      </c>
      <c r="FQ67" s="549">
        <f t="shared" si="80"/>
        <v>2.0254519141196047E-2</v>
      </c>
      <c r="FR67" s="549">
        <f t="shared" si="81"/>
        <v>2.0254519141196047E-2</v>
      </c>
      <c r="FS67" s="550">
        <f t="shared" si="82"/>
        <v>2.0254519141196047E-2</v>
      </c>
      <c r="FT67" s="557">
        <v>0</v>
      </c>
      <c r="FU67" s="558">
        <v>0</v>
      </c>
      <c r="FV67" s="558">
        <v>0</v>
      </c>
      <c r="FW67" s="559">
        <v>0</v>
      </c>
      <c r="FX67" s="560">
        <v>0</v>
      </c>
      <c r="FY67" s="552">
        <f>VLOOKUP($A67,'[1]Post-Consumer Transport'!$C$33:$K$88,3,FALSE)+VLOOKUP($A67,'[1]Post-Consumer Transport'!$C$33:$K$88,4,FALSE)</f>
        <v>2.0254519141196047E-2</v>
      </c>
      <c r="FZ67" s="553">
        <f t="shared" si="111"/>
        <v>2.0254519141196047E-2</v>
      </c>
      <c r="GA67" s="549">
        <f t="shared" si="84"/>
        <v>2.0254519141196047E-2</v>
      </c>
      <c r="GB67" s="549">
        <f t="shared" si="85"/>
        <v>2.0254519141196047E-2</v>
      </c>
      <c r="GC67" s="550">
        <f t="shared" si="86"/>
        <v>2.0254519141196047E-2</v>
      </c>
      <c r="GD67" s="557">
        <v>0</v>
      </c>
      <c r="GE67" s="558">
        <v>0</v>
      </c>
      <c r="GF67" s="558">
        <v>0</v>
      </c>
      <c r="GG67" s="559">
        <v>0</v>
      </c>
      <c r="GH67" s="560">
        <v>0</v>
      </c>
      <c r="GI67" s="552">
        <f>VLOOKUP($A67,'[1]Post-Consumer Transport'!$C$33:$K$88,3,FALSE)+VLOOKUP($A67,'[1]Post-Consumer Transport'!$C$33:$K$88,4,FALSE)</f>
        <v>2.0254519141196047E-2</v>
      </c>
      <c r="GJ67" s="553">
        <f t="shared" si="112"/>
        <v>2.0254519141196047E-2</v>
      </c>
      <c r="GK67" s="549">
        <f t="shared" si="88"/>
        <v>2.0254519141196047E-2</v>
      </c>
      <c r="GL67" s="549">
        <f t="shared" si="89"/>
        <v>2.0254519141196047E-2</v>
      </c>
      <c r="GM67" s="550">
        <f t="shared" si="90"/>
        <v>2.0254519141196047E-2</v>
      </c>
      <c r="GN67" s="557">
        <v>0</v>
      </c>
      <c r="GO67" s="558">
        <v>0</v>
      </c>
      <c r="GP67" s="558">
        <v>0</v>
      </c>
      <c r="GQ67" s="559">
        <v>0</v>
      </c>
      <c r="GR67" s="560">
        <v>0</v>
      </c>
      <c r="GS67" s="552">
        <f>VLOOKUP($A67,'[1]Post-Consumer Transport'!$C$33:$K$88,3,FALSE)+VLOOKUP($A67,'[1]Post-Consumer Transport'!$C$33:$K$88,4,FALSE)</f>
        <v>2.0254519141196047E-2</v>
      </c>
      <c r="GT67" s="553">
        <f t="shared" si="113"/>
        <v>2.0254519141196047E-2</v>
      </c>
      <c r="GU67" s="549">
        <f t="shared" si="92"/>
        <v>2.0254519141196047E-2</v>
      </c>
      <c r="GV67" s="549">
        <f t="shared" si="93"/>
        <v>2.0254519141196047E-2</v>
      </c>
      <c r="GW67" s="550">
        <f t="shared" si="94"/>
        <v>2.0254519141196047E-2</v>
      </c>
    </row>
    <row r="68" spans="1:205" s="499" customFormat="1" x14ac:dyDescent="0.25">
      <c r="A68" s="498" t="str">
        <f t="shared" si="16"/>
        <v>PS</v>
      </c>
      <c r="B68" s="556" t="s">
        <v>88</v>
      </c>
      <c r="C68" s="557">
        <v>0</v>
      </c>
      <c r="D68" s="558">
        <v>0</v>
      </c>
      <c r="E68" s="558">
        <v>0</v>
      </c>
      <c r="F68" s="559">
        <v>0</v>
      </c>
      <c r="G68" s="560">
        <v>0</v>
      </c>
      <c r="H68" s="552">
        <f>VLOOKUP($A68,'[1]Post-Consumer Transport'!$C$33:$K$88,3,FALSE)+VLOOKUP($A68,'[1]Post-Consumer Transport'!$C$33:$K$88,4,FALSE)</f>
        <v>2.0254519141196047E-2</v>
      </c>
      <c r="I68" s="553">
        <f t="shared" si="17"/>
        <v>2.0254519141196047E-2</v>
      </c>
      <c r="J68" s="549">
        <f t="shared" si="18"/>
        <v>2.0254519141196047E-2</v>
      </c>
      <c r="K68" s="549">
        <f t="shared" si="18"/>
        <v>2.0254519141196047E-2</v>
      </c>
      <c r="L68" s="550">
        <f t="shared" si="18"/>
        <v>2.0254519141196047E-2</v>
      </c>
      <c r="M68" s="557">
        <v>0</v>
      </c>
      <c r="N68" s="558">
        <v>0</v>
      </c>
      <c r="O68" s="558">
        <v>0</v>
      </c>
      <c r="P68" s="559">
        <v>0</v>
      </c>
      <c r="Q68" s="560">
        <v>0</v>
      </c>
      <c r="R68" s="552">
        <f>VLOOKUP($A68,'[1]Post-Consumer Transport'!$C$33:$K$88,3,FALSE)+VLOOKUP($A68,'[1]Post-Consumer Transport'!$C$33:$K$88,4,FALSE)</f>
        <v>2.0254519141196047E-2</v>
      </c>
      <c r="S68" s="553">
        <f t="shared" si="95"/>
        <v>2.0254519141196047E-2</v>
      </c>
      <c r="T68" s="549">
        <f t="shared" si="20"/>
        <v>2.0254519141196047E-2</v>
      </c>
      <c r="U68" s="549">
        <f t="shared" si="21"/>
        <v>2.0254519141196047E-2</v>
      </c>
      <c r="V68" s="550">
        <f t="shared" si="22"/>
        <v>2.0254519141196047E-2</v>
      </c>
      <c r="W68" s="557">
        <v>0</v>
      </c>
      <c r="X68" s="558">
        <v>0</v>
      </c>
      <c r="Y68" s="558">
        <v>0</v>
      </c>
      <c r="Z68" s="559">
        <v>0</v>
      </c>
      <c r="AA68" s="560">
        <v>0</v>
      </c>
      <c r="AB68" s="552">
        <f>VLOOKUP($A68,'[1]Post-Consumer Transport'!$C$33:$K$88,3,FALSE)+VLOOKUP($A68,'[1]Post-Consumer Transport'!$C$33:$K$88,4,FALSE)</f>
        <v>2.0254519141196047E-2</v>
      </c>
      <c r="AC68" s="553">
        <f t="shared" si="96"/>
        <v>2.0254519141196047E-2</v>
      </c>
      <c r="AD68" s="549">
        <f t="shared" si="24"/>
        <v>2.0254519141196047E-2</v>
      </c>
      <c r="AE68" s="549">
        <f t="shared" si="25"/>
        <v>2.0254519141196047E-2</v>
      </c>
      <c r="AF68" s="550">
        <f t="shared" si="26"/>
        <v>2.0254519141196047E-2</v>
      </c>
      <c r="AG68" s="557">
        <v>0</v>
      </c>
      <c r="AH68" s="558">
        <v>0</v>
      </c>
      <c r="AI68" s="558">
        <v>0</v>
      </c>
      <c r="AJ68" s="559">
        <v>0</v>
      </c>
      <c r="AK68" s="560">
        <v>0</v>
      </c>
      <c r="AL68" s="552">
        <f>VLOOKUP($A68,'[1]Post-Consumer Transport'!$C$33:$K$88,3,FALSE)+VLOOKUP($A68,'[1]Post-Consumer Transport'!$C$33:$K$88,4,FALSE)</f>
        <v>2.0254519141196047E-2</v>
      </c>
      <c r="AM68" s="553">
        <f t="shared" si="97"/>
        <v>2.0254519141196047E-2</v>
      </c>
      <c r="AN68" s="549">
        <f t="shared" si="28"/>
        <v>2.0254519141196047E-2</v>
      </c>
      <c r="AO68" s="549">
        <f t="shared" si="29"/>
        <v>2.0254519141196047E-2</v>
      </c>
      <c r="AP68" s="550">
        <f t="shared" si="30"/>
        <v>2.0254519141196047E-2</v>
      </c>
      <c r="AQ68" s="557">
        <v>0</v>
      </c>
      <c r="AR68" s="558">
        <v>0</v>
      </c>
      <c r="AS68" s="558">
        <v>0</v>
      </c>
      <c r="AT68" s="559">
        <v>0</v>
      </c>
      <c r="AU68" s="560">
        <v>0</v>
      </c>
      <c r="AV68" s="552">
        <f>VLOOKUP($A68,'[1]Post-Consumer Transport'!$C$33:$K$88,3,FALSE)+VLOOKUP($A68,'[1]Post-Consumer Transport'!$C$33:$K$88,4,FALSE)</f>
        <v>2.0254519141196047E-2</v>
      </c>
      <c r="AW68" s="553">
        <f t="shared" si="98"/>
        <v>2.0254519141196047E-2</v>
      </c>
      <c r="AX68" s="549">
        <f t="shared" si="32"/>
        <v>2.0254519141196047E-2</v>
      </c>
      <c r="AY68" s="549">
        <f t="shared" si="33"/>
        <v>2.0254519141196047E-2</v>
      </c>
      <c r="AZ68" s="550">
        <f t="shared" si="34"/>
        <v>2.0254519141196047E-2</v>
      </c>
      <c r="BB68" s="557">
        <v>0</v>
      </c>
      <c r="BC68" s="558">
        <v>0</v>
      </c>
      <c r="BD68" s="558">
        <v>0</v>
      </c>
      <c r="BE68" s="559">
        <v>0</v>
      </c>
      <c r="BF68" s="560">
        <v>0</v>
      </c>
      <c r="BG68" s="552">
        <f>VLOOKUP($A68,'[1]Post-Consumer Transport'!$C$33:$K$88,3,FALSE)+VLOOKUP($A68,'[1]Post-Consumer Transport'!$C$33:$K$88,4,FALSE)</f>
        <v>2.0254519141196047E-2</v>
      </c>
      <c r="BH68" s="553">
        <f t="shared" si="99"/>
        <v>2.0254519141196047E-2</v>
      </c>
      <c r="BI68" s="549">
        <f t="shared" si="36"/>
        <v>2.0254519141196047E-2</v>
      </c>
      <c r="BJ68" s="549">
        <f t="shared" si="37"/>
        <v>2.0254519141196047E-2</v>
      </c>
      <c r="BK68" s="550">
        <f t="shared" si="38"/>
        <v>2.0254519141196047E-2</v>
      </c>
      <c r="BL68" s="888">
        <v>0</v>
      </c>
      <c r="BM68" s="889">
        <v>0</v>
      </c>
      <c r="BN68" s="889">
        <v>0</v>
      </c>
      <c r="BO68" s="890">
        <v>0</v>
      </c>
      <c r="BP68" s="891">
        <v>0</v>
      </c>
      <c r="BQ68" s="885">
        <f>VLOOKUP($A68,'[1]Post-Consumer Transport'!$C$33:$K$88,3,FALSE)+VLOOKUP($A68,'[1]Post-Consumer Transport'!$C$33:$K$88,4,FALSE)</f>
        <v>2.0254519141196047E-2</v>
      </c>
      <c r="BR68" s="886">
        <f t="shared" si="100"/>
        <v>2.0254519141196047E-2</v>
      </c>
      <c r="BS68" s="882">
        <f t="shared" si="40"/>
        <v>2.0254519141196047E-2</v>
      </c>
      <c r="BT68" s="882">
        <f t="shared" si="41"/>
        <v>2.0254519141196047E-2</v>
      </c>
      <c r="BU68" s="883">
        <f t="shared" si="42"/>
        <v>2.0254519141196047E-2</v>
      </c>
      <c r="BV68" s="557">
        <v>0</v>
      </c>
      <c r="BW68" s="558">
        <v>0</v>
      </c>
      <c r="BX68" s="558">
        <v>0</v>
      </c>
      <c r="BY68" s="559">
        <v>0</v>
      </c>
      <c r="BZ68" s="560">
        <v>0</v>
      </c>
      <c r="CA68" s="552">
        <f>VLOOKUP($A68,'[1]Post-Consumer Transport'!$C$33:$K$88,3,FALSE)+VLOOKUP($A68,'[1]Post-Consumer Transport'!$C$33:$K$88,4,FALSE)</f>
        <v>2.0254519141196047E-2</v>
      </c>
      <c r="CB68" s="553">
        <f t="shared" si="101"/>
        <v>2.0254519141196047E-2</v>
      </c>
      <c r="CC68" s="549">
        <f t="shared" si="44"/>
        <v>2.0254519141196047E-2</v>
      </c>
      <c r="CD68" s="549">
        <f t="shared" si="45"/>
        <v>2.0254519141196047E-2</v>
      </c>
      <c r="CE68" s="550">
        <f t="shared" si="46"/>
        <v>2.0254519141196047E-2</v>
      </c>
      <c r="CF68" s="557">
        <v>0</v>
      </c>
      <c r="CG68" s="558">
        <v>0</v>
      </c>
      <c r="CH68" s="558">
        <v>0</v>
      </c>
      <c r="CI68" s="559">
        <v>0</v>
      </c>
      <c r="CJ68" s="560">
        <v>0</v>
      </c>
      <c r="CK68" s="552">
        <f>VLOOKUP($A68,'[1]Post-Consumer Transport'!$C$33:$K$88,3,FALSE)+VLOOKUP($A68,'[1]Post-Consumer Transport'!$C$33:$K$88,4,FALSE)</f>
        <v>2.0254519141196047E-2</v>
      </c>
      <c r="CL68" s="553">
        <f t="shared" si="102"/>
        <v>2.0254519141196047E-2</v>
      </c>
      <c r="CM68" s="549">
        <f t="shared" si="48"/>
        <v>2.0254519141196047E-2</v>
      </c>
      <c r="CN68" s="549">
        <f t="shared" si="49"/>
        <v>2.0254519141196047E-2</v>
      </c>
      <c r="CO68" s="550">
        <f t="shared" si="50"/>
        <v>2.0254519141196047E-2</v>
      </c>
      <c r="CP68" s="557">
        <v>0</v>
      </c>
      <c r="CQ68" s="558">
        <v>0</v>
      </c>
      <c r="CR68" s="558">
        <v>0</v>
      </c>
      <c r="CS68" s="559">
        <v>0</v>
      </c>
      <c r="CT68" s="560">
        <v>0</v>
      </c>
      <c r="CU68" s="552">
        <f>VLOOKUP($A68,'[1]Post-Consumer Transport'!$C$33:$K$88,3,FALSE)+VLOOKUP($A68,'[1]Post-Consumer Transport'!$C$33:$K$88,4,FALSE)</f>
        <v>2.0254519141196047E-2</v>
      </c>
      <c r="CV68" s="553">
        <f t="shared" si="103"/>
        <v>2.0254519141196047E-2</v>
      </c>
      <c r="CW68" s="549">
        <f t="shared" si="52"/>
        <v>2.0254519141196047E-2</v>
      </c>
      <c r="CX68" s="549">
        <f t="shared" si="53"/>
        <v>2.0254519141196047E-2</v>
      </c>
      <c r="CY68" s="550">
        <f t="shared" si="54"/>
        <v>2.0254519141196047E-2</v>
      </c>
      <c r="DA68" s="557">
        <v>0</v>
      </c>
      <c r="DB68" s="558">
        <v>0</v>
      </c>
      <c r="DC68" s="558">
        <v>0</v>
      </c>
      <c r="DD68" s="559">
        <v>0</v>
      </c>
      <c r="DE68" s="560">
        <v>0</v>
      </c>
      <c r="DF68" s="552">
        <f>VLOOKUP($A68,'[1]Post-Consumer Transport'!$C$33:$K$88,3,FALSE)+VLOOKUP($A68,'[1]Post-Consumer Transport'!$C$33:$K$88,4,FALSE)</f>
        <v>2.0254519141196047E-2</v>
      </c>
      <c r="DG68" s="553">
        <f t="shared" si="104"/>
        <v>2.0254519141196047E-2</v>
      </c>
      <c r="DH68" s="549">
        <f t="shared" si="56"/>
        <v>2.0254519141196047E-2</v>
      </c>
      <c r="DI68" s="549">
        <f t="shared" si="57"/>
        <v>2.0254519141196047E-2</v>
      </c>
      <c r="DJ68" s="550">
        <f t="shared" si="58"/>
        <v>2.0254519141196047E-2</v>
      </c>
      <c r="DK68" s="557">
        <v>0</v>
      </c>
      <c r="DL68" s="558">
        <v>0</v>
      </c>
      <c r="DM68" s="558">
        <v>0</v>
      </c>
      <c r="DN68" s="559">
        <v>0</v>
      </c>
      <c r="DO68" s="560">
        <v>0</v>
      </c>
      <c r="DP68" s="552">
        <f>VLOOKUP($A68,'[1]Post-Consumer Transport'!$C$33:$K$88,3,FALSE)+VLOOKUP($A68,'[1]Post-Consumer Transport'!$C$33:$K$88,4,FALSE)</f>
        <v>2.0254519141196047E-2</v>
      </c>
      <c r="DQ68" s="553">
        <f t="shared" si="105"/>
        <v>2.0254519141196047E-2</v>
      </c>
      <c r="DR68" s="549">
        <f t="shared" si="60"/>
        <v>2.0254519141196047E-2</v>
      </c>
      <c r="DS68" s="549">
        <f t="shared" si="61"/>
        <v>2.0254519141196047E-2</v>
      </c>
      <c r="DT68" s="550">
        <f t="shared" si="62"/>
        <v>2.0254519141196047E-2</v>
      </c>
      <c r="DU68" s="557">
        <v>0</v>
      </c>
      <c r="DV68" s="558">
        <v>0</v>
      </c>
      <c r="DW68" s="558">
        <v>0</v>
      </c>
      <c r="DX68" s="559">
        <v>0</v>
      </c>
      <c r="DY68" s="560">
        <v>0</v>
      </c>
      <c r="DZ68" s="552">
        <f>VLOOKUP($A68,'[1]Post-Consumer Transport'!$C$33:$K$88,3,FALSE)+VLOOKUP($A68,'[1]Post-Consumer Transport'!$C$33:$K$88,4,FALSE)</f>
        <v>2.0254519141196047E-2</v>
      </c>
      <c r="EA68" s="553">
        <f t="shared" si="106"/>
        <v>2.0254519141196047E-2</v>
      </c>
      <c r="EB68" s="549">
        <f t="shared" si="64"/>
        <v>2.0254519141196047E-2</v>
      </c>
      <c r="EC68" s="549">
        <f t="shared" si="65"/>
        <v>2.0254519141196047E-2</v>
      </c>
      <c r="ED68" s="550">
        <f t="shared" si="66"/>
        <v>2.0254519141196047E-2</v>
      </c>
      <c r="EE68" s="557">
        <v>0</v>
      </c>
      <c r="EF68" s="558">
        <v>0</v>
      </c>
      <c r="EG68" s="558">
        <v>0</v>
      </c>
      <c r="EH68" s="559">
        <v>0</v>
      </c>
      <c r="EI68" s="560">
        <v>0</v>
      </c>
      <c r="EJ68" s="552">
        <f>VLOOKUP($A68,'[1]Post-Consumer Transport'!$C$33:$K$88,3,FALSE)+VLOOKUP($A68,'[1]Post-Consumer Transport'!$C$33:$K$88,4,FALSE)</f>
        <v>2.0254519141196047E-2</v>
      </c>
      <c r="EK68" s="553">
        <f t="shared" si="107"/>
        <v>2.0254519141196047E-2</v>
      </c>
      <c r="EL68" s="549">
        <f t="shared" si="68"/>
        <v>2.0254519141196047E-2</v>
      </c>
      <c r="EM68" s="549">
        <f t="shared" si="69"/>
        <v>2.0254519141196047E-2</v>
      </c>
      <c r="EN68" s="550">
        <f t="shared" si="70"/>
        <v>2.0254519141196047E-2</v>
      </c>
      <c r="EO68" s="557">
        <v>0</v>
      </c>
      <c r="EP68" s="558">
        <v>0</v>
      </c>
      <c r="EQ68" s="558">
        <v>0</v>
      </c>
      <c r="ER68" s="559">
        <v>0</v>
      </c>
      <c r="ES68" s="560">
        <v>0</v>
      </c>
      <c r="ET68" s="552">
        <f>VLOOKUP($A68,'[1]Post-Consumer Transport'!$C$33:$K$88,3,FALSE)+VLOOKUP($A68,'[1]Post-Consumer Transport'!$C$33:$K$88,4,FALSE)</f>
        <v>2.0254519141196047E-2</v>
      </c>
      <c r="EU68" s="553">
        <f t="shared" si="108"/>
        <v>2.0254519141196047E-2</v>
      </c>
      <c r="EV68" s="549">
        <f t="shared" si="72"/>
        <v>2.0254519141196047E-2</v>
      </c>
      <c r="EW68" s="549">
        <f t="shared" si="73"/>
        <v>2.0254519141196047E-2</v>
      </c>
      <c r="EX68" s="550">
        <f t="shared" si="74"/>
        <v>2.0254519141196047E-2</v>
      </c>
      <c r="EZ68" s="557">
        <v>0</v>
      </c>
      <c r="FA68" s="558">
        <v>0</v>
      </c>
      <c r="FB68" s="558">
        <v>0</v>
      </c>
      <c r="FC68" s="559">
        <v>0</v>
      </c>
      <c r="FD68" s="560">
        <v>0</v>
      </c>
      <c r="FE68" s="552">
        <f>VLOOKUP($A68,'[1]Post-Consumer Transport'!$C$33:$K$88,3,FALSE)+VLOOKUP($A68,'[1]Post-Consumer Transport'!$C$33:$K$88,4,FALSE)</f>
        <v>2.0254519141196047E-2</v>
      </c>
      <c r="FF68" s="553">
        <f t="shared" si="109"/>
        <v>2.0254519141196047E-2</v>
      </c>
      <c r="FG68" s="549">
        <f t="shared" si="76"/>
        <v>2.0254519141196047E-2</v>
      </c>
      <c r="FH68" s="549">
        <f t="shared" si="77"/>
        <v>2.0254519141196047E-2</v>
      </c>
      <c r="FI68" s="550">
        <f t="shared" si="78"/>
        <v>2.0254519141196047E-2</v>
      </c>
      <c r="FJ68" s="557">
        <v>0</v>
      </c>
      <c r="FK68" s="558">
        <v>0</v>
      </c>
      <c r="FL68" s="558">
        <v>0</v>
      </c>
      <c r="FM68" s="559">
        <v>0</v>
      </c>
      <c r="FN68" s="560">
        <v>0</v>
      </c>
      <c r="FO68" s="552">
        <f>VLOOKUP($A68,'[1]Post-Consumer Transport'!$C$33:$K$88,3,FALSE)+VLOOKUP($A68,'[1]Post-Consumer Transport'!$C$33:$K$88,4,FALSE)</f>
        <v>2.0254519141196047E-2</v>
      </c>
      <c r="FP68" s="553">
        <f t="shared" si="110"/>
        <v>2.0254519141196047E-2</v>
      </c>
      <c r="FQ68" s="549">
        <f t="shared" si="80"/>
        <v>2.0254519141196047E-2</v>
      </c>
      <c r="FR68" s="549">
        <f t="shared" si="81"/>
        <v>2.0254519141196047E-2</v>
      </c>
      <c r="FS68" s="550">
        <f t="shared" si="82"/>
        <v>2.0254519141196047E-2</v>
      </c>
      <c r="FT68" s="557">
        <v>0</v>
      </c>
      <c r="FU68" s="558">
        <v>0</v>
      </c>
      <c r="FV68" s="558">
        <v>0</v>
      </c>
      <c r="FW68" s="559">
        <v>0</v>
      </c>
      <c r="FX68" s="560">
        <v>0</v>
      </c>
      <c r="FY68" s="552">
        <f>VLOOKUP($A68,'[1]Post-Consumer Transport'!$C$33:$K$88,3,FALSE)+VLOOKUP($A68,'[1]Post-Consumer Transport'!$C$33:$K$88,4,FALSE)</f>
        <v>2.0254519141196047E-2</v>
      </c>
      <c r="FZ68" s="553">
        <f t="shared" si="111"/>
        <v>2.0254519141196047E-2</v>
      </c>
      <c r="GA68" s="549">
        <f t="shared" si="84"/>
        <v>2.0254519141196047E-2</v>
      </c>
      <c r="GB68" s="549">
        <f t="shared" si="85"/>
        <v>2.0254519141196047E-2</v>
      </c>
      <c r="GC68" s="550">
        <f t="shared" si="86"/>
        <v>2.0254519141196047E-2</v>
      </c>
      <c r="GD68" s="557">
        <v>0</v>
      </c>
      <c r="GE68" s="558">
        <v>0</v>
      </c>
      <c r="GF68" s="558">
        <v>0</v>
      </c>
      <c r="GG68" s="559">
        <v>0</v>
      </c>
      <c r="GH68" s="560">
        <v>0</v>
      </c>
      <c r="GI68" s="552">
        <f>VLOOKUP($A68,'[1]Post-Consumer Transport'!$C$33:$K$88,3,FALSE)+VLOOKUP($A68,'[1]Post-Consumer Transport'!$C$33:$K$88,4,FALSE)</f>
        <v>2.0254519141196047E-2</v>
      </c>
      <c r="GJ68" s="553">
        <f t="shared" si="112"/>
        <v>2.0254519141196047E-2</v>
      </c>
      <c r="GK68" s="549">
        <f t="shared" si="88"/>
        <v>2.0254519141196047E-2</v>
      </c>
      <c r="GL68" s="549">
        <f t="shared" si="89"/>
        <v>2.0254519141196047E-2</v>
      </c>
      <c r="GM68" s="550">
        <f t="shared" si="90"/>
        <v>2.0254519141196047E-2</v>
      </c>
      <c r="GN68" s="557">
        <v>0</v>
      </c>
      <c r="GO68" s="558">
        <v>0</v>
      </c>
      <c r="GP68" s="558">
        <v>0</v>
      </c>
      <c r="GQ68" s="559">
        <v>0</v>
      </c>
      <c r="GR68" s="560">
        <v>0</v>
      </c>
      <c r="GS68" s="552">
        <f>VLOOKUP($A68,'[1]Post-Consumer Transport'!$C$33:$K$88,3,FALSE)+VLOOKUP($A68,'[1]Post-Consumer Transport'!$C$33:$K$88,4,FALSE)</f>
        <v>2.0254519141196047E-2</v>
      </c>
      <c r="GT68" s="553">
        <f t="shared" si="113"/>
        <v>2.0254519141196047E-2</v>
      </c>
      <c r="GU68" s="549">
        <f t="shared" si="92"/>
        <v>2.0254519141196047E-2</v>
      </c>
      <c r="GV68" s="549">
        <f t="shared" si="93"/>
        <v>2.0254519141196047E-2</v>
      </c>
      <c r="GW68" s="550">
        <f t="shared" si="94"/>
        <v>2.0254519141196047E-2</v>
      </c>
    </row>
    <row r="69" spans="1:205" s="499" customFormat="1" ht="13" thickBot="1" x14ac:dyDescent="0.3">
      <c r="A69" s="498" t="str">
        <f t="shared" si="16"/>
        <v>PVC</v>
      </c>
      <c r="B69" s="562" t="s">
        <v>89</v>
      </c>
      <c r="C69" s="563">
        <v>0</v>
      </c>
      <c r="D69" s="564">
        <v>0</v>
      </c>
      <c r="E69" s="564">
        <v>0</v>
      </c>
      <c r="F69" s="565">
        <v>0</v>
      </c>
      <c r="G69" s="566">
        <v>0</v>
      </c>
      <c r="H69" s="567">
        <f>VLOOKUP($A69,'[1]Post-Consumer Transport'!$C$33:$K$88,3,FALSE)+VLOOKUP($A69,'[1]Post-Consumer Transport'!$C$33:$K$88,4,FALSE)</f>
        <v>2.0254519141196047E-2</v>
      </c>
      <c r="I69" s="568">
        <f t="shared" si="17"/>
        <v>2.0254519141196047E-2</v>
      </c>
      <c r="J69" s="569">
        <f t="shared" si="18"/>
        <v>2.0254519141196047E-2</v>
      </c>
      <c r="K69" s="569">
        <f t="shared" si="18"/>
        <v>2.0254519141196047E-2</v>
      </c>
      <c r="L69" s="570">
        <f t="shared" si="18"/>
        <v>2.0254519141196047E-2</v>
      </c>
      <c r="M69" s="563">
        <v>0</v>
      </c>
      <c r="N69" s="564">
        <v>0</v>
      </c>
      <c r="O69" s="564">
        <v>0</v>
      </c>
      <c r="P69" s="565">
        <v>0</v>
      </c>
      <c r="Q69" s="566">
        <v>0</v>
      </c>
      <c r="R69" s="567">
        <f>VLOOKUP($A69,'[1]Post-Consumer Transport'!$C$33:$K$88,3,FALSE)+VLOOKUP($A69,'[1]Post-Consumer Transport'!$C$33:$K$88,4,FALSE)</f>
        <v>2.0254519141196047E-2</v>
      </c>
      <c r="S69" s="568">
        <f t="shared" si="95"/>
        <v>2.0254519141196047E-2</v>
      </c>
      <c r="T69" s="569">
        <f t="shared" si="20"/>
        <v>2.0254519141196047E-2</v>
      </c>
      <c r="U69" s="569">
        <f t="shared" si="21"/>
        <v>2.0254519141196047E-2</v>
      </c>
      <c r="V69" s="570">
        <f t="shared" si="22"/>
        <v>2.0254519141196047E-2</v>
      </c>
      <c r="W69" s="563">
        <v>0</v>
      </c>
      <c r="X69" s="564">
        <v>0</v>
      </c>
      <c r="Y69" s="564">
        <v>0</v>
      </c>
      <c r="Z69" s="565">
        <v>0</v>
      </c>
      <c r="AA69" s="566">
        <v>0</v>
      </c>
      <c r="AB69" s="567">
        <f>VLOOKUP($A69,'[1]Post-Consumer Transport'!$C$33:$K$88,3,FALSE)+VLOOKUP($A69,'[1]Post-Consumer Transport'!$C$33:$K$88,4,FALSE)</f>
        <v>2.0254519141196047E-2</v>
      </c>
      <c r="AC69" s="568">
        <f t="shared" si="96"/>
        <v>2.0254519141196047E-2</v>
      </c>
      <c r="AD69" s="569">
        <f t="shared" si="24"/>
        <v>2.0254519141196047E-2</v>
      </c>
      <c r="AE69" s="569">
        <f t="shared" si="25"/>
        <v>2.0254519141196047E-2</v>
      </c>
      <c r="AF69" s="570">
        <f t="shared" si="26"/>
        <v>2.0254519141196047E-2</v>
      </c>
      <c r="AG69" s="563">
        <v>0</v>
      </c>
      <c r="AH69" s="564">
        <v>0</v>
      </c>
      <c r="AI69" s="564">
        <v>0</v>
      </c>
      <c r="AJ69" s="565">
        <v>0</v>
      </c>
      <c r="AK69" s="566">
        <v>0</v>
      </c>
      <c r="AL69" s="567">
        <f>VLOOKUP($A69,'[1]Post-Consumer Transport'!$C$33:$K$88,3,FALSE)+VLOOKUP($A69,'[1]Post-Consumer Transport'!$C$33:$K$88,4,FALSE)</f>
        <v>2.0254519141196047E-2</v>
      </c>
      <c r="AM69" s="568">
        <f t="shared" si="97"/>
        <v>2.0254519141196047E-2</v>
      </c>
      <c r="AN69" s="569">
        <f t="shared" si="28"/>
        <v>2.0254519141196047E-2</v>
      </c>
      <c r="AO69" s="569">
        <f t="shared" si="29"/>
        <v>2.0254519141196047E-2</v>
      </c>
      <c r="AP69" s="570">
        <f t="shared" si="30"/>
        <v>2.0254519141196047E-2</v>
      </c>
      <c r="AQ69" s="563">
        <v>0</v>
      </c>
      <c r="AR69" s="564">
        <v>0</v>
      </c>
      <c r="AS69" s="564">
        <v>0</v>
      </c>
      <c r="AT69" s="565">
        <v>0</v>
      </c>
      <c r="AU69" s="566">
        <v>0</v>
      </c>
      <c r="AV69" s="567">
        <f>VLOOKUP($A69,'[1]Post-Consumer Transport'!$C$33:$K$88,3,FALSE)+VLOOKUP($A69,'[1]Post-Consumer Transport'!$C$33:$K$88,4,FALSE)</f>
        <v>2.0254519141196047E-2</v>
      </c>
      <c r="AW69" s="568">
        <f t="shared" si="98"/>
        <v>2.0254519141196047E-2</v>
      </c>
      <c r="AX69" s="569">
        <f t="shared" si="32"/>
        <v>2.0254519141196047E-2</v>
      </c>
      <c r="AY69" s="569">
        <f t="shared" si="33"/>
        <v>2.0254519141196047E-2</v>
      </c>
      <c r="AZ69" s="570">
        <f t="shared" si="34"/>
        <v>2.0254519141196047E-2</v>
      </c>
      <c r="BB69" s="563">
        <v>0</v>
      </c>
      <c r="BC69" s="564">
        <v>0</v>
      </c>
      <c r="BD69" s="564">
        <v>0</v>
      </c>
      <c r="BE69" s="565">
        <v>0</v>
      </c>
      <c r="BF69" s="566">
        <v>0</v>
      </c>
      <c r="BG69" s="567">
        <f>VLOOKUP($A69,'[1]Post-Consumer Transport'!$C$33:$K$88,3,FALSE)+VLOOKUP($A69,'[1]Post-Consumer Transport'!$C$33:$K$88,4,FALSE)</f>
        <v>2.0254519141196047E-2</v>
      </c>
      <c r="BH69" s="568">
        <f t="shared" si="99"/>
        <v>2.0254519141196047E-2</v>
      </c>
      <c r="BI69" s="569">
        <f t="shared" si="36"/>
        <v>2.0254519141196047E-2</v>
      </c>
      <c r="BJ69" s="569">
        <f t="shared" si="37"/>
        <v>2.0254519141196047E-2</v>
      </c>
      <c r="BK69" s="570">
        <f t="shared" si="38"/>
        <v>2.0254519141196047E-2</v>
      </c>
      <c r="BL69" s="892">
        <v>0</v>
      </c>
      <c r="BM69" s="893">
        <v>0</v>
      </c>
      <c r="BN69" s="893">
        <v>0</v>
      </c>
      <c r="BO69" s="894">
        <v>0</v>
      </c>
      <c r="BP69" s="895">
        <v>0</v>
      </c>
      <c r="BQ69" s="896">
        <f>VLOOKUP($A69,'[1]Post-Consumer Transport'!$C$33:$K$88,3,FALSE)+VLOOKUP($A69,'[1]Post-Consumer Transport'!$C$33:$K$88,4,FALSE)</f>
        <v>2.0254519141196047E-2</v>
      </c>
      <c r="BR69" s="897">
        <f t="shared" si="100"/>
        <v>2.0254519141196047E-2</v>
      </c>
      <c r="BS69" s="898">
        <f t="shared" si="40"/>
        <v>2.0254519141196047E-2</v>
      </c>
      <c r="BT69" s="898">
        <f t="shared" si="41"/>
        <v>2.0254519141196047E-2</v>
      </c>
      <c r="BU69" s="899">
        <f t="shared" si="42"/>
        <v>2.0254519141196047E-2</v>
      </c>
      <c r="BV69" s="563">
        <v>0</v>
      </c>
      <c r="BW69" s="564">
        <v>0</v>
      </c>
      <c r="BX69" s="564">
        <v>0</v>
      </c>
      <c r="BY69" s="565">
        <v>0</v>
      </c>
      <c r="BZ69" s="566">
        <v>0</v>
      </c>
      <c r="CA69" s="567">
        <f>VLOOKUP($A69,'[1]Post-Consumer Transport'!$C$33:$K$88,3,FALSE)+VLOOKUP($A69,'[1]Post-Consumer Transport'!$C$33:$K$88,4,FALSE)</f>
        <v>2.0254519141196047E-2</v>
      </c>
      <c r="CB69" s="568">
        <f t="shared" si="101"/>
        <v>2.0254519141196047E-2</v>
      </c>
      <c r="CC69" s="569">
        <f t="shared" si="44"/>
        <v>2.0254519141196047E-2</v>
      </c>
      <c r="CD69" s="569">
        <f t="shared" si="45"/>
        <v>2.0254519141196047E-2</v>
      </c>
      <c r="CE69" s="570">
        <f t="shared" si="46"/>
        <v>2.0254519141196047E-2</v>
      </c>
      <c r="CF69" s="563">
        <v>0</v>
      </c>
      <c r="CG69" s="564">
        <v>0</v>
      </c>
      <c r="CH69" s="564">
        <v>0</v>
      </c>
      <c r="CI69" s="565">
        <v>0</v>
      </c>
      <c r="CJ69" s="566">
        <v>0</v>
      </c>
      <c r="CK69" s="567">
        <f>VLOOKUP($A69,'[1]Post-Consumer Transport'!$C$33:$K$88,3,FALSE)+VLOOKUP($A69,'[1]Post-Consumer Transport'!$C$33:$K$88,4,FALSE)</f>
        <v>2.0254519141196047E-2</v>
      </c>
      <c r="CL69" s="568">
        <f t="shared" si="102"/>
        <v>2.0254519141196047E-2</v>
      </c>
      <c r="CM69" s="569">
        <f t="shared" si="48"/>
        <v>2.0254519141196047E-2</v>
      </c>
      <c r="CN69" s="569">
        <f t="shared" si="49"/>
        <v>2.0254519141196047E-2</v>
      </c>
      <c r="CO69" s="570">
        <f t="shared" si="50"/>
        <v>2.0254519141196047E-2</v>
      </c>
      <c r="CP69" s="563">
        <v>0</v>
      </c>
      <c r="CQ69" s="564">
        <v>0</v>
      </c>
      <c r="CR69" s="564">
        <v>0</v>
      </c>
      <c r="CS69" s="565">
        <v>0</v>
      </c>
      <c r="CT69" s="566">
        <v>0</v>
      </c>
      <c r="CU69" s="567">
        <f>VLOOKUP($A69,'[1]Post-Consumer Transport'!$C$33:$K$88,3,FALSE)+VLOOKUP($A69,'[1]Post-Consumer Transport'!$C$33:$K$88,4,FALSE)</f>
        <v>2.0254519141196047E-2</v>
      </c>
      <c r="CV69" s="568">
        <f t="shared" si="103"/>
        <v>2.0254519141196047E-2</v>
      </c>
      <c r="CW69" s="569">
        <f t="shared" si="52"/>
        <v>2.0254519141196047E-2</v>
      </c>
      <c r="CX69" s="569">
        <f t="shared" si="53"/>
        <v>2.0254519141196047E-2</v>
      </c>
      <c r="CY69" s="570">
        <f t="shared" si="54"/>
        <v>2.0254519141196047E-2</v>
      </c>
      <c r="DA69" s="563">
        <v>0</v>
      </c>
      <c r="DB69" s="564">
        <v>0</v>
      </c>
      <c r="DC69" s="564">
        <v>0</v>
      </c>
      <c r="DD69" s="565">
        <v>0</v>
      </c>
      <c r="DE69" s="566">
        <v>0</v>
      </c>
      <c r="DF69" s="567">
        <f>VLOOKUP($A69,'[1]Post-Consumer Transport'!$C$33:$K$88,3,FALSE)+VLOOKUP($A69,'[1]Post-Consumer Transport'!$C$33:$K$88,4,FALSE)</f>
        <v>2.0254519141196047E-2</v>
      </c>
      <c r="DG69" s="568">
        <f t="shared" si="104"/>
        <v>2.0254519141196047E-2</v>
      </c>
      <c r="DH69" s="569">
        <f t="shared" si="56"/>
        <v>2.0254519141196047E-2</v>
      </c>
      <c r="DI69" s="569">
        <f t="shared" si="57"/>
        <v>2.0254519141196047E-2</v>
      </c>
      <c r="DJ69" s="570">
        <f t="shared" si="58"/>
        <v>2.0254519141196047E-2</v>
      </c>
      <c r="DK69" s="563">
        <v>0</v>
      </c>
      <c r="DL69" s="564">
        <v>0</v>
      </c>
      <c r="DM69" s="564">
        <v>0</v>
      </c>
      <c r="DN69" s="565">
        <v>0</v>
      </c>
      <c r="DO69" s="566">
        <v>0</v>
      </c>
      <c r="DP69" s="567">
        <f>VLOOKUP($A69,'[1]Post-Consumer Transport'!$C$33:$K$88,3,FALSE)+VLOOKUP($A69,'[1]Post-Consumer Transport'!$C$33:$K$88,4,FALSE)</f>
        <v>2.0254519141196047E-2</v>
      </c>
      <c r="DQ69" s="568">
        <f t="shared" si="105"/>
        <v>2.0254519141196047E-2</v>
      </c>
      <c r="DR69" s="569">
        <f t="shared" si="60"/>
        <v>2.0254519141196047E-2</v>
      </c>
      <c r="DS69" s="569">
        <f t="shared" si="61"/>
        <v>2.0254519141196047E-2</v>
      </c>
      <c r="DT69" s="570">
        <f t="shared" si="62"/>
        <v>2.0254519141196047E-2</v>
      </c>
      <c r="DU69" s="563">
        <v>0</v>
      </c>
      <c r="DV69" s="564">
        <v>0</v>
      </c>
      <c r="DW69" s="564">
        <v>0</v>
      </c>
      <c r="DX69" s="565">
        <v>0</v>
      </c>
      <c r="DY69" s="566">
        <v>0</v>
      </c>
      <c r="DZ69" s="567">
        <f>VLOOKUP($A69,'[1]Post-Consumer Transport'!$C$33:$K$88,3,FALSE)+VLOOKUP($A69,'[1]Post-Consumer Transport'!$C$33:$K$88,4,FALSE)</f>
        <v>2.0254519141196047E-2</v>
      </c>
      <c r="EA69" s="568">
        <f t="shared" si="106"/>
        <v>2.0254519141196047E-2</v>
      </c>
      <c r="EB69" s="569">
        <f t="shared" si="64"/>
        <v>2.0254519141196047E-2</v>
      </c>
      <c r="EC69" s="569">
        <f t="shared" si="65"/>
        <v>2.0254519141196047E-2</v>
      </c>
      <c r="ED69" s="570">
        <f t="shared" si="66"/>
        <v>2.0254519141196047E-2</v>
      </c>
      <c r="EE69" s="563">
        <v>0</v>
      </c>
      <c r="EF69" s="564">
        <v>0</v>
      </c>
      <c r="EG69" s="564">
        <v>0</v>
      </c>
      <c r="EH69" s="565">
        <v>0</v>
      </c>
      <c r="EI69" s="566">
        <v>0</v>
      </c>
      <c r="EJ69" s="567">
        <f>VLOOKUP($A69,'[1]Post-Consumer Transport'!$C$33:$K$88,3,FALSE)+VLOOKUP($A69,'[1]Post-Consumer Transport'!$C$33:$K$88,4,FALSE)</f>
        <v>2.0254519141196047E-2</v>
      </c>
      <c r="EK69" s="568">
        <f t="shared" si="107"/>
        <v>2.0254519141196047E-2</v>
      </c>
      <c r="EL69" s="569">
        <f t="shared" si="68"/>
        <v>2.0254519141196047E-2</v>
      </c>
      <c r="EM69" s="569">
        <f t="shared" si="69"/>
        <v>2.0254519141196047E-2</v>
      </c>
      <c r="EN69" s="570">
        <f t="shared" si="70"/>
        <v>2.0254519141196047E-2</v>
      </c>
      <c r="EO69" s="563">
        <v>0</v>
      </c>
      <c r="EP69" s="564">
        <v>0</v>
      </c>
      <c r="EQ69" s="564">
        <v>0</v>
      </c>
      <c r="ER69" s="565">
        <v>0</v>
      </c>
      <c r="ES69" s="566">
        <v>0</v>
      </c>
      <c r="ET69" s="567">
        <f>VLOOKUP($A69,'[1]Post-Consumer Transport'!$C$33:$K$88,3,FALSE)+VLOOKUP($A69,'[1]Post-Consumer Transport'!$C$33:$K$88,4,FALSE)</f>
        <v>2.0254519141196047E-2</v>
      </c>
      <c r="EU69" s="568">
        <f t="shared" si="108"/>
        <v>2.0254519141196047E-2</v>
      </c>
      <c r="EV69" s="569">
        <f t="shared" si="72"/>
        <v>2.0254519141196047E-2</v>
      </c>
      <c r="EW69" s="569">
        <f t="shared" si="73"/>
        <v>2.0254519141196047E-2</v>
      </c>
      <c r="EX69" s="570">
        <f t="shared" si="74"/>
        <v>2.0254519141196047E-2</v>
      </c>
      <c r="EZ69" s="563">
        <v>0</v>
      </c>
      <c r="FA69" s="564">
        <v>0</v>
      </c>
      <c r="FB69" s="564">
        <v>0</v>
      </c>
      <c r="FC69" s="565">
        <v>0</v>
      </c>
      <c r="FD69" s="566">
        <v>0</v>
      </c>
      <c r="FE69" s="567">
        <f>VLOOKUP($A69,'[1]Post-Consumer Transport'!$C$33:$K$88,3,FALSE)+VLOOKUP($A69,'[1]Post-Consumer Transport'!$C$33:$K$88,4,FALSE)</f>
        <v>2.0254519141196047E-2</v>
      </c>
      <c r="FF69" s="568">
        <f t="shared" si="109"/>
        <v>2.0254519141196047E-2</v>
      </c>
      <c r="FG69" s="569">
        <f t="shared" si="76"/>
        <v>2.0254519141196047E-2</v>
      </c>
      <c r="FH69" s="569">
        <f t="shared" si="77"/>
        <v>2.0254519141196047E-2</v>
      </c>
      <c r="FI69" s="570">
        <f t="shared" si="78"/>
        <v>2.0254519141196047E-2</v>
      </c>
      <c r="FJ69" s="563">
        <v>0</v>
      </c>
      <c r="FK69" s="564">
        <v>0</v>
      </c>
      <c r="FL69" s="564">
        <v>0</v>
      </c>
      <c r="FM69" s="565">
        <v>0</v>
      </c>
      <c r="FN69" s="566">
        <v>0</v>
      </c>
      <c r="FO69" s="567">
        <f>VLOOKUP($A69,'[1]Post-Consumer Transport'!$C$33:$K$88,3,FALSE)+VLOOKUP($A69,'[1]Post-Consumer Transport'!$C$33:$K$88,4,FALSE)</f>
        <v>2.0254519141196047E-2</v>
      </c>
      <c r="FP69" s="568">
        <f t="shared" si="110"/>
        <v>2.0254519141196047E-2</v>
      </c>
      <c r="FQ69" s="569">
        <f t="shared" si="80"/>
        <v>2.0254519141196047E-2</v>
      </c>
      <c r="FR69" s="569">
        <f t="shared" si="81"/>
        <v>2.0254519141196047E-2</v>
      </c>
      <c r="FS69" s="570">
        <f t="shared" si="82"/>
        <v>2.0254519141196047E-2</v>
      </c>
      <c r="FT69" s="563">
        <v>0</v>
      </c>
      <c r="FU69" s="564">
        <v>0</v>
      </c>
      <c r="FV69" s="564">
        <v>0</v>
      </c>
      <c r="FW69" s="565">
        <v>0</v>
      </c>
      <c r="FX69" s="566">
        <v>0</v>
      </c>
      <c r="FY69" s="567">
        <f>VLOOKUP($A69,'[1]Post-Consumer Transport'!$C$33:$K$88,3,FALSE)+VLOOKUP($A69,'[1]Post-Consumer Transport'!$C$33:$K$88,4,FALSE)</f>
        <v>2.0254519141196047E-2</v>
      </c>
      <c r="FZ69" s="568">
        <f t="shared" si="111"/>
        <v>2.0254519141196047E-2</v>
      </c>
      <c r="GA69" s="569">
        <f t="shared" si="84"/>
        <v>2.0254519141196047E-2</v>
      </c>
      <c r="GB69" s="569">
        <f t="shared" si="85"/>
        <v>2.0254519141196047E-2</v>
      </c>
      <c r="GC69" s="570">
        <f t="shared" si="86"/>
        <v>2.0254519141196047E-2</v>
      </c>
      <c r="GD69" s="563">
        <v>0</v>
      </c>
      <c r="GE69" s="564">
        <v>0</v>
      </c>
      <c r="GF69" s="564">
        <v>0</v>
      </c>
      <c r="GG69" s="565">
        <v>0</v>
      </c>
      <c r="GH69" s="566">
        <v>0</v>
      </c>
      <c r="GI69" s="567">
        <f>VLOOKUP($A69,'[1]Post-Consumer Transport'!$C$33:$K$88,3,FALSE)+VLOOKUP($A69,'[1]Post-Consumer Transport'!$C$33:$K$88,4,FALSE)</f>
        <v>2.0254519141196047E-2</v>
      </c>
      <c r="GJ69" s="568">
        <f t="shared" si="112"/>
        <v>2.0254519141196047E-2</v>
      </c>
      <c r="GK69" s="569">
        <f t="shared" si="88"/>
        <v>2.0254519141196047E-2</v>
      </c>
      <c r="GL69" s="569">
        <f t="shared" si="89"/>
        <v>2.0254519141196047E-2</v>
      </c>
      <c r="GM69" s="570">
        <f t="shared" si="90"/>
        <v>2.0254519141196047E-2</v>
      </c>
      <c r="GN69" s="563">
        <v>0</v>
      </c>
      <c r="GO69" s="564">
        <v>0</v>
      </c>
      <c r="GP69" s="564">
        <v>0</v>
      </c>
      <c r="GQ69" s="565">
        <v>0</v>
      </c>
      <c r="GR69" s="566">
        <v>0</v>
      </c>
      <c r="GS69" s="567">
        <f>VLOOKUP($A69,'[1]Post-Consumer Transport'!$C$33:$K$88,3,FALSE)+VLOOKUP($A69,'[1]Post-Consumer Transport'!$C$33:$K$88,4,FALSE)</f>
        <v>2.0254519141196047E-2</v>
      </c>
      <c r="GT69" s="568">
        <f t="shared" si="113"/>
        <v>2.0254519141196047E-2</v>
      </c>
      <c r="GU69" s="569">
        <f t="shared" si="92"/>
        <v>2.0254519141196047E-2</v>
      </c>
      <c r="GV69" s="569">
        <f t="shared" si="93"/>
        <v>2.0254519141196047E-2</v>
      </c>
      <c r="GW69" s="570">
        <f t="shared" si="94"/>
        <v>2.0254519141196047E-2</v>
      </c>
    </row>
    <row r="70" spans="1:205" x14ac:dyDescent="0.25">
      <c r="A70" s="494"/>
      <c r="B70" s="571" t="s">
        <v>678</v>
      </c>
      <c r="C70" s="501"/>
      <c r="D70" s="501"/>
      <c r="E70" s="501"/>
      <c r="F70" s="501"/>
      <c r="G70" s="501"/>
      <c r="H70" s="501"/>
      <c r="I70" s="572"/>
      <c r="J70" s="573"/>
      <c r="K70" s="573"/>
      <c r="L70" s="573"/>
    </row>
  </sheetData>
  <sheetProtection selectLockedCells="1" selectUnlockedCells="1"/>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L46"/>
  <sheetViews>
    <sheetView showRowColHeaders="0" workbookViewId="0">
      <selection activeCell="H31" sqref="H31"/>
    </sheetView>
  </sheetViews>
  <sheetFormatPr defaultRowHeight="12.5" x14ac:dyDescent="0.25"/>
  <cols>
    <col min="1" max="1" width="58.81640625" customWidth="1"/>
    <col min="2" max="2" width="9.1796875" style="8" customWidth="1"/>
    <col min="4" max="4" width="11" bestFit="1" customWidth="1"/>
    <col min="7" max="7" width="10" bestFit="1" customWidth="1"/>
  </cols>
  <sheetData>
    <row r="1" spans="1:10" ht="15.5" x14ac:dyDescent="0.35">
      <c r="A1" s="48" t="s">
        <v>22</v>
      </c>
    </row>
    <row r="3" spans="1:10" ht="13" x14ac:dyDescent="0.3">
      <c r="A3" s="40" t="s">
        <v>23</v>
      </c>
    </row>
    <row r="4" spans="1:10" x14ac:dyDescent="0.25">
      <c r="A4" s="28" t="s">
        <v>24</v>
      </c>
      <c r="B4" s="424">
        <f>'[2]Conversion Factors'!$B$4</f>
        <v>528.87850467289718</v>
      </c>
    </row>
    <row r="5" spans="1:10" x14ac:dyDescent="0.25">
      <c r="A5" t="s">
        <v>25</v>
      </c>
      <c r="B5" s="425">
        <f>B4*B14</f>
        <v>65.7068580329328</v>
      </c>
      <c r="D5" s="23"/>
    </row>
    <row r="6" spans="1:10" ht="14.25" customHeight="1" x14ac:dyDescent="0.4">
      <c r="A6" s="8" t="s">
        <v>26</v>
      </c>
      <c r="B6" s="426">
        <f>'[2]Conversion Factors'!$B$6</f>
        <v>4.75</v>
      </c>
      <c r="D6" s="23"/>
      <c r="E6">
        <f>B6/(44/12)</f>
        <v>1.2954545454545454</v>
      </c>
      <c r="F6" t="s">
        <v>27</v>
      </c>
    </row>
    <row r="7" spans="1:10" x14ac:dyDescent="0.25">
      <c r="C7" s="208" t="s">
        <v>28</v>
      </c>
    </row>
    <row r="8" spans="1:10" ht="13" x14ac:dyDescent="0.3">
      <c r="A8" s="209" t="s">
        <v>30</v>
      </c>
    </row>
    <row r="9" spans="1:10" x14ac:dyDescent="0.25">
      <c r="A9" t="s">
        <v>31</v>
      </c>
      <c r="B9" s="427">
        <f>'[2]Conversion Factors'!$B$9</f>
        <v>5.81</v>
      </c>
    </row>
    <row r="11" spans="1:10" ht="13" x14ac:dyDescent="0.3">
      <c r="A11" s="40" t="s">
        <v>32</v>
      </c>
    </row>
    <row r="12" spans="1:10" x14ac:dyDescent="0.25">
      <c r="A12" t="s">
        <v>31</v>
      </c>
      <c r="B12" s="108">
        <f>'[2]Conversion Factors'!$B$12</f>
        <v>5.218</v>
      </c>
      <c r="C12" s="21" t="s">
        <v>820</v>
      </c>
      <c r="J12" s="654"/>
    </row>
    <row r="13" spans="1:10" x14ac:dyDescent="0.25">
      <c r="A13" t="s">
        <v>33</v>
      </c>
      <c r="B13" s="8">
        <f>'[2]Conversion Factors'!$B$13</f>
        <v>42</v>
      </c>
    </row>
    <row r="14" spans="1:10" x14ac:dyDescent="0.25">
      <c r="A14" t="s">
        <v>34</v>
      </c>
      <c r="B14" s="108">
        <f>B12/B13</f>
        <v>0.12423809523809523</v>
      </c>
    </row>
    <row r="16" spans="1:10" ht="13" x14ac:dyDescent="0.3">
      <c r="A16" s="40" t="s">
        <v>35</v>
      </c>
    </row>
    <row r="17" spans="1:6" x14ac:dyDescent="0.25">
      <c r="A17" s="103" t="s">
        <v>36</v>
      </c>
      <c r="B17" s="428">
        <f>'[2]Conversion Factors'!$B$17</f>
        <v>41.179428000000001</v>
      </c>
      <c r="C17" t="s">
        <v>37</v>
      </c>
    </row>
    <row r="18" spans="1:6" x14ac:dyDescent="0.25">
      <c r="A18" s="103" t="s">
        <v>38</v>
      </c>
      <c r="B18" s="211">
        <f>'[2]Conversion Factors'!$B$18</f>
        <v>115.00228100000001</v>
      </c>
      <c r="C18" t="s">
        <v>39</v>
      </c>
    </row>
    <row r="19" spans="1:6" x14ac:dyDescent="0.25">
      <c r="A19" s="103"/>
    </row>
    <row r="20" spans="1:6" x14ac:dyDescent="0.25">
      <c r="A20" s="210" t="s">
        <v>40</v>
      </c>
      <c r="B20" s="429">
        <f>'[2]Conversion Factors'!$B$20</f>
        <v>12069</v>
      </c>
      <c r="C20" s="8" t="s">
        <v>41</v>
      </c>
      <c r="E20" s="211"/>
    </row>
    <row r="21" spans="1:6" x14ac:dyDescent="0.25">
      <c r="A21" s="212"/>
      <c r="B21" s="425">
        <f>'[2]Conversion Factors'!$B$21</f>
        <v>3412</v>
      </c>
      <c r="C21" t="s">
        <v>42</v>
      </c>
    </row>
    <row r="23" spans="1:6" x14ac:dyDescent="0.25">
      <c r="B23" s="108">
        <f>B18/365</f>
        <v>0.31507474246575345</v>
      </c>
      <c r="C23" t="s">
        <v>644</v>
      </c>
    </row>
    <row r="25" spans="1:6" ht="13" x14ac:dyDescent="0.3">
      <c r="A25" s="40" t="s">
        <v>29</v>
      </c>
    </row>
    <row r="26" spans="1:6" x14ac:dyDescent="0.25">
      <c r="A26" t="s">
        <v>119</v>
      </c>
      <c r="B26" s="8">
        <f>'[2]Conversion Factors'!$B$26</f>
        <v>8.8870000000000008E-3</v>
      </c>
      <c r="E26">
        <f>B26/(44/12)</f>
        <v>2.4237272727272731E-3</v>
      </c>
      <c r="F26" t="s">
        <v>27</v>
      </c>
    </row>
    <row r="29" spans="1:6" ht="13" x14ac:dyDescent="0.3">
      <c r="A29" s="40" t="s">
        <v>115</v>
      </c>
    </row>
    <row r="30" spans="1:6" x14ac:dyDescent="0.25">
      <c r="A30" t="s">
        <v>118</v>
      </c>
      <c r="B30" s="8">
        <f>'[2]Conversion Factors'!$B$30</f>
        <v>2.4E-2</v>
      </c>
      <c r="E30">
        <f>B30/(44/12)</f>
        <v>6.5454545454545461E-3</v>
      </c>
      <c r="F30" t="s">
        <v>27</v>
      </c>
    </row>
    <row r="33" spans="1:12" ht="13" x14ac:dyDescent="0.3">
      <c r="A33" s="40" t="s">
        <v>116</v>
      </c>
    </row>
    <row r="34" spans="1:12" x14ac:dyDescent="0.25">
      <c r="A34" t="s">
        <v>117</v>
      </c>
      <c r="B34" s="8">
        <f>'[2]Conversion Factors'!$B$34</f>
        <v>186.5</v>
      </c>
      <c r="E34">
        <f>B34/(44/12)</f>
        <v>50.863636363636367</v>
      </c>
      <c r="F34" t="s">
        <v>27</v>
      </c>
    </row>
    <row r="37" spans="1:12" x14ac:dyDescent="0.25">
      <c r="B37" s="208" t="s">
        <v>843</v>
      </c>
      <c r="L37" s="654"/>
    </row>
    <row r="38" spans="1:12" x14ac:dyDescent="0.25">
      <c r="A38" t="s">
        <v>120</v>
      </c>
      <c r="B38" s="21" t="s">
        <v>844</v>
      </c>
      <c r="L38" s="654"/>
    </row>
    <row r="41" spans="1:12" x14ac:dyDescent="0.25">
      <c r="A41" s="695" t="s">
        <v>427</v>
      </c>
      <c r="B41" s="696">
        <f>'[2]Conversion Factors'!$B$41</f>
        <v>1739.5</v>
      </c>
      <c r="C41" s="695"/>
      <c r="D41" s="695">
        <f>B41*10^6</f>
        <v>1739500000</v>
      </c>
      <c r="E41" s="695" t="s">
        <v>220</v>
      </c>
      <c r="F41" s="695"/>
      <c r="G41" s="695">
        <f>D41/(44/12)</f>
        <v>474409090.90909094</v>
      </c>
      <c r="H41" t="s">
        <v>27</v>
      </c>
    </row>
    <row r="42" spans="1:12" x14ac:dyDescent="0.25">
      <c r="A42" s="695"/>
      <c r="B42" s="695"/>
      <c r="C42" s="695"/>
      <c r="D42" s="695"/>
      <c r="E42" s="695"/>
      <c r="F42" s="695"/>
      <c r="G42" s="695"/>
    </row>
    <row r="43" spans="1:12" x14ac:dyDescent="0.25">
      <c r="A43" s="695" t="s">
        <v>428</v>
      </c>
      <c r="B43" s="696">
        <f>'[2]Conversion Factors'!$B$43</f>
        <v>2022.7</v>
      </c>
      <c r="C43" s="695"/>
      <c r="D43" s="695">
        <f>B43*10^6</f>
        <v>2022700000</v>
      </c>
      <c r="E43" s="695" t="s">
        <v>220</v>
      </c>
      <c r="F43" s="695"/>
      <c r="G43" s="695">
        <f>D43/(44/12)</f>
        <v>551645454.54545462</v>
      </c>
      <c r="H43" t="s">
        <v>27</v>
      </c>
    </row>
    <row r="46" spans="1:12" x14ac:dyDescent="0.25">
      <c r="A46" t="s">
        <v>692</v>
      </c>
    </row>
  </sheetData>
  <sheetProtection password="CDE6" sheet="1" selectLockedCells="1" selectUnlockedCells="1"/>
  <phoneticPr fontId="14" type="noConversion"/>
  <hyperlinks>
    <hyperlink ref="C7" r:id="rId1"/>
    <hyperlink ref="B37" r:id="rId2"/>
  </hyperlinks>
  <pageMargins left="0.75" right="0.75" top="1" bottom="1" header="0.5" footer="0.5"/>
  <pageSetup orientation="portrait" r:id="rId3"/>
  <headerFooter alignWithMargins="0"/>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E201"/>
  <sheetViews>
    <sheetView showRowColHeaders="0" workbookViewId="0">
      <selection activeCell="G78" sqref="G78"/>
    </sheetView>
  </sheetViews>
  <sheetFormatPr defaultRowHeight="12.5" x14ac:dyDescent="0.25"/>
  <cols>
    <col min="1" max="1" width="10.81640625" customWidth="1"/>
    <col min="2" max="2" width="15.1796875" bestFit="1" customWidth="1"/>
    <col min="3" max="3" width="22.7265625" customWidth="1"/>
    <col min="4" max="4" width="25.1796875" customWidth="1"/>
    <col min="5" max="5" width="16.54296875" customWidth="1"/>
  </cols>
  <sheetData>
    <row r="1" spans="1:5" ht="13.5" thickBot="1" x14ac:dyDescent="0.35">
      <c r="A1" s="33" t="s">
        <v>591</v>
      </c>
      <c r="B1" s="34"/>
      <c r="C1" s="34"/>
    </row>
    <row r="3" spans="1:5" ht="13" x14ac:dyDescent="0.3">
      <c r="A3" s="35" t="s">
        <v>586</v>
      </c>
      <c r="B3" s="35" t="s">
        <v>587</v>
      </c>
      <c r="C3" s="35" t="s">
        <v>588</v>
      </c>
      <c r="D3" s="35" t="s">
        <v>589</v>
      </c>
      <c r="E3" s="36" t="s">
        <v>590</v>
      </c>
    </row>
    <row r="4" spans="1:5" x14ac:dyDescent="0.25">
      <c r="A4" s="37">
        <v>36005</v>
      </c>
      <c r="B4" t="s">
        <v>592</v>
      </c>
      <c r="C4" t="s">
        <v>593</v>
      </c>
      <c r="D4" t="s">
        <v>594</v>
      </c>
      <c r="E4" t="s">
        <v>608</v>
      </c>
    </row>
    <row r="5" spans="1:5" x14ac:dyDescent="0.25">
      <c r="A5" s="37">
        <v>36005</v>
      </c>
      <c r="B5" t="s">
        <v>592</v>
      </c>
      <c r="C5" t="s">
        <v>593</v>
      </c>
      <c r="D5" t="s">
        <v>595</v>
      </c>
      <c r="E5" t="s">
        <v>609</v>
      </c>
    </row>
    <row r="6" spans="1:5" x14ac:dyDescent="0.25">
      <c r="A6" s="37">
        <v>36005</v>
      </c>
      <c r="B6" t="s">
        <v>610</v>
      </c>
      <c r="C6" t="s">
        <v>611</v>
      </c>
      <c r="D6" t="s">
        <v>612</v>
      </c>
      <c r="E6" t="s">
        <v>613</v>
      </c>
    </row>
    <row r="7" spans="1:5" x14ac:dyDescent="0.25">
      <c r="A7" s="37">
        <v>36011</v>
      </c>
      <c r="B7" t="s">
        <v>592</v>
      </c>
      <c r="C7" t="s">
        <v>614</v>
      </c>
      <c r="D7" t="s">
        <v>615</v>
      </c>
      <c r="E7" t="s">
        <v>616</v>
      </c>
    </row>
    <row r="8" spans="1:5" x14ac:dyDescent="0.25">
      <c r="A8" s="37">
        <v>36011</v>
      </c>
      <c r="B8" t="s">
        <v>592</v>
      </c>
      <c r="C8" t="s">
        <v>614</v>
      </c>
      <c r="D8" t="s">
        <v>617</v>
      </c>
      <c r="E8" t="s">
        <v>619</v>
      </c>
    </row>
    <row r="9" spans="1:5" x14ac:dyDescent="0.25">
      <c r="A9" s="37">
        <v>36011</v>
      </c>
      <c r="B9" t="s">
        <v>592</v>
      </c>
      <c r="C9" t="s">
        <v>614</v>
      </c>
      <c r="D9" t="s">
        <v>618</v>
      </c>
      <c r="E9" t="s">
        <v>619</v>
      </c>
    </row>
    <row r="10" spans="1:5" x14ac:dyDescent="0.25">
      <c r="A10" s="37">
        <v>36011</v>
      </c>
      <c r="B10" t="s">
        <v>592</v>
      </c>
      <c r="C10" t="s">
        <v>614</v>
      </c>
      <c r="D10" t="s">
        <v>626</v>
      </c>
      <c r="E10" t="s">
        <v>620</v>
      </c>
    </row>
    <row r="11" spans="1:5" x14ac:dyDescent="0.25">
      <c r="A11" s="37">
        <v>36011</v>
      </c>
      <c r="B11" t="s">
        <v>592</v>
      </c>
      <c r="C11" t="s">
        <v>614</v>
      </c>
      <c r="D11" t="s">
        <v>621</v>
      </c>
      <c r="E11" t="s">
        <v>625</v>
      </c>
    </row>
    <row r="12" spans="1:5" x14ac:dyDescent="0.25">
      <c r="A12" s="37">
        <v>36012</v>
      </c>
      <c r="B12" t="s">
        <v>592</v>
      </c>
      <c r="C12" t="s">
        <v>624</v>
      </c>
      <c r="D12" t="s">
        <v>622</v>
      </c>
      <c r="E12" t="s">
        <v>623</v>
      </c>
    </row>
    <row r="13" spans="1:5" x14ac:dyDescent="0.25">
      <c r="A13" s="37">
        <v>36019</v>
      </c>
      <c r="B13" t="s">
        <v>592</v>
      </c>
      <c r="C13" t="s">
        <v>593</v>
      </c>
      <c r="D13" t="s">
        <v>627</v>
      </c>
      <c r="E13" t="s">
        <v>628</v>
      </c>
    </row>
    <row r="14" spans="1:5" x14ac:dyDescent="0.25">
      <c r="A14" s="37">
        <v>36019</v>
      </c>
      <c r="B14" t="s">
        <v>592</v>
      </c>
      <c r="C14" t="s">
        <v>593</v>
      </c>
      <c r="D14" t="s">
        <v>627</v>
      </c>
      <c r="E14" t="s">
        <v>629</v>
      </c>
    </row>
    <row r="15" spans="1:5" x14ac:dyDescent="0.25">
      <c r="A15" s="37">
        <v>36019</v>
      </c>
      <c r="B15" t="s">
        <v>592</v>
      </c>
      <c r="C15" t="s">
        <v>630</v>
      </c>
      <c r="D15" t="s">
        <v>631</v>
      </c>
      <c r="E15" t="s">
        <v>632</v>
      </c>
    </row>
    <row r="16" spans="1:5" x14ac:dyDescent="0.25">
      <c r="A16" s="37">
        <v>36019</v>
      </c>
      <c r="B16" t="s">
        <v>592</v>
      </c>
      <c r="C16" t="s">
        <v>630</v>
      </c>
      <c r="D16" t="s">
        <v>631</v>
      </c>
      <c r="E16" t="s">
        <v>634</v>
      </c>
    </row>
    <row r="17" spans="1:5" x14ac:dyDescent="0.25">
      <c r="A17" s="37">
        <v>36020</v>
      </c>
      <c r="B17" t="s">
        <v>592</v>
      </c>
      <c r="C17" t="s">
        <v>614</v>
      </c>
      <c r="D17" t="s">
        <v>635</v>
      </c>
      <c r="E17" t="s">
        <v>632</v>
      </c>
    </row>
    <row r="18" spans="1:5" x14ac:dyDescent="0.25">
      <c r="A18" s="37">
        <v>36020</v>
      </c>
      <c r="B18" t="s">
        <v>636</v>
      </c>
      <c r="C18" t="s">
        <v>630</v>
      </c>
      <c r="D18" t="s">
        <v>637</v>
      </c>
      <c r="E18" t="s">
        <v>1</v>
      </c>
    </row>
    <row r="19" spans="1:5" x14ac:dyDescent="0.25">
      <c r="A19" s="37">
        <v>36020</v>
      </c>
      <c r="B19" t="s">
        <v>636</v>
      </c>
      <c r="C19" t="s">
        <v>630</v>
      </c>
      <c r="D19" t="s">
        <v>638</v>
      </c>
      <c r="E19" t="s">
        <v>0</v>
      </c>
    </row>
    <row r="20" spans="1:5" x14ac:dyDescent="0.25">
      <c r="A20" s="37">
        <v>36020</v>
      </c>
      <c r="B20" t="s">
        <v>636</v>
      </c>
      <c r="C20" t="s">
        <v>614</v>
      </c>
      <c r="D20" t="s">
        <v>635</v>
      </c>
      <c r="E20" t="s">
        <v>2</v>
      </c>
    </row>
    <row r="21" spans="1:5" x14ac:dyDescent="0.25">
      <c r="A21" s="37">
        <v>36020</v>
      </c>
      <c r="B21" t="s">
        <v>636</v>
      </c>
      <c r="C21" t="s">
        <v>614</v>
      </c>
      <c r="E21" t="s">
        <v>3</v>
      </c>
    </row>
    <row r="22" spans="1:5" x14ac:dyDescent="0.25">
      <c r="A22" s="37">
        <v>36103</v>
      </c>
      <c r="B22" t="s">
        <v>592</v>
      </c>
      <c r="C22" t="s">
        <v>14</v>
      </c>
      <c r="D22" t="s">
        <v>15</v>
      </c>
      <c r="E22" t="s">
        <v>16</v>
      </c>
    </row>
    <row r="23" spans="1:5" x14ac:dyDescent="0.25">
      <c r="A23" s="37">
        <v>36103</v>
      </c>
      <c r="B23" t="s">
        <v>592</v>
      </c>
      <c r="C23" t="s">
        <v>593</v>
      </c>
      <c r="D23" t="s">
        <v>17</v>
      </c>
      <c r="E23" t="s">
        <v>18</v>
      </c>
    </row>
    <row r="24" spans="1:5" x14ac:dyDescent="0.25">
      <c r="A24" s="37">
        <v>36103</v>
      </c>
      <c r="B24" t="s">
        <v>592</v>
      </c>
      <c r="C24" t="s">
        <v>129</v>
      </c>
      <c r="D24" t="s">
        <v>130</v>
      </c>
      <c r="E24" t="s">
        <v>132</v>
      </c>
    </row>
    <row r="25" spans="1:5" x14ac:dyDescent="0.25">
      <c r="A25" s="37">
        <v>36104</v>
      </c>
      <c r="B25" t="s">
        <v>592</v>
      </c>
      <c r="C25" t="s">
        <v>14</v>
      </c>
      <c r="D25" t="s">
        <v>130</v>
      </c>
      <c r="E25" t="s">
        <v>139</v>
      </c>
    </row>
    <row r="26" spans="1:5" x14ac:dyDescent="0.25">
      <c r="A26" s="37">
        <v>36105</v>
      </c>
      <c r="B26" t="s">
        <v>636</v>
      </c>
      <c r="C26" t="s">
        <v>135</v>
      </c>
      <c r="E26" t="s">
        <v>136</v>
      </c>
    </row>
    <row r="27" spans="1:5" x14ac:dyDescent="0.25">
      <c r="A27" s="37">
        <v>36105</v>
      </c>
      <c r="B27" t="s">
        <v>636</v>
      </c>
      <c r="C27" t="s">
        <v>138</v>
      </c>
      <c r="E27" t="s">
        <v>137</v>
      </c>
    </row>
    <row r="28" spans="1:5" x14ac:dyDescent="0.25">
      <c r="A28" s="37">
        <v>36108</v>
      </c>
      <c r="B28" t="s">
        <v>592</v>
      </c>
      <c r="C28" t="s">
        <v>14</v>
      </c>
      <c r="E28" t="s">
        <v>140</v>
      </c>
    </row>
    <row r="29" spans="1:5" x14ac:dyDescent="0.25">
      <c r="A29" s="37">
        <v>36108</v>
      </c>
      <c r="B29" t="s">
        <v>592</v>
      </c>
      <c r="C29" t="s">
        <v>141</v>
      </c>
      <c r="E29" t="s">
        <v>142</v>
      </c>
    </row>
    <row r="30" spans="1:5" x14ac:dyDescent="0.25">
      <c r="A30" s="37">
        <v>36108</v>
      </c>
      <c r="B30" t="s">
        <v>592</v>
      </c>
      <c r="C30" t="s">
        <v>14</v>
      </c>
      <c r="E30" t="s">
        <v>143</v>
      </c>
    </row>
    <row r="31" spans="1:5" x14ac:dyDescent="0.25">
      <c r="A31" s="37">
        <v>36108</v>
      </c>
      <c r="B31" t="s">
        <v>592</v>
      </c>
      <c r="C31" t="s">
        <v>14</v>
      </c>
      <c r="E31" t="s">
        <v>144</v>
      </c>
    </row>
    <row r="32" spans="1:5" x14ac:dyDescent="0.25">
      <c r="A32" s="37">
        <v>36230</v>
      </c>
      <c r="B32" t="s">
        <v>150</v>
      </c>
      <c r="C32" t="s">
        <v>151</v>
      </c>
      <c r="D32" t="s">
        <v>17</v>
      </c>
      <c r="E32" t="s">
        <v>152</v>
      </c>
    </row>
    <row r="33" spans="1:5" x14ac:dyDescent="0.25">
      <c r="A33" s="37">
        <v>36235</v>
      </c>
      <c r="B33" t="s">
        <v>150</v>
      </c>
      <c r="C33" t="s">
        <v>630</v>
      </c>
      <c r="D33" t="s">
        <v>154</v>
      </c>
      <c r="E33" t="s">
        <v>153</v>
      </c>
    </row>
    <row r="34" spans="1:5" x14ac:dyDescent="0.25">
      <c r="A34" s="37">
        <v>36248</v>
      </c>
      <c r="B34" t="s">
        <v>150</v>
      </c>
      <c r="C34" t="s">
        <v>630</v>
      </c>
      <c r="D34" t="s">
        <v>627</v>
      </c>
      <c r="E34" t="s">
        <v>156</v>
      </c>
    </row>
    <row r="35" spans="1:5" x14ac:dyDescent="0.25">
      <c r="A35" s="37">
        <v>36248</v>
      </c>
      <c r="B35" t="s">
        <v>150</v>
      </c>
      <c r="C35" t="s">
        <v>614</v>
      </c>
      <c r="D35" t="s">
        <v>155</v>
      </c>
      <c r="E35" t="s">
        <v>157</v>
      </c>
    </row>
    <row r="36" spans="1:5" x14ac:dyDescent="0.25">
      <c r="A36" s="37">
        <v>36249</v>
      </c>
      <c r="B36" t="s">
        <v>150</v>
      </c>
      <c r="C36" t="s">
        <v>630</v>
      </c>
      <c r="D36" t="s">
        <v>154</v>
      </c>
      <c r="E36" t="s">
        <v>158</v>
      </c>
    </row>
    <row r="37" spans="1:5" x14ac:dyDescent="0.25">
      <c r="A37" s="37">
        <v>36249</v>
      </c>
      <c r="B37" t="s">
        <v>150</v>
      </c>
      <c r="C37" t="s">
        <v>630</v>
      </c>
      <c r="D37" t="s">
        <v>159</v>
      </c>
      <c r="E37" t="s">
        <v>160</v>
      </c>
    </row>
    <row r="38" spans="1:5" x14ac:dyDescent="0.25">
      <c r="A38" s="37">
        <v>36249</v>
      </c>
      <c r="B38" t="s">
        <v>150</v>
      </c>
      <c r="C38" t="s">
        <v>630</v>
      </c>
      <c r="D38" t="s">
        <v>161</v>
      </c>
      <c r="E38" t="s">
        <v>162</v>
      </c>
    </row>
    <row r="39" spans="1:5" x14ac:dyDescent="0.25">
      <c r="A39" s="37">
        <v>36249</v>
      </c>
      <c r="B39" t="s">
        <v>150</v>
      </c>
      <c r="C39" t="s">
        <v>630</v>
      </c>
      <c r="D39" t="s">
        <v>164</v>
      </c>
      <c r="E39" t="s">
        <v>163</v>
      </c>
    </row>
    <row r="40" spans="1:5" x14ac:dyDescent="0.25">
      <c r="A40" s="37">
        <v>36249</v>
      </c>
      <c r="B40" t="s">
        <v>150</v>
      </c>
      <c r="C40" t="s">
        <v>165</v>
      </c>
      <c r="D40" t="s">
        <v>167</v>
      </c>
      <c r="E40" t="s">
        <v>166</v>
      </c>
    </row>
    <row r="41" spans="1:5" x14ac:dyDescent="0.25">
      <c r="A41" s="37">
        <v>36249</v>
      </c>
      <c r="B41" t="s">
        <v>150</v>
      </c>
      <c r="C41" t="s">
        <v>630</v>
      </c>
      <c r="D41" t="s">
        <v>168</v>
      </c>
      <c r="E41" t="s">
        <v>169</v>
      </c>
    </row>
    <row r="42" spans="1:5" x14ac:dyDescent="0.25">
      <c r="A42" s="37">
        <v>36249</v>
      </c>
      <c r="B42" t="s">
        <v>150</v>
      </c>
      <c r="C42" t="s">
        <v>630</v>
      </c>
      <c r="D42" t="s">
        <v>170</v>
      </c>
      <c r="E42" t="s">
        <v>171</v>
      </c>
    </row>
    <row r="43" spans="1:5" x14ac:dyDescent="0.25">
      <c r="A43" s="37">
        <v>36249</v>
      </c>
      <c r="B43" t="s">
        <v>150</v>
      </c>
      <c r="C43" t="s">
        <v>630</v>
      </c>
      <c r="D43" t="s">
        <v>172</v>
      </c>
      <c r="E43" t="s">
        <v>173</v>
      </c>
    </row>
    <row r="44" spans="1:5" x14ac:dyDescent="0.25">
      <c r="A44" s="37">
        <v>36249</v>
      </c>
      <c r="B44" t="s">
        <v>150</v>
      </c>
      <c r="C44" t="s">
        <v>630</v>
      </c>
      <c r="D44" t="s">
        <v>174</v>
      </c>
      <c r="E44" t="s">
        <v>175</v>
      </c>
    </row>
    <row r="45" spans="1:5" x14ac:dyDescent="0.25">
      <c r="A45" s="37">
        <v>36256</v>
      </c>
      <c r="B45" t="s">
        <v>150</v>
      </c>
      <c r="C45" t="s">
        <v>176</v>
      </c>
      <c r="D45" t="s">
        <v>130</v>
      </c>
      <c r="E45" t="s">
        <v>177</v>
      </c>
    </row>
    <row r="46" spans="1:5" x14ac:dyDescent="0.25">
      <c r="A46" s="37">
        <v>36256</v>
      </c>
      <c r="B46" t="s">
        <v>150</v>
      </c>
      <c r="C46" t="s">
        <v>566</v>
      </c>
      <c r="D46" t="s">
        <v>130</v>
      </c>
      <c r="E46" t="s">
        <v>177</v>
      </c>
    </row>
    <row r="47" spans="1:5" x14ac:dyDescent="0.25">
      <c r="A47" s="37">
        <v>36270</v>
      </c>
      <c r="B47" t="s">
        <v>592</v>
      </c>
      <c r="C47" t="s">
        <v>630</v>
      </c>
      <c r="D47" t="s">
        <v>178</v>
      </c>
      <c r="E47" t="s">
        <v>181</v>
      </c>
    </row>
    <row r="48" spans="1:5" x14ac:dyDescent="0.25">
      <c r="A48" s="37">
        <v>36270</v>
      </c>
      <c r="B48" t="s">
        <v>592</v>
      </c>
      <c r="C48" t="s">
        <v>630</v>
      </c>
      <c r="D48" t="s">
        <v>182</v>
      </c>
      <c r="E48" t="s">
        <v>183</v>
      </c>
    </row>
    <row r="49" spans="1:5" x14ac:dyDescent="0.25">
      <c r="A49" s="37">
        <v>36270</v>
      </c>
      <c r="B49" t="s">
        <v>592</v>
      </c>
      <c r="C49" t="s">
        <v>630</v>
      </c>
      <c r="D49" t="s">
        <v>184</v>
      </c>
      <c r="E49" t="s">
        <v>185</v>
      </c>
    </row>
    <row r="50" spans="1:5" x14ac:dyDescent="0.25">
      <c r="A50" s="37">
        <v>36270</v>
      </c>
      <c r="B50" t="s">
        <v>592</v>
      </c>
      <c r="C50" t="s">
        <v>614</v>
      </c>
      <c r="D50" t="s">
        <v>186</v>
      </c>
      <c r="E50" t="s">
        <v>183</v>
      </c>
    </row>
    <row r="51" spans="1:5" ht="13" x14ac:dyDescent="0.3">
      <c r="A51" s="37">
        <v>36271</v>
      </c>
      <c r="B51" t="s">
        <v>592</v>
      </c>
      <c r="C51" t="s">
        <v>630</v>
      </c>
      <c r="D51" t="s">
        <v>187</v>
      </c>
      <c r="E51" t="s">
        <v>188</v>
      </c>
    </row>
    <row r="52" spans="1:5" ht="13" x14ac:dyDescent="0.3">
      <c r="A52" s="37">
        <v>36271</v>
      </c>
      <c r="B52" t="s">
        <v>592</v>
      </c>
      <c r="C52" t="s">
        <v>614</v>
      </c>
      <c r="D52" t="s">
        <v>189</v>
      </c>
      <c r="E52" t="s">
        <v>188</v>
      </c>
    </row>
    <row r="53" spans="1:5" ht="13" x14ac:dyDescent="0.3">
      <c r="A53" s="37">
        <v>36271</v>
      </c>
      <c r="B53" t="s">
        <v>592</v>
      </c>
      <c r="C53" t="s">
        <v>165</v>
      </c>
      <c r="D53" t="s">
        <v>192</v>
      </c>
      <c r="E53" t="s">
        <v>188</v>
      </c>
    </row>
    <row r="54" spans="1:5" ht="13" x14ac:dyDescent="0.3">
      <c r="A54" s="37">
        <v>36271</v>
      </c>
      <c r="B54" t="s">
        <v>592</v>
      </c>
      <c r="C54" t="s">
        <v>165</v>
      </c>
      <c r="D54" t="s">
        <v>193</v>
      </c>
      <c r="E54" t="s">
        <v>188</v>
      </c>
    </row>
    <row r="55" spans="1:5" x14ac:dyDescent="0.25">
      <c r="A55" s="37">
        <v>36271</v>
      </c>
      <c r="B55" t="s">
        <v>592</v>
      </c>
      <c r="C55" t="s">
        <v>630</v>
      </c>
      <c r="D55" t="s">
        <v>190</v>
      </c>
      <c r="E55" t="s">
        <v>191</v>
      </c>
    </row>
    <row r="56" spans="1:5" ht="13" x14ac:dyDescent="0.3">
      <c r="A56" s="37">
        <v>36271</v>
      </c>
      <c r="B56" t="s">
        <v>592</v>
      </c>
      <c r="C56" t="s">
        <v>614</v>
      </c>
      <c r="D56" t="s">
        <v>194</v>
      </c>
      <c r="E56" t="s">
        <v>188</v>
      </c>
    </row>
    <row r="57" spans="1:5" ht="13" x14ac:dyDescent="0.3">
      <c r="A57" s="37">
        <v>36271</v>
      </c>
      <c r="B57" t="s">
        <v>592</v>
      </c>
      <c r="C57" t="s">
        <v>614</v>
      </c>
      <c r="D57" t="s">
        <v>195</v>
      </c>
      <c r="E57" t="s">
        <v>196</v>
      </c>
    </row>
    <row r="58" spans="1:5" x14ac:dyDescent="0.25">
      <c r="A58" s="37">
        <v>36271</v>
      </c>
      <c r="B58" t="s">
        <v>592</v>
      </c>
      <c r="C58" t="s">
        <v>151</v>
      </c>
      <c r="D58" t="s">
        <v>198</v>
      </c>
      <c r="E58" t="s">
        <v>199</v>
      </c>
    </row>
    <row r="59" spans="1:5" x14ac:dyDescent="0.25">
      <c r="A59" s="37">
        <v>36271</v>
      </c>
      <c r="B59" t="s">
        <v>592</v>
      </c>
      <c r="C59" t="s">
        <v>630</v>
      </c>
      <c r="D59" t="s">
        <v>197</v>
      </c>
      <c r="E59" t="s">
        <v>200</v>
      </c>
    </row>
    <row r="60" spans="1:5" x14ac:dyDescent="0.25">
      <c r="A60" s="37">
        <v>35906</v>
      </c>
      <c r="B60" t="s">
        <v>592</v>
      </c>
      <c r="C60" t="s">
        <v>630</v>
      </c>
      <c r="D60" t="s">
        <v>201</v>
      </c>
      <c r="E60" t="s">
        <v>202</v>
      </c>
    </row>
    <row r="61" spans="1:5" x14ac:dyDescent="0.25">
      <c r="A61" s="37">
        <v>36305</v>
      </c>
      <c r="B61" t="s">
        <v>150</v>
      </c>
      <c r="C61" t="s">
        <v>614</v>
      </c>
      <c r="D61" t="s">
        <v>203</v>
      </c>
      <c r="E61" t="s">
        <v>204</v>
      </c>
    </row>
    <row r="62" spans="1:5" x14ac:dyDescent="0.25">
      <c r="A62" s="37">
        <v>36306</v>
      </c>
      <c r="B62" t="s">
        <v>150</v>
      </c>
      <c r="C62" t="s">
        <v>614</v>
      </c>
      <c r="D62" t="s">
        <v>206</v>
      </c>
      <c r="E62" t="s">
        <v>205</v>
      </c>
    </row>
    <row r="63" spans="1:5" x14ac:dyDescent="0.25">
      <c r="A63" s="37">
        <v>36306</v>
      </c>
      <c r="B63" t="s">
        <v>150</v>
      </c>
      <c r="C63" t="s">
        <v>208</v>
      </c>
      <c r="D63" t="s">
        <v>207</v>
      </c>
      <c r="E63" t="s">
        <v>209</v>
      </c>
    </row>
    <row r="64" spans="1:5" x14ac:dyDescent="0.25">
      <c r="A64" s="37">
        <v>36307</v>
      </c>
      <c r="B64" t="s">
        <v>150</v>
      </c>
      <c r="C64" t="s">
        <v>614</v>
      </c>
      <c r="D64" t="s">
        <v>210</v>
      </c>
      <c r="E64" t="s">
        <v>223</v>
      </c>
    </row>
    <row r="65" spans="1:5" x14ac:dyDescent="0.25">
      <c r="A65" s="37">
        <v>36308</v>
      </c>
      <c r="B65" t="s">
        <v>150</v>
      </c>
      <c r="C65" t="s">
        <v>630</v>
      </c>
      <c r="D65" t="s">
        <v>227</v>
      </c>
      <c r="E65" t="s">
        <v>228</v>
      </c>
    </row>
    <row r="66" spans="1:5" ht="13" x14ac:dyDescent="0.3">
      <c r="A66" s="37">
        <v>36411</v>
      </c>
      <c r="B66" t="s">
        <v>592</v>
      </c>
      <c r="C66" t="s">
        <v>630</v>
      </c>
      <c r="D66" t="s">
        <v>192</v>
      </c>
      <c r="E66" t="s">
        <v>231</v>
      </c>
    </row>
    <row r="67" spans="1:5" x14ac:dyDescent="0.25">
      <c r="A67" s="37">
        <v>36411</v>
      </c>
      <c r="B67" t="s">
        <v>592</v>
      </c>
      <c r="C67" t="s">
        <v>630</v>
      </c>
      <c r="D67" t="s">
        <v>232</v>
      </c>
      <c r="E67" t="s">
        <v>233</v>
      </c>
    </row>
    <row r="68" spans="1:5" x14ac:dyDescent="0.25">
      <c r="A68" s="37">
        <v>36411</v>
      </c>
      <c r="B68" t="s">
        <v>592</v>
      </c>
      <c r="C68" t="s">
        <v>593</v>
      </c>
      <c r="D68" t="s">
        <v>229</v>
      </c>
      <c r="E68" t="s">
        <v>230</v>
      </c>
    </row>
    <row r="69" spans="1:5" ht="13" x14ac:dyDescent="0.3">
      <c r="A69" s="37">
        <v>36411</v>
      </c>
      <c r="B69" t="s">
        <v>592</v>
      </c>
      <c r="C69" t="s">
        <v>614</v>
      </c>
      <c r="D69" t="s">
        <v>195</v>
      </c>
      <c r="E69" t="s">
        <v>231</v>
      </c>
    </row>
    <row r="70" spans="1:5" x14ac:dyDescent="0.25">
      <c r="A70" s="37">
        <v>36444</v>
      </c>
      <c r="B70" t="s">
        <v>592</v>
      </c>
      <c r="C70" t="s">
        <v>630</v>
      </c>
      <c r="D70" t="s">
        <v>234</v>
      </c>
      <c r="E70" t="s">
        <v>239</v>
      </c>
    </row>
    <row r="71" spans="1:5" x14ac:dyDescent="0.25">
      <c r="A71" s="37">
        <v>36445</v>
      </c>
      <c r="B71" t="s">
        <v>592</v>
      </c>
      <c r="C71" t="s">
        <v>630</v>
      </c>
      <c r="D71" t="s">
        <v>240</v>
      </c>
      <c r="E71" t="s">
        <v>241</v>
      </c>
    </row>
    <row r="72" spans="1:5" x14ac:dyDescent="0.25">
      <c r="A72" s="37">
        <v>36445</v>
      </c>
      <c r="B72" t="s">
        <v>592</v>
      </c>
      <c r="C72" t="s">
        <v>630</v>
      </c>
      <c r="D72" t="s">
        <v>245</v>
      </c>
      <c r="E72" t="s">
        <v>247</v>
      </c>
    </row>
    <row r="73" spans="1:5" x14ac:dyDescent="0.25">
      <c r="A73" s="37">
        <v>36445</v>
      </c>
      <c r="B73" t="s">
        <v>592</v>
      </c>
      <c r="C73" t="s">
        <v>242</v>
      </c>
      <c r="E73" t="s">
        <v>244</v>
      </c>
    </row>
    <row r="74" spans="1:5" x14ac:dyDescent="0.25">
      <c r="A74" s="37">
        <v>36481</v>
      </c>
      <c r="B74" t="s">
        <v>150</v>
      </c>
      <c r="C74" t="s">
        <v>630</v>
      </c>
      <c r="D74" t="s">
        <v>248</v>
      </c>
      <c r="E74" t="s">
        <v>249</v>
      </c>
    </row>
    <row r="75" spans="1:5" x14ac:dyDescent="0.25">
      <c r="A75" s="37">
        <v>36481</v>
      </c>
      <c r="B75" t="s">
        <v>150</v>
      </c>
      <c r="C75" t="s">
        <v>208</v>
      </c>
      <c r="D75" t="s">
        <v>250</v>
      </c>
      <c r="E75" t="s">
        <v>249</v>
      </c>
    </row>
    <row r="76" spans="1:5" x14ac:dyDescent="0.25">
      <c r="A76" s="37">
        <v>36481</v>
      </c>
      <c r="B76" t="s">
        <v>150</v>
      </c>
      <c r="C76" t="s">
        <v>614</v>
      </c>
      <c r="D76" t="s">
        <v>251</v>
      </c>
      <c r="E76" t="s">
        <v>249</v>
      </c>
    </row>
    <row r="77" spans="1:5" x14ac:dyDescent="0.25">
      <c r="A77" s="37">
        <v>36481</v>
      </c>
      <c r="B77" t="s">
        <v>150</v>
      </c>
      <c r="C77" t="s">
        <v>208</v>
      </c>
      <c r="D77" t="s">
        <v>252</v>
      </c>
      <c r="E77" t="s">
        <v>253</v>
      </c>
    </row>
    <row r="78" spans="1:5" x14ac:dyDescent="0.25">
      <c r="A78" s="37">
        <v>36482</v>
      </c>
      <c r="B78" t="s">
        <v>592</v>
      </c>
      <c r="C78" t="s">
        <v>208</v>
      </c>
      <c r="D78" t="s">
        <v>254</v>
      </c>
      <c r="E78" t="s">
        <v>255</v>
      </c>
    </row>
    <row r="79" spans="1:5" x14ac:dyDescent="0.25">
      <c r="A79" s="37">
        <v>36482</v>
      </c>
      <c r="B79" t="s">
        <v>592</v>
      </c>
      <c r="C79" t="s">
        <v>151</v>
      </c>
      <c r="D79" t="s">
        <v>256</v>
      </c>
      <c r="E79" t="s">
        <v>257</v>
      </c>
    </row>
    <row r="80" spans="1:5" x14ac:dyDescent="0.25">
      <c r="A80" s="37">
        <v>36482</v>
      </c>
      <c r="B80" t="s">
        <v>592</v>
      </c>
      <c r="C80" t="s">
        <v>151</v>
      </c>
      <c r="D80" t="s">
        <v>258</v>
      </c>
      <c r="E80" t="s">
        <v>61</v>
      </c>
    </row>
    <row r="81" spans="1:5" x14ac:dyDescent="0.25">
      <c r="A81" s="37">
        <v>36482</v>
      </c>
      <c r="B81" t="s">
        <v>592</v>
      </c>
      <c r="C81" t="s">
        <v>593</v>
      </c>
      <c r="D81" t="s">
        <v>259</v>
      </c>
      <c r="E81" t="s">
        <v>267</v>
      </c>
    </row>
    <row r="82" spans="1:5" x14ac:dyDescent="0.25">
      <c r="A82" s="37">
        <v>36482</v>
      </c>
      <c r="B82" t="s">
        <v>592</v>
      </c>
      <c r="C82" t="s">
        <v>151</v>
      </c>
      <c r="D82" t="s">
        <v>269</v>
      </c>
      <c r="E82" t="s">
        <v>268</v>
      </c>
    </row>
    <row r="83" spans="1:5" x14ac:dyDescent="0.25">
      <c r="A83" s="37">
        <v>36482</v>
      </c>
      <c r="B83" t="s">
        <v>592</v>
      </c>
      <c r="C83" t="s">
        <v>208</v>
      </c>
      <c r="D83" t="s">
        <v>271</v>
      </c>
      <c r="E83" t="s">
        <v>270</v>
      </c>
    </row>
    <row r="84" spans="1:5" x14ac:dyDescent="0.25">
      <c r="A84" s="37">
        <v>36488</v>
      </c>
      <c r="B84" t="s">
        <v>150</v>
      </c>
      <c r="C84" t="s">
        <v>593</v>
      </c>
      <c r="D84" t="s">
        <v>273</v>
      </c>
      <c r="E84" t="s">
        <v>274</v>
      </c>
    </row>
    <row r="85" spans="1:5" x14ac:dyDescent="0.25">
      <c r="A85" s="37">
        <v>36488</v>
      </c>
      <c r="B85" t="s">
        <v>150</v>
      </c>
      <c r="C85" t="s">
        <v>151</v>
      </c>
      <c r="D85" t="s">
        <v>275</v>
      </c>
      <c r="E85" t="s">
        <v>276</v>
      </c>
    </row>
    <row r="86" spans="1:5" x14ac:dyDescent="0.25">
      <c r="A86" s="37">
        <v>36488</v>
      </c>
      <c r="B86" t="s">
        <v>150</v>
      </c>
      <c r="C86" t="s">
        <v>151</v>
      </c>
      <c r="D86" t="s">
        <v>277</v>
      </c>
      <c r="E86" t="s">
        <v>278</v>
      </c>
    </row>
    <row r="87" spans="1:5" x14ac:dyDescent="0.25">
      <c r="A87" s="37">
        <v>36488</v>
      </c>
      <c r="B87" t="s">
        <v>150</v>
      </c>
      <c r="C87" t="s">
        <v>130</v>
      </c>
      <c r="E87" t="s">
        <v>60</v>
      </c>
    </row>
    <row r="88" spans="1:5" x14ac:dyDescent="0.25">
      <c r="A88" s="37">
        <v>36493</v>
      </c>
      <c r="B88" t="s">
        <v>150</v>
      </c>
      <c r="C88" t="s">
        <v>630</v>
      </c>
      <c r="D88" t="s">
        <v>279</v>
      </c>
      <c r="E88" t="s">
        <v>280</v>
      </c>
    </row>
    <row r="89" spans="1:5" x14ac:dyDescent="0.25">
      <c r="A89" s="37">
        <v>36493</v>
      </c>
      <c r="B89" t="s">
        <v>150</v>
      </c>
      <c r="C89" t="s">
        <v>614</v>
      </c>
      <c r="D89" t="s">
        <v>281</v>
      </c>
      <c r="E89" t="s">
        <v>282</v>
      </c>
    </row>
    <row r="90" spans="1:5" x14ac:dyDescent="0.25">
      <c r="A90" s="37">
        <v>36496</v>
      </c>
      <c r="B90" t="s">
        <v>150</v>
      </c>
      <c r="C90" t="s">
        <v>614</v>
      </c>
      <c r="D90" t="s">
        <v>283</v>
      </c>
      <c r="E90" t="s">
        <v>284</v>
      </c>
    </row>
    <row r="91" spans="1:5" x14ac:dyDescent="0.25">
      <c r="A91" s="37">
        <v>36496</v>
      </c>
      <c r="B91" t="s">
        <v>150</v>
      </c>
      <c r="C91" t="s">
        <v>208</v>
      </c>
      <c r="D91" t="s">
        <v>285</v>
      </c>
      <c r="E91" t="s">
        <v>278</v>
      </c>
    </row>
    <row r="92" spans="1:5" x14ac:dyDescent="0.25">
      <c r="A92" s="37">
        <v>36496</v>
      </c>
      <c r="B92" t="s">
        <v>150</v>
      </c>
      <c r="C92" t="s">
        <v>208</v>
      </c>
      <c r="D92" t="s">
        <v>286</v>
      </c>
      <c r="E92" t="s">
        <v>282</v>
      </c>
    </row>
    <row r="93" spans="1:5" x14ac:dyDescent="0.25">
      <c r="A93" s="37">
        <v>36496</v>
      </c>
      <c r="B93" t="s">
        <v>150</v>
      </c>
      <c r="C93" t="s">
        <v>138</v>
      </c>
      <c r="D93" t="s">
        <v>130</v>
      </c>
      <c r="E93" t="s">
        <v>287</v>
      </c>
    </row>
    <row r="94" spans="1:5" x14ac:dyDescent="0.25">
      <c r="A94" s="37">
        <v>37021</v>
      </c>
      <c r="B94" t="s">
        <v>592</v>
      </c>
      <c r="C94" t="s">
        <v>630</v>
      </c>
      <c r="D94" t="s">
        <v>288</v>
      </c>
      <c r="E94" t="s">
        <v>289</v>
      </c>
    </row>
    <row r="95" spans="1:5" x14ac:dyDescent="0.25">
      <c r="A95" s="37">
        <v>37149</v>
      </c>
      <c r="B95" t="s">
        <v>456</v>
      </c>
      <c r="C95" t="s">
        <v>460</v>
      </c>
      <c r="E95" t="s">
        <v>461</v>
      </c>
    </row>
    <row r="96" spans="1:5" x14ac:dyDescent="0.25">
      <c r="A96" s="37">
        <v>37165</v>
      </c>
      <c r="B96" t="s">
        <v>456</v>
      </c>
      <c r="C96" t="s">
        <v>630</v>
      </c>
      <c r="D96" t="s">
        <v>489</v>
      </c>
      <c r="E96" t="s">
        <v>457</v>
      </c>
    </row>
    <row r="97" spans="1:5" x14ac:dyDescent="0.25">
      <c r="A97" s="37">
        <v>37179</v>
      </c>
      <c r="B97" t="s">
        <v>456</v>
      </c>
      <c r="C97" t="s">
        <v>458</v>
      </c>
      <c r="E97" t="s">
        <v>459</v>
      </c>
    </row>
    <row r="98" spans="1:5" x14ac:dyDescent="0.25">
      <c r="A98" s="37">
        <v>37321</v>
      </c>
      <c r="B98" t="s">
        <v>396</v>
      </c>
      <c r="C98" t="s">
        <v>406</v>
      </c>
      <c r="E98" t="s">
        <v>397</v>
      </c>
    </row>
    <row r="99" spans="1:5" x14ac:dyDescent="0.25">
      <c r="A99" s="37">
        <v>37321</v>
      </c>
      <c r="B99" t="s">
        <v>396</v>
      </c>
      <c r="C99" t="s">
        <v>407</v>
      </c>
      <c r="E99" t="s">
        <v>398</v>
      </c>
    </row>
    <row r="100" spans="1:5" x14ac:dyDescent="0.25">
      <c r="A100" s="37">
        <v>37355</v>
      </c>
      <c r="B100" t="s">
        <v>396</v>
      </c>
      <c r="C100" t="s">
        <v>458</v>
      </c>
      <c r="E100" t="s">
        <v>424</v>
      </c>
    </row>
    <row r="101" spans="1:5" x14ac:dyDescent="0.25">
      <c r="A101" s="37">
        <v>38027</v>
      </c>
      <c r="B101" t="s">
        <v>447</v>
      </c>
      <c r="C101" t="s">
        <v>460</v>
      </c>
      <c r="D101" t="s">
        <v>448</v>
      </c>
      <c r="E101" t="s">
        <v>477</v>
      </c>
    </row>
    <row r="102" spans="1:5" x14ac:dyDescent="0.25">
      <c r="A102" s="37">
        <v>38032</v>
      </c>
      <c r="B102" t="s">
        <v>449</v>
      </c>
      <c r="C102" t="s">
        <v>630</v>
      </c>
      <c r="D102" t="s">
        <v>130</v>
      </c>
      <c r="E102" t="s">
        <v>450</v>
      </c>
    </row>
    <row r="103" spans="1:5" x14ac:dyDescent="0.25">
      <c r="A103" s="37">
        <v>38032</v>
      </c>
      <c r="B103" t="s">
        <v>449</v>
      </c>
      <c r="C103" t="s">
        <v>451</v>
      </c>
      <c r="E103" t="s">
        <v>452</v>
      </c>
    </row>
    <row r="104" spans="1:5" x14ac:dyDescent="0.25">
      <c r="A104" s="37">
        <v>38056</v>
      </c>
      <c r="B104" t="s">
        <v>449</v>
      </c>
      <c r="C104" t="s">
        <v>453</v>
      </c>
    </row>
    <row r="105" spans="1:5" x14ac:dyDescent="0.25">
      <c r="A105" s="37">
        <v>38146</v>
      </c>
      <c r="B105" t="s">
        <v>449</v>
      </c>
      <c r="C105" t="s">
        <v>630</v>
      </c>
      <c r="E105" t="s">
        <v>454</v>
      </c>
    </row>
    <row r="106" spans="1:5" x14ac:dyDescent="0.25">
      <c r="A106" s="37">
        <v>38329</v>
      </c>
      <c r="B106" t="s">
        <v>449</v>
      </c>
      <c r="C106" t="s">
        <v>408</v>
      </c>
      <c r="D106" t="s">
        <v>475</v>
      </c>
      <c r="E106" t="s">
        <v>473</v>
      </c>
    </row>
    <row r="107" spans="1:5" x14ac:dyDescent="0.25">
      <c r="A107" s="37">
        <v>38329</v>
      </c>
      <c r="B107" t="s">
        <v>449</v>
      </c>
      <c r="C107" t="s">
        <v>409</v>
      </c>
      <c r="D107" t="s">
        <v>474</v>
      </c>
      <c r="E107" t="s">
        <v>473</v>
      </c>
    </row>
    <row r="108" spans="1:5" x14ac:dyDescent="0.25">
      <c r="A108" s="37">
        <v>38475</v>
      </c>
      <c r="B108" t="s">
        <v>433</v>
      </c>
      <c r="C108" t="s">
        <v>460</v>
      </c>
      <c r="D108" t="s">
        <v>436</v>
      </c>
      <c r="E108" t="s">
        <v>437</v>
      </c>
    </row>
    <row r="109" spans="1:5" x14ac:dyDescent="0.25">
      <c r="A109" s="37">
        <v>38871</v>
      </c>
      <c r="B109" t="s">
        <v>433</v>
      </c>
      <c r="C109" t="s">
        <v>478</v>
      </c>
      <c r="D109" t="s">
        <v>479</v>
      </c>
      <c r="E109" t="s">
        <v>480</v>
      </c>
    </row>
    <row r="110" spans="1:5" s="8" customFormat="1" x14ac:dyDescent="0.25">
      <c r="A110" s="151">
        <v>39630</v>
      </c>
      <c r="B110" s="8" t="s">
        <v>260</v>
      </c>
      <c r="C110" s="8" t="s">
        <v>630</v>
      </c>
      <c r="D110" s="8" t="s">
        <v>261</v>
      </c>
    </row>
    <row r="111" spans="1:5" s="8" customFormat="1" x14ac:dyDescent="0.25">
      <c r="A111" s="151">
        <v>39630</v>
      </c>
      <c r="B111" s="8" t="s">
        <v>260</v>
      </c>
      <c r="C111" s="8" t="s">
        <v>262</v>
      </c>
      <c r="D111" s="8" t="s">
        <v>263</v>
      </c>
    </row>
    <row r="112" spans="1:5" s="8" customFormat="1" x14ac:dyDescent="0.25">
      <c r="A112" s="151">
        <v>39630</v>
      </c>
      <c r="B112" s="8" t="s">
        <v>260</v>
      </c>
      <c r="C112" s="8" t="s">
        <v>402</v>
      </c>
      <c r="D112" s="8" t="s">
        <v>264</v>
      </c>
    </row>
    <row r="113" spans="1:5" s="8" customFormat="1" x14ac:dyDescent="0.25">
      <c r="A113" s="151">
        <v>39630</v>
      </c>
      <c r="B113" s="8" t="s">
        <v>260</v>
      </c>
      <c r="C113" s="8" t="s">
        <v>265</v>
      </c>
      <c r="D113" s="8" t="s">
        <v>266</v>
      </c>
    </row>
    <row r="114" spans="1:5" s="8" customFormat="1" x14ac:dyDescent="0.25">
      <c r="A114" s="275">
        <v>39871</v>
      </c>
      <c r="B114" s="8" t="s">
        <v>260</v>
      </c>
      <c r="C114" s="8" t="s">
        <v>630</v>
      </c>
      <c r="E114" s="8" t="s">
        <v>600</v>
      </c>
    </row>
    <row r="115" spans="1:5" s="8" customFormat="1" x14ac:dyDescent="0.25">
      <c r="A115" s="275">
        <v>39871</v>
      </c>
      <c r="B115" s="8" t="s">
        <v>601</v>
      </c>
      <c r="C115" s="8" t="s">
        <v>404</v>
      </c>
      <c r="D115" s="8" t="s">
        <v>604</v>
      </c>
      <c r="E115" s="8" t="s">
        <v>572</v>
      </c>
    </row>
    <row r="116" spans="1:5" s="8" customFormat="1" x14ac:dyDescent="0.25">
      <c r="A116" s="275">
        <v>39871</v>
      </c>
      <c r="B116" s="8" t="s">
        <v>601</v>
      </c>
      <c r="C116" s="8" t="s">
        <v>602</v>
      </c>
      <c r="D116" s="8" t="s">
        <v>605</v>
      </c>
      <c r="E116" s="8" t="s">
        <v>572</v>
      </c>
    </row>
    <row r="117" spans="1:5" s="8" customFormat="1" x14ac:dyDescent="0.25">
      <c r="A117" s="275">
        <v>39871</v>
      </c>
      <c r="B117" s="8" t="s">
        <v>601</v>
      </c>
      <c r="C117" s="8" t="s">
        <v>603</v>
      </c>
      <c r="D117" s="8" t="s">
        <v>606</v>
      </c>
      <c r="E117" s="8" t="s">
        <v>572</v>
      </c>
    </row>
    <row r="118" spans="1:5" s="8" customFormat="1" x14ac:dyDescent="0.25">
      <c r="A118" s="151">
        <v>40065</v>
      </c>
      <c r="B118" s="8" t="s">
        <v>260</v>
      </c>
      <c r="C118" s="8" t="s">
        <v>630</v>
      </c>
      <c r="D118" s="8" t="s">
        <v>425</v>
      </c>
      <c r="E118" s="8" t="s">
        <v>426</v>
      </c>
    </row>
    <row r="119" spans="1:5" s="8" customFormat="1" x14ac:dyDescent="0.25">
      <c r="A119" s="151">
        <v>40065</v>
      </c>
      <c r="B119" s="8" t="s">
        <v>260</v>
      </c>
      <c r="C119" s="8" t="s">
        <v>262</v>
      </c>
      <c r="D119" s="8" t="s">
        <v>425</v>
      </c>
      <c r="E119" s="8" t="s">
        <v>426</v>
      </c>
    </row>
    <row r="120" spans="1:5" s="8" customFormat="1" x14ac:dyDescent="0.25">
      <c r="A120" s="151">
        <v>40065</v>
      </c>
      <c r="B120" s="8" t="s">
        <v>260</v>
      </c>
      <c r="C120" s="8" t="s">
        <v>602</v>
      </c>
      <c r="D120" s="8" t="s">
        <v>431</v>
      </c>
      <c r="E120" s="8" t="s">
        <v>432</v>
      </c>
    </row>
    <row r="121" spans="1:5" s="8" customFormat="1" x14ac:dyDescent="0.25">
      <c r="A121" s="151">
        <v>40065</v>
      </c>
      <c r="B121" s="8" t="s">
        <v>260</v>
      </c>
      <c r="C121" s="8" t="s">
        <v>404</v>
      </c>
      <c r="D121" s="8" t="s">
        <v>431</v>
      </c>
      <c r="E121" s="8" t="s">
        <v>432</v>
      </c>
    </row>
    <row r="122" spans="1:5" s="8" customFormat="1" x14ac:dyDescent="0.25">
      <c r="A122" s="151">
        <v>40065</v>
      </c>
      <c r="B122" s="8" t="s">
        <v>260</v>
      </c>
      <c r="C122" s="8" t="s">
        <v>593</v>
      </c>
      <c r="D122" s="8" t="s">
        <v>429</v>
      </c>
      <c r="E122" s="8" t="s">
        <v>430</v>
      </c>
    </row>
    <row r="123" spans="1:5" s="8" customFormat="1" x14ac:dyDescent="0.25">
      <c r="A123" s="151">
        <v>40065</v>
      </c>
      <c r="B123" s="8" t="s">
        <v>211</v>
      </c>
      <c r="C123" s="8" t="s">
        <v>593</v>
      </c>
      <c r="E123" s="8" t="s">
        <v>212</v>
      </c>
    </row>
    <row r="124" spans="1:5" x14ac:dyDescent="0.25">
      <c r="A124" s="151">
        <v>40065</v>
      </c>
      <c r="B124" s="8" t="s">
        <v>211</v>
      </c>
      <c r="C124" s="8" t="s">
        <v>402</v>
      </c>
      <c r="E124" s="8" t="s">
        <v>212</v>
      </c>
    </row>
    <row r="125" spans="1:5" x14ac:dyDescent="0.25">
      <c r="A125" s="151">
        <v>40065</v>
      </c>
      <c r="B125" s="8" t="s">
        <v>211</v>
      </c>
      <c r="C125" s="8" t="s">
        <v>403</v>
      </c>
      <c r="E125" s="8" t="s">
        <v>212</v>
      </c>
    </row>
    <row r="126" spans="1:5" x14ac:dyDescent="0.25">
      <c r="A126" s="151">
        <v>40065</v>
      </c>
      <c r="B126" s="8" t="s">
        <v>211</v>
      </c>
      <c r="C126" s="8" t="s">
        <v>213</v>
      </c>
      <c r="E126" s="8" t="s">
        <v>214</v>
      </c>
    </row>
    <row r="127" spans="1:5" x14ac:dyDescent="0.25">
      <c r="A127" s="151">
        <v>40065</v>
      </c>
      <c r="B127" s="8" t="s">
        <v>211</v>
      </c>
      <c r="C127" s="8" t="s">
        <v>215</v>
      </c>
      <c r="E127" s="8" t="s">
        <v>216</v>
      </c>
    </row>
    <row r="128" spans="1:5" x14ac:dyDescent="0.25">
      <c r="A128" s="151">
        <v>40065</v>
      </c>
      <c r="B128" s="8" t="s">
        <v>211</v>
      </c>
      <c r="C128" s="8" t="s">
        <v>217</v>
      </c>
      <c r="E128" s="8" t="s">
        <v>218</v>
      </c>
    </row>
    <row r="129" spans="1:5" x14ac:dyDescent="0.25">
      <c r="A129" s="151">
        <v>40065</v>
      </c>
      <c r="B129" s="8" t="s">
        <v>211</v>
      </c>
      <c r="C129" s="8" t="s">
        <v>402</v>
      </c>
      <c r="E129" s="8" t="s">
        <v>219</v>
      </c>
    </row>
    <row r="130" spans="1:5" x14ac:dyDescent="0.25">
      <c r="A130" s="151">
        <v>40065</v>
      </c>
      <c r="B130" s="8" t="s">
        <v>211</v>
      </c>
      <c r="C130" s="8" t="s">
        <v>403</v>
      </c>
      <c r="E130" s="8" t="s">
        <v>219</v>
      </c>
    </row>
    <row r="131" spans="1:5" x14ac:dyDescent="0.25">
      <c r="A131" t="s">
        <v>71</v>
      </c>
      <c r="B131" s="8" t="s">
        <v>72</v>
      </c>
      <c r="C131" s="8" t="s">
        <v>74</v>
      </c>
      <c r="E131" s="8" t="s">
        <v>73</v>
      </c>
    </row>
    <row r="132" spans="1:5" x14ac:dyDescent="0.25">
      <c r="A132" t="s">
        <v>71</v>
      </c>
      <c r="B132" s="8" t="s">
        <v>72</v>
      </c>
      <c r="C132" s="8" t="s">
        <v>74</v>
      </c>
      <c r="E132" s="8" t="s">
        <v>75</v>
      </c>
    </row>
    <row r="133" spans="1:5" x14ac:dyDescent="0.25">
      <c r="A133" t="s">
        <v>71</v>
      </c>
      <c r="B133" s="8" t="s">
        <v>72</v>
      </c>
      <c r="C133" s="8" t="s">
        <v>74</v>
      </c>
      <c r="E133" s="8" t="s">
        <v>76</v>
      </c>
    </row>
    <row r="134" spans="1:5" ht="15.5" x14ac:dyDescent="0.4">
      <c r="A134" t="s">
        <v>71</v>
      </c>
      <c r="B134" s="8" t="s">
        <v>72</v>
      </c>
      <c r="C134" s="384" t="s">
        <v>74</v>
      </c>
      <c r="E134" s="384" t="s">
        <v>77</v>
      </c>
    </row>
    <row r="135" spans="1:5" x14ac:dyDescent="0.25">
      <c r="A135" s="21" t="s">
        <v>71</v>
      </c>
      <c r="B135" s="385" t="s">
        <v>72</v>
      </c>
      <c r="C135" s="384" t="s">
        <v>593</v>
      </c>
      <c r="E135" s="384" t="s">
        <v>78</v>
      </c>
    </row>
    <row r="136" spans="1:5" x14ac:dyDescent="0.25">
      <c r="A136" s="21" t="s">
        <v>71</v>
      </c>
      <c r="B136" s="385" t="s">
        <v>72</v>
      </c>
      <c r="C136" s="384" t="s">
        <v>403</v>
      </c>
      <c r="E136" s="384" t="s">
        <v>79</v>
      </c>
    </row>
    <row r="137" spans="1:5" x14ac:dyDescent="0.25">
      <c r="A137" s="21" t="s">
        <v>95</v>
      </c>
      <c r="B137" s="385" t="s">
        <v>96</v>
      </c>
      <c r="C137" s="384" t="s">
        <v>97</v>
      </c>
      <c r="E137" s="384" t="s">
        <v>104</v>
      </c>
    </row>
    <row r="138" spans="1:5" x14ac:dyDescent="0.25">
      <c r="A138" s="21" t="s">
        <v>95</v>
      </c>
      <c r="B138" s="385" t="s">
        <v>96</v>
      </c>
      <c r="C138" s="384" t="s">
        <v>98</v>
      </c>
      <c r="E138" s="384" t="s">
        <v>105</v>
      </c>
    </row>
    <row r="139" spans="1:5" x14ac:dyDescent="0.25">
      <c r="A139" s="21" t="s">
        <v>95</v>
      </c>
      <c r="B139" s="385" t="s">
        <v>211</v>
      </c>
      <c r="C139" s="384" t="s">
        <v>213</v>
      </c>
      <c r="E139" s="384" t="s">
        <v>99</v>
      </c>
    </row>
    <row r="140" spans="1:5" x14ac:dyDescent="0.25">
      <c r="A140" s="21" t="s">
        <v>95</v>
      </c>
      <c r="B140" s="385" t="s">
        <v>211</v>
      </c>
      <c r="C140" s="384" t="s">
        <v>630</v>
      </c>
      <c r="E140" s="384" t="s">
        <v>100</v>
      </c>
    </row>
    <row r="141" spans="1:5" x14ac:dyDescent="0.25">
      <c r="A141" s="21" t="s">
        <v>95</v>
      </c>
      <c r="B141" s="385" t="s">
        <v>211</v>
      </c>
      <c r="C141" s="384" t="s">
        <v>262</v>
      </c>
      <c r="E141" s="384" t="s">
        <v>100</v>
      </c>
    </row>
    <row r="142" spans="1:5" x14ac:dyDescent="0.25">
      <c r="A142" s="21" t="s">
        <v>95</v>
      </c>
      <c r="B142" s="385" t="s">
        <v>211</v>
      </c>
      <c r="C142" t="s">
        <v>402</v>
      </c>
      <c r="E142" s="384" t="s">
        <v>101</v>
      </c>
    </row>
    <row r="143" spans="1:5" x14ac:dyDescent="0.25">
      <c r="A143" s="21" t="s">
        <v>95</v>
      </c>
      <c r="B143" s="385" t="s">
        <v>211</v>
      </c>
      <c r="C143" t="s">
        <v>404</v>
      </c>
      <c r="E143" s="384" t="s">
        <v>102</v>
      </c>
    </row>
    <row r="144" spans="1:5" x14ac:dyDescent="0.25">
      <c r="A144" s="21" t="s">
        <v>95</v>
      </c>
      <c r="B144" s="385" t="s">
        <v>211</v>
      </c>
      <c r="C144" t="s">
        <v>403</v>
      </c>
      <c r="E144" s="384" t="s">
        <v>101</v>
      </c>
    </row>
    <row r="145" spans="1:5" x14ac:dyDescent="0.25">
      <c r="A145" s="21" t="s">
        <v>95</v>
      </c>
      <c r="B145" s="385" t="s">
        <v>211</v>
      </c>
      <c r="C145" t="s">
        <v>405</v>
      </c>
      <c r="E145" s="384" t="s">
        <v>103</v>
      </c>
    </row>
    <row r="146" spans="1:5" x14ac:dyDescent="0.25">
      <c r="A146" s="21" t="s">
        <v>95</v>
      </c>
      <c r="B146" s="385" t="s">
        <v>211</v>
      </c>
      <c r="C146" t="s">
        <v>106</v>
      </c>
      <c r="E146" s="384" t="s">
        <v>107</v>
      </c>
    </row>
    <row r="147" spans="1:5" x14ac:dyDescent="0.25">
      <c r="A147" s="21" t="s">
        <v>95</v>
      </c>
      <c r="B147" s="385" t="s">
        <v>211</v>
      </c>
      <c r="C147" t="s">
        <v>108</v>
      </c>
      <c r="E147" s="384" t="s">
        <v>107</v>
      </c>
    </row>
    <row r="148" spans="1:5" x14ac:dyDescent="0.25">
      <c r="A148" s="21" t="s">
        <v>95</v>
      </c>
      <c r="B148" s="385" t="s">
        <v>211</v>
      </c>
      <c r="C148" s="21" t="s">
        <v>112</v>
      </c>
      <c r="E148" s="384" t="s">
        <v>101</v>
      </c>
    </row>
    <row r="149" spans="1:5" x14ac:dyDescent="0.25">
      <c r="A149" s="21" t="s">
        <v>95</v>
      </c>
      <c r="B149" s="385" t="s">
        <v>211</v>
      </c>
      <c r="C149" s="21" t="s">
        <v>111</v>
      </c>
      <c r="E149" s="384" t="s">
        <v>113</v>
      </c>
    </row>
    <row r="150" spans="1:5" x14ac:dyDescent="0.25">
      <c r="A150" s="21" t="s">
        <v>95</v>
      </c>
      <c r="B150" s="385" t="s">
        <v>211</v>
      </c>
      <c r="C150" s="21" t="s">
        <v>74</v>
      </c>
      <c r="E150" s="384" t="s">
        <v>639</v>
      </c>
    </row>
    <row r="151" spans="1:5" x14ac:dyDescent="0.25">
      <c r="A151" s="21" t="s">
        <v>642</v>
      </c>
      <c r="B151" s="385" t="s">
        <v>260</v>
      </c>
      <c r="C151" s="21" t="s">
        <v>593</v>
      </c>
      <c r="E151" s="384" t="s">
        <v>643</v>
      </c>
    </row>
    <row r="152" spans="1:5" x14ac:dyDescent="0.25">
      <c r="A152" s="21" t="s">
        <v>693</v>
      </c>
      <c r="B152" s="385" t="s">
        <v>211</v>
      </c>
      <c r="C152" s="21" t="s">
        <v>593</v>
      </c>
      <c r="E152" s="384" t="s">
        <v>694</v>
      </c>
    </row>
    <row r="153" spans="1:5" x14ac:dyDescent="0.25">
      <c r="A153" s="21" t="s">
        <v>693</v>
      </c>
      <c r="B153" s="385" t="s">
        <v>211</v>
      </c>
      <c r="C153" s="21" t="s">
        <v>630</v>
      </c>
      <c r="E153" s="384" t="s">
        <v>697</v>
      </c>
    </row>
    <row r="154" spans="1:5" x14ac:dyDescent="0.25">
      <c r="A154" s="21" t="s">
        <v>693</v>
      </c>
      <c r="B154" s="385" t="s">
        <v>211</v>
      </c>
      <c r="C154" s="21" t="s">
        <v>695</v>
      </c>
      <c r="E154" s="384" t="s">
        <v>696</v>
      </c>
    </row>
    <row r="155" spans="1:5" x14ac:dyDescent="0.25">
      <c r="A155" s="21" t="s">
        <v>693</v>
      </c>
      <c r="B155" s="385" t="s">
        <v>211</v>
      </c>
      <c r="C155" s="21" t="s">
        <v>262</v>
      </c>
      <c r="E155" s="384" t="s">
        <v>697</v>
      </c>
    </row>
    <row r="156" spans="1:5" x14ac:dyDescent="0.25">
      <c r="A156" s="21" t="s">
        <v>693</v>
      </c>
      <c r="B156" s="385" t="s">
        <v>211</v>
      </c>
      <c r="C156" t="s">
        <v>404</v>
      </c>
      <c r="E156" s="384" t="s">
        <v>698</v>
      </c>
    </row>
    <row r="157" spans="1:5" x14ac:dyDescent="0.25">
      <c r="A157" s="21" t="s">
        <v>693</v>
      </c>
      <c r="B157" s="385" t="s">
        <v>211</v>
      </c>
      <c r="C157" t="s">
        <v>405</v>
      </c>
      <c r="E157" s="384" t="s">
        <v>698</v>
      </c>
    </row>
    <row r="158" spans="1:5" x14ac:dyDescent="0.25">
      <c r="A158" s="21" t="s">
        <v>693</v>
      </c>
      <c r="B158" s="385" t="s">
        <v>211</v>
      </c>
      <c r="C158" t="s">
        <v>603</v>
      </c>
      <c r="E158" s="384" t="s">
        <v>698</v>
      </c>
    </row>
    <row r="159" spans="1:5" x14ac:dyDescent="0.25">
      <c r="A159" s="21" t="s">
        <v>693</v>
      </c>
      <c r="B159" s="385" t="s">
        <v>211</v>
      </c>
      <c r="C159" t="s">
        <v>402</v>
      </c>
      <c r="E159" s="384" t="s">
        <v>699</v>
      </c>
    </row>
    <row r="160" spans="1:5" x14ac:dyDescent="0.25">
      <c r="A160" s="21" t="s">
        <v>693</v>
      </c>
      <c r="B160" s="385" t="s">
        <v>211</v>
      </c>
      <c r="C160" t="s">
        <v>403</v>
      </c>
      <c r="E160" s="384" t="s">
        <v>699</v>
      </c>
    </row>
    <row r="161" spans="1:5" x14ac:dyDescent="0.25">
      <c r="A161" s="21" t="s">
        <v>693</v>
      </c>
      <c r="B161" s="385" t="s">
        <v>211</v>
      </c>
      <c r="C161" t="s">
        <v>265</v>
      </c>
      <c r="E161" s="384" t="s">
        <v>699</v>
      </c>
    </row>
    <row r="162" spans="1:5" x14ac:dyDescent="0.25">
      <c r="A162" s="21" t="s">
        <v>693</v>
      </c>
      <c r="B162" s="385" t="s">
        <v>211</v>
      </c>
      <c r="C162" t="s">
        <v>106</v>
      </c>
      <c r="E162" s="384" t="s">
        <v>700</v>
      </c>
    </row>
    <row r="163" spans="1:5" x14ac:dyDescent="0.25">
      <c r="A163" s="21" t="s">
        <v>693</v>
      </c>
      <c r="B163" s="385" t="s">
        <v>211</v>
      </c>
      <c r="C163" t="s">
        <v>108</v>
      </c>
      <c r="E163" s="384" t="s">
        <v>701</v>
      </c>
    </row>
    <row r="164" spans="1:5" x14ac:dyDescent="0.25">
      <c r="A164" s="21" t="s">
        <v>693</v>
      </c>
      <c r="B164" s="385" t="s">
        <v>211</v>
      </c>
      <c r="C164" t="s">
        <v>217</v>
      </c>
      <c r="E164" s="384" t="s">
        <v>702</v>
      </c>
    </row>
    <row r="165" spans="1:5" x14ac:dyDescent="0.25">
      <c r="A165" s="21" t="s">
        <v>693</v>
      </c>
      <c r="B165" s="385" t="s">
        <v>211</v>
      </c>
      <c r="C165" t="s">
        <v>401</v>
      </c>
      <c r="E165" s="384" t="s">
        <v>703</v>
      </c>
    </row>
    <row r="166" spans="1:5" x14ac:dyDescent="0.25">
      <c r="A166" s="21" t="s">
        <v>693</v>
      </c>
      <c r="B166" s="385" t="s">
        <v>211</v>
      </c>
      <c r="C166" t="s">
        <v>98</v>
      </c>
      <c r="E166" s="384" t="s">
        <v>704</v>
      </c>
    </row>
    <row r="167" spans="1:5" x14ac:dyDescent="0.25">
      <c r="A167" s="21" t="s">
        <v>693</v>
      </c>
      <c r="B167" s="385" t="s">
        <v>710</v>
      </c>
      <c r="C167" s="21" t="s">
        <v>213</v>
      </c>
      <c r="E167" s="384" t="s">
        <v>711</v>
      </c>
    </row>
    <row r="168" spans="1:5" x14ac:dyDescent="0.25">
      <c r="A168" s="21" t="s">
        <v>693</v>
      </c>
      <c r="B168" s="385" t="s">
        <v>710</v>
      </c>
      <c r="C168" s="21" t="s">
        <v>716</v>
      </c>
      <c r="E168" s="384" t="s">
        <v>717</v>
      </c>
    </row>
    <row r="169" spans="1:5" x14ac:dyDescent="0.25">
      <c r="A169" s="21" t="s">
        <v>693</v>
      </c>
      <c r="B169" s="385" t="s">
        <v>710</v>
      </c>
      <c r="C169" s="21" t="s">
        <v>718</v>
      </c>
      <c r="E169" s="384" t="s">
        <v>719</v>
      </c>
    </row>
    <row r="170" spans="1:5" x14ac:dyDescent="0.25">
      <c r="A170" s="21" t="s">
        <v>693</v>
      </c>
      <c r="B170" s="385" t="s">
        <v>710</v>
      </c>
      <c r="C170" s="21" t="s">
        <v>718</v>
      </c>
      <c r="E170" s="384" t="s">
        <v>719</v>
      </c>
    </row>
    <row r="171" spans="1:5" x14ac:dyDescent="0.25">
      <c r="A171" s="21" t="s">
        <v>693</v>
      </c>
      <c r="B171" s="384" t="s">
        <v>725</v>
      </c>
      <c r="C171" s="21" t="s">
        <v>593</v>
      </c>
      <c r="E171" s="384" t="s">
        <v>726</v>
      </c>
    </row>
    <row r="172" spans="1:5" x14ac:dyDescent="0.25">
      <c r="A172" s="21" t="s">
        <v>693</v>
      </c>
      <c r="B172" s="385" t="s">
        <v>710</v>
      </c>
      <c r="C172" s="21" t="s">
        <v>593</v>
      </c>
      <c r="E172" s="384" t="s">
        <v>727</v>
      </c>
    </row>
    <row r="173" spans="1:5" x14ac:dyDescent="0.25">
      <c r="A173" s="21" t="s">
        <v>693</v>
      </c>
      <c r="B173" s="385" t="s">
        <v>710</v>
      </c>
      <c r="C173" s="21" t="s">
        <v>593</v>
      </c>
      <c r="E173" s="384" t="s">
        <v>728</v>
      </c>
    </row>
    <row r="174" spans="1:5" x14ac:dyDescent="0.25">
      <c r="A174" s="21" t="s">
        <v>746</v>
      </c>
      <c r="B174" s="385" t="s">
        <v>725</v>
      </c>
      <c r="C174" s="21" t="s">
        <v>695</v>
      </c>
      <c r="D174" s="21"/>
      <c r="E174" s="384" t="s">
        <v>747</v>
      </c>
    </row>
    <row r="175" spans="1:5" x14ac:dyDescent="0.25">
      <c r="A175" s="21" t="s">
        <v>746</v>
      </c>
      <c r="B175" s="385" t="s">
        <v>725</v>
      </c>
      <c r="C175" t="s">
        <v>404</v>
      </c>
      <c r="E175" s="384" t="s">
        <v>749</v>
      </c>
    </row>
    <row r="176" spans="1:5" x14ac:dyDescent="0.25">
      <c r="A176" s="21" t="s">
        <v>746</v>
      </c>
      <c r="B176" s="385" t="s">
        <v>725</v>
      </c>
      <c r="C176" t="s">
        <v>405</v>
      </c>
      <c r="E176" s="384" t="s">
        <v>749</v>
      </c>
    </row>
    <row r="177" spans="1:5" x14ac:dyDescent="0.25">
      <c r="A177" s="21" t="s">
        <v>746</v>
      </c>
      <c r="B177" s="385" t="s">
        <v>725</v>
      </c>
      <c r="C177" t="s">
        <v>603</v>
      </c>
      <c r="E177" s="384" t="s">
        <v>749</v>
      </c>
    </row>
    <row r="178" spans="1:5" x14ac:dyDescent="0.25">
      <c r="A178" s="21" t="s">
        <v>746</v>
      </c>
      <c r="B178" s="385" t="s">
        <v>725</v>
      </c>
      <c r="C178" t="s">
        <v>402</v>
      </c>
      <c r="E178" s="384" t="s">
        <v>699</v>
      </c>
    </row>
    <row r="179" spans="1:5" x14ac:dyDescent="0.25">
      <c r="A179" s="21" t="s">
        <v>746</v>
      </c>
      <c r="B179" s="385" t="s">
        <v>725</v>
      </c>
      <c r="C179" t="s">
        <v>403</v>
      </c>
      <c r="E179" s="384" t="s">
        <v>699</v>
      </c>
    </row>
    <row r="180" spans="1:5" x14ac:dyDescent="0.25">
      <c r="A180" s="21" t="s">
        <v>746</v>
      </c>
      <c r="B180" s="385" t="s">
        <v>725</v>
      </c>
      <c r="C180" t="s">
        <v>265</v>
      </c>
      <c r="E180" s="384" t="s">
        <v>699</v>
      </c>
    </row>
    <row r="181" spans="1:5" x14ac:dyDescent="0.25">
      <c r="A181" s="21" t="s">
        <v>746</v>
      </c>
      <c r="B181" s="385" t="s">
        <v>725</v>
      </c>
      <c r="C181" t="s">
        <v>401</v>
      </c>
      <c r="E181" s="384" t="s">
        <v>753</v>
      </c>
    </row>
    <row r="182" spans="1:5" x14ac:dyDescent="0.25">
      <c r="A182" s="21" t="s">
        <v>746</v>
      </c>
      <c r="B182" s="385" t="s">
        <v>725</v>
      </c>
      <c r="C182" s="21" t="s">
        <v>754</v>
      </c>
      <c r="E182" s="384" t="s">
        <v>753</v>
      </c>
    </row>
    <row r="183" spans="1:5" x14ac:dyDescent="0.25">
      <c r="A183" s="21" t="s">
        <v>746</v>
      </c>
      <c r="B183" s="385" t="s">
        <v>725</v>
      </c>
      <c r="C183" t="s">
        <v>108</v>
      </c>
      <c r="E183" s="384" t="s">
        <v>699</v>
      </c>
    </row>
    <row r="184" spans="1:5" x14ac:dyDescent="0.25">
      <c r="A184" s="21" t="s">
        <v>746</v>
      </c>
      <c r="B184" s="385" t="s">
        <v>725</v>
      </c>
      <c r="C184" t="s">
        <v>106</v>
      </c>
      <c r="E184" s="384" t="s">
        <v>748</v>
      </c>
    </row>
    <row r="185" spans="1:5" x14ac:dyDescent="0.25">
      <c r="A185" s="21" t="s">
        <v>746</v>
      </c>
      <c r="B185" s="385" t="s">
        <v>725</v>
      </c>
      <c r="C185" t="s">
        <v>630</v>
      </c>
      <c r="E185" s="384" t="s">
        <v>750</v>
      </c>
    </row>
    <row r="186" spans="1:5" x14ac:dyDescent="0.25">
      <c r="A186" s="21" t="s">
        <v>746</v>
      </c>
      <c r="B186" s="385" t="s">
        <v>725</v>
      </c>
      <c r="C186" t="s">
        <v>262</v>
      </c>
      <c r="E186" s="384" t="s">
        <v>751</v>
      </c>
    </row>
    <row r="187" spans="1:5" x14ac:dyDescent="0.25">
      <c r="A187" s="21" t="s">
        <v>746</v>
      </c>
      <c r="B187" s="385" t="s">
        <v>725</v>
      </c>
      <c r="C187" t="s">
        <v>213</v>
      </c>
      <c r="E187" s="384" t="s">
        <v>752</v>
      </c>
    </row>
    <row r="188" spans="1:5" x14ac:dyDescent="0.25">
      <c r="A188" s="21" t="s">
        <v>746</v>
      </c>
      <c r="B188" s="385" t="s">
        <v>725</v>
      </c>
      <c r="C188" t="s">
        <v>593</v>
      </c>
      <c r="E188" s="384" t="s">
        <v>749</v>
      </c>
    </row>
    <row r="189" spans="1:5" x14ac:dyDescent="0.25">
      <c r="A189" s="21" t="s">
        <v>815</v>
      </c>
      <c r="B189" s="385" t="s">
        <v>824</v>
      </c>
      <c r="C189" t="s">
        <v>827</v>
      </c>
      <c r="E189" s="384" t="s">
        <v>835</v>
      </c>
    </row>
    <row r="190" spans="1:5" x14ac:dyDescent="0.25">
      <c r="A190" s="21" t="s">
        <v>815</v>
      </c>
      <c r="B190" s="385" t="s">
        <v>824</v>
      </c>
      <c r="C190" t="s">
        <v>825</v>
      </c>
      <c r="E190" s="384" t="s">
        <v>826</v>
      </c>
    </row>
    <row r="191" spans="1:5" x14ac:dyDescent="0.25">
      <c r="A191" s="21" t="s">
        <v>815</v>
      </c>
      <c r="B191" s="385" t="s">
        <v>824</v>
      </c>
      <c r="C191" t="s">
        <v>630</v>
      </c>
      <c r="E191" s="384" t="s">
        <v>828</v>
      </c>
    </row>
    <row r="192" spans="1:5" x14ac:dyDescent="0.25">
      <c r="A192" s="21" t="s">
        <v>815</v>
      </c>
      <c r="B192" s="385" t="s">
        <v>824</v>
      </c>
      <c r="C192" t="s">
        <v>217</v>
      </c>
      <c r="E192" s="384" t="s">
        <v>829</v>
      </c>
    </row>
    <row r="193" spans="1:5" x14ac:dyDescent="0.25">
      <c r="A193" s="21" t="s">
        <v>832</v>
      </c>
      <c r="B193" s="385" t="s">
        <v>833</v>
      </c>
      <c r="C193" s="21" t="s">
        <v>593</v>
      </c>
      <c r="E193" s="384" t="s">
        <v>834</v>
      </c>
    </row>
    <row r="194" spans="1:5" x14ac:dyDescent="0.25">
      <c r="A194" s="21" t="s">
        <v>815</v>
      </c>
      <c r="B194" s="385" t="s">
        <v>833</v>
      </c>
      <c r="C194" t="s">
        <v>404</v>
      </c>
      <c r="E194" s="384" t="s">
        <v>836</v>
      </c>
    </row>
    <row r="195" spans="1:5" x14ac:dyDescent="0.25">
      <c r="A195" s="21" t="s">
        <v>815</v>
      </c>
      <c r="B195" s="385" t="s">
        <v>833</v>
      </c>
      <c r="C195" t="s">
        <v>405</v>
      </c>
      <c r="E195" s="384" t="s">
        <v>836</v>
      </c>
    </row>
    <row r="196" spans="1:5" x14ac:dyDescent="0.25">
      <c r="A196" s="21" t="s">
        <v>815</v>
      </c>
      <c r="B196" s="385" t="s">
        <v>833</v>
      </c>
      <c r="C196" t="s">
        <v>603</v>
      </c>
      <c r="E196" s="384" t="s">
        <v>836</v>
      </c>
    </row>
    <row r="197" spans="1:5" x14ac:dyDescent="0.25">
      <c r="A197" s="21" t="s">
        <v>815</v>
      </c>
      <c r="B197" s="385" t="s">
        <v>833</v>
      </c>
      <c r="C197" t="s">
        <v>402</v>
      </c>
      <c r="E197" s="384" t="s">
        <v>836</v>
      </c>
    </row>
    <row r="198" spans="1:5" x14ac:dyDescent="0.25">
      <c r="A198" s="21" t="s">
        <v>815</v>
      </c>
      <c r="B198" s="385" t="s">
        <v>833</v>
      </c>
      <c r="C198" t="s">
        <v>403</v>
      </c>
      <c r="E198" s="384" t="s">
        <v>836</v>
      </c>
    </row>
    <row r="199" spans="1:5" x14ac:dyDescent="0.25">
      <c r="A199" s="21" t="s">
        <v>815</v>
      </c>
      <c r="B199" s="385" t="s">
        <v>833</v>
      </c>
      <c r="C199" t="s">
        <v>265</v>
      </c>
      <c r="E199" s="384" t="s">
        <v>836</v>
      </c>
    </row>
    <row r="200" spans="1:5" x14ac:dyDescent="0.25">
      <c r="A200" s="21" t="s">
        <v>815</v>
      </c>
      <c r="B200" s="385" t="s">
        <v>833</v>
      </c>
      <c r="C200" t="s">
        <v>106</v>
      </c>
      <c r="E200" s="384" t="s">
        <v>837</v>
      </c>
    </row>
    <row r="201" spans="1:5" x14ac:dyDescent="0.25">
      <c r="A201" s="21" t="s">
        <v>815</v>
      </c>
      <c r="B201" s="385" t="s">
        <v>833</v>
      </c>
      <c r="C201" s="21" t="s">
        <v>213</v>
      </c>
      <c r="E201" s="384" t="s">
        <v>838</v>
      </c>
    </row>
  </sheetData>
  <sheetProtection password="CDE6" sheet="1" selectLockedCells="1" selectUnlockedCells="1"/>
  <phoneticPr fontId="14" type="noConversion"/>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L76"/>
  <sheetViews>
    <sheetView showRowColHeaders="0" zoomScale="70" zoomScaleNormal="70" workbookViewId="0">
      <pane xSplit="1" topLeftCell="B1" activePane="topRight" state="frozen"/>
      <selection activeCell="G78" sqref="G78"/>
      <selection pane="topRight" activeCell="M34" sqref="M34"/>
    </sheetView>
  </sheetViews>
  <sheetFormatPr defaultRowHeight="12.5" x14ac:dyDescent="0.25"/>
  <cols>
    <col min="1" max="1" width="23.453125" customWidth="1"/>
    <col min="2" max="2" width="15.1796875" customWidth="1"/>
    <col min="3" max="3" width="16.81640625" customWidth="1"/>
    <col min="4" max="4" width="15" customWidth="1"/>
    <col min="5" max="5" width="17" customWidth="1"/>
    <col min="6" max="6" width="17.81640625" customWidth="1"/>
    <col min="7" max="7" width="15.7265625" customWidth="1"/>
    <col min="8" max="8" width="16.81640625" customWidth="1"/>
    <col min="9" max="9" width="16.7265625" customWidth="1"/>
    <col min="10" max="10" width="6" customWidth="1"/>
    <col min="11" max="11" width="16.1796875" style="8" customWidth="1"/>
    <col min="12" max="12" width="13.453125" customWidth="1"/>
    <col min="13" max="13" width="14.54296875" customWidth="1"/>
    <col min="14" max="14" width="13.7265625" customWidth="1"/>
    <col min="15" max="15" width="15.453125" customWidth="1"/>
    <col min="16" max="16" width="14.26953125" customWidth="1"/>
    <col min="17" max="17" width="13.7265625" customWidth="1"/>
    <col min="18" max="18" width="14.453125" customWidth="1"/>
    <col min="19" max="19" width="12.1796875" customWidth="1"/>
    <col min="20" max="20" width="11.453125" customWidth="1"/>
    <col min="21" max="21" width="13.1796875" customWidth="1"/>
    <col min="22" max="26" width="10.26953125" bestFit="1" customWidth="1"/>
    <col min="28" max="32" width="11.453125" bestFit="1" customWidth="1"/>
    <col min="33" max="33" width="12.81640625" bestFit="1" customWidth="1"/>
    <col min="34" max="35" width="11.453125" bestFit="1" customWidth="1"/>
  </cols>
  <sheetData>
    <row r="1" spans="1:38" s="8" customFormat="1" ht="39" x14ac:dyDescent="0.3">
      <c r="A1" s="759" t="s">
        <v>496</v>
      </c>
      <c r="B1" s="760" t="s">
        <v>567</v>
      </c>
      <c r="C1" s="760" t="s">
        <v>596</v>
      </c>
      <c r="D1" s="788" t="s">
        <v>418</v>
      </c>
      <c r="E1" s="760" t="s">
        <v>416</v>
      </c>
      <c r="F1" s="760" t="s">
        <v>597</v>
      </c>
      <c r="G1" s="789" t="s">
        <v>599</v>
      </c>
      <c r="H1" s="760" t="s">
        <v>564</v>
      </c>
      <c r="I1" s="790" t="s">
        <v>571</v>
      </c>
      <c r="J1" s="110"/>
      <c r="K1" s="374" t="s">
        <v>598</v>
      </c>
      <c r="L1" s="374" t="s">
        <v>235</v>
      </c>
      <c r="M1" s="374" t="s">
        <v>236</v>
      </c>
      <c r="N1" s="374" t="s">
        <v>237</v>
      </c>
      <c r="O1" s="374" t="s">
        <v>238</v>
      </c>
      <c r="P1" s="107"/>
      <c r="Q1" s="107"/>
    </row>
    <row r="2" spans="1:38" s="8" customFormat="1" x14ac:dyDescent="0.25">
      <c r="A2" s="765" t="s">
        <v>515</v>
      </c>
      <c r="B2" s="766">
        <f>VLOOKUP(A2,[1]!EmissionFactors,12,FALSE)</f>
        <v>-11.08553302325919</v>
      </c>
      <c r="C2" s="766">
        <f>VLOOKUP(A2,[1]!EmissionFactors,20,FALSE)</f>
        <v>-5.3515324005488338</v>
      </c>
      <c r="D2" s="791">
        <f>VLOOKUP($A2,'Landfilling EFs'!$B$16:$GW$69,51,FALSE)</f>
        <v>2.0254519141196047E-2</v>
      </c>
      <c r="E2" s="792">
        <f>VLOOKUP($A2,'Landfilling EFs'!$B$16:$GW$69,48,FALSE)</f>
        <v>2.0254519141196047E-2</v>
      </c>
      <c r="F2" s="793">
        <f>VLOOKUP($A2,'Landfilling EFs'!$B$16:$GW$69,49,FALSE)</f>
        <v>2.0254519141196047E-2</v>
      </c>
      <c r="G2" s="794">
        <f>+D2</f>
        <v>2.0254519141196047E-2</v>
      </c>
      <c r="H2" s="791">
        <f>VLOOKUP(A2,'[1]Emission Factors'!$B$6:$BF$61,33,FALSE)</f>
        <v>0</v>
      </c>
      <c r="I2" s="770" t="str">
        <f>VLOOKUP(A2,'[1]Emission Factors'!$B$6:$BF$61,4,FALSE)</f>
        <v>NA</v>
      </c>
      <c r="J2" s="12"/>
      <c r="K2" s="786">
        <f>'Summary Data'!B66/44*12</f>
        <v>4.4783006926019221E-5</v>
      </c>
      <c r="L2" s="376">
        <f>('Analysis Inputs'!$G$177-'Analysis Inputs'!$F$177)*'EFs for web'!$K$2</f>
        <v>-8.9566013852038445E-4</v>
      </c>
      <c r="M2" s="377">
        <f>('Analysis Inputs'!$G$175-'Analysis Inputs'!$F$175)*$K$2</f>
        <v>-8.9566013852038445E-4</v>
      </c>
      <c r="N2" s="377">
        <f>('Analysis Inputs'!$G$176-'Analysis Inputs'!$F$176)*'EFs for web'!$K$2</f>
        <v>-8.9566013852038445E-4</v>
      </c>
      <c r="O2" s="377">
        <f>('Analysis Inputs'!$G$178-'Analysis Inputs'!$F$178)*$K$2</f>
        <v>-8.9566013852038445E-4</v>
      </c>
      <c r="Q2" s="445"/>
      <c r="R2" s="445"/>
      <c r="S2" s="445"/>
      <c r="T2" s="639"/>
      <c r="U2" s="639"/>
      <c r="V2" s="639"/>
      <c r="W2" s="639"/>
      <c r="X2" s="639"/>
      <c r="Y2" s="639"/>
      <c r="Z2" s="639"/>
      <c r="AA2" s="640"/>
      <c r="AB2" s="637"/>
      <c r="AC2" s="637"/>
      <c r="AD2" s="637"/>
      <c r="AE2" s="637"/>
      <c r="AF2" s="637"/>
      <c r="AG2" s="637"/>
      <c r="AH2" s="637"/>
      <c r="AI2" s="637"/>
      <c r="AJ2" s="445"/>
      <c r="AK2" s="445"/>
      <c r="AL2" s="445"/>
    </row>
    <row r="3" spans="1:38" s="8" customFormat="1" ht="20" x14ac:dyDescent="0.4">
      <c r="A3" s="765" t="s">
        <v>516</v>
      </c>
      <c r="B3" s="771">
        <f>VLOOKUP(A3,[1]!EmissionFactors,12,FALSE)</f>
        <v>-3.6665929423863797</v>
      </c>
      <c r="C3" s="771">
        <f>VLOOKUP(A3,[1]!EmissionFactors,20,FALSE)</f>
        <v>-1.7706404251390202</v>
      </c>
      <c r="D3" s="777">
        <f>VLOOKUP($A3,'Landfilling EFs'!$B$16:$GW$69,51,FALSE)</f>
        <v>2.0254519141196047E-2</v>
      </c>
      <c r="E3" s="792">
        <f>VLOOKUP($A3,'Landfilling EFs'!$B$16:$GW$69,48,FALSE)</f>
        <v>2.0254519141196047E-2</v>
      </c>
      <c r="F3" s="793">
        <f>VLOOKUP($A3,'Landfilling EFs'!$B$16:$GW$69,49,FALSE)</f>
        <v>2.0254519141196047E-2</v>
      </c>
      <c r="G3" s="795">
        <f t="shared" ref="G3:G8" si="0">+D3</f>
        <v>2.0254519141196047E-2</v>
      </c>
      <c r="H3" s="777">
        <f>VLOOKUP(A3,'[1]Emission Factors'!$B$6:$BF$61,33,FALSE)</f>
        <v>0</v>
      </c>
      <c r="I3" s="775" t="str">
        <f>VLOOKUP(A3,'[1]Emission Factors'!$B$6:$BF$61,4,FALSE)</f>
        <v>NA</v>
      </c>
      <c r="J3" s="12"/>
      <c r="L3" s="379" t="s">
        <v>63</v>
      </c>
      <c r="M3" s="378"/>
      <c r="N3" s="378"/>
      <c r="O3" s="367"/>
      <c r="Q3" s="445"/>
      <c r="R3" s="445"/>
      <c r="S3" s="445"/>
      <c r="T3" s="639"/>
      <c r="U3" s="639"/>
      <c r="V3" s="639"/>
      <c r="W3" s="639"/>
      <c r="X3" s="639"/>
      <c r="Y3" s="639"/>
      <c r="Z3" s="639"/>
      <c r="AA3" s="640"/>
      <c r="AB3" s="637"/>
      <c r="AC3" s="637"/>
      <c r="AD3" s="637"/>
      <c r="AE3" s="637"/>
      <c r="AF3" s="637"/>
      <c r="AG3" s="637"/>
      <c r="AH3" s="637"/>
      <c r="AI3" s="637"/>
      <c r="AJ3" s="445"/>
      <c r="AK3" s="445"/>
      <c r="AL3" s="445"/>
    </row>
    <row r="4" spans="1:38" s="8" customFormat="1" x14ac:dyDescent="0.25">
      <c r="A4" s="765" t="s">
        <v>438</v>
      </c>
      <c r="B4" s="771">
        <f>VLOOKUP(A4,[1]!EmissionFactors,12,FALSE)</f>
        <v>-7.0760377212807279</v>
      </c>
      <c r="C4" s="771">
        <f>VLOOKUP(A4,[1]!EmissionFactors,20,FALSE)</f>
        <v>-4.6516605332450158</v>
      </c>
      <c r="D4" s="777">
        <f>VLOOKUP($A4,'Landfilling EFs'!$B$16:$GW$69,51,FALSE)</f>
        <v>2.0254519141196047E-2</v>
      </c>
      <c r="E4" s="792">
        <f>VLOOKUP($A4,'Landfilling EFs'!$B$16:$GW$69,48,FALSE)</f>
        <v>2.0254519141196047E-2</v>
      </c>
      <c r="F4" s="793">
        <f>VLOOKUP($A4,'Landfilling EFs'!$B$16:$GW$69,49,FALSE)</f>
        <v>2.0254519141196047E-2</v>
      </c>
      <c r="G4" s="795">
        <f t="shared" si="0"/>
        <v>2.0254519141196047E-2</v>
      </c>
      <c r="H4" s="777">
        <f>VLOOKUP(A4,'[1]Emission Factors'!$B$6:$BF$61,33,FALSE)</f>
        <v>0</v>
      </c>
      <c r="I4" s="775" t="str">
        <f>VLOOKUP(A4,'[1]Emission Factors'!$B$6:$BF$61,4,FALSE)</f>
        <v>NA</v>
      </c>
      <c r="J4" s="12"/>
      <c r="K4" s="112"/>
      <c r="L4" s="112"/>
      <c r="M4" s="112"/>
      <c r="N4" s="112"/>
      <c r="O4" s="112"/>
      <c r="Q4" s="445"/>
      <c r="R4" s="445"/>
      <c r="S4" s="445"/>
      <c r="T4" s="639"/>
      <c r="U4" s="639"/>
      <c r="V4" s="639"/>
      <c r="W4" s="639"/>
      <c r="X4" s="639"/>
      <c r="Y4" s="639"/>
      <c r="Z4" s="639"/>
      <c r="AA4" s="640"/>
      <c r="AB4" s="637"/>
      <c r="AC4" s="637"/>
      <c r="AD4" s="637"/>
      <c r="AE4" s="637"/>
      <c r="AF4" s="637"/>
      <c r="AG4" s="637"/>
      <c r="AH4" s="637"/>
      <c r="AI4" s="637"/>
      <c r="AJ4" s="445"/>
      <c r="AK4" s="445"/>
      <c r="AL4" s="445"/>
    </row>
    <row r="5" spans="1:38" s="8" customFormat="1" x14ac:dyDescent="0.25">
      <c r="A5" s="765" t="s">
        <v>517</v>
      </c>
      <c r="B5" s="771">
        <f>VLOOKUP(A5,[1]!EmissionFactors,12,FALSE)</f>
        <v>-0.5983195221800004</v>
      </c>
      <c r="C5" s="771">
        <f>VLOOKUP(A5,[1]!EmissionFactors,20,FALSE)</f>
        <v>-0.11933019164310714</v>
      </c>
      <c r="D5" s="777">
        <f>VLOOKUP($A5,'Landfilling EFs'!$B$16:$GW$69,51,FALSE)</f>
        <v>2.0254519141196047E-2</v>
      </c>
      <c r="E5" s="792">
        <f>VLOOKUP($A5,'Landfilling EFs'!$B$16:$GW$69,48,FALSE)</f>
        <v>2.0254519141196047E-2</v>
      </c>
      <c r="F5" s="793">
        <f>VLOOKUP($A5,'Landfilling EFs'!$B$16:$GW$69,49,FALSE)</f>
        <v>2.0254519141196047E-2</v>
      </c>
      <c r="G5" s="795">
        <f t="shared" si="0"/>
        <v>2.0254519141196047E-2</v>
      </c>
      <c r="H5" s="777">
        <f>VLOOKUP(A5,'[1]Emission Factors'!$B$6:$BF$61,33,FALSE)</f>
        <v>0</v>
      </c>
      <c r="I5" s="775" t="str">
        <f>VLOOKUP(A5,'[1]Emission Factors'!$B$6:$BF$61,4,FALSE)</f>
        <v>NA</v>
      </c>
      <c r="J5" s="12"/>
      <c r="K5" s="112"/>
      <c r="L5" s="112"/>
      <c r="M5" s="112"/>
      <c r="N5" s="112"/>
      <c r="O5" s="112"/>
      <c r="Q5" s="445"/>
      <c r="R5" s="445"/>
      <c r="S5" s="445"/>
      <c r="T5" s="639"/>
      <c r="U5" s="639"/>
      <c r="V5" s="639"/>
      <c r="W5" s="639"/>
      <c r="X5" s="639"/>
      <c r="Y5" s="639"/>
      <c r="Z5" s="639"/>
      <c r="AA5" s="640"/>
      <c r="AB5" s="637"/>
      <c r="AC5" s="637"/>
      <c r="AD5" s="637"/>
      <c r="AE5" s="637"/>
      <c r="AF5" s="637"/>
      <c r="AG5" s="637"/>
      <c r="AH5" s="637"/>
      <c r="AI5" s="637"/>
      <c r="AJ5" s="445"/>
      <c r="AK5" s="445"/>
      <c r="AL5" s="445"/>
    </row>
    <row r="6" spans="1:38" s="8" customFormat="1" x14ac:dyDescent="0.25">
      <c r="A6" s="765" t="s">
        <v>518</v>
      </c>
      <c r="B6" s="771">
        <f>VLOOKUP(A6,[1]!EmissionFactors,12,FALSE)</f>
        <v>-1.5707799286813973</v>
      </c>
      <c r="C6" s="771">
        <f>VLOOKUP(A6,[1]!EmissionFactors,20,FALSE)</f>
        <v>-0.71575041402062889</v>
      </c>
      <c r="D6" s="777">
        <f>VLOOKUP($A6,'Landfilling EFs'!$B$16:$GW$69,51,FALSE)</f>
        <v>2.0254519141196047E-2</v>
      </c>
      <c r="E6" s="792">
        <f>VLOOKUP($A6,'Landfilling EFs'!$B$16:$GW$69,48,FALSE)</f>
        <v>2.0254519141196047E-2</v>
      </c>
      <c r="F6" s="793">
        <f>VLOOKUP($A6,'Landfilling EFs'!$B$16:$GW$69,49,FALSE)</f>
        <v>2.0254519141196047E-2</v>
      </c>
      <c r="G6" s="795">
        <f t="shared" si="0"/>
        <v>2.0254519141196047E-2</v>
      </c>
      <c r="H6" s="777">
        <f>VLOOKUP(A6,'[1]Emission Factors'!$B$6:$BF$61,33,FALSE)</f>
        <v>2.7941576703256823</v>
      </c>
      <c r="I6" s="775" t="str">
        <f>VLOOKUP(A6,'[1]Emission Factors'!$B$6:$BF$61,4,FALSE)</f>
        <v>NA</v>
      </c>
      <c r="J6" s="12"/>
      <c r="K6" s="112"/>
      <c r="L6" s="112"/>
      <c r="M6" s="112"/>
      <c r="N6" s="112"/>
      <c r="Q6" s="445"/>
      <c r="R6" s="445"/>
      <c r="S6" s="445"/>
      <c r="T6" s="639"/>
      <c r="U6" s="639"/>
      <c r="V6" s="639"/>
      <c r="W6" s="639"/>
      <c r="X6" s="639"/>
      <c r="Y6" s="639"/>
      <c r="Z6" s="639"/>
      <c r="AA6" s="640"/>
      <c r="AB6" s="637"/>
      <c r="AC6" s="637"/>
      <c r="AD6" s="637"/>
      <c r="AE6" s="637"/>
      <c r="AF6" s="637"/>
      <c r="AG6" s="637"/>
      <c r="AH6" s="637"/>
      <c r="AI6" s="637"/>
      <c r="AJ6" s="445"/>
      <c r="AK6" s="445"/>
      <c r="AL6" s="445"/>
    </row>
    <row r="7" spans="1:38" s="8" customFormat="1" x14ac:dyDescent="0.25">
      <c r="A7" s="765" t="s">
        <v>519</v>
      </c>
      <c r="B7" s="771">
        <f>VLOOKUP(A7,[1]!EmissionFactors,12,FALSE)</f>
        <v>-1.7987541239290445</v>
      </c>
      <c r="C7" s="771" t="str">
        <f>VLOOKUP(A7,[1]!EmissionFactors,20,FALSE)</f>
        <v>NA</v>
      </c>
      <c r="D7" s="777">
        <f>VLOOKUP($A7,'Landfilling EFs'!$B$16:$GW$69,51,FALSE)</f>
        <v>2.0254519141196047E-2</v>
      </c>
      <c r="E7" s="792">
        <f>VLOOKUP($A7,'Landfilling EFs'!$B$16:$GW$69,48,FALSE)</f>
        <v>2.0254519141196047E-2</v>
      </c>
      <c r="F7" s="793">
        <f>VLOOKUP($A7,'Landfilling EFs'!$B$16:$GW$69,49,FALSE)</f>
        <v>2.0254519141196047E-2</v>
      </c>
      <c r="G7" s="795">
        <f t="shared" si="0"/>
        <v>2.0254519141196047E-2</v>
      </c>
      <c r="H7" s="777">
        <f>VLOOKUP(A7,'[1]Emission Factors'!$B$6:$BF$61,33,FALSE)</f>
        <v>2.7941576703256823</v>
      </c>
      <c r="I7" s="775" t="str">
        <f>VLOOKUP(A7,'[1]Emission Factors'!$B$6:$BF$61,4,FALSE)</f>
        <v>NA</v>
      </c>
      <c r="J7" s="12"/>
      <c r="K7" s="112"/>
      <c r="L7" s="112"/>
      <c r="M7" s="112"/>
      <c r="N7" s="112"/>
      <c r="O7" s="112"/>
      <c r="Q7" s="445"/>
      <c r="R7" s="445"/>
      <c r="S7" s="445"/>
      <c r="T7" s="639"/>
      <c r="U7" s="639"/>
      <c r="V7" s="639"/>
      <c r="W7" s="639"/>
      <c r="X7" s="639"/>
      <c r="Y7" s="639"/>
      <c r="Z7" s="639"/>
      <c r="AA7" s="640"/>
      <c r="AB7" s="637"/>
      <c r="AC7" s="637"/>
      <c r="AD7" s="637"/>
      <c r="AE7" s="637"/>
      <c r="AF7" s="637"/>
      <c r="AG7" s="637"/>
      <c r="AH7" s="637"/>
      <c r="AI7" s="637"/>
      <c r="AJ7" s="445"/>
      <c r="AK7" s="445"/>
      <c r="AL7" s="445"/>
    </row>
    <row r="8" spans="1:38" s="8" customFormat="1" x14ac:dyDescent="0.25">
      <c r="A8" s="765" t="s">
        <v>520</v>
      </c>
      <c r="B8" s="771">
        <f>VLOOKUP(A8,[1]!EmissionFactors,12,FALSE)</f>
        <v>-2.2386394694979734</v>
      </c>
      <c r="C8" s="771">
        <f>VLOOKUP(A8,[1]!EmissionFactors,20,FALSE)</f>
        <v>-0.87995959694826853</v>
      </c>
      <c r="D8" s="777">
        <f>VLOOKUP($A8,'Landfilling EFs'!$B$16:$GW$69,51,FALSE)</f>
        <v>2.0254519141196047E-2</v>
      </c>
      <c r="E8" s="792">
        <f>VLOOKUP($A8,'Landfilling EFs'!$B$16:$GW$69,48,FALSE)</f>
        <v>2.0254519141196047E-2</v>
      </c>
      <c r="F8" s="793">
        <f>VLOOKUP($A8,'Landfilling EFs'!$B$16:$GW$69,49,FALSE)</f>
        <v>2.0254519141196047E-2</v>
      </c>
      <c r="G8" s="795">
        <f t="shared" si="0"/>
        <v>2.0254519141196047E-2</v>
      </c>
      <c r="H8" s="777">
        <f>VLOOKUP(A8,'[1]Emission Factors'!$B$6:$BF$61,33,FALSE)</f>
        <v>2.0374066346124766</v>
      </c>
      <c r="I8" s="775" t="str">
        <f>VLOOKUP(A8,'[1]Emission Factors'!$B$6:$BF$61,4,FALSE)</f>
        <v>NA</v>
      </c>
      <c r="J8" s="12"/>
      <c r="K8" s="112"/>
      <c r="L8" s="112"/>
      <c r="M8" s="112"/>
      <c r="O8" s="112"/>
      <c r="Q8" s="445"/>
      <c r="R8" s="445"/>
      <c r="S8" s="445"/>
      <c r="T8" s="639"/>
      <c r="U8" s="639"/>
      <c r="V8" s="639"/>
      <c r="W8" s="639"/>
      <c r="X8" s="639"/>
      <c r="Y8" s="639"/>
      <c r="Z8" s="639"/>
      <c r="AA8" s="640"/>
      <c r="AB8" s="637"/>
      <c r="AC8" s="637"/>
      <c r="AD8" s="637"/>
      <c r="AE8" s="637"/>
      <c r="AF8" s="637"/>
      <c r="AG8" s="637"/>
      <c r="AH8" s="637"/>
      <c r="AI8" s="637"/>
      <c r="AJ8" s="445"/>
      <c r="AK8" s="445"/>
      <c r="AL8" s="445"/>
    </row>
    <row r="9" spans="1:38" s="8" customFormat="1" x14ac:dyDescent="0.25">
      <c r="A9" s="765" t="s">
        <v>59</v>
      </c>
      <c r="B9" s="771">
        <f>VLOOKUP(A9,[1]!EmissionFactors,12,FALSE)</f>
        <v>-0.84397275599748145</v>
      </c>
      <c r="C9" s="771">
        <f>VLOOKUP(A9,[1]!EmissionFactors,20,FALSE)</f>
        <v>-5.147817392357909E-3</v>
      </c>
      <c r="D9" s="777">
        <f>VLOOKUP($A9,'Landfilling EFs'!$B$16:$GW$69,51,FALSE)</f>
        <v>0.23491013585436352</v>
      </c>
      <c r="E9" s="792">
        <f>VLOOKUP($A9,'Landfilling EFs'!$B$16:$GW$69,48,FALSE)</f>
        <v>1.6634715021436628</v>
      </c>
      <c r="F9" s="793">
        <f>VLOOKUP($A9,'Landfilling EFs'!$B$16:$GW$69,49,FALSE)</f>
        <v>0.44665125308099551</v>
      </c>
      <c r="G9" s="795">
        <f>VLOOKUP(A9,'Landfilling EFs'!$B$16:$GW$69,50,FALSE)+(VLOOKUP(A9,[1]!LandfillTypicalNatlAverage,2,FALSE)*VLOOKUP(A9,LF_Collection_Scenario,7,FALSE)*(1-[1]Assumptions!$G$15)*(-'Avoided Utility'!$E$7))</f>
        <v>-0.10354819150015715</v>
      </c>
      <c r="H9" s="777">
        <f>VLOOKUP(A9,'[1]Emission Factors'!$B$6:$BF$61,33,FALSE)</f>
        <v>0</v>
      </c>
      <c r="I9" s="775" t="str">
        <f>VLOOKUP(A9,'[1]Emission Factors'!$B$6:$BF$61,4,FALSE)</f>
        <v>NA</v>
      </c>
      <c r="J9" s="12"/>
      <c r="K9" s="112"/>
      <c r="L9" s="112"/>
      <c r="M9" s="112"/>
      <c r="N9" s="112"/>
      <c r="P9" s="108"/>
      <c r="Q9" s="445"/>
      <c r="R9" s="445"/>
      <c r="S9" s="445"/>
      <c r="T9" s="639"/>
      <c r="U9" s="639"/>
      <c r="V9" s="639"/>
      <c r="W9" s="639"/>
      <c r="X9" s="639"/>
      <c r="Y9" s="639"/>
      <c r="Z9" s="639"/>
      <c r="AA9" s="640"/>
      <c r="AB9" s="637"/>
      <c r="AC9" s="637"/>
      <c r="AD9" s="637"/>
      <c r="AE9" s="637"/>
      <c r="AF9" s="637"/>
      <c r="AG9" s="637"/>
      <c r="AH9" s="637"/>
      <c r="AI9" s="637"/>
      <c r="AJ9" s="445"/>
      <c r="AK9" s="445"/>
      <c r="AL9" s="445"/>
    </row>
    <row r="10" spans="1:38" s="8" customFormat="1" ht="13" x14ac:dyDescent="0.3">
      <c r="A10" s="776" t="s">
        <v>290</v>
      </c>
      <c r="B10" s="771">
        <f>VLOOKUP(A10,[1]!EmissionFactors,12,FALSE)</f>
        <v>-1.64015768876755</v>
      </c>
      <c r="C10" s="771">
        <f>VLOOKUP(A10,[1]!EmissionFactors,20,FALSE)</f>
        <v>-1.3870827365000634E-2</v>
      </c>
      <c r="D10" s="777">
        <f>VLOOKUP($A10,'Landfilling EFs'!$B$16:$GW$69,51,FALSE)</f>
        <v>-0.39344563940902355</v>
      </c>
      <c r="E10" s="792">
        <f>VLOOKUP($A10,'Landfilling EFs'!$B$16:$GW$69,48,FALSE)</f>
        <v>0.24852403935782544</v>
      </c>
      <c r="F10" s="793">
        <f>VLOOKUP($A10,'Landfilling EFs'!$B$16:$GW$69,49,FALSE)</f>
        <v>-0.36989396963564486</v>
      </c>
      <c r="G10" s="795">
        <f>VLOOKUP(A10,'Landfilling EFs'!$B$16:$GW$69,50,FALSE)+(VLOOKUP(A10,[1]!LandfillTypicalNatlAverage,2,FALSE)*VLOOKUP(A10,LF_Collection_Scenario,7,FALSE)*(1-[1]Assumptions!$G$15)*(-'Avoided Utility'!$E$7))</f>
        <v>-0.53216252967934141</v>
      </c>
      <c r="H10" s="777">
        <f>VLOOKUP(A10,'[1]Emission Factors'!$B$6:$BF$61,33,FALSE)</f>
        <v>0</v>
      </c>
      <c r="I10" s="775" t="str">
        <f>VLOOKUP(A10,'[1]Emission Factors'!$B$6:$BF$61,4,FALSE)</f>
        <v>NA</v>
      </c>
      <c r="J10" s="12"/>
      <c r="O10" s="80"/>
      <c r="P10" s="108"/>
      <c r="Q10" s="445"/>
      <c r="R10" s="445"/>
      <c r="S10" s="445"/>
      <c r="T10" s="639"/>
      <c r="U10" s="639"/>
      <c r="V10" s="639"/>
      <c r="W10" s="639"/>
      <c r="X10" s="639"/>
      <c r="Y10" s="639"/>
      <c r="Z10" s="639"/>
      <c r="AA10" s="640"/>
      <c r="AB10" s="637"/>
      <c r="AC10" s="637"/>
      <c r="AD10" s="637"/>
      <c r="AE10" s="637"/>
      <c r="AF10" s="637"/>
      <c r="AG10" s="637"/>
      <c r="AH10" s="637"/>
      <c r="AI10" s="637"/>
      <c r="AJ10" s="445"/>
      <c r="AK10" s="445"/>
      <c r="AL10" s="445"/>
    </row>
    <row r="11" spans="1:38" s="8" customFormat="1" x14ac:dyDescent="0.25">
      <c r="A11" s="765" t="s">
        <v>502</v>
      </c>
      <c r="B11" s="771">
        <f>VLOOKUP(A11,[1]!EmissionFactors,12,FALSE)</f>
        <v>-2.0075381307019105</v>
      </c>
      <c r="C11" s="771">
        <f>VLOOKUP(A11,[1]!EmissionFactors,20,FALSE)</f>
        <v>-0.70146126084821792</v>
      </c>
      <c r="D11" s="777">
        <f>VLOOKUP($A11,'Landfilling EFs'!$B$16:$GW$69,51,FALSE)</f>
        <v>-0.82264413148918125</v>
      </c>
      <c r="E11" s="792">
        <f>VLOOKUP($A11,'Landfilling EFs'!$B$16:$GW$69,48,FALSE)</f>
        <v>-0.23072721102720414</v>
      </c>
      <c r="F11" s="793">
        <f>VLOOKUP($A11,'Landfilling EFs'!$B$16:$GW$69,49,FALSE)</f>
        <v>-0.74591085695389259</v>
      </c>
      <c r="G11" s="795">
        <f>VLOOKUP(A11,'Landfilling EFs'!$B$16:$GW$69,50,FALSE)+(VLOOKUP(A11,[1]!LandfillTypicalNatlAverage,2,FALSE)*VLOOKUP(A11,LF_Collection_Scenario,7,FALSE)*(1-[1]Assumptions!$G$15)*(-'Avoided Utility'!$E$7))</f>
        <v>-0.9608268793984146</v>
      </c>
      <c r="H11" s="777">
        <f>VLOOKUP(A11,'[1]Emission Factors'!$B$6:$BF$61,33,FALSE)</f>
        <v>0</v>
      </c>
      <c r="I11" s="775" t="str">
        <f>VLOOKUP(A11,'[1]Emission Factors'!$B$6:$BF$61,4,FALSE)</f>
        <v>NA</v>
      </c>
      <c r="J11" s="12"/>
      <c r="K11" s="112"/>
      <c r="L11" s="112"/>
      <c r="M11" s="112"/>
      <c r="N11" s="112"/>
      <c r="P11" s="108"/>
      <c r="Q11" s="445"/>
      <c r="R11" s="445"/>
      <c r="S11" s="445"/>
      <c r="T11" s="639"/>
      <c r="U11" s="639"/>
      <c r="V11" s="639"/>
      <c r="W11" s="639"/>
      <c r="X11" s="639"/>
      <c r="Y11" s="639"/>
      <c r="Z11" s="639"/>
      <c r="AA11" s="640"/>
      <c r="AB11" s="637"/>
      <c r="AC11" s="637"/>
      <c r="AD11" s="637"/>
      <c r="AE11" s="637"/>
      <c r="AF11" s="637"/>
      <c r="AG11" s="637"/>
      <c r="AH11" s="637"/>
      <c r="AI11" s="637"/>
      <c r="AJ11" s="445"/>
      <c r="AK11" s="445"/>
      <c r="AL11" s="445"/>
    </row>
    <row r="12" spans="1:38" s="8" customFormat="1" x14ac:dyDescent="0.25">
      <c r="A12" s="765" t="s">
        <v>514</v>
      </c>
      <c r="B12" s="771">
        <f>VLOOKUP(A12,[1]!EmissionFactors,12,FALSE)</f>
        <v>-0.9944597564468497</v>
      </c>
      <c r="C12" s="771">
        <f>VLOOKUP(A12,[1]!EmissionFactors,20,FALSE)</f>
        <v>0.21293718649081236</v>
      </c>
      <c r="D12" s="777">
        <f>VLOOKUP($A12,'Landfilling EFs'!$B$16:$GW$69,51,FALSE)</f>
        <v>1.2187077558445616</v>
      </c>
      <c r="E12" s="792">
        <f>VLOOKUP($A12,'Landfilling EFs'!$B$16:$GW$69,48,FALSE)</f>
        <v>3.3978061204317305</v>
      </c>
      <c r="F12" s="793">
        <f>VLOOKUP($A12,'Landfilling EFs'!$B$16:$GW$69,49,FALSE)</f>
        <v>1.5139729523196255</v>
      </c>
      <c r="G12" s="795">
        <f>VLOOKUP(A12,'Landfilling EFs'!$B$16:$GW$69,50,FALSE)+(VLOOKUP(A12,[1]!LandfillTypicalNatlAverage,2,FALSE)*VLOOKUP(A12,LF_Collection_Scenario,7,FALSE)*(1-[1]Assumptions!$G$15)*(-'Avoided Utility'!$E$7))</f>
        <v>0.70761047394955834</v>
      </c>
      <c r="H12" s="777">
        <f>VLOOKUP(A12,'[1]Emission Factors'!$B$6:$BF$61,33,FALSE)</f>
        <v>0</v>
      </c>
      <c r="I12" s="775" t="str">
        <f>VLOOKUP(A12,'[1]Emission Factors'!$B$6:$BF$61,4,FALSE)</f>
        <v>NA</v>
      </c>
      <c r="J12" s="12"/>
      <c r="K12" s="112"/>
      <c r="L12" s="112"/>
      <c r="M12" s="112"/>
      <c r="N12" s="112"/>
      <c r="P12" s="108"/>
      <c r="Q12" s="445"/>
      <c r="R12" s="445"/>
      <c r="S12" s="445"/>
      <c r="T12" s="639"/>
      <c r="U12" s="639"/>
      <c r="V12" s="639"/>
      <c r="W12" s="639"/>
      <c r="X12" s="639"/>
      <c r="Y12" s="639"/>
      <c r="Z12" s="639"/>
      <c r="AA12" s="640"/>
      <c r="AB12" s="637"/>
      <c r="AC12" s="637"/>
      <c r="AD12" s="637"/>
      <c r="AE12" s="637"/>
      <c r="AF12" s="637"/>
      <c r="AG12" s="637"/>
      <c r="AH12" s="637"/>
      <c r="AI12" s="637"/>
      <c r="AJ12" s="445"/>
      <c r="AK12" s="445"/>
      <c r="AL12" s="445"/>
    </row>
    <row r="13" spans="1:38" s="8" customFormat="1" x14ac:dyDescent="0.25">
      <c r="A13" s="765" t="s">
        <v>383</v>
      </c>
      <c r="B13" s="771">
        <f>VLOOKUP(A13,[1]!EmissionFactors,12,FALSE)</f>
        <v>-2.3839083578926177</v>
      </c>
      <c r="C13" s="771">
        <f>VLOOKUP(A13,[1]!EmissionFactors,20,FALSE)</f>
        <v>-0.61933244184728642</v>
      </c>
      <c r="D13" s="777">
        <f>VLOOKUP($A13,'Landfilling EFs'!$B$16:$GW$69,51,FALSE)</f>
        <v>-0.82264413148918125</v>
      </c>
      <c r="E13" s="792">
        <f>VLOOKUP($A13,'Landfilling EFs'!$B$16:$GW$69,48,FALSE)</f>
        <v>-0.23072721102720414</v>
      </c>
      <c r="F13" s="793">
        <f>VLOOKUP($A13,'Landfilling EFs'!$B$16:$GW$69,49,FALSE)</f>
        <v>-0.74591085695389259</v>
      </c>
      <c r="G13" s="795">
        <f>VLOOKUP(A13,'Landfilling EFs'!$B$16:$GW$69,50,FALSE)+(VLOOKUP(A13,[1]!LandfillTypicalNatlAverage,2,FALSE)*VLOOKUP(A13,LF_Collection_Scenario,7,FALSE)*(1-[1]Assumptions!$G$15)*(-'Avoided Utility'!$E$7))</f>
        <v>-0.9608268793984146</v>
      </c>
      <c r="H13" s="777">
        <f>VLOOKUP(A13,'[1]Emission Factors'!$B$6:$BF$61,33,FALSE)</f>
        <v>0</v>
      </c>
      <c r="I13" s="775" t="str">
        <f>VLOOKUP(A13,'[1]Emission Factors'!$B$6:$BF$61,4,FALSE)</f>
        <v>NA</v>
      </c>
      <c r="J13" s="12"/>
      <c r="K13" s="112"/>
      <c r="L13" s="112"/>
      <c r="M13" s="112"/>
      <c r="N13" s="112"/>
      <c r="P13" s="108"/>
      <c r="Q13" s="445"/>
      <c r="R13" s="445"/>
      <c r="S13" s="445"/>
      <c r="T13" s="639"/>
      <c r="U13" s="639"/>
      <c r="V13" s="639"/>
      <c r="W13" s="639"/>
      <c r="X13" s="639"/>
      <c r="Y13" s="639"/>
      <c r="Z13" s="639"/>
      <c r="AA13" s="640"/>
      <c r="AB13" s="637"/>
      <c r="AC13" s="637"/>
      <c r="AD13" s="637"/>
      <c r="AE13" s="637"/>
      <c r="AF13" s="637"/>
      <c r="AG13" s="637"/>
      <c r="AH13" s="637"/>
      <c r="AI13" s="637"/>
      <c r="AJ13" s="445"/>
      <c r="AK13" s="445"/>
      <c r="AL13" s="445"/>
    </row>
    <row r="14" spans="1:38" s="8" customFormat="1" x14ac:dyDescent="0.25">
      <c r="A14" s="765" t="s">
        <v>384</v>
      </c>
      <c r="B14" s="771">
        <f>VLOOKUP(A14,[1]!EmissionFactors,12,FALSE)</f>
        <v>-2.1094119847747073</v>
      </c>
      <c r="C14" s="771">
        <f>VLOOKUP(A14,[1]!EmissionFactors,20,FALSE)</f>
        <v>-4.9873971088611857E-2</v>
      </c>
      <c r="D14" s="777">
        <f>VLOOKUP($A14,'Landfilling EFs'!$B$16:$GW$69,51,FALSE)</f>
        <v>1.2187077558445616</v>
      </c>
      <c r="E14" s="792">
        <f>VLOOKUP($A14,'Landfilling EFs'!$B$16:$GW$69,48,FALSE)</f>
        <v>3.3978061204317305</v>
      </c>
      <c r="F14" s="793">
        <f>VLOOKUP($A14,'Landfilling EFs'!$B$16:$GW$69,49,FALSE)</f>
        <v>1.5139729523196255</v>
      </c>
      <c r="G14" s="795">
        <f>VLOOKUP(A14,'Landfilling EFs'!$B$16:$GW$69,50,FALSE)+(VLOOKUP(A14,[1]!LandfillTypicalNatlAverage,2,FALSE)*VLOOKUP(A14,LF_Collection_Scenario,7,FALSE)*(1-[1]Assumptions!$G$15)*(-'Avoided Utility'!$E$7))</f>
        <v>0.70761047394955834</v>
      </c>
      <c r="H14" s="777">
        <f>VLOOKUP(A14,'[1]Emission Factors'!$B$6:$BF$61,33,FALSE)</f>
        <v>0</v>
      </c>
      <c r="I14" s="775" t="str">
        <f>VLOOKUP(A14,'[1]Emission Factors'!$B$6:$BF$61,4,FALSE)</f>
        <v>NA</v>
      </c>
      <c r="J14" s="12"/>
      <c r="K14" s="112"/>
      <c r="L14" s="112"/>
      <c r="M14" s="112"/>
      <c r="N14" s="112"/>
      <c r="P14" s="108"/>
      <c r="Q14" s="445"/>
      <c r="R14" s="445"/>
      <c r="S14" s="445"/>
      <c r="T14" s="639"/>
      <c r="U14" s="639"/>
      <c r="V14" s="639"/>
      <c r="W14" s="639"/>
      <c r="X14" s="639"/>
      <c r="Y14" s="639"/>
      <c r="Z14" s="639"/>
      <c r="AA14" s="640"/>
      <c r="AB14" s="637"/>
      <c r="AC14" s="637"/>
      <c r="AD14" s="637"/>
      <c r="AE14" s="637"/>
      <c r="AF14" s="637"/>
      <c r="AG14" s="637"/>
      <c r="AH14" s="637"/>
      <c r="AI14" s="637"/>
      <c r="AJ14" s="445"/>
      <c r="AK14" s="445"/>
      <c r="AL14" s="445"/>
    </row>
    <row r="15" spans="1:38" s="8" customFormat="1" x14ac:dyDescent="0.25">
      <c r="A15" s="765" t="s">
        <v>4</v>
      </c>
      <c r="B15" s="771">
        <f>VLOOKUP(A15,[1]!EmissionFactors,12,FALSE)</f>
        <v>-0.18332331232821042</v>
      </c>
      <c r="C15" s="771">
        <f>VLOOKUP(A15,[1]!EmissionFactors,20,FALSE)</f>
        <v>6.6974775860442384E-2</v>
      </c>
      <c r="D15" s="777">
        <f>VLOOKUP($A15,'Landfilling EFs'!$B$16:$GW$69,51,FALSE)</f>
        <v>-1.0127310259742781</v>
      </c>
      <c r="E15" s="792">
        <f>VLOOKUP($A15,'Landfilling EFs'!$B$16:$GW$69,48,FALSE)</f>
        <v>-0.91931617608588745</v>
      </c>
      <c r="F15" s="793">
        <f>VLOOKUP($A15,'Landfilling EFs'!$B$16:$GW$69,49,FALSE)</f>
        <v>-1.0063227353991218</v>
      </c>
      <c r="G15" s="795">
        <f>VLOOKUP(A15,'Landfilling EFs'!$B$16:$GW$69,50,FALSE)+(VLOOKUP(A15,[1]!LandfillTypicalNatlAverage,2,FALSE)*VLOOKUP(A15,LF_Collection_Scenario,7,FALSE)*(1-[1]Assumptions!$G$15)*(-'Avoided Utility'!$E$7))</f>
        <v>-1.0334732232321762</v>
      </c>
      <c r="H15" s="777">
        <f>VLOOKUP(A15,'[1]Emission Factors'!$B$6:$BF$61,33,FALSE)</f>
        <v>0</v>
      </c>
      <c r="I15" s="775" t="str">
        <f>VLOOKUP(A15,'[1]Emission Factors'!$B$6:$BF$61,4,FALSE)</f>
        <v>NA</v>
      </c>
      <c r="J15" s="12"/>
      <c r="K15" s="112"/>
      <c r="L15" s="112"/>
      <c r="M15" s="112"/>
      <c r="N15" s="112"/>
      <c r="O15" s="112"/>
      <c r="P15" s="108"/>
      <c r="Q15" s="445"/>
      <c r="R15" s="445"/>
      <c r="S15" s="445"/>
      <c r="T15" s="639"/>
      <c r="U15" s="639"/>
      <c r="V15" s="639"/>
      <c r="W15" s="639"/>
      <c r="X15" s="639"/>
      <c r="Y15" s="639"/>
      <c r="Z15" s="639"/>
      <c r="AA15" s="640"/>
      <c r="AB15" s="637"/>
      <c r="AC15" s="637"/>
      <c r="AD15" s="637"/>
      <c r="AE15" s="637"/>
      <c r="AF15" s="637"/>
      <c r="AG15" s="637"/>
      <c r="AH15" s="637"/>
      <c r="AI15" s="637"/>
      <c r="AJ15" s="445"/>
      <c r="AK15" s="445"/>
      <c r="AL15" s="445"/>
    </row>
    <row r="16" spans="1:38" s="8" customFormat="1" x14ac:dyDescent="0.25">
      <c r="A16" s="765" t="s">
        <v>558</v>
      </c>
      <c r="B16" s="771">
        <f>VLOOKUP(A16,[1]!EmissionFactors,12,FALSE)</f>
        <v>-0.39094218486406251</v>
      </c>
      <c r="C16" s="771">
        <f>VLOOKUP(A16,[1]!EmissionFactors,20,FALSE)</f>
        <v>4.8067026149999963E-2</v>
      </c>
      <c r="D16" s="777">
        <f>VLOOKUP($A16,'Landfilling EFs'!$B$16:$GW$69,51,FALSE)</f>
        <v>-0.88432757384374783</v>
      </c>
      <c r="E16" s="792">
        <f>VLOOKUP($A16,'Landfilling EFs'!$B$16:$GW$69,48,FALSE)</f>
        <v>-0.85250579992130393</v>
      </c>
      <c r="F16" s="793">
        <f>VLOOKUP($A16,'Landfilling EFs'!$B$16:$GW$69,49,FALSE)</f>
        <v>-0.88154507312554509</v>
      </c>
      <c r="G16" s="795">
        <f>VLOOKUP(A16,'Landfilling EFs'!$B$16:$GW$69,50,FALSE)+(VLOOKUP(A16,[1]!LandfillTypicalNatlAverage,2,FALSE)*VLOOKUP(A16,LF_Collection_Scenario,7,FALSE)*(1-[1]Assumptions!$G$15)*(-'Avoided Utility'!$E$7))</f>
        <v>-0.89150543692052042</v>
      </c>
      <c r="H16" s="777">
        <f>VLOOKUP(A16,'[1]Emission Factors'!$B$6:$BF$61,33,FALSE)</f>
        <v>0</v>
      </c>
      <c r="I16" s="775" t="str">
        <f>VLOOKUP(A16,'[1]Emission Factors'!$B$6:$BF$61,4,FALSE)</f>
        <v>NA</v>
      </c>
      <c r="J16" s="12"/>
      <c r="K16" s="112"/>
      <c r="L16" s="112"/>
      <c r="M16" s="112"/>
      <c r="N16" s="112"/>
      <c r="O16" s="112"/>
      <c r="P16" s="108"/>
      <c r="Q16" s="445"/>
      <c r="R16" s="445"/>
      <c r="S16" s="445"/>
      <c r="T16" s="639"/>
      <c r="U16" s="639"/>
      <c r="V16" s="639"/>
      <c r="W16" s="639"/>
      <c r="X16" s="639"/>
      <c r="Y16" s="639"/>
      <c r="Z16" s="639"/>
      <c r="AA16" s="640"/>
      <c r="AB16" s="637"/>
      <c r="AC16" s="637"/>
      <c r="AD16" s="637"/>
      <c r="AE16" s="637"/>
      <c r="AF16" s="637"/>
      <c r="AG16" s="637"/>
      <c r="AH16" s="637"/>
      <c r="AI16" s="637"/>
      <c r="AJ16" s="445"/>
      <c r="AK16" s="445"/>
      <c r="AL16" s="445"/>
    </row>
    <row r="17" spans="1:38" s="8" customFormat="1" x14ac:dyDescent="0.25">
      <c r="A17" s="765" t="s">
        <v>740</v>
      </c>
      <c r="B17" s="771">
        <f>VLOOKUP(A17,[1]!EmissionFactors,12,FALSE)</f>
        <v>-3.6563116475032813</v>
      </c>
      <c r="C17" s="771" t="str">
        <f>VLOOKUP(A17,[1]!EmissionFactors,20,FALSE)</f>
        <v>NA</v>
      </c>
      <c r="D17" s="777">
        <f>VLOOKUP($A17,'Landfilling EFs'!$B$16:$GW$69,51,FALSE)</f>
        <v>0.54323160806358828</v>
      </c>
      <c r="E17" s="792">
        <f>VLOOKUP($A17,'Landfilling EFs'!$B$16:$GW$69,48,FALSE)</f>
        <v>1.3938424251101666</v>
      </c>
      <c r="F17" s="793">
        <f>VLOOKUP($A17,'Landfilling EFs'!$B$16:$GW$69,49,FALSE)</f>
        <v>0.56340372133578975</v>
      </c>
      <c r="G17" s="795">
        <f>VLOOKUP(A17,'Landfilling EFs'!$B$16:$GW$69,50,FALSE)+(VLOOKUP(A17,[1]!LandfillTypicalNatlAverage,2,FALSE)*VLOOKUP(A17,LF_Collection_Scenario,7,FALSE)*(1-[1]Assumptions!$G$15)*(-'Avoided Utility'!$E$7))</f>
        <v>0.3614934311698238</v>
      </c>
      <c r="H17" s="777">
        <f>VLOOKUP(A17,'[1]Emission Factors'!$B$6:$BF$61,33,FALSE)</f>
        <v>0</v>
      </c>
      <c r="I17" s="775">
        <f>VLOOKUP(A17,'[1]Emission Factors'!$B$6:$BF$61,4,FALSE)</f>
        <v>-0.17601201959602991</v>
      </c>
      <c r="J17" s="12"/>
      <c r="K17" s="112"/>
      <c r="L17" s="112"/>
      <c r="M17" s="112"/>
      <c r="N17" s="112"/>
      <c r="O17" s="112"/>
      <c r="P17" s="108"/>
      <c r="Q17" s="445"/>
      <c r="R17" s="445"/>
      <c r="S17" s="445"/>
      <c r="T17" s="639"/>
      <c r="U17" s="639"/>
      <c r="V17" s="639"/>
      <c r="W17" s="639"/>
      <c r="X17" s="639"/>
      <c r="Y17" s="639"/>
      <c r="Z17" s="639"/>
      <c r="AA17" s="640"/>
      <c r="AB17" s="637"/>
      <c r="AC17" s="637"/>
      <c r="AD17" s="637"/>
      <c r="AE17" s="637"/>
      <c r="AF17" s="637"/>
      <c r="AG17" s="637"/>
      <c r="AH17" s="637"/>
      <c r="AI17" s="637"/>
      <c r="AJ17" s="445"/>
      <c r="AK17" s="445"/>
      <c r="AL17" s="445"/>
    </row>
    <row r="18" spans="1:38" s="8" customFormat="1" x14ac:dyDescent="0.25">
      <c r="A18" s="765" t="s">
        <v>646</v>
      </c>
      <c r="B18" s="771">
        <f>VLOOKUP(A18,[1]!EmissionFactors,12,FALSE)</f>
        <v>-0.75780310692084685</v>
      </c>
      <c r="C18" s="771" t="str">
        <f>VLOOKUP(A18,[1]!EmissionFactors,20,FALSE)</f>
        <v>NA</v>
      </c>
      <c r="D18" s="777">
        <f>VLOOKUP($A18,'Landfilling EFs'!$B$16:$GW$69,51,FALSE)</f>
        <v>0.54323160806358828</v>
      </c>
      <c r="E18" s="792">
        <f>VLOOKUP($A18,'Landfilling EFs'!$B$16:$GW$69,48,FALSE)</f>
        <v>1.3938424251101666</v>
      </c>
      <c r="F18" s="793">
        <f>VLOOKUP($A18,'Landfilling EFs'!$B$16:$GW$69,49,FALSE)</f>
        <v>0.56340372133578975</v>
      </c>
      <c r="G18" s="795">
        <f>VLOOKUP(A18,'Landfilling EFs'!$B$16:$GW$69,50,FALSE)+(VLOOKUP(A18,[1]!LandfillTypicalNatlAverage,2,FALSE)*VLOOKUP(A18,LF_Collection_Scenario,7,FALSE)*(1-[1]Assumptions!$G$15)*(-'Avoided Utility'!$E$7))</f>
        <v>0.3614934311698238</v>
      </c>
      <c r="H18" s="777">
        <f>VLOOKUP(A18,'[1]Emission Factors'!$B$6:$BF$61,33,FALSE)</f>
        <v>0</v>
      </c>
      <c r="I18" s="775">
        <f>VLOOKUP(A18,'[1]Emission Factors'!$B$6:$BF$61,4,FALSE)</f>
        <v>-0.17601201959602991</v>
      </c>
      <c r="J18" s="12"/>
      <c r="K18" s="112"/>
      <c r="L18" s="112"/>
      <c r="M18" s="112"/>
      <c r="N18" s="112"/>
      <c r="O18" s="112"/>
      <c r="P18" s="108"/>
      <c r="Q18" s="445"/>
      <c r="R18" s="445"/>
      <c r="S18" s="445"/>
      <c r="T18" s="639"/>
      <c r="U18" s="639"/>
      <c r="V18" s="639"/>
      <c r="W18" s="639"/>
      <c r="X18" s="639"/>
      <c r="Y18" s="639"/>
      <c r="Z18" s="639"/>
      <c r="AA18" s="640"/>
      <c r="AB18" s="637"/>
      <c r="AC18" s="637"/>
      <c r="AD18" s="637"/>
      <c r="AE18" s="637"/>
      <c r="AF18" s="637"/>
      <c r="AG18" s="637"/>
      <c r="AH18" s="637"/>
      <c r="AI18" s="637"/>
      <c r="AJ18" s="445"/>
      <c r="AK18" s="445"/>
      <c r="AL18" s="445"/>
    </row>
    <row r="19" spans="1:38" s="8" customFormat="1" x14ac:dyDescent="0.25">
      <c r="A19" s="765" t="s">
        <v>744</v>
      </c>
      <c r="B19" s="771">
        <f>VLOOKUP(A19,[1]!EmissionFactors,12,FALSE)</f>
        <v>-15.098113839071496</v>
      </c>
      <c r="C19" s="771" t="str">
        <f>VLOOKUP(A19,[1]!EmissionFactors,20,FALSE)</f>
        <v>NA</v>
      </c>
      <c r="D19" s="777">
        <f>VLOOKUP($A19,'Landfilling EFs'!$B$16:$GW$69,51,FALSE)</f>
        <v>0.54323160806358828</v>
      </c>
      <c r="E19" s="792">
        <f>VLOOKUP($A19,'Landfilling EFs'!$B$16:$GW$69,48,FALSE)</f>
        <v>1.3938424251101666</v>
      </c>
      <c r="F19" s="793">
        <f>VLOOKUP($A19,'Landfilling EFs'!$B$16:$GW$69,49,FALSE)</f>
        <v>0.56340372133578975</v>
      </c>
      <c r="G19" s="795">
        <f>VLOOKUP(A19,'Landfilling EFs'!$B$16:$GW$69,50,FALSE)+(VLOOKUP(A19,[1]!LandfillTypicalNatlAverage,2,FALSE)*VLOOKUP(A19,LF_Collection_Scenario,7,FALSE)*(1-[1]Assumptions!$G$15)*(-'Avoided Utility'!$E$7))</f>
        <v>0.3614934311698238</v>
      </c>
      <c r="H19" s="777">
        <f>VLOOKUP(A19,'[1]Emission Factors'!$B$6:$BF$61,33,FALSE)</f>
        <v>0</v>
      </c>
      <c r="I19" s="775">
        <f>VLOOKUP(A19,'[1]Emission Factors'!$B$6:$BF$61,4,FALSE)</f>
        <v>-0.17601201959602991</v>
      </c>
      <c r="J19" s="12"/>
      <c r="K19" s="112"/>
      <c r="L19" s="112"/>
      <c r="M19" s="112"/>
      <c r="N19" s="112"/>
      <c r="O19" s="112"/>
      <c r="P19" s="108"/>
      <c r="Q19" s="445"/>
      <c r="R19" s="445"/>
      <c r="S19" s="445"/>
      <c r="T19" s="639"/>
      <c r="U19" s="639"/>
      <c r="V19" s="639"/>
      <c r="W19" s="639"/>
      <c r="X19" s="639"/>
      <c r="Y19" s="639"/>
      <c r="Z19" s="639"/>
      <c r="AA19" s="640"/>
      <c r="AB19" s="637"/>
      <c r="AC19" s="637"/>
      <c r="AD19" s="637"/>
      <c r="AE19" s="637"/>
      <c r="AF19" s="637"/>
      <c r="AG19" s="637"/>
      <c r="AH19" s="637"/>
      <c r="AI19" s="637"/>
      <c r="AJ19" s="445"/>
      <c r="AK19" s="445"/>
      <c r="AL19" s="445"/>
    </row>
    <row r="20" spans="1:38" s="8" customFormat="1" x14ac:dyDescent="0.25">
      <c r="A20" s="765" t="s">
        <v>580</v>
      </c>
      <c r="B20" s="771" t="str">
        <f>VLOOKUP(A20,[1]!EmissionFactors,12,FALSE)</f>
        <v>NA</v>
      </c>
      <c r="C20" s="771" t="str">
        <f>VLOOKUP(A20,[1]!EmissionFactors,20,FALSE)</f>
        <v>NA</v>
      </c>
      <c r="D20" s="777">
        <f>VLOOKUP($A20,'Landfilling EFs'!$B$16:$GW$69,51,FALSE)</f>
        <v>-0.17981189253887783</v>
      </c>
      <c r="E20" s="792">
        <f>VLOOKUP($A20,'Landfilling EFs'!$B$16:$GW$69,48,FALSE)</f>
        <v>0.21407605081676276</v>
      </c>
      <c r="F20" s="793">
        <f>VLOOKUP($A20,'Landfilling EFs'!$B$16:$GW$69,49,FALSE)</f>
        <v>-0.166679280608413</v>
      </c>
      <c r="G20" s="795">
        <f>VLOOKUP(A20,'Landfilling EFs'!$B$16:$GW$69,50,FALSE)+(VLOOKUP(A20,[1]!LandfillTypicalNatlAverage,2,FALSE)*VLOOKUP(A20,LF_Collection_Scenario,7,FALSE)*(1-[1]Assumptions!$G$15)*(-'Avoided Utility'!$E$7))</f>
        <v>-0.2646769928163723</v>
      </c>
      <c r="H20" s="777">
        <f>VLOOKUP(A20,'[1]Emission Factors'!$B$6:$BF$61,33,FALSE)</f>
        <v>0</v>
      </c>
      <c r="I20" s="775">
        <f>VLOOKUP(A20,'[1]Emission Factors'!$B$6:$BF$61,4,FALSE)</f>
        <v>-0.14631201959602991</v>
      </c>
      <c r="J20" s="12"/>
      <c r="K20" s="112"/>
      <c r="L20" s="112"/>
      <c r="M20" s="112"/>
      <c r="N20" s="112"/>
      <c r="O20" s="112"/>
      <c r="P20" s="108"/>
      <c r="Q20" s="445"/>
      <c r="R20" s="445"/>
      <c r="S20" s="445"/>
      <c r="T20" s="639"/>
      <c r="U20" s="639"/>
      <c r="V20" s="639"/>
      <c r="W20" s="639"/>
      <c r="X20" s="639"/>
      <c r="Y20" s="639"/>
      <c r="Z20" s="639"/>
      <c r="AA20" s="640"/>
      <c r="AB20" s="637"/>
      <c r="AC20" s="637"/>
      <c r="AD20" s="637"/>
      <c r="AE20" s="637"/>
      <c r="AF20" s="637"/>
      <c r="AG20" s="637"/>
      <c r="AH20" s="637"/>
      <c r="AI20" s="637"/>
      <c r="AJ20" s="445"/>
      <c r="AK20" s="445"/>
      <c r="AL20" s="445"/>
    </row>
    <row r="21" spans="1:38" s="8" customFormat="1" x14ac:dyDescent="0.25">
      <c r="A21" s="765" t="s">
        <v>521</v>
      </c>
      <c r="B21" s="771" t="str">
        <f>VLOOKUP(A21,[1]!EmissionFactors,12,FALSE)</f>
        <v>NA</v>
      </c>
      <c r="C21" s="771" t="str">
        <f>VLOOKUP(A21,[1]!EmissionFactors,20,FALSE)</f>
        <v>NA</v>
      </c>
      <c r="D21" s="777">
        <f>VLOOKUP($A21,'Landfilling EFs'!$B$16:$GW$69,51,FALSE)</f>
        <v>0.13127410708402126</v>
      </c>
      <c r="E21" s="792">
        <f>VLOOKUP($A21,'Landfilling EFs'!$B$16:$GW$69,48,FALSE)</f>
        <v>0.38848080510719618</v>
      </c>
      <c r="F21" s="793">
        <f>VLOOKUP($A21,'Landfilling EFs'!$B$16:$GW$69,49,FALSE)</f>
        <v>0.12480512610651065</v>
      </c>
      <c r="G21" s="795">
        <f>VLOOKUP(A21,'Landfilling EFs'!$B$16:$GW$69,50,FALSE)+(VLOOKUP(A21,[1]!LandfillTypicalNatlAverage,2,FALSE)*VLOOKUP(A21,LF_Collection_Scenario,7,FALSE)*(1-[1]Assumptions!$G$15)*(-'Avoided Utility'!$E$7))</f>
        <v>7.8669042530740155E-2</v>
      </c>
      <c r="H21" s="777">
        <f>VLOOKUP(A21,'[1]Emission Factors'!$B$6:$BF$61,33,FALSE)</f>
        <v>0</v>
      </c>
      <c r="I21" s="775">
        <f>VLOOKUP(A21,'[1]Emission Factors'!$B$6:$BF$61,4,FALSE)</f>
        <v>-0.14631201959602991</v>
      </c>
      <c r="J21" s="12"/>
      <c r="K21" s="112"/>
      <c r="L21" s="112"/>
      <c r="M21" s="112"/>
      <c r="N21" s="112"/>
      <c r="O21" s="112"/>
      <c r="P21" s="108"/>
      <c r="Q21" s="445"/>
      <c r="R21" s="445"/>
      <c r="S21" s="445"/>
      <c r="T21" s="639"/>
      <c r="U21" s="639"/>
      <c r="V21" s="639"/>
      <c r="W21" s="639"/>
      <c r="X21" s="639"/>
      <c r="Y21" s="639"/>
      <c r="Z21" s="639"/>
      <c r="AA21" s="640"/>
      <c r="AB21" s="637"/>
      <c r="AC21" s="637"/>
      <c r="AD21" s="637"/>
      <c r="AE21" s="637"/>
      <c r="AF21" s="637"/>
      <c r="AG21" s="637"/>
      <c r="AH21" s="637"/>
      <c r="AI21" s="637"/>
      <c r="AJ21" s="445"/>
      <c r="AK21" s="445"/>
      <c r="AL21" s="445"/>
    </row>
    <row r="22" spans="1:38" s="8" customFormat="1" x14ac:dyDescent="0.25">
      <c r="A22" s="765" t="s">
        <v>522</v>
      </c>
      <c r="B22" s="771" t="str">
        <f>VLOOKUP(A22,[1]!EmissionFactors,12,FALSE)</f>
        <v>NA</v>
      </c>
      <c r="C22" s="771" t="str">
        <f>VLOOKUP(A22,[1]!EmissionFactors,20,FALSE)</f>
        <v>NA</v>
      </c>
      <c r="D22" s="777">
        <f>VLOOKUP($A22,'Landfilling EFs'!$B$16:$GW$69,51,FALSE)</f>
        <v>-0.5153890086627575</v>
      </c>
      <c r="E22" s="792">
        <f>VLOOKUP($A22,'Landfilling EFs'!$B$16:$GW$69,48,FALSE)</f>
        <v>-0.18251034209620373</v>
      </c>
      <c r="F22" s="793">
        <f>VLOOKUP($A22,'Landfilling EFs'!$B$16:$GW$69,49,FALSE)</f>
        <v>-0.51177958356259634</v>
      </c>
      <c r="G22" s="795">
        <f>VLOOKUP(A22,'Landfilling EFs'!$B$16:$GW$69,50,FALSE)+(VLOOKUP(A22,[1]!LandfillTypicalNatlAverage,2,FALSE)*VLOOKUP(A22,LF_Collection_Scenario,7,FALSE)*(1-[1]Assumptions!$G$15)*(-'Avoided Utility'!$E$7))</f>
        <v>-0.58570986522925994</v>
      </c>
      <c r="H22" s="777">
        <f>VLOOKUP(A22,'[1]Emission Factors'!$B$6:$BF$61,33,FALSE)</f>
        <v>0</v>
      </c>
      <c r="I22" s="775">
        <f>VLOOKUP(A22,'[1]Emission Factors'!$B$6:$BF$61,4,FALSE)</f>
        <v>-0.14631201959602991</v>
      </c>
      <c r="J22" s="12"/>
      <c r="K22" s="112"/>
      <c r="L22" s="112"/>
      <c r="M22" s="112"/>
      <c r="N22" s="112"/>
      <c r="O22" s="112"/>
      <c r="P22" s="108"/>
      <c r="Q22" s="445"/>
      <c r="R22" s="445"/>
      <c r="S22" s="445"/>
      <c r="T22" s="639"/>
      <c r="U22" s="639"/>
      <c r="V22" s="639"/>
      <c r="W22" s="639"/>
      <c r="X22" s="639"/>
      <c r="Y22" s="639"/>
      <c r="Z22" s="639"/>
      <c r="AA22" s="640"/>
      <c r="AB22" s="637"/>
      <c r="AC22" s="637"/>
      <c r="AD22" s="637"/>
      <c r="AE22" s="637"/>
      <c r="AF22" s="637"/>
      <c r="AG22" s="637"/>
      <c r="AH22" s="637"/>
      <c r="AI22" s="637"/>
      <c r="AJ22" s="445"/>
      <c r="AK22" s="445"/>
      <c r="AL22" s="445"/>
    </row>
    <row r="23" spans="1:38" s="8" customFormat="1" x14ac:dyDescent="0.25">
      <c r="A23" s="765" t="s">
        <v>523</v>
      </c>
      <c r="B23" s="771" t="str">
        <f>VLOOKUP(A23,[1]!EmissionFactors,12,FALSE)</f>
        <v>NA</v>
      </c>
      <c r="C23" s="771" t="str">
        <f>VLOOKUP(A23,[1]!EmissionFactors,20,FALSE)</f>
        <v>NA</v>
      </c>
      <c r="D23" s="777">
        <f>VLOOKUP($A23,'Landfilling EFs'!$B$16:$GW$69,51,FALSE)</f>
        <v>-0.50795932605800542</v>
      </c>
      <c r="E23" s="792">
        <f>VLOOKUP($A23,'Landfilling EFs'!$B$16:$GW$69,48,FALSE)</f>
        <v>0.26185293514886254</v>
      </c>
      <c r="F23" s="793">
        <f>VLOOKUP($A23,'Landfilling EFs'!$B$16:$GW$69,49,FALSE)</f>
        <v>-0.38901413895450632</v>
      </c>
      <c r="G23" s="795">
        <f>VLOOKUP(A23,'Landfilling EFs'!$B$16:$GW$69,50,FALSE)+(VLOOKUP(A23,[1]!LandfillTypicalNatlAverage,2,FALSE)*VLOOKUP(A23,LF_Collection_Scenario,7,FALSE)*(1-[1]Assumptions!$G$15)*(-'Avoided Utility'!$E$7))</f>
        <v>-0.69125032763715821</v>
      </c>
      <c r="H23" s="777">
        <f>VLOOKUP(A23,'[1]Emission Factors'!$B$6:$BF$61,33,FALSE)</f>
        <v>0</v>
      </c>
      <c r="I23" s="775">
        <f>VLOOKUP(A23,'[1]Emission Factors'!$B$6:$BF$61,4,FALSE)</f>
        <v>-0.14631201959602991</v>
      </c>
      <c r="J23" s="12"/>
      <c r="K23" s="112"/>
      <c r="L23" s="112"/>
      <c r="M23" s="112"/>
      <c r="N23" s="112"/>
      <c r="O23" s="112"/>
      <c r="P23" s="108"/>
      <c r="Q23" s="445"/>
      <c r="R23" s="445"/>
      <c r="S23" s="445"/>
      <c r="T23" s="639"/>
      <c r="U23" s="639"/>
      <c r="V23" s="639"/>
      <c r="W23" s="639"/>
      <c r="X23" s="639"/>
      <c r="Y23" s="639"/>
      <c r="Z23" s="639"/>
      <c r="AA23" s="640"/>
      <c r="AB23" s="637"/>
      <c r="AC23" s="637"/>
      <c r="AD23" s="637"/>
      <c r="AE23" s="637"/>
      <c r="AF23" s="637"/>
      <c r="AG23" s="637"/>
      <c r="AH23" s="637"/>
      <c r="AI23" s="637"/>
      <c r="AJ23" s="445"/>
      <c r="AK23" s="445"/>
      <c r="AL23" s="445"/>
    </row>
    <row r="24" spans="1:38" s="8" customFormat="1" x14ac:dyDescent="0.25">
      <c r="A24" s="765" t="s">
        <v>583</v>
      </c>
      <c r="B24" s="771">
        <f>VLOOKUP(A24,[1]!EmissionFactors,12,FALSE)</f>
        <v>-1.2170206406380237</v>
      </c>
      <c r="C24" s="771">
        <f>VLOOKUP(A24,[1]!EmissionFactors,20,FALSE)</f>
        <v>-0.36203367856084651</v>
      </c>
      <c r="D24" s="777">
        <f>VLOOKUP($A24,'Landfilling EFs'!$B$16:$GW$69,51,FALSE)</f>
        <v>0.12650662640094282</v>
      </c>
      <c r="E24" s="792">
        <f>VLOOKUP($A24,'Landfilling EFs'!$B$16:$GW$69,48,FALSE)</f>
        <v>1.4425349376174013</v>
      </c>
      <c r="F24" s="793">
        <f>VLOOKUP($A24,'Landfilling EFs'!$B$16:$GW$69,49,FALSE)</f>
        <v>0.3007318776279817</v>
      </c>
      <c r="G24" s="795">
        <f>VLOOKUP(A24,'Landfilling EFs'!$B$16:$GW$69,50,FALSE)+(VLOOKUP(A24,[1]!LandfillTypicalNatlAverage,2,FALSE)*VLOOKUP(A24,LF_Collection_Scenario,7,FALSE)*(1-[1]Assumptions!$G$15)*(-'Avoided Utility'!$E$7))</f>
        <v>-0.18139639264811458</v>
      </c>
      <c r="H24" s="777">
        <f>VLOOKUP(A24,'[1]Emission Factors'!$B$6:$BF$61,33,FALSE)</f>
        <v>0</v>
      </c>
      <c r="I24" s="775" t="str">
        <f>VLOOKUP(A24,'[1]Emission Factors'!$B$6:$BF$61,4,FALSE)</f>
        <v>NA</v>
      </c>
      <c r="J24" s="12"/>
      <c r="K24" s="112"/>
      <c r="L24" s="112"/>
      <c r="M24" s="112"/>
      <c r="N24" s="112"/>
      <c r="P24" s="108"/>
      <c r="Q24" s="445"/>
      <c r="R24" s="445"/>
      <c r="S24" s="445"/>
      <c r="T24" s="639"/>
      <c r="U24" s="639"/>
      <c r="V24" s="639"/>
      <c r="W24" s="639"/>
      <c r="X24" s="639"/>
      <c r="Y24" s="639"/>
      <c r="Z24" s="639"/>
      <c r="AA24" s="640"/>
      <c r="AB24" s="637"/>
      <c r="AC24" s="637"/>
      <c r="AD24" s="637"/>
      <c r="AE24" s="637"/>
      <c r="AF24" s="637"/>
      <c r="AG24" s="637"/>
      <c r="AH24" s="637"/>
      <c r="AI24" s="637"/>
      <c r="AJ24" s="445"/>
      <c r="AK24" s="445"/>
      <c r="AL24" s="445"/>
    </row>
    <row r="25" spans="1:38" s="8" customFormat="1" x14ac:dyDescent="0.25">
      <c r="A25" s="765" t="s">
        <v>584</v>
      </c>
      <c r="B25" s="771">
        <f>VLOOKUP(A25,[1]!EmissionFactors,12,FALSE)</f>
        <v>-1.2122794655194187</v>
      </c>
      <c r="C25" s="771">
        <f>VLOOKUP(A25,[1]!EmissionFactors,20,FALSE)</f>
        <v>-0.36203367856084651</v>
      </c>
      <c r="D25" s="777">
        <f>VLOOKUP($A25,'Landfilling EFs'!$B$16:$GW$69,51,FALSE)</f>
        <v>6.5032852753553333E-2</v>
      </c>
      <c r="E25" s="792">
        <f>VLOOKUP($A25,'Landfilling EFs'!$B$16:$GW$69,48,FALSE)</f>
        <v>1.3291178983961094</v>
      </c>
      <c r="F25" s="793">
        <f>VLOOKUP($A25,'Landfilling EFs'!$B$16:$GW$69,49,FALSE)</f>
        <v>0.2308059764332471</v>
      </c>
      <c r="G25" s="795">
        <f>VLOOKUP(A25,'Landfilling EFs'!$B$16:$GW$69,50,FALSE)+(VLOOKUP(A25,[1]!LandfillTypicalNatlAverage,2,FALSE)*VLOOKUP(A25,LF_Collection_Scenario,7,FALSE)*(1-[1]Assumptions!$G$15)*(-'Avoided Utility'!$E$7))</f>
        <v>-0.23042290416704533</v>
      </c>
      <c r="H25" s="777">
        <f>VLOOKUP(A25,'[1]Emission Factors'!$B$6:$BF$61,33,FALSE)</f>
        <v>0</v>
      </c>
      <c r="I25" s="775" t="str">
        <f>VLOOKUP(A25,'[1]Emission Factors'!$B$6:$BF$61,4,FALSE)</f>
        <v>NA</v>
      </c>
      <c r="J25" s="12"/>
      <c r="K25" s="112"/>
      <c r="L25" s="112"/>
      <c r="M25" s="112"/>
      <c r="N25" s="112"/>
      <c r="O25" s="112"/>
      <c r="P25" s="108"/>
      <c r="Q25" s="445"/>
      <c r="R25" s="445"/>
      <c r="S25" s="445"/>
      <c r="T25" s="639"/>
      <c r="U25" s="639"/>
      <c r="V25" s="639"/>
      <c r="W25" s="639"/>
      <c r="X25" s="639"/>
      <c r="Y25" s="639"/>
      <c r="Z25" s="639"/>
      <c r="AA25" s="640"/>
      <c r="AB25" s="637"/>
      <c r="AC25" s="637"/>
      <c r="AD25" s="637"/>
      <c r="AE25" s="637"/>
      <c r="AF25" s="637"/>
      <c r="AG25" s="637"/>
      <c r="AH25" s="637"/>
      <c r="AI25" s="637"/>
      <c r="AJ25" s="445"/>
      <c r="AK25" s="445"/>
      <c r="AL25" s="445"/>
    </row>
    <row r="26" spans="1:38" s="8" customFormat="1" x14ac:dyDescent="0.25">
      <c r="A26" s="765" t="s">
        <v>585</v>
      </c>
      <c r="B26" s="771">
        <f>VLOOKUP(A26,[1]!EmissionFactors,12,FALSE)</f>
        <v>-1.432133120653396</v>
      </c>
      <c r="C26" s="771">
        <f>VLOOKUP(A26,[1]!EmissionFactors,20,FALSE)</f>
        <v>-0.42087368384529095</v>
      </c>
      <c r="D26" s="777">
        <f>VLOOKUP($A26,'Landfilling EFs'!$B$16:$GW$69,51,FALSE)</f>
        <v>0.16797174786035443</v>
      </c>
      <c r="E26" s="792">
        <f>VLOOKUP($A26,'Landfilling EFs'!$B$16:$GW$69,48,FALSE)</f>
        <v>1.4153558407243449</v>
      </c>
      <c r="F26" s="793">
        <f>VLOOKUP($A26,'Landfilling EFs'!$B$16:$GW$69,49,FALSE)</f>
        <v>0.29304157961226607</v>
      </c>
      <c r="G26" s="795">
        <f>VLOOKUP(A26,'Landfilling EFs'!$B$16:$GW$69,50,FALSE)+(VLOOKUP(A26,[1]!LandfillTypicalNatlAverage,2,FALSE)*VLOOKUP(A26,LF_Collection_Scenario,7,FALSE)*(1-[1]Assumptions!$G$15)*(-'Avoided Utility'!$E$7))</f>
        <v>-0.11638348173763147</v>
      </c>
      <c r="H26" s="777">
        <f>VLOOKUP(A26,'[1]Emission Factors'!$B$6:$BF$61,33,FALSE)</f>
        <v>0</v>
      </c>
      <c r="I26" s="775" t="str">
        <f>VLOOKUP(A26,'[1]Emission Factors'!$B$6:$BF$61,4,FALSE)</f>
        <v>NA</v>
      </c>
      <c r="J26" s="12"/>
      <c r="K26" s="112"/>
      <c r="L26" s="112"/>
      <c r="M26" s="112"/>
      <c r="N26" s="112"/>
      <c r="O26" s="112"/>
      <c r="P26" s="108"/>
      <c r="Q26" s="445"/>
      <c r="R26" s="445"/>
      <c r="S26" s="445"/>
      <c r="T26" s="639"/>
      <c r="U26" s="639"/>
      <c r="V26" s="639"/>
      <c r="W26" s="639"/>
      <c r="X26" s="639"/>
      <c r="Y26" s="639"/>
      <c r="Z26" s="639"/>
      <c r="AA26" s="640"/>
      <c r="AB26" s="637"/>
      <c r="AC26" s="637"/>
      <c r="AD26" s="637"/>
      <c r="AE26" s="637"/>
      <c r="AF26" s="637"/>
      <c r="AG26" s="637"/>
      <c r="AH26" s="637"/>
      <c r="AI26" s="637"/>
      <c r="AJ26" s="445"/>
      <c r="AK26" s="445"/>
      <c r="AL26" s="445"/>
    </row>
    <row r="27" spans="1:38" s="8" customFormat="1" x14ac:dyDescent="0.25">
      <c r="A27" s="765" t="s">
        <v>633</v>
      </c>
      <c r="B27" s="771">
        <f>VLOOKUP(A27,[1]!EmissionFactors,12,FALSE)</f>
        <v>-6.2375127723918089</v>
      </c>
      <c r="C27" s="771">
        <f>VLOOKUP(A27,[1]!EmissionFactors,20,FALSE)</f>
        <v>-3.0115435849345</v>
      </c>
      <c r="D27" s="777">
        <f>VLOOKUP($A27,'Landfilling EFs'!$B$16:$GW$69,51,FALSE)</f>
        <v>2.0254519141196047E-2</v>
      </c>
      <c r="E27" s="792">
        <f>VLOOKUP($A27,'Landfilling EFs'!$B$16:$GW$69,48,FALSE)</f>
        <v>2.0254519141196047E-2</v>
      </c>
      <c r="F27" s="793">
        <f>VLOOKUP($A27,'Landfilling EFs'!$B$16:$GW$69,49,FALSE)</f>
        <v>2.0254519141196047E-2</v>
      </c>
      <c r="G27" s="795">
        <f>+D27</f>
        <v>2.0254519141196047E-2</v>
      </c>
      <c r="H27" s="777">
        <f>VLOOKUP(A27,'[1]Emission Factors'!$B$6:$BF$61,33,FALSE)</f>
        <v>0</v>
      </c>
      <c r="I27" s="775" t="str">
        <f>VLOOKUP(A27,'[1]Emission Factors'!$B$6:$BF$61,4,FALSE)</f>
        <v>NA</v>
      </c>
      <c r="J27" s="12"/>
      <c r="K27" s="112"/>
      <c r="L27" s="112"/>
      <c r="M27" s="112"/>
      <c r="N27" s="112"/>
      <c r="O27" s="112"/>
      <c r="P27" s="108"/>
      <c r="Q27" s="445"/>
      <c r="R27" s="445"/>
      <c r="S27" s="445"/>
      <c r="T27" s="639"/>
      <c r="U27" s="639"/>
      <c r="V27" s="639"/>
      <c r="W27" s="639"/>
      <c r="X27" s="639"/>
      <c r="Y27" s="639"/>
      <c r="Z27" s="639"/>
      <c r="AA27" s="640"/>
      <c r="AB27" s="637"/>
      <c r="AC27" s="637"/>
      <c r="AD27" s="637"/>
      <c r="AE27" s="637"/>
      <c r="AF27" s="637"/>
      <c r="AG27" s="637"/>
      <c r="AH27" s="637"/>
      <c r="AI27" s="637"/>
      <c r="AJ27" s="445"/>
      <c r="AK27" s="445"/>
      <c r="AL27" s="445"/>
    </row>
    <row r="28" spans="1:38" s="8" customFormat="1" x14ac:dyDescent="0.25">
      <c r="A28" s="765" t="s">
        <v>386</v>
      </c>
      <c r="B28" s="771">
        <f>VLOOKUP(A28,[1]!EmissionFactors,12,FALSE)</f>
        <v>-1.9848528439876745</v>
      </c>
      <c r="C28" s="771">
        <f>VLOOKUP(A28,[1]!EmissionFactors,20,FALSE)</f>
        <v>-0.81756010743576546</v>
      </c>
      <c r="D28" s="777">
        <f>VLOOKUP($A28,'Landfilling EFs'!$B$16:$GW$69,51,FALSE)</f>
        <v>2.0254519141196047E-2</v>
      </c>
      <c r="E28" s="792">
        <f>VLOOKUP($A28,'Landfilling EFs'!$B$16:$GW$69,48,FALSE)</f>
        <v>2.0254519141196047E-2</v>
      </c>
      <c r="F28" s="793">
        <f>VLOOKUP($A28,'Landfilling EFs'!$B$16:$GW$69,49,FALSE)</f>
        <v>2.0254519141196047E-2</v>
      </c>
      <c r="G28" s="795">
        <f>+D28</f>
        <v>2.0254519141196047E-2</v>
      </c>
      <c r="H28" s="777">
        <f>VLOOKUP(A28,'[1]Emission Factors'!$B$6:$BF$61,33,FALSE)</f>
        <v>2.3249720281834945</v>
      </c>
      <c r="I28" s="775" t="str">
        <f>VLOOKUP(A28,'[1]Emission Factors'!$B$6:$BF$61,4,FALSE)</f>
        <v>NA</v>
      </c>
      <c r="J28" s="12"/>
      <c r="K28" s="112"/>
      <c r="L28" s="112"/>
      <c r="M28" s="112"/>
      <c r="N28" s="112"/>
      <c r="O28" s="112"/>
      <c r="Q28" s="445"/>
      <c r="R28" s="445"/>
      <c r="S28" s="445"/>
      <c r="T28" s="639"/>
      <c r="U28" s="639"/>
      <c r="V28" s="639"/>
      <c r="W28" s="639"/>
      <c r="X28" s="639"/>
      <c r="Y28" s="639"/>
      <c r="Z28" s="639"/>
      <c r="AA28" s="640"/>
      <c r="AB28" s="637"/>
      <c r="AC28" s="637"/>
      <c r="AD28" s="637"/>
      <c r="AE28" s="637"/>
      <c r="AF28" s="637"/>
      <c r="AG28" s="637"/>
      <c r="AH28" s="637"/>
      <c r="AI28" s="637"/>
      <c r="AJ28" s="445"/>
      <c r="AK28" s="445"/>
      <c r="AL28" s="445"/>
    </row>
    <row r="29" spans="1:38" s="8" customFormat="1" x14ac:dyDescent="0.25">
      <c r="A29" s="765" t="s">
        <v>272</v>
      </c>
      <c r="B29" s="771" t="str">
        <f>VLOOKUP(A29,[1]!EmissionFactors,12,FALSE)</f>
        <v>NA</v>
      </c>
      <c r="C29" s="771">
        <f>VLOOKUP(A29,[1]!EmissionFactors,20,FALSE)</f>
        <v>-0.216455448403922</v>
      </c>
      <c r="D29" s="777">
        <f>VLOOKUP($A29,'Landfilling EFs'!$B$16:$GW$69,51,FALSE)</f>
        <v>4.2039025411623542E-2</v>
      </c>
      <c r="E29" s="792">
        <f>VLOOKUP($A29,'Landfilling EFs'!$B$16:$GW$69,48,FALSE)</f>
        <v>1.1477626791734834</v>
      </c>
      <c r="F29" s="796">
        <f>VLOOKUP($A29,'Landfilling EFs'!$B$16:$GW$69,49,FALSE)</f>
        <v>0.3597622416499282</v>
      </c>
      <c r="G29" s="795">
        <f>VLOOKUP(A29,'Landfilling EFs'!$B$16:$GW$69,50,FALSE)+(VLOOKUP(A29,[1]!LandfillTypicalNatlAverage,2,FALSE)*VLOOKUP(A29,LF_Collection_Scenario,7,FALSE)*(1-[1]Assumptions!$G$15)*(-'Avoided Utility'!$E$7))</f>
        <v>-0.24867877574780095</v>
      </c>
      <c r="H29" s="777">
        <f>VLOOKUP(A29,'[1]Emission Factors'!$B$6:$BF$61,33,FALSE)</f>
        <v>7.0940969126835673E-2</v>
      </c>
      <c r="I29" s="775" t="str">
        <f>VLOOKUP(A29,'[1]Emission Factors'!$B$6:$BF$61,4,FALSE)</f>
        <v>NA</v>
      </c>
      <c r="J29" s="12"/>
      <c r="K29" s="112"/>
      <c r="L29" s="112"/>
      <c r="M29" s="112"/>
      <c r="N29" s="112"/>
      <c r="O29" s="112"/>
      <c r="P29" s="108"/>
      <c r="Q29" s="445"/>
      <c r="R29" s="445"/>
      <c r="S29" s="445"/>
      <c r="T29" s="639"/>
      <c r="U29" s="639"/>
      <c r="V29" s="639"/>
      <c r="W29" s="639"/>
      <c r="X29" s="639"/>
      <c r="Y29" s="639"/>
      <c r="Z29" s="639"/>
      <c r="AA29" s="640"/>
      <c r="AB29" s="637"/>
      <c r="AC29" s="637"/>
      <c r="AD29" s="637"/>
      <c r="AE29" s="637"/>
      <c r="AF29" s="637"/>
      <c r="AG29" s="637"/>
      <c r="AH29" s="637"/>
      <c r="AI29" s="637"/>
      <c r="AJ29" s="445"/>
      <c r="AK29" s="445"/>
      <c r="AL29" s="445"/>
    </row>
    <row r="30" spans="1:38" s="8" customFormat="1" x14ac:dyDescent="0.25">
      <c r="A30" s="765" t="s">
        <v>385</v>
      </c>
      <c r="B30" s="771" t="str">
        <f>VLOOKUP(A30,[1]!EmissionFactors,12,FALSE)</f>
        <v>NA</v>
      </c>
      <c r="C30" s="771" t="str">
        <f>VLOOKUP(A30,[1]!EmissionFactors,20,FALSE)</f>
        <v>NA</v>
      </c>
      <c r="D30" s="777">
        <f>VLOOKUP($A30,'Landfilling EFs'!$B$16:$GW$69,51,FALSE)</f>
        <v>0.20394563774350857</v>
      </c>
      <c r="E30" s="792">
        <f>VLOOKUP($A30,'Landfilling EFs'!$B$16:$GW$69,48,FALSE)</f>
        <v>0.82763403329379814</v>
      </c>
      <c r="F30" s="793">
        <f>VLOOKUP($A30,'Landfilling EFs'!$B$16:$GW$69,49,FALSE)</f>
        <v>0.22150482871433738</v>
      </c>
      <c r="G30" s="795">
        <f>VLOOKUP(A30,'Landfilling EFs'!$B$16:$GW$69,50,FALSE)+(VLOOKUP(A30,[1]!LandfillTypicalNatlAverage,2,FALSE)*VLOOKUP(A30,LF_Collection_Scenario,7,FALSE)*(1-[1]Assumptions!$G$15)*(-'Avoided Utility'!$E$7))</f>
        <v>7.0173461701123235E-2</v>
      </c>
      <c r="H30" s="777">
        <f>VLOOKUP(A30,'[1]Emission Factors'!$B$6:$BF$61,33,FALSE)</f>
        <v>0</v>
      </c>
      <c r="I30" s="775">
        <f>VLOOKUP(A30,'[1]Emission Factors'!$B$6:$BF$61,4,FALSE)</f>
        <v>-0.16175802015735463</v>
      </c>
      <c r="J30" s="12"/>
      <c r="K30" s="112"/>
      <c r="L30" s="112"/>
      <c r="M30" s="112"/>
      <c r="N30" s="112"/>
      <c r="O30" s="112"/>
      <c r="P30" s="108"/>
      <c r="Q30" s="445"/>
      <c r="R30" s="445"/>
      <c r="S30" s="445"/>
      <c r="T30" s="639"/>
      <c r="U30" s="639"/>
      <c r="V30" s="639"/>
      <c r="W30" s="639"/>
      <c r="X30" s="639"/>
      <c r="Y30" s="639"/>
      <c r="Z30" s="639"/>
      <c r="AA30" s="640"/>
      <c r="AB30" s="637"/>
      <c r="AC30" s="637"/>
      <c r="AD30" s="637"/>
      <c r="AE30" s="637"/>
      <c r="AF30" s="637"/>
      <c r="AG30" s="637"/>
      <c r="AH30" s="637"/>
      <c r="AI30" s="637"/>
      <c r="AJ30" s="445"/>
      <c r="AK30" s="445"/>
      <c r="AL30" s="445"/>
    </row>
    <row r="31" spans="1:38" s="8" customFormat="1" x14ac:dyDescent="0.25">
      <c r="A31" s="765" t="s">
        <v>574</v>
      </c>
      <c r="B31" s="771" t="str">
        <f>VLOOKUP(A31,[1]!EmissionFactors,12,FALSE)</f>
        <v>NA</v>
      </c>
      <c r="C31" s="771" t="str">
        <f>VLOOKUP(A31,[1]!EmissionFactors,20,FALSE)</f>
        <v>NA</v>
      </c>
      <c r="D31" s="777">
        <f>VLOOKUP($A31,'Landfilling EFs'!$B$16:$GW$69,51,FALSE)</f>
        <v>0.34711265199080921</v>
      </c>
      <c r="E31" s="792">
        <f>VLOOKUP($A31,'Landfilling EFs'!$B$16:$GW$69,48,FALSE)</f>
        <v>1.270666125629196</v>
      </c>
      <c r="F31" s="793">
        <f>VLOOKUP($A31,'Landfilling EFs'!$B$16:$GW$69,49,FALSE)</f>
        <v>0.45743010919162508</v>
      </c>
      <c r="G31" s="795">
        <f>VLOOKUP(A31,'Landfilling EFs'!$B$16:$GW$69,50,FALSE)+(VLOOKUP(A31,[1]!LandfillTypicalNatlAverage,2,FALSE)*VLOOKUP(A31,LF_Collection_Scenario,7,FALSE)*(1-[1]Assumptions!$G$15)*(-'Avoided Utility'!$E$7))</f>
        <v>0.13326750428799328</v>
      </c>
      <c r="H31" s="777">
        <f>VLOOKUP(A31,'[1]Emission Factors'!$B$6:$BF$61,33,FALSE)</f>
        <v>0.31981459674311946</v>
      </c>
      <c r="I31" s="775" t="str">
        <f>VLOOKUP(A31,'[1]Emission Factors'!$B$6:$BF$61,4,FALSE)</f>
        <v>NA</v>
      </c>
      <c r="J31" s="12"/>
      <c r="K31" s="112"/>
      <c r="L31" s="112"/>
      <c r="M31" s="112"/>
      <c r="N31" s="112"/>
      <c r="O31" s="112"/>
      <c r="P31" s="108"/>
      <c r="Q31" s="445"/>
      <c r="R31" s="445"/>
      <c r="S31" s="445"/>
      <c r="T31" s="639"/>
      <c r="U31" s="639"/>
      <c r="V31" s="639"/>
      <c r="W31" s="639"/>
      <c r="X31" s="639"/>
      <c r="Y31" s="639"/>
      <c r="Z31" s="639"/>
      <c r="AA31" s="640"/>
      <c r="AB31" s="637"/>
      <c r="AC31" s="637"/>
      <c r="AD31" s="637"/>
      <c r="AE31" s="637"/>
      <c r="AF31" s="637"/>
      <c r="AG31" s="637"/>
      <c r="AH31" s="637"/>
      <c r="AI31" s="637"/>
      <c r="AJ31" s="445"/>
      <c r="AK31" s="445"/>
      <c r="AL31" s="445"/>
    </row>
    <row r="32" spans="1:38" s="8" customFormat="1" x14ac:dyDescent="0.25">
      <c r="A32" s="765" t="s">
        <v>573</v>
      </c>
      <c r="B32" s="771">
        <f>VLOOKUP(A32,[1]!EmissionFactors,12,FALSE)</f>
        <v>-3.8185992981347638</v>
      </c>
      <c r="C32" s="771">
        <f>VLOOKUP(A32,[1]!EmissionFactors,20,FALSE)</f>
        <v>-1.4089323189981253</v>
      </c>
      <c r="D32" s="777">
        <f>VLOOKUP($A32,'Landfilling EFs'!$B$16:$GW$69,51,FALSE)</f>
        <v>2.0254519141196047E-2</v>
      </c>
      <c r="E32" s="792">
        <f>VLOOKUP($A32,'Landfilling EFs'!$B$16:$GW$69,48,FALSE)</f>
        <v>2.0254519141196047E-2</v>
      </c>
      <c r="F32" s="793">
        <f>VLOOKUP($A32,'Landfilling EFs'!$B$16:$GW$69,49,FALSE)</f>
        <v>2.0254519141196047E-2</v>
      </c>
      <c r="G32" s="795">
        <f>+D32</f>
        <v>2.0254519141196047E-2</v>
      </c>
      <c r="H32" s="777">
        <f>VLOOKUP(A32,'[1]Emission Factors'!$B$6:$BF$61,33,FALSE)</f>
        <v>1.6660509722096217</v>
      </c>
      <c r="I32" s="775" t="str">
        <f>VLOOKUP(A32,'[1]Emission Factors'!$B$6:$BF$61,4,FALSE)</f>
        <v>NA</v>
      </c>
      <c r="J32" s="12"/>
      <c r="K32" s="112"/>
      <c r="L32" s="112"/>
      <c r="M32" s="112"/>
      <c r="N32" s="112"/>
      <c r="O32" s="112"/>
      <c r="P32" s="108"/>
      <c r="Q32" s="445"/>
      <c r="R32" s="445"/>
      <c r="S32" s="445"/>
      <c r="T32" s="639"/>
      <c r="U32" s="639"/>
      <c r="V32" s="639"/>
      <c r="W32" s="639"/>
      <c r="X32" s="639"/>
      <c r="Y32" s="639"/>
      <c r="Z32" s="639"/>
      <c r="AA32" s="640"/>
      <c r="AB32" s="637"/>
      <c r="AC32" s="637"/>
      <c r="AD32" s="637"/>
      <c r="AE32" s="637"/>
      <c r="AF32" s="637"/>
      <c r="AG32" s="637"/>
      <c r="AH32" s="637"/>
      <c r="AI32" s="637"/>
      <c r="AJ32" s="445"/>
      <c r="AK32" s="445"/>
      <c r="AL32" s="445"/>
    </row>
    <row r="33" spans="1:38" s="25" customFormat="1" x14ac:dyDescent="0.25">
      <c r="A33" s="765" t="s">
        <v>423</v>
      </c>
      <c r="B33" s="771">
        <f>VLOOKUP(A33,[1]!EmissionFactors,12,FALSE)</f>
        <v>-50.486963654668344</v>
      </c>
      <c r="C33" s="771">
        <f>VLOOKUP(A33,[1]!EmissionFactors,20,FALSE)</f>
        <v>-1.5826030079403322</v>
      </c>
      <c r="D33" s="777">
        <f>VLOOKUP($A33,'Landfilling EFs'!$B$16:$GW$69,51,FALSE)</f>
        <v>2.0254519141196047E-2</v>
      </c>
      <c r="E33" s="792">
        <f>VLOOKUP($A33,'Landfilling EFs'!$B$16:$GW$69,48,FALSE)</f>
        <v>2.0254519141196047E-2</v>
      </c>
      <c r="F33" s="793">
        <f>VLOOKUP($A33,'Landfilling EFs'!$B$16:$GW$69,49,FALSE)</f>
        <v>2.0254519141196047E-2</v>
      </c>
      <c r="G33" s="795">
        <f t="shared" ref="G33:G49" si="1">+D33</f>
        <v>2.0254519141196047E-2</v>
      </c>
      <c r="H33" s="777">
        <f>VLOOKUP(A33,'[1]Emission Factors'!$B$6:$BF$61,33,FALSE)</f>
        <v>0.38120418475452611</v>
      </c>
      <c r="I33" s="775" t="str">
        <f>VLOOKUP(A33,'[1]Emission Factors'!$B$6:$BF$61,4,FALSE)</f>
        <v>NA</v>
      </c>
      <c r="J33" s="12"/>
      <c r="K33" s="12"/>
      <c r="L33" s="12"/>
      <c r="M33" s="12"/>
      <c r="N33" s="12"/>
      <c r="O33" s="12"/>
      <c r="P33" s="82"/>
      <c r="Q33" s="445"/>
      <c r="R33" s="445"/>
      <c r="S33" s="445"/>
      <c r="T33" s="639"/>
      <c r="U33" s="639"/>
      <c r="V33" s="639"/>
      <c r="W33" s="639"/>
      <c r="X33" s="639"/>
      <c r="Y33" s="639"/>
      <c r="Z33" s="639"/>
      <c r="AA33" s="640"/>
      <c r="AB33" s="637"/>
      <c r="AC33" s="637"/>
      <c r="AD33" s="637"/>
      <c r="AE33" s="637"/>
      <c r="AF33" s="637"/>
      <c r="AG33" s="637"/>
      <c r="AH33" s="637"/>
      <c r="AI33" s="637"/>
      <c r="AJ33" s="445"/>
      <c r="AK33" s="445"/>
      <c r="AL33" s="445"/>
    </row>
    <row r="34" spans="1:38" s="8" customFormat="1" x14ac:dyDescent="0.25">
      <c r="A34" s="765" t="s">
        <v>455</v>
      </c>
      <c r="B34" s="771">
        <f>VLOOKUP(A34,[1]!EmissionFactors,12,FALSE)</f>
        <v>-0.27330976660243145</v>
      </c>
      <c r="C34" s="771" t="str">
        <f>VLOOKUP(A34,[1]!EmissionFactors,20,FALSE)</f>
        <v>NA</v>
      </c>
      <c r="D34" s="777">
        <f>VLOOKUP($A34,'Landfilling EFs'!$B$16:$GW$69,51,FALSE)</f>
        <v>2.0254519141196047E-2</v>
      </c>
      <c r="E34" s="792">
        <f>VLOOKUP($A34,'Landfilling EFs'!$B$16:$GW$69,48,FALSE)</f>
        <v>2.0254519141196047E-2</v>
      </c>
      <c r="F34" s="793">
        <f>VLOOKUP($A34,'Landfilling EFs'!$B$16:$GW$69,49,FALSE)</f>
        <v>2.0254519141196047E-2</v>
      </c>
      <c r="G34" s="795">
        <f t="shared" si="1"/>
        <v>2.0254519141196047E-2</v>
      </c>
      <c r="H34" s="777" t="str">
        <f>VLOOKUP(A34,'[1]Emission Factors'!$B$6:$BF$61,33,FALSE)</f>
        <v>NA</v>
      </c>
      <c r="I34" s="775" t="str">
        <f>VLOOKUP(A34,'[1]Emission Factors'!$B$6:$BF$61,4,FALSE)</f>
        <v>NA</v>
      </c>
      <c r="J34" s="12"/>
      <c r="K34" s="112"/>
      <c r="L34" s="112"/>
      <c r="M34" s="112"/>
      <c r="N34" s="112"/>
      <c r="O34" s="112"/>
      <c r="P34" s="108"/>
      <c r="Q34" s="445"/>
      <c r="R34" s="445"/>
      <c r="S34" s="445"/>
      <c r="T34" s="639"/>
      <c r="U34" s="639"/>
      <c r="V34" s="639"/>
      <c r="W34" s="639"/>
      <c r="X34" s="639"/>
      <c r="Y34" s="639"/>
      <c r="Z34" s="639"/>
      <c r="AA34" s="640"/>
      <c r="AB34" s="637"/>
      <c r="AC34" s="637"/>
      <c r="AD34" s="637"/>
      <c r="AE34" s="637"/>
      <c r="AF34" s="637"/>
      <c r="AG34" s="637"/>
      <c r="AH34" s="637"/>
      <c r="AI34" s="637"/>
      <c r="AJ34" s="445"/>
      <c r="AK34" s="445"/>
      <c r="AL34" s="445"/>
    </row>
    <row r="35" spans="1:38" s="8" customFormat="1" x14ac:dyDescent="0.25">
      <c r="A35" s="765" t="s">
        <v>476</v>
      </c>
      <c r="B35" s="771" t="str">
        <f>VLOOKUP(A35,[1]!EmissionFactors,12,FALSE)</f>
        <v>NA</v>
      </c>
      <c r="C35" s="771">
        <f>VLOOKUP(A35,[1]!EmissionFactors,20,FALSE)</f>
        <v>-1.044191120954233E-3</v>
      </c>
      <c r="D35" s="777">
        <f>VLOOKUP($A35,'Landfilling EFs'!$B$16:$GW$69,51,FALSE)</f>
        <v>2.0254519141196047E-2</v>
      </c>
      <c r="E35" s="792">
        <f>VLOOKUP($A35,'Landfilling EFs'!$B$16:$GW$69,48,FALSE)</f>
        <v>2.0254519141196047E-2</v>
      </c>
      <c r="F35" s="793">
        <f>VLOOKUP($A35,'Landfilling EFs'!$B$16:$GW$69,49,FALSE)</f>
        <v>2.0254519141196047E-2</v>
      </c>
      <c r="G35" s="795">
        <f t="shared" si="1"/>
        <v>2.0254519141196047E-2</v>
      </c>
      <c r="H35" s="777" t="str">
        <f>VLOOKUP(A35,'[1]Emission Factors'!$B$6:$BF$61,33,FALSE)</f>
        <v>NA</v>
      </c>
      <c r="I35" s="775" t="str">
        <f>VLOOKUP(A35,'[1]Emission Factors'!$B$6:$BF$61,4,FALSE)</f>
        <v>NA</v>
      </c>
      <c r="J35" s="12"/>
      <c r="K35" s="112"/>
      <c r="L35" s="112"/>
      <c r="M35" s="112"/>
      <c r="N35" s="112"/>
      <c r="O35" s="112"/>
      <c r="P35" s="108"/>
      <c r="Q35" s="445"/>
      <c r="R35" s="445"/>
      <c r="S35" s="445"/>
      <c r="T35" s="639"/>
      <c r="U35" s="639"/>
      <c r="V35" s="639"/>
      <c r="W35" s="639"/>
      <c r="X35" s="639"/>
      <c r="Y35" s="639"/>
      <c r="Z35" s="639"/>
      <c r="AA35" s="640"/>
      <c r="AB35" s="637"/>
      <c r="AC35" s="637"/>
      <c r="AD35" s="637"/>
      <c r="AE35" s="637"/>
      <c r="AF35" s="637"/>
      <c r="AG35" s="637"/>
      <c r="AH35" s="637"/>
      <c r="AI35" s="637"/>
      <c r="AJ35" s="445"/>
      <c r="AK35" s="445"/>
      <c r="AL35" s="445"/>
    </row>
    <row r="36" spans="1:38" s="8" customFormat="1" x14ac:dyDescent="0.25">
      <c r="A36" s="765" t="s">
        <v>131</v>
      </c>
      <c r="B36" s="771" t="str">
        <f>VLOOKUP(A36,[1]!EmissionFactors,12,FALSE)</f>
        <v>NA</v>
      </c>
      <c r="C36" s="771">
        <f>VLOOKUP(A36,[1]!EmissionFactors,20,FALSE)</f>
        <v>-0.41916059905234299</v>
      </c>
      <c r="D36" s="777">
        <f>VLOOKUP($A36,'Landfilling EFs'!$B$16:$GW$69,51,FALSE)</f>
        <v>2.0254519141196047E-2</v>
      </c>
      <c r="E36" s="792">
        <f>VLOOKUP($A36,'Landfilling EFs'!$B$16:$GW$69,48,FALSE)</f>
        <v>2.0254519141196047E-2</v>
      </c>
      <c r="F36" s="793">
        <f>VLOOKUP($A36,'Landfilling EFs'!$B$16:$GW$69,49,FALSE)</f>
        <v>2.0254519141196047E-2</v>
      </c>
      <c r="G36" s="795">
        <f t="shared" si="1"/>
        <v>2.0254519141196047E-2</v>
      </c>
      <c r="H36" s="777" t="str">
        <f>VLOOKUP(A36,'[1]Emission Factors'!$B$6:$BF$61,33,FALSE)</f>
        <v>NA</v>
      </c>
      <c r="I36" s="775" t="str">
        <f>VLOOKUP(A36,'[1]Emission Factors'!$B$6:$BF$61,4,FALSE)</f>
        <v>NA</v>
      </c>
      <c r="J36" s="12"/>
      <c r="K36" s="112"/>
      <c r="L36" s="112"/>
      <c r="M36" s="112"/>
      <c r="N36" s="112"/>
      <c r="O36" s="112"/>
      <c r="P36" s="108"/>
      <c r="Q36" s="445"/>
      <c r="R36" s="445"/>
      <c r="S36" s="445"/>
      <c r="T36" s="639"/>
      <c r="U36" s="639"/>
      <c r="V36" s="639"/>
      <c r="W36" s="639"/>
      <c r="X36" s="639"/>
      <c r="Y36" s="639"/>
      <c r="Z36" s="639"/>
      <c r="AA36" s="640"/>
      <c r="AB36" s="637"/>
      <c r="AC36" s="637"/>
      <c r="AD36" s="637"/>
      <c r="AE36" s="637"/>
      <c r="AF36" s="637"/>
      <c r="AG36" s="637"/>
      <c r="AH36" s="637"/>
      <c r="AI36" s="637"/>
      <c r="AJ36" s="445"/>
      <c r="AK36" s="445"/>
      <c r="AL36" s="445"/>
    </row>
    <row r="37" spans="1:38" x14ac:dyDescent="0.25">
      <c r="A37" s="765" t="s">
        <v>444</v>
      </c>
      <c r="B37" s="771">
        <f>VLOOKUP(A37,[1]!EmissionFactors,12,FALSE)</f>
        <v>-4.4378419265320286</v>
      </c>
      <c r="C37" s="771">
        <f>VLOOKUP(A37,[1]!EmissionFactors,20,FALSE)</f>
        <v>-0.45846589872402344</v>
      </c>
      <c r="D37" s="777">
        <f>VLOOKUP($A37,'Landfilling EFs'!$B$16:$GW$69,51,FALSE)</f>
        <v>2.0254519141196047E-2</v>
      </c>
      <c r="E37" s="792">
        <f>VLOOKUP($A37,'Landfilling EFs'!$B$16:$GW$69,48,FALSE)</f>
        <v>2.0254519141196047E-2</v>
      </c>
      <c r="F37" s="793">
        <f>VLOOKUP($A37,'Landfilling EFs'!$B$16:$GW$69,49,FALSE)</f>
        <v>2.0254519141196047E-2</v>
      </c>
      <c r="G37" s="795">
        <f t="shared" si="1"/>
        <v>2.0254519141196047E-2</v>
      </c>
      <c r="H37" s="777">
        <f>VLOOKUP(A37,'[1]Emission Factors'!$B$6:$BF$61,33,FALSE)</f>
        <v>2.1976090014064695</v>
      </c>
      <c r="I37" s="775" t="str">
        <f>VLOOKUP(A37,'[1]Emission Factors'!$B$6:$BF$61,4,FALSE)</f>
        <v>NA</v>
      </c>
      <c r="Q37" s="445"/>
      <c r="R37" s="445"/>
      <c r="S37" s="445"/>
      <c r="T37" s="639"/>
      <c r="U37" s="639"/>
      <c r="V37" s="639"/>
      <c r="W37" s="639"/>
      <c r="X37" s="639"/>
      <c r="Y37" s="639"/>
      <c r="Z37" s="639"/>
      <c r="AA37" s="640"/>
      <c r="AB37" s="637"/>
      <c r="AC37" s="637"/>
      <c r="AD37" s="637"/>
      <c r="AE37" s="637"/>
      <c r="AF37" s="637"/>
      <c r="AG37" s="637"/>
      <c r="AH37" s="637"/>
      <c r="AI37" s="637"/>
      <c r="AJ37" s="445"/>
      <c r="AK37" s="445"/>
      <c r="AL37" s="445"/>
    </row>
    <row r="38" spans="1:38" x14ac:dyDescent="0.25">
      <c r="A38" s="765" t="s">
        <v>53</v>
      </c>
      <c r="B38" s="771">
        <f>VLOOKUP(A38,[1]!EmissionFactors,12,FALSE)</f>
        <v>-0.11121434837019081</v>
      </c>
      <c r="C38" s="771">
        <f>VLOOKUP(A38,[1]!EmissionFactors,20,FALSE)</f>
        <v>-3.1434494370447298E-2</v>
      </c>
      <c r="D38" s="777">
        <f>VLOOKUP($A38,'Landfilling EFs'!$B$16:$GW$69,51,FALSE)</f>
        <v>2.0254519141196047E-2</v>
      </c>
      <c r="E38" s="792">
        <f>VLOOKUP($A38,'Landfilling EFs'!$B$16:$GW$69,48,FALSE)</f>
        <v>2.0254519141196047E-2</v>
      </c>
      <c r="F38" s="793">
        <f>VLOOKUP($A38,'Landfilling EFs'!$B$16:$GW$69,49,FALSE)</f>
        <v>2.0254519141196047E-2</v>
      </c>
      <c r="G38" s="795">
        <f t="shared" si="1"/>
        <v>2.0254519141196047E-2</v>
      </c>
      <c r="H38" s="777" t="str">
        <f>VLOOKUP(A38,'[1]Emission Factors'!$B$6:$BF$61,33,FALSE)</f>
        <v>NA</v>
      </c>
      <c r="I38" s="775" t="str">
        <f>VLOOKUP(A38,'[1]Emission Factors'!$B$6:$BF$61,4,FALSE)</f>
        <v>NA</v>
      </c>
      <c r="Q38" s="445"/>
      <c r="R38" s="445"/>
      <c r="S38" s="445"/>
      <c r="T38" s="639"/>
      <c r="U38" s="639"/>
      <c r="V38" s="639"/>
      <c r="W38" s="639"/>
      <c r="X38" s="639"/>
      <c r="Y38" s="639"/>
      <c r="Z38" s="639"/>
      <c r="AA38" s="640"/>
      <c r="AB38" s="637"/>
      <c r="AC38" s="637"/>
      <c r="AD38" s="637"/>
      <c r="AE38" s="637"/>
      <c r="AF38" s="637"/>
      <c r="AG38" s="637"/>
      <c r="AH38" s="637"/>
      <c r="AI38" s="637"/>
      <c r="AJ38" s="445"/>
      <c r="AK38" s="445"/>
      <c r="AL38" s="445"/>
    </row>
    <row r="39" spans="1:38" x14ac:dyDescent="0.25">
      <c r="A39" s="765" t="s">
        <v>54</v>
      </c>
      <c r="B39" s="771">
        <f>VLOOKUP(A39,[1]!EmissionFactors,12,FALSE)</f>
        <v>-0.19361613190346125</v>
      </c>
      <c r="C39" s="771">
        <f>VLOOKUP(A39,[1]!EmissionFactors,20,FALSE)</f>
        <v>-0.1087391053374223</v>
      </c>
      <c r="D39" s="777">
        <f>VLOOKUP($A39,'Landfilling EFs'!$B$16:$GW$69,51,FALSE)</f>
        <v>2.0254519141196047E-2</v>
      </c>
      <c r="E39" s="792">
        <f>VLOOKUP($A39,'Landfilling EFs'!$B$16:$GW$69,48,FALSE)</f>
        <v>2.0254519141196047E-2</v>
      </c>
      <c r="F39" s="793">
        <f>VLOOKUP($A39,'Landfilling EFs'!$B$16:$GW$69,49,FALSE)</f>
        <v>2.0254519141196047E-2</v>
      </c>
      <c r="G39" s="795">
        <f t="shared" si="1"/>
        <v>2.0254519141196047E-2</v>
      </c>
      <c r="H39" s="777">
        <f>VLOOKUP(A39,'[1]Emission Factors'!$B$6:$BF$61,33,FALSE)</f>
        <v>0.65307733333333318</v>
      </c>
      <c r="I39" s="775" t="str">
        <f>VLOOKUP(A39,'[1]Emission Factors'!$B$6:$BF$61,4,FALSE)</f>
        <v>NA</v>
      </c>
      <c r="Q39" s="445"/>
      <c r="R39" s="445"/>
      <c r="S39" s="445"/>
      <c r="T39" s="639"/>
      <c r="U39" s="639"/>
      <c r="V39" s="639"/>
      <c r="W39" s="639"/>
      <c r="X39" s="639"/>
      <c r="Y39" s="639"/>
      <c r="Z39" s="639"/>
      <c r="AA39" s="640"/>
      <c r="AB39" s="637"/>
      <c r="AC39" s="637"/>
      <c r="AD39" s="637"/>
      <c r="AE39" s="637"/>
      <c r="AF39" s="637"/>
      <c r="AG39" s="637"/>
      <c r="AH39" s="637"/>
      <c r="AI39" s="637"/>
      <c r="AJ39" s="445"/>
      <c r="AK39" s="445"/>
      <c r="AL39" s="445"/>
    </row>
    <row r="40" spans="1:38" x14ac:dyDescent="0.25">
      <c r="A40" s="765" t="s">
        <v>55</v>
      </c>
      <c r="B40" s="771">
        <f>VLOOKUP(A40,[1]!EmissionFactors,12,FALSE)</f>
        <v>-0.21324765004716909</v>
      </c>
      <c r="C40" s="771">
        <f>VLOOKUP(A40,[1]!EmissionFactors,20,FALSE)</f>
        <v>5.3485283988122332E-3</v>
      </c>
      <c r="D40" s="777">
        <f>VLOOKUP($A40,'Landfilling EFs'!$B$16:$GW$69,51,FALSE)</f>
        <v>-6.1041329359337294E-2</v>
      </c>
      <c r="E40" s="792">
        <f>VLOOKUP($A40,'Landfilling EFs'!$B$16:$GW$69,48,FALSE)</f>
        <v>-6.1041329359337294E-2</v>
      </c>
      <c r="F40" s="793">
        <f>VLOOKUP($A40,'Landfilling EFs'!$B$16:$GW$69,49,FALSE)</f>
        <v>-6.1041329359337294E-2</v>
      </c>
      <c r="G40" s="795">
        <f t="shared" si="1"/>
        <v>-6.1041329359337294E-2</v>
      </c>
      <c r="H40" s="777" t="str">
        <f>VLOOKUP(A40,'[1]Emission Factors'!$B$6:$BF$61,33,FALSE)</f>
        <v>NA</v>
      </c>
      <c r="I40" s="775" t="str">
        <f>VLOOKUP(A40,'[1]Emission Factors'!$B$6:$BF$61,4,FALSE)</f>
        <v>NA</v>
      </c>
      <c r="Q40" s="445"/>
      <c r="R40" s="445"/>
      <c r="S40" s="445"/>
      <c r="T40" s="639"/>
      <c r="U40" s="639"/>
      <c r="V40" s="639"/>
      <c r="W40" s="639"/>
      <c r="X40" s="639"/>
      <c r="Y40" s="639"/>
      <c r="Z40" s="639"/>
      <c r="AA40" s="640"/>
      <c r="AB40" s="637"/>
      <c r="AC40" s="637"/>
      <c r="AD40" s="637"/>
      <c r="AE40" s="637"/>
      <c r="AF40" s="637"/>
      <c r="AG40" s="637"/>
      <c r="AH40" s="637"/>
      <c r="AI40" s="637"/>
      <c r="AJ40" s="445"/>
      <c r="AK40" s="445"/>
      <c r="AL40" s="445"/>
    </row>
    <row r="41" spans="1:38" x14ac:dyDescent="0.25">
      <c r="A41" s="765" t="s">
        <v>56</v>
      </c>
      <c r="B41" s="771">
        <f>VLOOKUP(A41,[1]!EmissionFactors,12,FALSE)</f>
        <v>-0.48714430820443344</v>
      </c>
      <c r="C41" s="771" t="str">
        <f>VLOOKUP(A41,[1]!EmissionFactors,20,FALSE)</f>
        <v>NA</v>
      </c>
      <c r="D41" s="777">
        <f>VLOOKUP($A41,'Landfilling EFs'!$B$16:$GW$69,51,FALSE)</f>
        <v>2.0254519141196047E-2</v>
      </c>
      <c r="E41" s="792">
        <f>VLOOKUP($A41,'Landfilling EFs'!$B$16:$GW$69,48,FALSE)</f>
        <v>2.0254519141196047E-2</v>
      </c>
      <c r="F41" s="793">
        <f>VLOOKUP($A41,'Landfilling EFs'!$B$16:$GW$69,49,FALSE)</f>
        <v>2.0254519141196047E-2</v>
      </c>
      <c r="G41" s="795">
        <f t="shared" si="1"/>
        <v>2.0254519141196047E-2</v>
      </c>
      <c r="H41" s="777" t="str">
        <f>VLOOKUP(A41,'[1]Emission Factors'!$B$6:$BF$61,33,FALSE)</f>
        <v>NA</v>
      </c>
      <c r="I41" s="775" t="str">
        <f>VLOOKUP(A41,'[1]Emission Factors'!$B$6:$BF$61,4,FALSE)</f>
        <v>NA</v>
      </c>
      <c r="Q41" s="445"/>
      <c r="R41" s="445"/>
      <c r="S41" s="445"/>
      <c r="T41" s="639"/>
      <c r="U41" s="639"/>
      <c r="V41" s="639"/>
      <c r="W41" s="639"/>
      <c r="X41" s="639"/>
      <c r="Y41" s="639"/>
      <c r="Z41" s="639"/>
      <c r="AA41" s="640"/>
      <c r="AB41" s="637"/>
      <c r="AC41" s="637"/>
      <c r="AD41" s="637"/>
      <c r="AE41" s="637"/>
      <c r="AF41" s="637"/>
      <c r="AG41" s="637"/>
      <c r="AH41" s="637"/>
      <c r="AI41" s="637"/>
      <c r="AJ41" s="445"/>
      <c r="AK41" s="445"/>
      <c r="AL41" s="445"/>
    </row>
    <row r="42" spans="1:38" x14ac:dyDescent="0.25">
      <c r="A42" s="765" t="s">
        <v>57</v>
      </c>
      <c r="B42" s="771">
        <f>VLOOKUP(A42,[1]!EmissionFactors,12,FALSE)</f>
        <v>-0.6079611455636369</v>
      </c>
      <c r="C42" s="771" t="str">
        <f>VLOOKUP(A42,[1]!EmissionFactors,20,FALSE)</f>
        <v>NA</v>
      </c>
      <c r="D42" s="777">
        <f>VLOOKUP($A42,'Landfilling EFs'!$B$16:$GW$69,51,FALSE)</f>
        <v>2.0254519141196047E-2</v>
      </c>
      <c r="E42" s="792">
        <f>VLOOKUP($A42,'Landfilling EFs'!$B$16:$GW$69,48,FALSE)</f>
        <v>2.0254519141196047E-2</v>
      </c>
      <c r="F42" s="793">
        <f>VLOOKUP($A42,'Landfilling EFs'!$B$16:$GW$69,49,FALSE)</f>
        <v>2.0254519141196047E-2</v>
      </c>
      <c r="G42" s="795">
        <f t="shared" si="1"/>
        <v>2.0254519141196047E-2</v>
      </c>
      <c r="H42" s="777">
        <f>VLOOKUP(A42,'[1]Emission Factors'!$B$6:$BF$61,33,FALSE)</f>
        <v>0.28088693153464978</v>
      </c>
      <c r="I42" s="775" t="str">
        <f>VLOOKUP(A42,'[1]Emission Factors'!$B$6:$BF$61,4,FALSE)</f>
        <v>NA</v>
      </c>
      <c r="Q42" s="445"/>
      <c r="R42" s="445"/>
      <c r="S42" s="445"/>
      <c r="T42" s="639"/>
      <c r="U42" s="639"/>
      <c r="V42" s="639"/>
      <c r="W42" s="639"/>
      <c r="X42" s="639"/>
      <c r="Y42" s="639"/>
      <c r="Z42" s="639"/>
      <c r="AA42" s="640"/>
      <c r="AB42" s="637"/>
      <c r="AC42" s="637"/>
      <c r="AD42" s="637"/>
      <c r="AE42" s="637"/>
      <c r="AF42" s="637"/>
      <c r="AG42" s="637"/>
      <c r="AH42" s="637"/>
      <c r="AI42" s="637"/>
      <c r="AJ42" s="445"/>
      <c r="AK42" s="445"/>
      <c r="AL42" s="445"/>
    </row>
    <row r="43" spans="1:38" x14ac:dyDescent="0.25">
      <c r="A43" s="765" t="s">
        <v>58</v>
      </c>
      <c r="B43" s="771">
        <f>VLOOKUP(A43,[1]!EmissionFactors,12,FALSE)</f>
        <v>-0.38923590862371477</v>
      </c>
      <c r="C43" s="771" t="str">
        <f>VLOOKUP(A43,[1]!EmissionFactors,20,FALSE)</f>
        <v>NA</v>
      </c>
      <c r="D43" s="777">
        <f>VLOOKUP($A43,'Landfilling EFs'!$B$16:$GW$69,51,FALSE)</f>
        <v>-0.8592610862888036</v>
      </c>
      <c r="E43" s="792">
        <f>VLOOKUP($A43,'Landfilling EFs'!$B$16:$GW$69,48,FALSE)</f>
        <v>-0.8592610862888036</v>
      </c>
      <c r="F43" s="793">
        <f>VLOOKUP($A43,'Landfilling EFs'!$B$16:$GW$69,49,FALSE)</f>
        <v>-0.8592610862888036</v>
      </c>
      <c r="G43" s="795">
        <f t="shared" si="1"/>
        <v>-0.8592610862888036</v>
      </c>
      <c r="H43" s="777">
        <f>VLOOKUP(A43,'[1]Emission Factors'!$B$6:$BF$61,33,FALSE)</f>
        <v>0</v>
      </c>
      <c r="I43" s="775" t="str">
        <f>VLOOKUP(A43,'[1]Emission Factors'!$B$6:$BF$61,4,FALSE)</f>
        <v>NA</v>
      </c>
      <c r="Q43" s="445"/>
      <c r="R43" s="445"/>
      <c r="S43" s="445"/>
      <c r="T43" s="639"/>
      <c r="U43" s="639"/>
      <c r="V43" s="639"/>
      <c r="W43" s="639"/>
      <c r="X43" s="639"/>
      <c r="Y43" s="639"/>
      <c r="Z43" s="639"/>
      <c r="AA43" s="640"/>
      <c r="AB43" s="637"/>
      <c r="AC43" s="637"/>
      <c r="AD43" s="637"/>
      <c r="AE43" s="637"/>
      <c r="AF43" s="637"/>
      <c r="AG43" s="637"/>
      <c r="AH43" s="637"/>
      <c r="AI43" s="637"/>
      <c r="AJ43" s="445"/>
      <c r="AK43" s="445"/>
      <c r="AL43" s="445"/>
    </row>
    <row r="44" spans="1:38" x14ac:dyDescent="0.25">
      <c r="A44" s="765" t="s">
        <v>84</v>
      </c>
      <c r="B44" s="771">
        <f>VLOOKUP(A44,[1]!EmissionFactors,12,FALSE)</f>
        <v>-7.4742174216693584</v>
      </c>
      <c r="C44" s="771">
        <f>VLOOKUP(A44,[1]!EmissionFactors,20,FALSE)</f>
        <v>-3.9842776833633788</v>
      </c>
      <c r="D44" s="777">
        <f>VLOOKUP($A44,'Landfilling EFs'!$B$16:$GW$69,51,FALSE)</f>
        <v>2.0254519141196047E-2</v>
      </c>
      <c r="E44" s="792">
        <f>VLOOKUP($A44,'Landfilling EFs'!$B$16:$GW$69,48,FALSE)</f>
        <v>2.0254519141196047E-2</v>
      </c>
      <c r="F44" s="793">
        <f>VLOOKUP($A44,'Landfilling EFs'!$B$16:$GW$69,49,FALSE)</f>
        <v>2.0254519141196047E-2</v>
      </c>
      <c r="G44" s="795">
        <f t="shared" si="1"/>
        <v>2.0254519141196047E-2</v>
      </c>
      <c r="H44" s="777">
        <f>VLOOKUP(A44,'[1]Emission Factors'!$B$6:$BF$61,33,FALSE)</f>
        <v>0</v>
      </c>
      <c r="I44" s="775" t="str">
        <f>VLOOKUP(A44,'[1]Emission Factors'!$B$6:$BF$61,4,FALSE)</f>
        <v>NA</v>
      </c>
      <c r="Q44" s="445"/>
      <c r="R44" s="445"/>
      <c r="S44" s="445"/>
      <c r="T44" s="639"/>
      <c r="U44" s="639"/>
      <c r="V44" s="639"/>
      <c r="W44" s="639"/>
      <c r="X44" s="639"/>
      <c r="Y44" s="639"/>
      <c r="Z44" s="639"/>
      <c r="AA44" s="640"/>
      <c r="AB44" s="637"/>
      <c r="AC44" s="637"/>
      <c r="AD44" s="637"/>
      <c r="AE44" s="637"/>
      <c r="AF44" s="637"/>
      <c r="AG44" s="637"/>
      <c r="AH44" s="637"/>
      <c r="AI44" s="637"/>
      <c r="AJ44" s="445"/>
      <c r="AK44" s="445"/>
      <c r="AL44" s="445"/>
    </row>
    <row r="45" spans="1:38" x14ac:dyDescent="0.25">
      <c r="A45" s="765" t="s">
        <v>85</v>
      </c>
      <c r="B45" s="771">
        <f>VLOOKUP(A45,[1]!EmissionFactors,12,FALSE)</f>
        <v>-2.0877983213682918</v>
      </c>
      <c r="C45" s="771" t="str">
        <f>VLOOKUP(A45,[1]!EmissionFactors,20,FALSE)</f>
        <v>NA</v>
      </c>
      <c r="D45" s="777">
        <f>VLOOKUP($A45,'Landfilling EFs'!$B$16:$GW$69,51,FALSE)</f>
        <v>-1.6426151092788039</v>
      </c>
      <c r="E45" s="792">
        <f>VLOOKUP($A45,'Landfilling EFs'!$B$16:$GW$69,48,FALSE)</f>
        <v>-1.6426151092788039</v>
      </c>
      <c r="F45" s="793">
        <f>VLOOKUP($A45,'Landfilling EFs'!$B$16:$GW$69,49,FALSE)</f>
        <v>-1.6426151092788039</v>
      </c>
      <c r="G45" s="795">
        <f t="shared" si="1"/>
        <v>-1.6426151092788039</v>
      </c>
      <c r="H45" s="777">
        <f>VLOOKUP(A45,'[1]Emission Factors'!$B$6:$BF$61,33,FALSE)</f>
        <v>0</v>
      </c>
      <c r="I45" s="775">
        <f>VLOOKUP(A45,'[1]Emission Factors'!$B$6:$BF$61,4,FALSE)</f>
        <v>-0.1487348044061565</v>
      </c>
      <c r="Q45" s="445"/>
      <c r="R45" s="445"/>
      <c r="S45" s="445"/>
      <c r="T45" s="639"/>
      <c r="U45" s="639"/>
      <c r="V45" s="639"/>
      <c r="W45" s="639"/>
      <c r="X45" s="639"/>
      <c r="Y45" s="639"/>
      <c r="Z45" s="639"/>
      <c r="AA45" s="640"/>
      <c r="AB45" s="637"/>
      <c r="AC45" s="637"/>
      <c r="AD45" s="637"/>
      <c r="AE45" s="637"/>
      <c r="AF45" s="637"/>
      <c r="AG45" s="637"/>
      <c r="AH45" s="637"/>
      <c r="AI45" s="637"/>
      <c r="AJ45" s="445"/>
      <c r="AK45" s="445"/>
      <c r="AL45" s="445"/>
    </row>
    <row r="46" spans="1:38" x14ac:dyDescent="0.25">
      <c r="A46" s="765" t="s">
        <v>86</v>
      </c>
      <c r="B46" s="771">
        <f>VLOOKUP(A46,[1]!EmissionFactors,12,FALSE)</f>
        <v>-1.5817379577845374</v>
      </c>
      <c r="C46" s="771" t="str">
        <f>VLOOKUP(A46,[1]!EmissionFactors,20,FALSE)</f>
        <v>NA</v>
      </c>
      <c r="D46" s="777">
        <f>VLOOKUP($A46,'Landfilling EFs'!$B$16:$GW$69,51,FALSE)</f>
        <v>2.0254519141196047E-2</v>
      </c>
      <c r="E46" s="792">
        <f>VLOOKUP($A46,'Landfilling EFs'!$B$16:$GW$69,48,FALSE)</f>
        <v>2.0254519141196047E-2</v>
      </c>
      <c r="F46" s="793">
        <f>VLOOKUP($A46,'Landfilling EFs'!$B$16:$GW$69,49,FALSE)</f>
        <v>2.0254519141196047E-2</v>
      </c>
      <c r="G46" s="795">
        <f t="shared" si="1"/>
        <v>2.0254519141196047E-2</v>
      </c>
      <c r="H46" s="777">
        <f>VLOOKUP(A46,'[1]Emission Factors'!$B$6:$BF$61,33,FALSE)</f>
        <v>2.7941576703256823</v>
      </c>
      <c r="I46" s="775" t="str">
        <f>VLOOKUP(A46,'[1]Emission Factors'!$B$6:$BF$61,4,FALSE)</f>
        <v>NA</v>
      </c>
      <c r="Q46" s="445"/>
      <c r="R46" s="445"/>
      <c r="S46" s="445"/>
      <c r="T46" s="639"/>
      <c r="U46" s="639"/>
      <c r="V46" s="639"/>
      <c r="W46" s="639"/>
      <c r="X46" s="639"/>
      <c r="Y46" s="639"/>
      <c r="Z46" s="639"/>
      <c r="AA46" s="640"/>
      <c r="AB46" s="637"/>
      <c r="AC46" s="637"/>
      <c r="AD46" s="637"/>
      <c r="AE46" s="637"/>
      <c r="AF46" s="637"/>
      <c r="AG46" s="637"/>
      <c r="AH46" s="637"/>
      <c r="AI46" s="637"/>
      <c r="AJ46" s="445"/>
      <c r="AK46" s="445"/>
      <c r="AL46" s="445"/>
    </row>
    <row r="47" spans="1:38" x14ac:dyDescent="0.25">
      <c r="A47" s="765" t="s">
        <v>87</v>
      </c>
      <c r="B47" s="771">
        <f>VLOOKUP(A47,[1]!EmissionFactors,12,FALSE)</f>
        <v>-1.5496211386143399</v>
      </c>
      <c r="C47" s="771" t="str">
        <f>VLOOKUP(A47,[1]!EmissionFactors,20,FALSE)</f>
        <v>NA</v>
      </c>
      <c r="D47" s="777">
        <f>VLOOKUP($A47,'Landfilling EFs'!$B$16:$GW$69,51,FALSE)</f>
        <v>2.0254519141196047E-2</v>
      </c>
      <c r="E47" s="792">
        <f>VLOOKUP($A47,'Landfilling EFs'!$B$16:$GW$69,48,FALSE)</f>
        <v>2.0254519141196047E-2</v>
      </c>
      <c r="F47" s="793">
        <f>VLOOKUP($A47,'Landfilling EFs'!$B$16:$GW$69,49,FALSE)</f>
        <v>2.0254519141196047E-2</v>
      </c>
      <c r="G47" s="795">
        <f t="shared" si="1"/>
        <v>2.0254519141196047E-2</v>
      </c>
      <c r="H47" s="777">
        <f>VLOOKUP(A47,'[1]Emission Factors'!$B$6:$BF$61,33,FALSE)</f>
        <v>2.7941576703256823</v>
      </c>
      <c r="I47" s="775" t="str">
        <f>VLOOKUP(A47,'[1]Emission Factors'!$B$6:$BF$61,4,FALSE)</f>
        <v>NA</v>
      </c>
      <c r="Q47" s="445"/>
      <c r="R47" s="445"/>
      <c r="S47" s="445"/>
      <c r="T47" s="639"/>
      <c r="U47" s="639"/>
      <c r="V47" s="639"/>
      <c r="W47" s="639"/>
      <c r="X47" s="639"/>
      <c r="Y47" s="639"/>
      <c r="Z47" s="639"/>
      <c r="AA47" s="640"/>
      <c r="AB47" s="637"/>
      <c r="AC47" s="637"/>
      <c r="AD47" s="637"/>
      <c r="AE47" s="637"/>
      <c r="AF47" s="637"/>
      <c r="AG47" s="637"/>
      <c r="AH47" s="637"/>
      <c r="AI47" s="637"/>
      <c r="AJ47" s="445"/>
      <c r="AK47" s="445"/>
      <c r="AL47" s="445"/>
    </row>
    <row r="48" spans="1:38" x14ac:dyDescent="0.25">
      <c r="A48" s="765" t="s">
        <v>88</v>
      </c>
      <c r="B48" s="771">
        <f>VLOOKUP(A48,[1]!EmissionFactors,12,FALSE)</f>
        <v>-2.4982570975155576</v>
      </c>
      <c r="C48" s="771" t="str">
        <f>VLOOKUP(A48,[1]!EmissionFactors,20,FALSE)</f>
        <v>NA</v>
      </c>
      <c r="D48" s="777">
        <f>VLOOKUP($A48,'Landfilling EFs'!$B$16:$GW$69,51,FALSE)</f>
        <v>2.0254519141196047E-2</v>
      </c>
      <c r="E48" s="792">
        <f>VLOOKUP($A48,'Landfilling EFs'!$B$16:$GW$69,48,FALSE)</f>
        <v>2.0254519141196047E-2</v>
      </c>
      <c r="F48" s="793">
        <f>VLOOKUP($A48,'Landfilling EFs'!$B$16:$GW$69,49,FALSE)</f>
        <v>2.0254519141196047E-2</v>
      </c>
      <c r="G48" s="795">
        <f t="shared" si="1"/>
        <v>2.0254519141196047E-2</v>
      </c>
      <c r="H48" s="777">
        <f>VLOOKUP(A48,'[1]Emission Factors'!$B$6:$BF$61,33,FALSE)</f>
        <v>3.0090928757353503</v>
      </c>
      <c r="I48" s="775" t="str">
        <f>VLOOKUP(A48,'[1]Emission Factors'!$B$6:$BF$61,4,FALSE)</f>
        <v>NA</v>
      </c>
      <c r="Q48" s="445"/>
      <c r="R48" s="445"/>
      <c r="S48" s="445"/>
      <c r="T48" s="639"/>
      <c r="U48" s="639"/>
      <c r="V48" s="639"/>
      <c r="W48" s="639"/>
      <c r="X48" s="639"/>
      <c r="Y48" s="639"/>
      <c r="Z48" s="639"/>
      <c r="AA48" s="640"/>
      <c r="AB48" s="637"/>
      <c r="AC48" s="637"/>
      <c r="AD48" s="637"/>
      <c r="AE48" s="637"/>
      <c r="AF48" s="637"/>
      <c r="AG48" s="637"/>
      <c r="AH48" s="637"/>
      <c r="AI48" s="637"/>
      <c r="AJ48" s="445"/>
      <c r="AK48" s="445"/>
      <c r="AL48" s="445"/>
    </row>
    <row r="49" spans="1:38" ht="13" thickBot="1" x14ac:dyDescent="0.3">
      <c r="A49" s="779" t="s">
        <v>89</v>
      </c>
      <c r="B49" s="780">
        <f>VLOOKUP(A49,[1]!EmissionFactors,12,FALSE)</f>
        <v>-1.9488924030618728</v>
      </c>
      <c r="C49" s="780" t="str">
        <f>VLOOKUP(A49,[1]!EmissionFactors,20,FALSE)</f>
        <v>NA</v>
      </c>
      <c r="D49" s="784">
        <f>VLOOKUP($A49,'Landfilling EFs'!$B$16:$GW$69,51,FALSE)</f>
        <v>2.0254519141196047E-2</v>
      </c>
      <c r="E49" s="797">
        <f>VLOOKUP($A49,'Landfilling EFs'!$B$16:$GW$69,48,FALSE)</f>
        <v>2.0254519141196047E-2</v>
      </c>
      <c r="F49" s="798">
        <f>VLOOKUP($A49,'Landfilling EFs'!$B$16:$GW$69,49,FALSE)</f>
        <v>2.0254519141196047E-2</v>
      </c>
      <c r="G49" s="799">
        <f t="shared" si="1"/>
        <v>2.0254519141196047E-2</v>
      </c>
      <c r="H49" s="784">
        <f>VLOOKUP(A49,'[1]Emission Factors'!$B$6:$BF$61,33,FALSE)</f>
        <v>1.2527246852692282</v>
      </c>
      <c r="I49" s="785" t="str">
        <f>VLOOKUP(A49,'[1]Emission Factors'!$B$6:$BF$61,4,FALSE)</f>
        <v>NA</v>
      </c>
      <c r="Q49" s="445"/>
      <c r="R49" s="445"/>
      <c r="S49" s="445"/>
      <c r="T49" s="639"/>
      <c r="U49" s="639"/>
      <c r="V49" s="639"/>
      <c r="W49" s="639"/>
      <c r="X49" s="639"/>
      <c r="Y49" s="639"/>
      <c r="Z49" s="639"/>
      <c r="AA49" s="640"/>
      <c r="AB49" s="637"/>
      <c r="AC49" s="637"/>
      <c r="AD49" s="637"/>
      <c r="AE49" s="637"/>
      <c r="AF49" s="637"/>
      <c r="AG49" s="637"/>
      <c r="AH49" s="637"/>
      <c r="AI49" s="637"/>
      <c r="AJ49" s="445"/>
      <c r="AK49" s="445"/>
      <c r="AL49" s="445"/>
    </row>
    <row r="50" spans="1:38" ht="14" x14ac:dyDescent="0.3">
      <c r="A50" s="73" t="s">
        <v>83</v>
      </c>
      <c r="C50" s="787" t="s">
        <v>842</v>
      </c>
      <c r="H50" s="22"/>
      <c r="L50" s="22"/>
    </row>
    <row r="52" spans="1:38" ht="13" x14ac:dyDescent="0.3">
      <c r="B52" s="366" t="s">
        <v>394</v>
      </c>
      <c r="C52" s="367"/>
      <c r="D52" s="367"/>
      <c r="E52" s="367"/>
      <c r="G52" s="366" t="s">
        <v>393</v>
      </c>
      <c r="H52" s="367"/>
      <c r="I52" s="367"/>
      <c r="L52" s="366" t="s">
        <v>395</v>
      </c>
      <c r="M52" s="367"/>
      <c r="N52" s="367"/>
    </row>
    <row r="53" spans="1:38" ht="62.5" x14ac:dyDescent="0.25">
      <c r="B53" s="368"/>
      <c r="C53" s="369" t="s">
        <v>419</v>
      </c>
      <c r="D53" s="369" t="s">
        <v>420</v>
      </c>
      <c r="E53" s="370" t="s">
        <v>391</v>
      </c>
      <c r="G53" s="369" t="s">
        <v>421</v>
      </c>
      <c r="H53" s="369" t="s">
        <v>422</v>
      </c>
      <c r="I53" s="369" t="s">
        <v>392</v>
      </c>
      <c r="J53" s="79"/>
      <c r="K53"/>
      <c r="L53" s="369" t="s">
        <v>421</v>
      </c>
      <c r="M53" s="369" t="s">
        <v>422</v>
      </c>
      <c r="N53" s="369" t="s">
        <v>392</v>
      </c>
    </row>
    <row r="54" spans="1:38" x14ac:dyDescent="0.25">
      <c r="B54" s="368" t="s">
        <v>224</v>
      </c>
      <c r="C54" s="370">
        <f>'Summary Data'!C59</f>
        <v>2.1449203837138002</v>
      </c>
      <c r="D54" s="370">
        <f>'Summary Data'!D59</f>
        <v>2.3832448707931113</v>
      </c>
      <c r="E54" s="370">
        <f>'Summary Data'!E59</f>
        <v>0.22023999999999996</v>
      </c>
      <c r="G54" s="370">
        <f>'Summary Data'!G59</f>
        <v>1.7685343549147248</v>
      </c>
      <c r="H54" s="370">
        <f>'Summary Data'!H59</f>
        <v>1.9503060672020711</v>
      </c>
      <c r="I54" s="370">
        <f>'Summary Data'!I59</f>
        <v>0.59381831007342822</v>
      </c>
      <c r="J54" s="3"/>
      <c r="K54"/>
      <c r="L54" s="373">
        <f>'Summary Data'!O59</f>
        <v>1.4604355931627537</v>
      </c>
      <c r="M54" s="373">
        <f>'Summary Data'!P59</f>
        <v>1.622706214625282</v>
      </c>
      <c r="N54" s="373">
        <f>'Summary Data'!Q59</f>
        <v>0.3021545222482977</v>
      </c>
    </row>
    <row r="55" spans="1:38" ht="20" x14ac:dyDescent="0.4">
      <c r="B55" s="368" t="s">
        <v>225</v>
      </c>
      <c r="C55" s="370">
        <f>'Summary Data'!C60</f>
        <v>2.1449203837138002</v>
      </c>
      <c r="D55" s="370">
        <f>'Summary Data'!D60</f>
        <v>2.2946736526735392</v>
      </c>
      <c r="E55" s="370">
        <f>'Summary Data'!E60</f>
        <v>0.22975818181818178</v>
      </c>
      <c r="G55" s="372" t="s">
        <v>62</v>
      </c>
      <c r="H55" s="367"/>
      <c r="I55" s="367"/>
      <c r="J55" s="8"/>
      <c r="K55"/>
      <c r="L55" s="372" t="s">
        <v>62</v>
      </c>
      <c r="M55" s="367"/>
      <c r="N55" s="367"/>
    </row>
    <row r="56" spans="1:38" x14ac:dyDescent="0.25">
      <c r="B56" s="368" t="s">
        <v>226</v>
      </c>
      <c r="C56" s="370">
        <f>'Summary Data'!C61</f>
        <v>2.1449203837138002</v>
      </c>
      <c r="D56" s="370">
        <f>'Summary Data'!D61</f>
        <v>2.2577848571899501</v>
      </c>
      <c r="E56" s="370">
        <f>'Summary Data'!E61</f>
        <v>0.18281999999999995</v>
      </c>
      <c r="I56" s="8"/>
      <c r="J56" s="8"/>
      <c r="K56"/>
    </row>
    <row r="57" spans="1:38" ht="20" x14ac:dyDescent="0.4">
      <c r="B57" s="372" t="s">
        <v>62</v>
      </c>
      <c r="C57" s="371"/>
      <c r="D57" s="371"/>
      <c r="E57" s="371"/>
    </row>
    <row r="64" spans="1:38" x14ac:dyDescent="0.25">
      <c r="C64" s="23"/>
    </row>
    <row r="65" spans="3:3" x14ac:dyDescent="0.25">
      <c r="C65" s="23"/>
    </row>
    <row r="66" spans="3:3" x14ac:dyDescent="0.25">
      <c r="C66" s="23"/>
    </row>
    <row r="67" spans="3:3" x14ac:dyDescent="0.25">
      <c r="C67" s="23"/>
    </row>
    <row r="68" spans="3:3" x14ac:dyDescent="0.25">
      <c r="C68" s="23"/>
    </row>
    <row r="69" spans="3:3" x14ac:dyDescent="0.25">
      <c r="C69" s="23"/>
    </row>
    <row r="70" spans="3:3" x14ac:dyDescent="0.25">
      <c r="C70" s="23"/>
    </row>
    <row r="71" spans="3:3" x14ac:dyDescent="0.25">
      <c r="C71" s="23"/>
    </row>
    <row r="72" spans="3:3" x14ac:dyDescent="0.25">
      <c r="C72" s="23"/>
    </row>
    <row r="73" spans="3:3" x14ac:dyDescent="0.25">
      <c r="C73" s="23"/>
    </row>
    <row r="74" spans="3:3" x14ac:dyDescent="0.25">
      <c r="C74" s="23"/>
    </row>
    <row r="75" spans="3:3" x14ac:dyDescent="0.25">
      <c r="C75" s="23"/>
    </row>
    <row r="76" spans="3:3" x14ac:dyDescent="0.25">
      <c r="C76" s="23"/>
    </row>
  </sheetData>
  <sheetProtection password="CDE6" sheet="1" selectLockedCells="1" selectUnlockedCells="1"/>
  <phoneticPr fontId="14" type="noConversion"/>
  <printOptions horizontalCentered="1" gridLines="1" gridLinesSet="0"/>
  <pageMargins left="0.75" right="0.75" top="1" bottom="1" header="0.5" footer="0.5"/>
  <pageSetup scale="95" orientation="landscape" horizontalDpi="4294967292" verticalDpi="300" r:id="rId1"/>
  <headerFooter alignWithMargins="0"/>
  <rowBreaks count="1" manualBreakCount="1">
    <brk id="22" max="14"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A58"/>
  <sheetViews>
    <sheetView showRowColHeaders="0" zoomScale="70" zoomScaleNormal="70" workbookViewId="0">
      <pane xSplit="1" topLeftCell="B1" activePane="topRight" state="frozen"/>
      <selection activeCell="G78" sqref="G78"/>
      <selection pane="topRight" activeCell="K14" sqref="K14"/>
    </sheetView>
  </sheetViews>
  <sheetFormatPr defaultRowHeight="12.5" x14ac:dyDescent="0.25"/>
  <cols>
    <col min="1" max="1" width="23.453125" customWidth="1"/>
    <col min="2" max="2" width="15.1796875" customWidth="1"/>
    <col min="3" max="3" width="16.81640625" customWidth="1"/>
    <col min="4" max="4" width="15" customWidth="1"/>
    <col min="5" max="5" width="17" customWidth="1"/>
    <col min="6" max="6" width="17.81640625" customWidth="1"/>
    <col min="7" max="7" width="15.7265625" customWidth="1"/>
    <col min="8" max="8" width="16.81640625" customWidth="1"/>
    <col min="9" max="9" width="16.7265625" customWidth="1"/>
    <col min="10" max="10" width="6" customWidth="1"/>
    <col min="11" max="11" width="16.1796875" style="8" customWidth="1"/>
    <col min="12" max="12" width="13.453125" customWidth="1"/>
    <col min="13" max="13" width="14.54296875" customWidth="1"/>
    <col min="14" max="14" width="13.7265625" customWidth="1"/>
    <col min="15" max="15" width="15.453125" customWidth="1"/>
    <col min="16" max="16" width="14.26953125" customWidth="1"/>
    <col min="17" max="17" width="13.7265625" customWidth="1"/>
    <col min="18" max="18" width="14.453125" customWidth="1"/>
    <col min="19" max="19" width="12.1796875" customWidth="1"/>
    <col min="20" max="20" width="11.453125" customWidth="1"/>
    <col min="21" max="21" width="13.1796875" customWidth="1"/>
    <col min="22" max="26" width="10.26953125" bestFit="1" customWidth="1"/>
  </cols>
  <sheetData>
    <row r="1" spans="1:27" s="8" customFormat="1" ht="39" x14ac:dyDescent="0.3">
      <c r="A1" s="759" t="s">
        <v>496</v>
      </c>
      <c r="B1" s="760" t="s">
        <v>567</v>
      </c>
      <c r="C1" s="760" t="s">
        <v>596</v>
      </c>
      <c r="D1" s="761" t="s">
        <v>418</v>
      </c>
      <c r="E1" s="762" t="s">
        <v>416</v>
      </c>
      <c r="F1" s="762" t="s">
        <v>597</v>
      </c>
      <c r="G1" s="763" t="s">
        <v>599</v>
      </c>
      <c r="H1" s="760" t="s">
        <v>564</v>
      </c>
      <c r="I1" s="764" t="s">
        <v>571</v>
      </c>
      <c r="J1" s="110"/>
      <c r="K1" s="374" t="s">
        <v>598</v>
      </c>
      <c r="L1" s="374" t="s">
        <v>235</v>
      </c>
      <c r="M1" s="374" t="s">
        <v>236</v>
      </c>
      <c r="N1" s="374" t="s">
        <v>237</v>
      </c>
      <c r="O1" s="374" t="s">
        <v>238</v>
      </c>
      <c r="P1" s="107"/>
      <c r="Q1" s="107"/>
    </row>
    <row r="2" spans="1:27" s="8" customFormat="1" x14ac:dyDescent="0.25">
      <c r="A2" s="765" t="s">
        <v>515</v>
      </c>
      <c r="B2" s="766">
        <f>VLOOKUP($A2,[2]!EnergySavings,2,FALSE)</f>
        <v>-89.690841492210723</v>
      </c>
      <c r="C2" s="766">
        <f>VLOOKUP($A2,[2]!EnergySavings,3,FALSE)</f>
        <v>-152.7644316983795</v>
      </c>
      <c r="D2" s="767">
        <f>VLOOKUP($A2,[2]!EnergySavings,19,FALSE)</f>
        <v>0.26827304622443826</v>
      </c>
      <c r="E2" s="768">
        <f>VLOOKUP($A2,[2]!EnergySavings,17,FALSE)</f>
        <v>0.26827304622443826</v>
      </c>
      <c r="F2" s="768">
        <f>VLOOKUP($A2,[2]!EnergySavings,17,FALSE)</f>
        <v>0.26827304622443826</v>
      </c>
      <c r="G2" s="769">
        <f>E2</f>
        <v>0.26827304622443826</v>
      </c>
      <c r="H2" s="766">
        <f>VLOOKUP($A2,[2]!EnergySavings,16,FALSE)</f>
        <v>0.59700760705437883</v>
      </c>
      <c r="I2" s="770" t="s">
        <v>503</v>
      </c>
      <c r="J2" s="12"/>
      <c r="K2" s="786">
        <f>'Summary Data NRG'!D66</f>
        <v>2.2331998424750667E-3</v>
      </c>
      <c r="L2" s="376">
        <f>('Analysis Inputs'!$G$177-'Analysis Inputs'!$F$177)*'EFs for web (energy)'!$K$2</f>
        <v>-4.4663996849501335E-2</v>
      </c>
      <c r="M2" s="377">
        <f>('Analysis Inputs'!$G$175-'Analysis Inputs'!$F$175)*$K$2</f>
        <v>-4.4663996849501335E-2</v>
      </c>
      <c r="N2" s="377">
        <f>('Analysis Inputs'!$G$176-'Analysis Inputs'!$F$176)*'EFs for web (energy)'!$K$2</f>
        <v>-4.4663996849501335E-2</v>
      </c>
      <c r="O2" s="377">
        <f>('Analysis Inputs'!$G$178-'Analysis Inputs'!$F$178)*$K$2</f>
        <v>-4.4663996849501335E-2</v>
      </c>
      <c r="Q2" s="445"/>
      <c r="R2" s="445"/>
      <c r="S2" s="445"/>
      <c r="T2" s="638"/>
      <c r="U2" s="638"/>
      <c r="V2" s="638"/>
      <c r="W2" s="638"/>
      <c r="X2" s="638"/>
      <c r="Y2" s="638"/>
      <c r="Z2" s="638"/>
      <c r="AA2" s="638"/>
    </row>
    <row r="3" spans="1:27" s="8" customFormat="1" ht="20" x14ac:dyDescent="0.4">
      <c r="A3" s="765" t="s">
        <v>516</v>
      </c>
      <c r="B3" s="771">
        <f>VLOOKUP($A3,[2]!EnergySavings,2,FALSE)</f>
        <v>-29.880553333880805</v>
      </c>
      <c r="C3" s="771">
        <f>VLOOKUP($A3,[2]!EnergySavings,3,FALSE)</f>
        <v>-19.966201047692305</v>
      </c>
      <c r="D3" s="772">
        <f>VLOOKUP($A3,[2]!EnergySavings,19,FALSE)</f>
        <v>0.26827304622443826</v>
      </c>
      <c r="E3" s="773">
        <f>VLOOKUP($A3,[2]!EnergySavings,17,FALSE)</f>
        <v>0.26827304622443826</v>
      </c>
      <c r="F3" s="773">
        <f>VLOOKUP($A3,[2]!EnergySavings,17,FALSE)</f>
        <v>0.26827304622443826</v>
      </c>
      <c r="G3" s="774">
        <f t="shared" ref="G3:G8" si="0">E3</f>
        <v>0.26827304622443826</v>
      </c>
      <c r="H3" s="771">
        <f>VLOOKUP($A3,[2]!EnergySavings,16,FALSE)</f>
        <v>-17.135843866573644</v>
      </c>
      <c r="I3" s="775" t="s">
        <v>503</v>
      </c>
      <c r="J3" s="12"/>
      <c r="L3" s="372" t="s">
        <v>62</v>
      </c>
      <c r="M3" s="374"/>
      <c r="N3" s="374"/>
      <c r="O3" s="374"/>
      <c r="Q3" s="445"/>
      <c r="R3" s="445"/>
      <c r="S3" s="445"/>
      <c r="T3" s="638"/>
      <c r="U3" s="638"/>
      <c r="V3" s="638"/>
      <c r="W3" s="638"/>
      <c r="X3" s="638"/>
      <c r="Y3" s="638"/>
      <c r="Z3" s="638"/>
      <c r="AA3" s="638"/>
    </row>
    <row r="4" spans="1:27" s="8" customFormat="1" x14ac:dyDescent="0.25">
      <c r="A4" s="765" t="s">
        <v>438</v>
      </c>
      <c r="B4" s="771">
        <f>VLOOKUP($A4,[2]!EnergySavings,2,FALSE)</f>
        <v>-122.3574263694962</v>
      </c>
      <c r="C4" s="771">
        <f>VLOOKUP($A4,[2]!EnergySavings,3,FALSE)</f>
        <v>-82.589644210684924</v>
      </c>
      <c r="D4" s="772">
        <f>VLOOKUP($A4,[2]!EnergySavings,19,FALSE)</f>
        <v>0.26827304622443826</v>
      </c>
      <c r="E4" s="773">
        <f>VLOOKUP($A4,[2]!EnergySavings,17,FALSE)</f>
        <v>0.26827304622443826</v>
      </c>
      <c r="F4" s="773">
        <f>VLOOKUP($A4,[2]!EnergySavings,17,FALSE)</f>
        <v>0.26827304622443826</v>
      </c>
      <c r="G4" s="774">
        <f t="shared" si="0"/>
        <v>0.26827304622443826</v>
      </c>
      <c r="H4" s="771">
        <f>VLOOKUP($A4,[2]!EnergySavings,16,FALSE)</f>
        <v>0.53567653227267353</v>
      </c>
      <c r="I4" s="775" t="s">
        <v>503</v>
      </c>
      <c r="J4" s="12"/>
      <c r="K4" s="112"/>
      <c r="L4" s="112"/>
      <c r="M4" s="112"/>
      <c r="N4" s="112"/>
      <c r="Q4" s="445"/>
      <c r="R4" s="445"/>
      <c r="S4" s="445"/>
      <c r="T4" s="638"/>
      <c r="U4" s="638"/>
      <c r="V4" s="638"/>
      <c r="W4" s="638"/>
      <c r="X4" s="638"/>
      <c r="Y4" s="638"/>
      <c r="Z4" s="638"/>
      <c r="AA4" s="638"/>
    </row>
    <row r="5" spans="1:27" s="8" customFormat="1" x14ac:dyDescent="0.25">
      <c r="A5" s="765" t="s">
        <v>517</v>
      </c>
      <c r="B5" s="771">
        <f>VLOOKUP($A5,[2]!EnergySavings,2,FALSE)</f>
        <v>-6.9045684030684162</v>
      </c>
      <c r="C5" s="771">
        <f>VLOOKUP($A5,[2]!EnergySavings,3,FALSE)</f>
        <v>-2.125409819699291</v>
      </c>
      <c r="D5" s="772">
        <f>VLOOKUP($A5,[2]!EnergySavings,19,FALSE)</f>
        <v>0.26827304622443826</v>
      </c>
      <c r="E5" s="773">
        <f>VLOOKUP($A5,[2]!EnergySavings,17,FALSE)</f>
        <v>0.26827304622443826</v>
      </c>
      <c r="F5" s="773">
        <f>VLOOKUP($A5,[2]!EnergySavings,17,FALSE)</f>
        <v>0.26827304622443826</v>
      </c>
      <c r="G5" s="774">
        <f t="shared" si="0"/>
        <v>0.26827304622443826</v>
      </c>
      <c r="H5" s="771">
        <f>VLOOKUP($A5,[2]!EnergySavings,16,FALSE)</f>
        <v>0.4988778874036503</v>
      </c>
      <c r="I5" s="775" t="s">
        <v>503</v>
      </c>
      <c r="J5" s="12"/>
      <c r="K5" s="112"/>
      <c r="L5" s="112"/>
      <c r="M5" s="112"/>
      <c r="Q5" s="445"/>
      <c r="R5" s="445"/>
      <c r="S5" s="445"/>
      <c r="T5" s="638"/>
      <c r="U5" s="638"/>
      <c r="V5" s="638"/>
      <c r="W5" s="638"/>
      <c r="X5" s="638"/>
      <c r="Y5" s="638"/>
      <c r="Z5" s="638"/>
      <c r="AA5" s="638"/>
    </row>
    <row r="6" spans="1:27" s="8" customFormat="1" x14ac:dyDescent="0.25">
      <c r="A6" s="765" t="s">
        <v>518</v>
      </c>
      <c r="B6" s="771">
        <f>VLOOKUP($A6,[2]!EnergySavings,2,FALSE)</f>
        <v>-61.212690257282205</v>
      </c>
      <c r="C6" s="771">
        <f>VLOOKUP($A6,[2]!EnergySavings,3,FALSE)</f>
        <v>-50.202595116398498</v>
      </c>
      <c r="D6" s="772">
        <f>VLOOKUP($A6,[2]!EnergySavings,19,FALSE)</f>
        <v>0.26827304622443826</v>
      </c>
      <c r="E6" s="773">
        <f>VLOOKUP($A6,[2]!EnergySavings,17,FALSE)</f>
        <v>0.26827304622443826</v>
      </c>
      <c r="F6" s="773">
        <f>VLOOKUP($A6,[2]!EnergySavings,17,FALSE)</f>
        <v>0.26827304622443826</v>
      </c>
      <c r="G6" s="774">
        <f t="shared" si="0"/>
        <v>0.26827304622443826</v>
      </c>
      <c r="H6" s="771">
        <f>VLOOKUP($A6,[2]!EnergySavings,16,FALSE)</f>
        <v>-19.342951425973659</v>
      </c>
      <c r="I6" s="775" t="s">
        <v>503</v>
      </c>
      <c r="J6" s="12"/>
      <c r="K6" s="112"/>
      <c r="L6" s="112"/>
      <c r="M6" s="112"/>
      <c r="N6" s="112"/>
      <c r="Q6" s="445"/>
      <c r="R6" s="445"/>
      <c r="S6" s="445"/>
      <c r="T6" s="638"/>
      <c r="U6" s="638"/>
      <c r="V6" s="638"/>
      <c r="W6" s="638"/>
      <c r="X6" s="638"/>
      <c r="Y6" s="638"/>
      <c r="Z6" s="638"/>
      <c r="AA6" s="638"/>
    </row>
    <row r="7" spans="1:27" s="8" customFormat="1" x14ac:dyDescent="0.25">
      <c r="A7" s="765" t="s">
        <v>519</v>
      </c>
      <c r="B7" s="771">
        <f>VLOOKUP($A7,[2]!EnergySavings,2,FALSE)</f>
        <v>-71.015275961446619</v>
      </c>
      <c r="C7" s="771" t="str">
        <f>VLOOKUP($A7,[2]!EnergySavings,3,FALSE)</f>
        <v>NA</v>
      </c>
      <c r="D7" s="772">
        <f>VLOOKUP($A7,[2]!EnergySavings,19,FALSE)</f>
        <v>0.26827304622443826</v>
      </c>
      <c r="E7" s="773">
        <f>VLOOKUP($A7,[2]!EnergySavings,17,FALSE)</f>
        <v>0.26827304622443826</v>
      </c>
      <c r="F7" s="773">
        <f>VLOOKUP($A7,[2]!EnergySavings,17,FALSE)</f>
        <v>0.26827304622443826</v>
      </c>
      <c r="G7" s="774">
        <f t="shared" si="0"/>
        <v>0.26827304622443826</v>
      </c>
      <c r="H7" s="771">
        <f>VLOOKUP($A7,[2]!EnergySavings,16,FALSE)</f>
        <v>-19.236971328750869</v>
      </c>
      <c r="I7" s="775" t="s">
        <v>503</v>
      </c>
      <c r="J7" s="12"/>
      <c r="K7" s="112"/>
      <c r="L7" s="112"/>
      <c r="M7" s="112"/>
      <c r="N7" s="112"/>
      <c r="O7" s="112"/>
      <c r="Q7" s="445"/>
      <c r="R7" s="445"/>
      <c r="S7" s="445"/>
      <c r="T7" s="638"/>
      <c r="U7" s="638"/>
      <c r="V7" s="638"/>
      <c r="W7" s="638"/>
      <c r="X7" s="638"/>
      <c r="Y7" s="638"/>
      <c r="Z7" s="638"/>
      <c r="AA7" s="638"/>
    </row>
    <row r="8" spans="1:27" s="8" customFormat="1" x14ac:dyDescent="0.25">
      <c r="A8" s="765" t="s">
        <v>520</v>
      </c>
      <c r="B8" s="771">
        <f>VLOOKUP($A8,[2]!EnergySavings,2,FALSE)</f>
        <v>-50.255272492386652</v>
      </c>
      <c r="C8" s="771">
        <f>VLOOKUP($A8,[2]!EnergySavings,3,FALSE)</f>
        <v>-31.871174900862655</v>
      </c>
      <c r="D8" s="772">
        <f>VLOOKUP($A8,[2]!EnergySavings,19,FALSE)</f>
        <v>0.26827304622443826</v>
      </c>
      <c r="E8" s="773">
        <f>VLOOKUP($A8,[2]!EnergySavings,17,FALSE)</f>
        <v>0.26827304622443826</v>
      </c>
      <c r="F8" s="773">
        <f>VLOOKUP($A8,[2]!EnergySavings,17,FALSE)</f>
        <v>0.26827304622443826</v>
      </c>
      <c r="G8" s="774">
        <f t="shared" si="0"/>
        <v>0.26827304622443826</v>
      </c>
      <c r="H8" s="771">
        <f>VLOOKUP($A8,[2]!EnergySavings,16,FALSE)</f>
        <v>-10.133477236752785</v>
      </c>
      <c r="I8" s="775" t="s">
        <v>503</v>
      </c>
      <c r="J8" s="12"/>
      <c r="K8" s="112"/>
      <c r="L8" s="112"/>
      <c r="M8" s="112"/>
      <c r="O8" s="112"/>
      <c r="Q8" s="445"/>
      <c r="R8" s="445"/>
      <c r="S8" s="445"/>
      <c r="T8" s="638"/>
      <c r="U8" s="638"/>
      <c r="V8" s="638"/>
      <c r="W8" s="638"/>
      <c r="X8" s="638"/>
      <c r="Y8" s="638"/>
      <c r="Z8" s="638"/>
      <c r="AA8" s="638"/>
    </row>
    <row r="9" spans="1:27" s="8" customFormat="1" x14ac:dyDescent="0.25">
      <c r="A9" s="765" t="s">
        <v>59</v>
      </c>
      <c r="B9" s="771">
        <f>VLOOKUP($A9,[2]!EnergySavings,2,FALSE)</f>
        <v>-22.320513543509552</v>
      </c>
      <c r="C9" s="771">
        <f>VLOOKUP($A9,[2]!EnergySavings,3,FALSE)</f>
        <v>-15.074420877698142</v>
      </c>
      <c r="D9" s="772">
        <f>VLOOKUP($A9,[2]!EnergySavings,19,FALSE)</f>
        <v>-0.24549179504083873</v>
      </c>
      <c r="E9" s="773">
        <f>VLOOKUP($A9,[2]!EnergySavings,17,FALSE)</f>
        <v>0.26827304622443826</v>
      </c>
      <c r="F9" s="773">
        <f>VLOOKUP($A9,[2]!EnergySavings,17,FALSE)</f>
        <v>0.26827304622443826</v>
      </c>
      <c r="G9" s="774">
        <f>(VLOOKUP(A9,[1]!LandfillTypicalNatlAverage,2,FALSE)*VLOOKUP(A9,LF_Collection_Scenario,7,FALSE)*(1-[1]Assumptions!$G$15)*(-'Avoided Utility'!$E$7)*(1/('Avoided Utility'!$E$73/1000)/[1]!CE_CO2E))+VLOOKUP($A9,[2]!EnergySavings,17,FALSE)</f>
        <v>-0.49826172643533073</v>
      </c>
      <c r="H9" s="771">
        <f>VLOOKUP($A9,[2]!EnergySavings,16,FALSE)</f>
        <v>-6.6430031087763721</v>
      </c>
      <c r="I9" s="775" t="s">
        <v>503</v>
      </c>
      <c r="J9" s="12"/>
      <c r="K9" s="112"/>
      <c r="L9" s="112"/>
      <c r="M9" s="112"/>
      <c r="N9" s="112"/>
      <c r="P9" s="108"/>
      <c r="Q9" s="445"/>
      <c r="R9" s="445"/>
      <c r="S9" s="445"/>
      <c r="T9" s="638"/>
      <c r="U9" s="638"/>
      <c r="V9" s="638"/>
      <c r="W9" s="638"/>
      <c r="X9" s="638"/>
      <c r="Y9" s="638"/>
      <c r="Z9" s="638"/>
      <c r="AA9" s="638"/>
    </row>
    <row r="10" spans="1:27" s="8" customFormat="1" ht="13" x14ac:dyDescent="0.3">
      <c r="A10" s="776" t="s">
        <v>290</v>
      </c>
      <c r="B10" s="771">
        <f>VLOOKUP($A10,[2]!EnergySavings,2,FALSE)</f>
        <v>-33.225750782920784</v>
      </c>
      <c r="C10" s="771">
        <f>VLOOKUP($A10,[2]!EnergySavings,3,FALSE)</f>
        <v>-0.68565151603619501</v>
      </c>
      <c r="D10" s="772">
        <f>VLOOKUP($A10,[2]!EnergySavings,19,FALSE)</f>
        <v>4.4838936826990444E-2</v>
      </c>
      <c r="E10" s="773">
        <f>VLOOKUP($A10,[2]!EnergySavings,17,FALSE)</f>
        <v>0.26827304622443826</v>
      </c>
      <c r="F10" s="773">
        <f>VLOOKUP($A10,[2]!EnergySavings,17,FALSE)</f>
        <v>0.26827304622443826</v>
      </c>
      <c r="G10" s="774">
        <f>(VLOOKUP(A10,[1]!LandfillTypicalNatlAverage,2,FALSE)*VLOOKUP(A10,LF_Collection_Scenario,7,FALSE)*(1-[1]Assumptions!$G$15)*(-'Avoided Utility'!$E$7)*(1/('Avoided Utility'!$E$73/1000)/[1]!CE_CO2E))+VLOOKUP($A10,[2]!EnergySavings,17,FALSE)</f>
        <v>-6.5089614072857516E-2</v>
      </c>
      <c r="H10" s="771">
        <f>VLOOKUP($A10,[2]!EnergySavings,16,FALSE)</f>
        <v>-4.8913876130108678</v>
      </c>
      <c r="I10" s="775" t="s">
        <v>503</v>
      </c>
      <c r="J10" s="12"/>
      <c r="O10" s="80"/>
      <c r="P10" s="108"/>
      <c r="Q10" s="445"/>
      <c r="R10" s="445"/>
      <c r="S10" s="445"/>
      <c r="T10" s="638"/>
      <c r="U10" s="638"/>
      <c r="V10" s="638"/>
      <c r="W10" s="638"/>
      <c r="X10" s="638"/>
      <c r="Y10" s="638"/>
      <c r="Z10" s="638"/>
      <c r="AA10" s="638"/>
    </row>
    <row r="11" spans="1:27" s="8" customFormat="1" x14ac:dyDescent="0.25">
      <c r="A11" s="765" t="s">
        <v>502</v>
      </c>
      <c r="B11" s="771">
        <f>VLOOKUP($A11,[2]!EnergySavings,2,FALSE)</f>
        <v>-36.464546483715836</v>
      </c>
      <c r="C11" s="771">
        <f>VLOOKUP($A11,[2]!EnergySavings,3,FALSE)</f>
        <v>-16.485950938072122</v>
      </c>
      <c r="D11" s="772">
        <f>VLOOKUP($A11,[2]!EnergySavings,19,FALSE)</f>
        <v>5.1977494442774608E-2</v>
      </c>
      <c r="E11" s="773">
        <f>VLOOKUP($A11,[2]!EnergySavings,17,FALSE)</f>
        <v>0.26827304622443826</v>
      </c>
      <c r="F11" s="773">
        <f>VLOOKUP($A11,[2]!EnergySavings,17,FALSE)</f>
        <v>0.26827304622443826</v>
      </c>
      <c r="G11" s="774">
        <f>(VLOOKUP(A11,[1]!LandfillTypicalNatlAverage,2,FALSE)*VLOOKUP(A11,LF_Collection_Scenario,7,FALSE)*(1-[1]Assumptions!$G$15)*(-'Avoided Utility'!$E$7)*(1/('Avoided Utility'!$E$73/1000)/[1]!CE_CO2E))+VLOOKUP($A11,[2]!EnergySavings,17,FALSE)</f>
        <v>-5.4438919047371359E-2</v>
      </c>
      <c r="H11" s="771">
        <f>VLOOKUP($A11,[2]!EnergySavings,16,FALSE)</f>
        <v>-7.53303966600848</v>
      </c>
      <c r="I11" s="775" t="s">
        <v>503</v>
      </c>
      <c r="J11" s="12"/>
      <c r="K11" s="112"/>
      <c r="L11" s="112"/>
      <c r="M11" s="112"/>
      <c r="N11" s="112"/>
      <c r="P11" s="108"/>
      <c r="Q11" s="445"/>
      <c r="R11" s="445"/>
      <c r="S11" s="445"/>
      <c r="T11" s="638"/>
      <c r="U11" s="638"/>
      <c r="V11" s="638"/>
      <c r="W11" s="638"/>
      <c r="X11" s="638"/>
      <c r="Y11" s="638"/>
      <c r="Z11" s="638"/>
      <c r="AA11" s="638"/>
    </row>
    <row r="12" spans="1:27" s="8" customFormat="1" x14ac:dyDescent="0.25">
      <c r="A12" s="765" t="s">
        <v>514</v>
      </c>
      <c r="B12" s="771">
        <f>VLOOKUP($A12,[2]!EnergySavings,2,FALSE)</f>
        <v>-36.59821281517732</v>
      </c>
      <c r="C12" s="771">
        <f>VLOOKUP($A12,[2]!EnergySavings,3,FALSE)</f>
        <v>-10.081037231692992</v>
      </c>
      <c r="D12" s="772">
        <f>VLOOKUP($A12,[2]!EnergySavings,19,FALSE)</f>
        <v>-0.52582465283557278</v>
      </c>
      <c r="E12" s="773">
        <f>VLOOKUP($A12,[2]!EnergySavings,17,FALSE)</f>
        <v>0.26827304622443826</v>
      </c>
      <c r="F12" s="773">
        <f>VLOOKUP($A12,[2]!EnergySavings,17,FALSE)</f>
        <v>0.26827304622443826</v>
      </c>
      <c r="G12" s="774">
        <f>(VLOOKUP(A12,[1]!LandfillTypicalNatlAverage,2,FALSE)*VLOOKUP(A12,LF_Collection_Scenario,7,FALSE)*(1-[1]Assumptions!$G$15)*(-'Avoided Utility'!$E$7)*(1/('Avoided Utility'!$E$73/1000)/[1]!CE_CO2E))+VLOOKUP($A12,[2]!EnergySavings,17,FALSE)</f>
        <v>-0.91651705681087958</v>
      </c>
      <c r="H12" s="771">
        <f>VLOOKUP($A12,[2]!EnergySavings,16,FALSE)</f>
        <v>-6.4045478900251016</v>
      </c>
      <c r="I12" s="775" t="s">
        <v>503</v>
      </c>
      <c r="J12" s="12"/>
      <c r="K12" s="112"/>
      <c r="L12" s="112"/>
      <c r="M12" s="112"/>
      <c r="N12" s="112"/>
      <c r="P12" s="108"/>
      <c r="Q12" s="445"/>
      <c r="R12" s="445"/>
      <c r="S12" s="445"/>
      <c r="T12" s="638"/>
      <c r="U12" s="638"/>
      <c r="V12" s="638"/>
      <c r="W12" s="638"/>
      <c r="X12" s="638"/>
      <c r="Y12" s="638"/>
      <c r="Z12" s="638"/>
      <c r="AA12" s="638"/>
    </row>
    <row r="13" spans="1:27" s="8" customFormat="1" x14ac:dyDescent="0.25">
      <c r="A13" s="765" t="s">
        <v>383</v>
      </c>
      <c r="B13" s="771">
        <f>VLOOKUP($A13,[2]!EnergySavings,2,FALSE)</f>
        <v>-40.198908550451655</v>
      </c>
      <c r="C13" s="771">
        <f>VLOOKUP($A13,[2]!EnergySavings,3,FALSE)</f>
        <v>-11.931006857682895</v>
      </c>
      <c r="D13" s="772">
        <f>VLOOKUP($A13,[2]!EnergySavings,19,FALSE)</f>
        <v>5.1977494442774608E-2</v>
      </c>
      <c r="E13" s="773">
        <f>VLOOKUP($A13,[2]!EnergySavings,17,FALSE)</f>
        <v>0.26827304622443826</v>
      </c>
      <c r="F13" s="773">
        <f>VLOOKUP($A13,[2]!EnergySavings,17,FALSE)</f>
        <v>0.26827304622443826</v>
      </c>
      <c r="G13" s="774">
        <f>(VLOOKUP(A13,[1]!LandfillTypicalNatlAverage,2,FALSE)*VLOOKUP(A13,LF_Collection_Scenario,7,FALSE)*(1-[1]Assumptions!$G$15)*(-'Avoided Utility'!$E$7)*(1/('Avoided Utility'!$E$73/1000)/[1]!CE_CO2E))+VLOOKUP($A13,[2]!EnergySavings,17,FALSE)</f>
        <v>-5.4438919047371359E-2</v>
      </c>
      <c r="H13" s="771">
        <f>VLOOKUP($A13,[2]!EnergySavings,16,FALSE)</f>
        <v>-7.53303966600848</v>
      </c>
      <c r="I13" s="775" t="s">
        <v>503</v>
      </c>
      <c r="J13" s="12"/>
      <c r="K13" s="112"/>
      <c r="L13" s="112"/>
      <c r="M13" s="112"/>
      <c r="N13" s="112"/>
      <c r="P13" s="108"/>
      <c r="Q13" s="445"/>
      <c r="R13" s="445"/>
      <c r="S13" s="445"/>
      <c r="T13" s="638"/>
      <c r="U13" s="638"/>
      <c r="V13" s="638"/>
      <c r="W13" s="638"/>
      <c r="X13" s="638"/>
      <c r="Y13" s="638"/>
      <c r="Z13" s="638"/>
      <c r="AA13" s="638"/>
    </row>
    <row r="14" spans="1:27" s="8" customFormat="1" x14ac:dyDescent="0.25">
      <c r="A14" s="765" t="s">
        <v>384</v>
      </c>
      <c r="B14" s="771">
        <f>VLOOKUP($A14,[2]!EnergySavings,2,FALSE)</f>
        <v>-35.599721766002347</v>
      </c>
      <c r="C14" s="771">
        <f>VLOOKUP($A14,[2]!EnergySavings,3,FALSE)</f>
        <v>-1.0271952983229131</v>
      </c>
      <c r="D14" s="772">
        <f>VLOOKUP($A14,[2]!EnergySavings,19,FALSE)</f>
        <v>-0.52582465283557278</v>
      </c>
      <c r="E14" s="773">
        <f>VLOOKUP($A14,[2]!EnergySavings,17,FALSE)</f>
        <v>0.26827304622443826</v>
      </c>
      <c r="F14" s="773">
        <f>VLOOKUP($A14,[2]!EnergySavings,17,FALSE)</f>
        <v>0.26827304622443826</v>
      </c>
      <c r="G14" s="774">
        <f>(VLOOKUP(A14,[1]!LandfillTypicalNatlAverage,2,FALSE)*VLOOKUP(A14,LF_Collection_Scenario,7,FALSE)*(1-[1]Assumptions!$G$15)*(-'Avoided Utility'!$E$7)*(1/('Avoided Utility'!$E$73/1000)/[1]!CE_CO2E))+VLOOKUP($A14,[2]!EnergySavings,17,FALSE)</f>
        <v>-0.91651705681087958</v>
      </c>
      <c r="H14" s="771">
        <f>VLOOKUP($A14,[2]!EnergySavings,16,FALSE)</f>
        <v>-6.4045478900251016</v>
      </c>
      <c r="I14" s="775" t="s">
        <v>503</v>
      </c>
      <c r="J14" s="12"/>
      <c r="K14" s="112"/>
      <c r="L14" s="112"/>
      <c r="M14" s="112"/>
      <c r="N14" s="112"/>
      <c r="P14" s="108"/>
      <c r="Q14" s="445"/>
      <c r="R14" s="445"/>
      <c r="S14" s="445"/>
      <c r="T14" s="638"/>
      <c r="U14" s="638"/>
      <c r="V14" s="638"/>
      <c r="W14" s="638"/>
      <c r="X14" s="638"/>
      <c r="Y14" s="638"/>
      <c r="Z14" s="638"/>
      <c r="AA14" s="638"/>
    </row>
    <row r="15" spans="1:27" s="8" customFormat="1" x14ac:dyDescent="0.25">
      <c r="A15" s="765" t="s">
        <v>4</v>
      </c>
      <c r="B15" s="771">
        <f>VLOOKUP($A15,[2]!EnergySavings,2,FALSE)</f>
        <v>-3.6749756764231494</v>
      </c>
      <c r="C15" s="771">
        <f>VLOOKUP($A15,[2]!EnergySavings,3,FALSE)</f>
        <v>0.58794120000000016</v>
      </c>
      <c r="D15" s="772">
        <f>VLOOKUP($A15,[2]!EnergySavings,19,FALSE)</f>
        <v>0.23480614912201328</v>
      </c>
      <c r="E15" s="773">
        <f>VLOOKUP($A15,[2]!EnergySavings,17,FALSE)</f>
        <v>0.26827304622443826</v>
      </c>
      <c r="F15" s="773">
        <f>VLOOKUP($A15,[2]!EnergySavings,17,FALSE)</f>
        <v>0.26827304622443826</v>
      </c>
      <c r="G15" s="774">
        <f>(VLOOKUP(A15,[1]!LandfillTypicalNatlAverage,2,FALSE)*VLOOKUP(A15,LF_Collection_Scenario,7,FALSE)*(1-[1]Assumptions!$G$15)*(-'Avoided Utility'!$E$7)*(1/('Avoided Utility'!$E$73/1000)/[1]!CE_CO2E))+VLOOKUP($A15,[2]!EnergySavings,17,FALSE)</f>
        <v>0.21834059016369103</v>
      </c>
      <c r="H15" s="771">
        <f>VLOOKUP($A15,[2]!EnergySavings,16,FALSE)</f>
        <v>-7.8764936847860305</v>
      </c>
      <c r="I15" s="775" t="s">
        <v>503</v>
      </c>
      <c r="J15" s="12"/>
      <c r="K15" s="112"/>
      <c r="L15" s="112"/>
      <c r="M15" s="112"/>
      <c r="N15" s="112"/>
      <c r="O15" s="112"/>
      <c r="P15" s="108"/>
      <c r="Q15" s="445"/>
      <c r="R15" s="445"/>
      <c r="S15" s="445"/>
      <c r="T15" s="638"/>
      <c r="U15" s="638"/>
      <c r="V15" s="638"/>
      <c r="W15" s="638"/>
      <c r="X15" s="638"/>
      <c r="Y15" s="638"/>
      <c r="Z15" s="638"/>
      <c r="AA15" s="638"/>
    </row>
    <row r="16" spans="1:27" s="8" customFormat="1" x14ac:dyDescent="0.25">
      <c r="A16" s="765" t="s">
        <v>558</v>
      </c>
      <c r="B16" s="771">
        <f>VLOOKUP($A16,[2]!EnergySavings,2,FALSE)</f>
        <v>-11.920555209697666</v>
      </c>
      <c r="C16" s="771">
        <f>VLOOKUP($A16,[2]!EnergySavings,3,FALSE)</f>
        <v>0.85831415999999972</v>
      </c>
      <c r="D16" s="772">
        <f>VLOOKUP($A16,[2]!EnergySavings,19,FALSE)</f>
        <v>0.25673279267090809</v>
      </c>
      <c r="E16" s="773">
        <f>VLOOKUP($A16,[2]!EnergySavings,17,FALSE)</f>
        <v>0.26827304622443826</v>
      </c>
      <c r="F16" s="773">
        <f>VLOOKUP($A16,[2]!EnergySavings,17,FALSE)</f>
        <v>0.26827304622443826</v>
      </c>
      <c r="G16" s="774">
        <f>(VLOOKUP(A16,[1]!LandfillTypicalNatlAverage,2,FALSE)*VLOOKUP(A16,LF_Collection_Scenario,7,FALSE)*(1-[1]Assumptions!$G$15)*(-'Avoided Utility'!$E$7)*(1/('Avoided Utility'!$E$73/1000)/[1]!CE_CO2E))+VLOOKUP($A16,[2]!EnergySavings,17,FALSE)</f>
        <v>0.25105504116923483</v>
      </c>
      <c r="H16" s="771">
        <f>VLOOKUP($A16,[2]!EnergySavings,16,FALSE)</f>
        <v>-7.8764936847860305</v>
      </c>
      <c r="I16" s="775" t="s">
        <v>503</v>
      </c>
      <c r="J16" s="12"/>
      <c r="K16" s="112"/>
      <c r="L16" s="112"/>
      <c r="M16" s="112"/>
      <c r="N16" s="112"/>
      <c r="O16" s="112"/>
      <c r="P16" s="108"/>
      <c r="Q16" s="445"/>
      <c r="R16" s="445"/>
      <c r="S16" s="445"/>
      <c r="T16" s="638"/>
      <c r="U16" s="638"/>
      <c r="V16" s="638"/>
      <c r="W16" s="638"/>
      <c r="X16" s="638"/>
      <c r="Y16" s="638"/>
      <c r="Z16" s="638"/>
      <c r="AA16" s="638"/>
    </row>
    <row r="17" spans="1:27" s="8" customFormat="1" x14ac:dyDescent="0.25">
      <c r="A17" s="765" t="s">
        <v>740</v>
      </c>
      <c r="B17" s="771">
        <f>VLOOKUP($A17,[2]!EnergySavings,2,FALSE)</f>
        <v>-14.559042837202703</v>
      </c>
      <c r="C17" s="771" t="s">
        <v>503</v>
      </c>
      <c r="D17" s="772">
        <f>VLOOKUP($A17,[2]!EnergySavings,19,FALSE)</f>
        <v>-2.3481946603406301E-2</v>
      </c>
      <c r="E17" s="773">
        <f>VLOOKUP($A17,[2]!EnergySavings,17,FALSE)</f>
        <v>0.26827304622443826</v>
      </c>
      <c r="F17" s="773">
        <f>VLOOKUP($A17,[2]!EnergySavings,17,FALSE)</f>
        <v>0.26827304622443826</v>
      </c>
      <c r="G17" s="774">
        <f>(VLOOKUP(A17,[1]!LandfillTypicalNatlAverage,2,FALSE)*VLOOKUP(A17,LF_Collection_Scenario,7,FALSE)*(1-[1]Assumptions!$G$15)*(-'Avoided Utility'!$E$7)*(1/('Avoided Utility'!$E$73/1000)/[1]!CE_CO2E))+VLOOKUP($A17,[2]!EnergySavings,17,FALSE)</f>
        <v>-0.16702405691884603</v>
      </c>
      <c r="H17" s="771">
        <f>VLOOKUP($A17,[2]!EnergySavings,16,FALSE)</f>
        <v>-2.0574013094978278</v>
      </c>
      <c r="I17" s="775">
        <f>VLOOKUP($A17,[2]!EnergySavings,3,FALSE)</f>
        <v>0.25847304622443823</v>
      </c>
      <c r="J17" s="12"/>
      <c r="K17" s="112"/>
      <c r="L17" s="112"/>
      <c r="M17" s="112"/>
      <c r="N17" s="112"/>
      <c r="O17" s="112"/>
      <c r="P17" s="108"/>
      <c r="Q17" s="445"/>
      <c r="R17" s="445"/>
      <c r="S17" s="445"/>
      <c r="T17" s="638"/>
      <c r="U17" s="638"/>
      <c r="V17" s="638"/>
      <c r="W17" s="638"/>
      <c r="X17" s="638"/>
      <c r="Y17" s="638"/>
      <c r="Z17" s="638"/>
      <c r="AA17" s="638"/>
    </row>
    <row r="18" spans="1:27" s="8" customFormat="1" x14ac:dyDescent="0.25">
      <c r="A18" s="765" t="s">
        <v>646</v>
      </c>
      <c r="B18" s="771">
        <f>VLOOKUP($A18,[2]!EnergySavings,2,FALSE)</f>
        <v>-7.201574287141435</v>
      </c>
      <c r="C18" s="771" t="s">
        <v>503</v>
      </c>
      <c r="D18" s="772">
        <f>VLOOKUP($A18,[2]!EnergySavings,19,FALSE)</f>
        <v>-2.3481946603406301E-2</v>
      </c>
      <c r="E18" s="773">
        <f>VLOOKUP($A18,[2]!EnergySavings,17,FALSE)</f>
        <v>0.26827304622443826</v>
      </c>
      <c r="F18" s="773">
        <f>VLOOKUP($A18,[2]!EnergySavings,17,FALSE)</f>
        <v>0.26827304622443826</v>
      </c>
      <c r="G18" s="774">
        <f>(VLOOKUP(A18,[1]!LandfillTypicalNatlAverage,2,FALSE)*VLOOKUP(A18,LF_Collection_Scenario,7,FALSE)*(1-[1]Assumptions!$G$15)*(-'Avoided Utility'!$E$7)*(1/('Avoided Utility'!$E$73/1000)/[1]!CE_CO2E))+VLOOKUP($A18,[2]!EnergySavings,17,FALSE)</f>
        <v>-0.16702405691884603</v>
      </c>
      <c r="H18" s="771">
        <f>VLOOKUP($A18,[2]!EnergySavings,16,FALSE)</f>
        <v>-2.0574013094978278</v>
      </c>
      <c r="I18" s="775">
        <f>VLOOKUP($A18,[2]!EnergySavings,3,FALSE)</f>
        <v>0.25847304622443823</v>
      </c>
      <c r="J18" s="12"/>
      <c r="K18" s="112"/>
      <c r="L18" s="112"/>
      <c r="M18" s="112"/>
      <c r="N18" s="112"/>
      <c r="O18" s="112"/>
      <c r="P18" s="108"/>
      <c r="Q18" s="445"/>
      <c r="R18" s="445"/>
      <c r="S18" s="445"/>
      <c r="T18" s="638"/>
      <c r="U18" s="638"/>
      <c r="V18" s="638"/>
      <c r="W18" s="638"/>
      <c r="X18" s="638"/>
      <c r="Y18" s="638"/>
      <c r="Z18" s="638"/>
      <c r="AA18" s="638"/>
    </row>
    <row r="19" spans="1:27" s="8" customFormat="1" x14ac:dyDescent="0.25">
      <c r="A19" s="765" t="s">
        <v>744</v>
      </c>
      <c r="B19" s="771">
        <f>VLOOKUP($A19,[2]!EnergySavings,2,FALSE)</f>
        <v>-43.602496945352172</v>
      </c>
      <c r="C19" s="771" t="s">
        <v>503</v>
      </c>
      <c r="D19" s="772">
        <f>VLOOKUP($A19,[2]!EnergySavings,19,FALSE)</f>
        <v>-2.3481946603406301E-2</v>
      </c>
      <c r="E19" s="773">
        <f>VLOOKUP($A19,[2]!EnergySavings,17,FALSE)</f>
        <v>0.26827304622443826</v>
      </c>
      <c r="F19" s="773">
        <f>VLOOKUP($A19,[2]!EnergySavings,17,FALSE)</f>
        <v>0.26827304622443826</v>
      </c>
      <c r="G19" s="774">
        <f>(VLOOKUP(A19,[1]!LandfillTypicalNatlAverage,2,FALSE)*VLOOKUP(A19,LF_Collection_Scenario,7,FALSE)*(1-[1]Assumptions!$G$15)*(-'Avoided Utility'!$E$7)*(1/('Avoided Utility'!$E$73/1000)/[1]!CE_CO2E))+VLOOKUP($A19,[2]!EnergySavings,17,FALSE)</f>
        <v>-0.16702405691884603</v>
      </c>
      <c r="H19" s="771">
        <f>VLOOKUP($A19,[2]!EnergySavings,16,FALSE)</f>
        <v>-2.0574013094978278</v>
      </c>
      <c r="I19" s="775">
        <f>VLOOKUP($A19,[2]!EnergySavings,3,FALSE)</f>
        <v>0.25847304622443823</v>
      </c>
      <c r="J19" s="12"/>
      <c r="K19" s="112"/>
      <c r="L19" s="112"/>
      <c r="M19" s="112"/>
      <c r="N19" s="112"/>
      <c r="O19" s="112"/>
      <c r="P19" s="108"/>
      <c r="Q19" s="445"/>
      <c r="R19" s="445"/>
      <c r="S19" s="445"/>
      <c r="T19" s="638"/>
      <c r="U19" s="638"/>
      <c r="V19" s="638"/>
      <c r="W19" s="638"/>
      <c r="X19" s="638"/>
      <c r="Y19" s="638"/>
      <c r="Z19" s="638"/>
      <c r="AA19" s="638"/>
    </row>
    <row r="20" spans="1:27" s="8" customFormat="1" x14ac:dyDescent="0.25">
      <c r="A20" s="765" t="s">
        <v>580</v>
      </c>
      <c r="B20" s="771" t="str">
        <f>VLOOKUP($A20,[2]!EnergySavings,2,FALSE)</f>
        <v>NA</v>
      </c>
      <c r="C20" s="771" t="s">
        <v>503</v>
      </c>
      <c r="D20" s="772">
        <f>VLOOKUP($A20,[2]!EnergySavings,19,FALSE)</f>
        <v>0.13685423589273019</v>
      </c>
      <c r="E20" s="773">
        <f>VLOOKUP($A20,[2]!EnergySavings,17,FALSE)</f>
        <v>0.26827304622443826</v>
      </c>
      <c r="F20" s="773">
        <f>VLOOKUP($A20,[2]!EnergySavings,17,FALSE)</f>
        <v>0.26827304622443826</v>
      </c>
      <c r="G20" s="774">
        <f>(VLOOKUP(A20,[1]!LandfillTypicalNatlAverage,2,FALSE)*VLOOKUP(A20,LF_Collection_Scenario,7,FALSE)*(1-[1]Assumptions!$G$15)*(-'Avoided Utility'!$E$7)*(1/('Avoided Utility'!$E$73/1000)/[1]!CE_CO2E))+VLOOKUP($A20,[2]!EnergySavings,17,FALSE)</f>
        <v>7.2196787575165206E-2</v>
      </c>
      <c r="H20" s="771">
        <f>VLOOKUP($A20,[2]!EnergySavings,16,FALSE)</f>
        <v>-2.4793591039959604</v>
      </c>
      <c r="I20" s="775">
        <f>VLOOKUP($A20,[2]!EnergySavings,3,FALSE)</f>
        <v>0.25847304622443823</v>
      </c>
      <c r="J20" s="12"/>
      <c r="K20" s="112"/>
      <c r="L20" s="112"/>
      <c r="M20" s="112"/>
      <c r="N20" s="112"/>
      <c r="O20" s="112"/>
      <c r="P20" s="108"/>
      <c r="Q20" s="445"/>
      <c r="R20" s="445"/>
      <c r="S20" s="445"/>
      <c r="T20" s="638"/>
      <c r="U20" s="638"/>
      <c r="V20" s="638"/>
      <c r="W20" s="638"/>
      <c r="X20" s="638"/>
      <c r="Y20" s="638"/>
      <c r="Z20" s="638"/>
      <c r="AA20" s="638"/>
    </row>
    <row r="21" spans="1:27" s="8" customFormat="1" x14ac:dyDescent="0.25">
      <c r="A21" s="765" t="s">
        <v>521</v>
      </c>
      <c r="B21" s="771" t="str">
        <f>VLOOKUP($A21,[2]!EnergySavings,2,FALSE)</f>
        <v>NA</v>
      </c>
      <c r="C21" s="771" t="s">
        <v>503</v>
      </c>
      <c r="D21" s="772">
        <f>VLOOKUP($A21,[2]!EnergySavings,19,FALSE)</f>
        <v>0.18621245875479675</v>
      </c>
      <c r="E21" s="773">
        <f>VLOOKUP($A21,[2]!EnergySavings,17,FALSE)</f>
        <v>0.26827304622443826</v>
      </c>
      <c r="F21" s="773">
        <f>VLOOKUP($A21,[2]!EnergySavings,17,FALSE)</f>
        <v>0.26827304622443826</v>
      </c>
      <c r="G21" s="774">
        <f>(VLOOKUP(A21,[1]!LandfillTypicalNatlAverage,2,FALSE)*VLOOKUP(A21,LF_Collection_Scenario,7,FALSE)*(1-[1]Assumptions!$G$15)*(-'Avoided Utility'!$E$7)*(1/('Avoided Utility'!$E$73/1000)/[1]!CE_CO2E))+VLOOKUP($A21,[2]!EnergySavings,17,FALSE)</f>
        <v>0.14583902834681195</v>
      </c>
      <c r="H21" s="771">
        <f>VLOOKUP($A21,[2]!EnergySavings,16,FALSE)</f>
        <v>-2.4793591039959604</v>
      </c>
      <c r="I21" s="775">
        <f>VLOOKUP($A21,[2]!EnergySavings,3,FALSE)</f>
        <v>0.25847304622443823</v>
      </c>
      <c r="J21" s="12"/>
      <c r="K21" s="112"/>
      <c r="L21" s="112"/>
      <c r="M21" s="112"/>
      <c r="N21" s="112"/>
      <c r="O21" s="112"/>
      <c r="P21" s="108"/>
      <c r="Q21" s="445"/>
      <c r="R21" s="445"/>
      <c r="S21" s="445"/>
      <c r="T21" s="638"/>
      <c r="U21" s="638"/>
      <c r="V21" s="638"/>
      <c r="W21" s="638"/>
      <c r="X21" s="638"/>
      <c r="Y21" s="638"/>
      <c r="Z21" s="638"/>
      <c r="AA21" s="638"/>
    </row>
    <row r="22" spans="1:27" s="8" customFormat="1" x14ac:dyDescent="0.25">
      <c r="A22" s="765" t="s">
        <v>522</v>
      </c>
      <c r="B22" s="771" t="str">
        <f>VLOOKUP($A22,[2]!EnergySavings,2,FALSE)</f>
        <v>NA</v>
      </c>
      <c r="C22" s="771" t="s">
        <v>503</v>
      </c>
      <c r="D22" s="772">
        <f>VLOOKUP($A22,[2]!EnergySavings,19,FALSE)</f>
        <v>0.15593669251161218</v>
      </c>
      <c r="E22" s="773">
        <f>VLOOKUP($A22,[2]!EnergySavings,17,FALSE)</f>
        <v>0.26827304622443826</v>
      </c>
      <c r="F22" s="773">
        <f>VLOOKUP($A22,[2]!EnergySavings,17,FALSE)</f>
        <v>0.26827304622443826</v>
      </c>
      <c r="G22" s="774">
        <f>(VLOOKUP(A22,[1]!LandfillTypicalNatlAverage,2,FALSE)*VLOOKUP(A22,LF_Collection_Scenario,7,FALSE)*(1-[1]Assumptions!$G$15)*(-'Avoided Utility'!$E$7)*(1/('Avoided Utility'!$E$73/1000)/[1]!CE_CO2E))+VLOOKUP($A22,[2]!EnergySavings,17,FALSE)</f>
        <v>0.10066772480419203</v>
      </c>
      <c r="H22" s="771">
        <f>VLOOKUP($A22,[2]!EnergySavings,16,FALSE)</f>
        <v>-2.4793591039959604</v>
      </c>
      <c r="I22" s="775">
        <f>VLOOKUP($A22,[2]!EnergySavings,3,FALSE)</f>
        <v>0.25847304622443823</v>
      </c>
      <c r="J22" s="12"/>
      <c r="K22" s="112"/>
      <c r="L22" s="112"/>
      <c r="M22" s="112"/>
      <c r="N22" s="112"/>
      <c r="O22" s="112"/>
      <c r="P22" s="108"/>
      <c r="Q22" s="445"/>
      <c r="R22" s="445"/>
      <c r="S22" s="445"/>
      <c r="T22" s="638"/>
      <c r="U22" s="638"/>
      <c r="V22" s="638"/>
      <c r="W22" s="638"/>
      <c r="X22" s="638"/>
      <c r="Y22" s="638"/>
      <c r="Z22" s="638"/>
      <c r="AA22" s="638"/>
    </row>
    <row r="23" spans="1:27" s="8" customFormat="1" x14ac:dyDescent="0.25">
      <c r="A23" s="765" t="s">
        <v>523</v>
      </c>
      <c r="B23" s="771" t="str">
        <f>VLOOKUP($A23,[2]!EnergySavings,2,FALSE)</f>
        <v>NA</v>
      </c>
      <c r="C23" s="771" t="s">
        <v>503</v>
      </c>
      <c r="D23" s="772">
        <f>VLOOKUP($A23,[2]!EnergySavings,19,FALSE)</f>
        <v>-4.8899192374005085E-3</v>
      </c>
      <c r="E23" s="773">
        <f>VLOOKUP($A23,[2]!EnergySavings,17,FALSE)</f>
        <v>0.26827304622443826</v>
      </c>
      <c r="F23" s="773">
        <f>VLOOKUP($A23,[2]!EnergySavings,17,FALSE)</f>
        <v>0.26827304622443826</v>
      </c>
      <c r="G23" s="774">
        <f>(VLOOKUP(A23,[1]!LandfillTypicalNatlAverage,2,FALSE)*VLOOKUP(A23,LF_Collection_Scenario,7,FALSE)*(1-[1]Assumptions!$G$15)*(-'Avoided Utility'!$E$7)*(1/('Avoided Utility'!$E$73/1000)/[1]!CE_CO2E))+VLOOKUP($A23,[2]!EnergySavings,17,FALSE)</f>
        <v>-0.1392848378722728</v>
      </c>
      <c r="H23" s="771">
        <f>VLOOKUP($A23,[2]!EnergySavings,16,FALSE)</f>
        <v>-2.4793591039959604</v>
      </c>
      <c r="I23" s="775">
        <f>VLOOKUP($A23,[2]!EnergySavings,3,FALSE)</f>
        <v>0.25847304622443823</v>
      </c>
      <c r="J23" s="12"/>
      <c r="K23" s="112"/>
      <c r="L23" s="112"/>
      <c r="M23" s="112"/>
      <c r="N23" s="112"/>
      <c r="O23" s="112"/>
      <c r="P23" s="108"/>
      <c r="Q23" s="445"/>
      <c r="R23" s="445"/>
      <c r="S23" s="445"/>
      <c r="T23" s="638"/>
      <c r="U23" s="638"/>
      <c r="V23" s="638"/>
      <c r="W23" s="638"/>
      <c r="X23" s="638"/>
      <c r="Y23" s="638"/>
      <c r="Z23" s="638"/>
      <c r="AA23" s="638"/>
    </row>
    <row r="24" spans="1:27" s="8" customFormat="1" x14ac:dyDescent="0.25">
      <c r="A24" s="765" t="s">
        <v>583</v>
      </c>
      <c r="B24" s="771">
        <f>VLOOKUP($A24,[2]!EnergySavings,2,FALSE)</f>
        <v>-29.443040282645512</v>
      </c>
      <c r="C24" s="771">
        <f>VLOOKUP($A24,[2]!EnergySavings,3,FALSE)</f>
        <v>-20.451481173499502</v>
      </c>
      <c r="D24" s="772">
        <f>VLOOKUP($A24,[2]!EnergySavings,19,FALSE)</f>
        <v>-0.20697781763451961</v>
      </c>
      <c r="E24" s="773">
        <f>VLOOKUP($A24,[2]!EnergySavings,17,FALSE)</f>
        <v>0.26827304622443826</v>
      </c>
      <c r="F24" s="773">
        <f>VLOOKUP($A24,[2]!EnergySavings,17,FALSE)</f>
        <v>0.26827304622443826</v>
      </c>
      <c r="G24" s="774">
        <f>(VLOOKUP(A24,[1]!LandfillTypicalNatlAverage,2,FALSE)*VLOOKUP(A24,LF_Collection_Scenario,7,FALSE)*(1-[1]Assumptions!$G$15)*(-'Avoided Utility'!$E$7)*(1/('Avoided Utility'!$E$73/1000)/[1]!CE_CO2E))+VLOOKUP($A24,[2]!EnergySavings,17,FALSE)</f>
        <v>-0.44079904984837304</v>
      </c>
      <c r="H24" s="771">
        <f>VLOOKUP($A24,[2]!EnergySavings,16,FALSE)</f>
        <v>-6.6687915991005839</v>
      </c>
      <c r="I24" s="775" t="s">
        <v>503</v>
      </c>
      <c r="J24" s="12"/>
      <c r="K24" s="112"/>
      <c r="L24" s="112"/>
      <c r="M24" s="112"/>
      <c r="N24" s="112"/>
      <c r="P24" s="108"/>
      <c r="Q24" s="445"/>
      <c r="R24" s="445"/>
      <c r="S24" s="445"/>
      <c r="T24" s="638"/>
      <c r="U24" s="638"/>
      <c r="V24" s="638"/>
      <c r="W24" s="638"/>
      <c r="X24" s="638"/>
      <c r="Y24" s="638"/>
      <c r="Z24" s="638"/>
      <c r="AA24" s="638"/>
    </row>
    <row r="25" spans="1:27" s="8" customFormat="1" x14ac:dyDescent="0.25">
      <c r="A25" s="765" t="s">
        <v>584</v>
      </c>
      <c r="B25" s="771">
        <f>VLOOKUP($A25,[2]!EnergySavings,2,FALSE)</f>
        <v>-28.663042741731605</v>
      </c>
      <c r="C25" s="771">
        <f>VLOOKUP($A25,[2]!EnergySavings,3,FALSE)</f>
        <v>-20.451481173499502</v>
      </c>
      <c r="D25" s="772">
        <f>VLOOKUP($A25,[2]!EnergySavings,19,FALSE)</f>
        <v>-0.1874945796202474</v>
      </c>
      <c r="E25" s="773">
        <f>VLOOKUP($A25,[2]!EnergySavings,17,FALSE)</f>
        <v>0.26827304622443826</v>
      </c>
      <c r="F25" s="773">
        <f>VLOOKUP($A25,[2]!EnergySavings,17,FALSE)</f>
        <v>0.26827304622443826</v>
      </c>
      <c r="G25" s="774">
        <f>(VLOOKUP(A25,[1]!LandfillTypicalNatlAverage,2,FALSE)*VLOOKUP(A25,LF_Collection_Scenario,7,FALSE)*(1-[1]Assumptions!$G$15)*(-'Avoided Utility'!$E$7)*(1/('Avoided Utility'!$E$73/1000)/[1]!CE_CO2E))+VLOOKUP($A25,[2]!EnergySavings,17,FALSE)</f>
        <v>-0.41173014862662705</v>
      </c>
      <c r="H25" s="771">
        <f>VLOOKUP($A25,[2]!EnergySavings,16,FALSE)</f>
        <v>-6.6391662367380295</v>
      </c>
      <c r="I25" s="775" t="s">
        <v>503</v>
      </c>
      <c r="J25" s="12"/>
      <c r="K25" s="134"/>
      <c r="L25" s="112"/>
      <c r="M25" s="112"/>
      <c r="N25" s="112"/>
      <c r="O25" s="112"/>
      <c r="P25" s="108"/>
      <c r="Q25" s="445"/>
      <c r="R25" s="445"/>
      <c r="S25" s="445"/>
      <c r="T25" s="638"/>
      <c r="U25" s="638"/>
      <c r="V25" s="638"/>
      <c r="W25" s="638"/>
      <c r="X25" s="638"/>
      <c r="Y25" s="638"/>
      <c r="Z25" s="638"/>
      <c r="AA25" s="638"/>
    </row>
    <row r="26" spans="1:27" s="8" customFormat="1" x14ac:dyDescent="0.25">
      <c r="A26" s="765" t="s">
        <v>585</v>
      </c>
      <c r="B26" s="771">
        <f>VLOOKUP($A26,[2]!EnergySavings,2,FALSE)</f>
        <v>-34.642171590374666</v>
      </c>
      <c r="C26" s="771">
        <f>VLOOKUP($A26,[2]!EnergySavings,3,FALSE)</f>
        <v>-20.850283999999998</v>
      </c>
      <c r="D26" s="772">
        <f>VLOOKUP($A26,[2]!EnergySavings,19,FALSE)</f>
        <v>-0.17911687124601788</v>
      </c>
      <c r="E26" s="773">
        <f>VLOOKUP($A26,[2]!EnergySavings,17,FALSE)</f>
        <v>0.26827304622443826</v>
      </c>
      <c r="F26" s="773">
        <f>VLOOKUP($A26,[2]!EnergySavings,17,FALSE)</f>
        <v>0.26827304622443826</v>
      </c>
      <c r="G26" s="774">
        <f>(VLOOKUP(A26,[1]!LandfillTypicalNatlAverage,2,FALSE)*VLOOKUP(A26,LF_Collection_Scenario,7,FALSE)*(1-[1]Assumptions!$G$15)*(-'Avoided Utility'!$E$7)*(1/('Avoided Utility'!$E$73/1000)/[1]!CE_CO2E))+VLOOKUP($A26,[2]!EnergySavings,17,FALSE)</f>
        <v>-0.39923064638697481</v>
      </c>
      <c r="H26" s="771">
        <f>VLOOKUP($A26,[2]!EnergySavings,16,FALSE)</f>
        <v>-6.1087162241940502</v>
      </c>
      <c r="I26" s="775" t="s">
        <v>503</v>
      </c>
      <c r="J26" s="12"/>
      <c r="K26" s="112"/>
      <c r="L26" s="112"/>
      <c r="M26" s="112"/>
      <c r="N26" s="112"/>
      <c r="O26" s="112"/>
      <c r="P26" s="108"/>
      <c r="Q26" s="445"/>
      <c r="R26" s="445"/>
      <c r="S26" s="445"/>
      <c r="T26" s="638"/>
      <c r="U26" s="638"/>
      <c r="V26" s="638"/>
      <c r="W26" s="638"/>
      <c r="X26" s="638"/>
      <c r="Y26" s="638"/>
      <c r="Z26" s="638"/>
      <c r="AA26" s="638"/>
    </row>
    <row r="27" spans="1:27" s="8" customFormat="1" x14ac:dyDescent="0.25">
      <c r="A27" s="765" t="s">
        <v>633</v>
      </c>
      <c r="B27" s="771">
        <f>VLOOKUP($A27,[2]!EnergySavings,2,FALSE)</f>
        <v>-50.606890814490178</v>
      </c>
      <c r="C27" s="771">
        <f>VLOOKUP($A27,[2]!EnergySavings,3,FALSE)</f>
        <v>-65.985389887039346</v>
      </c>
      <c r="D27" s="772">
        <f>VLOOKUP($A27,[2]!EnergySavings,19,FALSE)</f>
        <v>0.26827304622443826</v>
      </c>
      <c r="E27" s="773">
        <f>VLOOKUP($A27,[2]!EnergySavings,17,FALSE)</f>
        <v>0.26827304622443826</v>
      </c>
      <c r="F27" s="773">
        <f>VLOOKUP($A27,[2]!EnergySavings,17,FALSE)</f>
        <v>0.26827304622443826</v>
      </c>
      <c r="G27" s="774">
        <f>E27</f>
        <v>0.26827304622443826</v>
      </c>
      <c r="H27" s="777">
        <f>VLOOKUP($A27,[2]!EnergySavings,16,FALSE)</f>
        <v>-10.990796326207498</v>
      </c>
      <c r="I27" s="775" t="s">
        <v>503</v>
      </c>
      <c r="J27" s="12"/>
      <c r="K27" s="112"/>
      <c r="L27" s="112"/>
      <c r="M27" s="112"/>
      <c r="N27" s="112"/>
      <c r="O27" s="112"/>
      <c r="P27" s="108"/>
      <c r="Q27" s="445"/>
      <c r="R27" s="445"/>
      <c r="S27" s="445"/>
      <c r="T27" s="638"/>
      <c r="U27" s="638"/>
      <c r="V27" s="638"/>
      <c r="W27" s="638"/>
      <c r="X27" s="638"/>
      <c r="Y27" s="638"/>
      <c r="Z27" s="638"/>
      <c r="AA27" s="638"/>
    </row>
    <row r="28" spans="1:27" s="8" customFormat="1" x14ac:dyDescent="0.25">
      <c r="A28" s="765" t="s">
        <v>386</v>
      </c>
      <c r="B28" s="771">
        <f>VLOOKUP($A28,[2]!EnergySavings,2,FALSE)</f>
        <v>-54.419091243046957</v>
      </c>
      <c r="C28" s="771">
        <f>VLOOKUP($A28,[2]!EnergySavings,3,FALSE)</f>
        <v>-38.837114582766276</v>
      </c>
      <c r="D28" s="772">
        <f>VLOOKUP($A28,[2]!EnergySavings,19,FALSE)</f>
        <v>0.26827304622443826</v>
      </c>
      <c r="E28" s="773">
        <f>VLOOKUP($A28,[2]!EnergySavings,17,FALSE)</f>
        <v>0.26827304622443826</v>
      </c>
      <c r="F28" s="773">
        <f>VLOOKUP($A28,[2]!EnergySavings,17,FALSE)</f>
        <v>0.26827304622443826</v>
      </c>
      <c r="G28" s="774">
        <f>E28</f>
        <v>0.26827304622443826</v>
      </c>
      <c r="H28" s="777">
        <f>VLOOKUP($A28,[2]!EnergySavings,16,FALSE)</f>
        <v>-13.633077428656717</v>
      </c>
      <c r="I28" s="775" t="s">
        <v>503</v>
      </c>
      <c r="J28" s="12"/>
      <c r="K28" s="112"/>
      <c r="L28" s="112"/>
      <c r="M28" s="112"/>
      <c r="N28" s="112"/>
      <c r="O28" s="112"/>
      <c r="Q28" s="445"/>
      <c r="R28" s="445"/>
      <c r="S28" s="445"/>
      <c r="T28" s="638"/>
      <c r="U28" s="638"/>
      <c r="V28" s="638"/>
      <c r="W28" s="638"/>
      <c r="X28" s="638"/>
      <c r="Y28" s="638"/>
      <c r="Z28" s="638"/>
      <c r="AA28" s="638"/>
    </row>
    <row r="29" spans="1:27" s="8" customFormat="1" x14ac:dyDescent="0.25">
      <c r="A29" s="765" t="s">
        <v>272</v>
      </c>
      <c r="B29" s="771" t="str">
        <f>VLOOKUP($A29,[2]!EnergySavings,2,FALSE)</f>
        <v>NA</v>
      </c>
      <c r="C29" s="771">
        <f>VLOOKUP($A29,[2]!EnergySavings,3,FALSE)</f>
        <v>-14.824133262566331</v>
      </c>
      <c r="D29" s="772">
        <f>VLOOKUP($A29,[2]!EnergySavings,19,FALSE)</f>
        <v>-6.876094209052519E-2</v>
      </c>
      <c r="E29" s="773">
        <f>VLOOKUP($A29,[2]!EnergySavings,17,FALSE)</f>
        <v>0.26827304622443826</v>
      </c>
      <c r="F29" s="773">
        <f>VLOOKUP($A29,[2]!EnergySavings,17,FALSE)</f>
        <v>0.26827304622443826</v>
      </c>
      <c r="G29" s="774">
        <f>(VLOOKUP(A29,[1]!LandfillTypicalNatlAverage,2,FALSE)*VLOOKUP(A29,LF_Collection_Scenario,7,FALSE)*(1-[1]Assumptions!$G$15)*(-'Avoided Utility'!$E$7)*(1/('Avoided Utility'!$E$73/1000)/[1]!CE_CO2E))+VLOOKUP($A29,[2]!EnergySavings,17,FALSE)</f>
        <v>-0.23458010926860251</v>
      </c>
      <c r="H29" s="777">
        <f>VLOOKUP($A29,[2]!EnergySavings,16,FALSE)</f>
        <v>-6.5830657535132708</v>
      </c>
      <c r="I29" s="775" t="s">
        <v>503</v>
      </c>
      <c r="J29" s="12"/>
      <c r="K29" s="112"/>
      <c r="L29" s="112"/>
      <c r="M29" s="112"/>
      <c r="N29" s="112"/>
      <c r="O29" s="112"/>
      <c r="P29" s="108"/>
      <c r="Q29" s="445"/>
      <c r="R29" s="445"/>
      <c r="S29" s="445"/>
      <c r="T29" s="638"/>
      <c r="U29" s="638"/>
      <c r="V29" s="638"/>
      <c r="W29" s="638"/>
      <c r="X29" s="638"/>
      <c r="Y29" s="638"/>
      <c r="Z29" s="638"/>
      <c r="AA29" s="638"/>
    </row>
    <row r="30" spans="1:27" s="8" customFormat="1" x14ac:dyDescent="0.25">
      <c r="A30" s="765" t="s">
        <v>385</v>
      </c>
      <c r="B30" s="771" t="str">
        <f>VLOOKUP($A30,[2]!EnergySavings,2,FALSE)</f>
        <v>NA</v>
      </c>
      <c r="C30" s="771" t="s">
        <v>503</v>
      </c>
      <c r="D30" s="772">
        <f>VLOOKUP($A30,[2]!EnergySavings,19,FALSE)</f>
        <v>5.7040194903087038E-2</v>
      </c>
      <c r="E30" s="773">
        <f>VLOOKUP($A30,[2]!EnergySavings,17,FALSE)</f>
        <v>0.26827304622443826</v>
      </c>
      <c r="F30" s="773">
        <f>VLOOKUP($A30,[2]!EnergySavings,17,FALSE)</f>
        <v>0.26827304622443826</v>
      </c>
      <c r="G30" s="774">
        <f>(VLOOKUP(A30,[1]!LandfillTypicalNatlAverage,2,FALSE)*VLOOKUP(A30,LF_Collection_Scenario,7,FALSE)*(1-[1]Assumptions!$G$15)*(-'Avoided Utility'!$E$7)*(1/('Avoided Utility'!$E$73/1000)/[1]!CE_CO2E))+VLOOKUP($A30,[2]!EnergySavings,17,FALSE)</f>
        <v>-4.6885393319856028E-2</v>
      </c>
      <c r="H30" s="777">
        <f>VLOOKUP($A30,[2]!EnergySavings,16,FALSE)</f>
        <v>-2.2599126282157078</v>
      </c>
      <c r="I30" s="775">
        <f>VLOOKUP($A30,[2]!EnergySavings,3,FALSE)</f>
        <v>0.25847304622443823</v>
      </c>
      <c r="J30" s="12"/>
      <c r="K30" s="112"/>
      <c r="L30" s="112"/>
      <c r="M30" s="112"/>
      <c r="N30" s="112"/>
      <c r="O30" s="112"/>
      <c r="P30" s="108"/>
      <c r="Q30" s="445"/>
      <c r="R30" s="445"/>
      <c r="S30" s="445"/>
      <c r="T30" s="638"/>
      <c r="U30" s="638"/>
      <c r="V30" s="638"/>
      <c r="W30" s="638"/>
      <c r="X30" s="638"/>
      <c r="Y30" s="638"/>
      <c r="Z30" s="638"/>
      <c r="AA30" s="638"/>
    </row>
    <row r="31" spans="1:27" s="8" customFormat="1" x14ac:dyDescent="0.25">
      <c r="A31" s="765" t="s">
        <v>574</v>
      </c>
      <c r="B31" s="771" t="str">
        <f>VLOOKUP($A31,[2]!EnergySavings,2,FALSE)</f>
        <v>NA</v>
      </c>
      <c r="C31" s="771" t="str">
        <f>VLOOKUP($A31,[2]!EnergySavings,3,FALSE)</f>
        <v>NA</v>
      </c>
      <c r="D31" s="772">
        <f>VLOOKUP($A31,[2]!EnergySavings,19,FALSE)</f>
        <v>-6.9800055866369615E-2</v>
      </c>
      <c r="E31" s="773">
        <f>VLOOKUP($A31,[2]!EnergySavings,17,FALSE)</f>
        <v>0.26827304622443826</v>
      </c>
      <c r="F31" s="773">
        <f>VLOOKUP($A31,[2]!EnergySavings,17,FALSE)</f>
        <v>0.26827304622443826</v>
      </c>
      <c r="G31" s="774">
        <f>(VLOOKUP(A31,[1]!LandfillTypicalNatlAverage,2,FALSE)*VLOOKUP(A31,LF_Collection_Scenario,7,FALSE)*(1-[1]Assumptions!$G$15)*(-'Avoided Utility'!$E$7)*(1/('Avoided Utility'!$E$73/1000)/[1]!CE_CO2E))+VLOOKUP($A31,[2]!EnergySavings,17,FALSE)</f>
        <v>-0.2361304622276974</v>
      </c>
      <c r="H31" s="771">
        <f>VLOOKUP($A31,[2]!EnergySavings,16,FALSE)</f>
        <v>-4.6382129363119882</v>
      </c>
      <c r="I31" s="775" t="s">
        <v>503</v>
      </c>
      <c r="J31" s="12"/>
      <c r="K31" s="112"/>
      <c r="L31" s="112"/>
      <c r="M31" s="112"/>
      <c r="N31" s="112"/>
      <c r="O31" s="112"/>
      <c r="P31" s="108"/>
      <c r="Q31" s="445"/>
      <c r="R31" s="445"/>
      <c r="S31" s="445"/>
      <c r="T31" s="638"/>
      <c r="U31" s="638"/>
      <c r="V31" s="638"/>
      <c r="W31" s="638"/>
      <c r="X31" s="638"/>
      <c r="Y31" s="638"/>
      <c r="Z31" s="638"/>
      <c r="AA31" s="638"/>
    </row>
    <row r="32" spans="1:27" s="8" customFormat="1" x14ac:dyDescent="0.25">
      <c r="A32" s="765" t="s">
        <v>573</v>
      </c>
      <c r="B32" s="771">
        <f>VLOOKUP($A32,[2]!EnergySavings,2,FALSE)</f>
        <v>-91.064720000000023</v>
      </c>
      <c r="C32" s="771">
        <f>VLOOKUP($A32,[2]!EnergySavings,3,FALSE)</f>
        <v>-21.473523219143274</v>
      </c>
      <c r="D32" s="772">
        <f>VLOOKUP($A32,[2]!EnergySavings,19,FALSE)</f>
        <v>0.26827304622443826</v>
      </c>
      <c r="E32" s="773">
        <f>VLOOKUP($A32,[2]!EnergySavings,17,FALSE)</f>
        <v>0.26827304622443826</v>
      </c>
      <c r="F32" s="773">
        <f>VLOOKUP($A32,[2]!EnergySavings,17,FALSE)</f>
        <v>0.26827304622443826</v>
      </c>
      <c r="G32" s="774">
        <f t="shared" ref="G32:G49" si="1">$D32</f>
        <v>0.26827304622443826</v>
      </c>
      <c r="H32" s="771">
        <f>VLOOKUP($A32,[2]!EnergySavings,16,FALSE)</f>
        <v>-7.1895856472309294</v>
      </c>
      <c r="I32" s="775" t="s">
        <v>503</v>
      </c>
      <c r="J32" s="12"/>
      <c r="K32" s="112"/>
      <c r="L32" s="112"/>
      <c r="M32" s="112"/>
      <c r="N32" s="112"/>
      <c r="O32" s="112"/>
      <c r="P32" s="108"/>
      <c r="Q32" s="445"/>
      <c r="R32" s="445"/>
      <c r="S32" s="445"/>
      <c r="T32" s="638"/>
      <c r="U32" s="638"/>
      <c r="V32" s="638"/>
      <c r="W32" s="638"/>
      <c r="X32" s="638"/>
      <c r="Y32" s="638"/>
      <c r="Z32" s="638"/>
      <c r="AA32" s="638"/>
    </row>
    <row r="33" spans="1:27" s="25" customFormat="1" x14ac:dyDescent="0.25">
      <c r="A33" s="765" t="s">
        <v>423</v>
      </c>
      <c r="B33" s="771">
        <f>VLOOKUP($A33,[2]!EnergySavings,2,FALSE)</f>
        <v>-956.74208205372872</v>
      </c>
      <c r="C33" s="771">
        <f>VLOOKUP($A33,[2]!EnergySavings,3,FALSE)</f>
        <v>-29.154004151975091</v>
      </c>
      <c r="D33" s="772">
        <f>VLOOKUP($A33,[2]!EnergySavings,19,FALSE)</f>
        <v>0.26827304622443826</v>
      </c>
      <c r="E33" s="773">
        <f>VLOOKUP($A33,[2]!EnergySavings,17,FALSE)</f>
        <v>0.26827304622443826</v>
      </c>
      <c r="F33" s="773">
        <f>VLOOKUP($A33,[2]!EnergySavings,17,FALSE)</f>
        <v>0.26827304622443826</v>
      </c>
      <c r="G33" s="774">
        <f t="shared" si="1"/>
        <v>0.26827304622443826</v>
      </c>
      <c r="H33" s="771">
        <f>VLOOKUP($A33,[2]!EnergySavings,16,FALSE)</f>
        <v>-6.2728968017692122</v>
      </c>
      <c r="I33" s="775" t="s">
        <v>503</v>
      </c>
      <c r="J33" s="12"/>
      <c r="K33" s="12"/>
      <c r="L33" s="12"/>
      <c r="M33" s="12"/>
      <c r="N33" s="12"/>
      <c r="O33" s="12"/>
      <c r="P33" s="82"/>
      <c r="Q33" s="445"/>
      <c r="R33" s="445"/>
      <c r="S33" s="445"/>
      <c r="T33" s="638"/>
      <c r="U33" s="638"/>
      <c r="V33" s="638"/>
      <c r="W33" s="638"/>
      <c r="X33" s="638"/>
      <c r="Y33" s="638"/>
      <c r="Z33" s="638"/>
      <c r="AA33" s="638"/>
    </row>
    <row r="34" spans="1:27" s="8" customFormat="1" x14ac:dyDescent="0.25">
      <c r="A34" s="765" t="s">
        <v>455</v>
      </c>
      <c r="B34" s="771">
        <f>VLOOKUP($A34,[2]!EnergySavings,2,FALSE)</f>
        <v>-5.1314789596929602</v>
      </c>
      <c r="C34" s="771" t="str">
        <f>VLOOKUP($A34,[2]!EnergySavings,3,FALSE)</f>
        <v>NA</v>
      </c>
      <c r="D34" s="772">
        <f>VLOOKUP($A34,[2]!EnergySavings,19,FALSE)</f>
        <v>0.26827304622443826</v>
      </c>
      <c r="E34" s="773">
        <f>VLOOKUP($A34,[2]!EnergySavings,17,FALSE)</f>
        <v>0.26827304622443826</v>
      </c>
      <c r="F34" s="773">
        <f>VLOOKUP($A34,[2]!EnergySavings,17,FALSE)</f>
        <v>0.26827304622443826</v>
      </c>
      <c r="G34" s="774">
        <f t="shared" si="1"/>
        <v>0.26827304622443826</v>
      </c>
      <c r="H34" s="777" t="str">
        <f>VLOOKUP($A34,[2]!EnergySavings,16,FALSE)</f>
        <v>NA</v>
      </c>
      <c r="I34" s="775" t="s">
        <v>503</v>
      </c>
      <c r="J34" s="12"/>
      <c r="K34" s="112"/>
      <c r="L34" s="112"/>
      <c r="M34" s="112"/>
      <c r="N34" s="112"/>
      <c r="O34" s="112"/>
      <c r="P34" s="108"/>
      <c r="Q34" s="445"/>
      <c r="R34" s="445"/>
      <c r="S34" s="445"/>
      <c r="T34" s="638"/>
      <c r="U34" s="638"/>
      <c r="V34" s="638"/>
      <c r="W34" s="638"/>
      <c r="X34" s="638"/>
      <c r="Y34" s="638"/>
      <c r="Z34" s="638"/>
      <c r="AA34" s="638"/>
    </row>
    <row r="35" spans="1:27" s="8" customFormat="1" x14ac:dyDescent="0.25">
      <c r="A35" s="765" t="s">
        <v>476</v>
      </c>
      <c r="B35" s="771" t="str">
        <f>VLOOKUP($A35,[2]!EnergySavings,2,FALSE)</f>
        <v>NA</v>
      </c>
      <c r="C35" s="771">
        <f>VLOOKUP($A35,[2]!EnergySavings,3,FALSE)</f>
        <v>-0.10682211567448255</v>
      </c>
      <c r="D35" s="772">
        <f>VLOOKUP($A35,[2]!EnergySavings,19,FALSE)</f>
        <v>0.26827304622443826</v>
      </c>
      <c r="E35" s="773">
        <f>VLOOKUP($A35,[2]!EnergySavings,17,FALSE)</f>
        <v>0.26827304622443826</v>
      </c>
      <c r="F35" s="773">
        <f>VLOOKUP($A35,[2]!EnergySavings,17,FALSE)</f>
        <v>0.26827304622443826</v>
      </c>
      <c r="G35" s="774">
        <f t="shared" si="1"/>
        <v>0.26827304622443826</v>
      </c>
      <c r="H35" s="777" t="str">
        <f>VLOOKUP($A35,[2]!EnergySavings,16,FALSE)</f>
        <v>NA</v>
      </c>
      <c r="I35" s="775" t="s">
        <v>503</v>
      </c>
      <c r="J35" s="12"/>
      <c r="K35" s="112"/>
      <c r="L35" s="112"/>
      <c r="M35" s="112"/>
      <c r="N35" s="112"/>
      <c r="O35" s="112"/>
      <c r="P35" s="108"/>
      <c r="Q35" s="445"/>
      <c r="R35" s="445"/>
      <c r="S35" s="445"/>
      <c r="T35" s="638"/>
      <c r="U35" s="638"/>
      <c r="V35" s="638"/>
      <c r="W35" s="638"/>
      <c r="X35" s="638"/>
      <c r="Y35" s="638"/>
      <c r="Z35" s="638"/>
      <c r="AA35" s="638"/>
    </row>
    <row r="36" spans="1:27" s="8" customFormat="1" x14ac:dyDescent="0.25">
      <c r="A36" s="765" t="s">
        <v>131</v>
      </c>
      <c r="B36" s="771" t="str">
        <f>VLOOKUP($A36,[2]!EnergySavings,2,FALSE)</f>
        <v>NA</v>
      </c>
      <c r="C36" s="771">
        <f>VLOOKUP($A36,[2]!EnergySavings,3,FALSE)</f>
        <v>-4.7666763130925007</v>
      </c>
      <c r="D36" s="772">
        <f>VLOOKUP($A36,[2]!EnergySavings,19,FALSE)</f>
        <v>0.26827304622443826</v>
      </c>
      <c r="E36" s="773">
        <f>VLOOKUP($A36,[2]!EnergySavings,17,FALSE)</f>
        <v>0.26827304622443826</v>
      </c>
      <c r="F36" s="773">
        <f>VLOOKUP($A36,[2]!EnergySavings,17,FALSE)</f>
        <v>0.26827304622443826</v>
      </c>
      <c r="G36" s="774">
        <f t="shared" si="1"/>
        <v>0.26827304622443826</v>
      </c>
      <c r="H36" s="777" t="str">
        <f>VLOOKUP($A36,[2]!EnergySavings,16,FALSE)</f>
        <v>NA</v>
      </c>
      <c r="I36" s="775" t="s">
        <v>503</v>
      </c>
      <c r="J36" s="12"/>
      <c r="K36" s="112"/>
      <c r="L36" s="112"/>
      <c r="M36" s="112"/>
      <c r="N36" s="112"/>
      <c r="O36" s="112"/>
      <c r="P36" s="108"/>
      <c r="Q36" s="445"/>
      <c r="R36" s="445"/>
      <c r="S36" s="445"/>
      <c r="T36" s="638"/>
      <c r="U36" s="638"/>
      <c r="V36" s="638"/>
      <c r="W36" s="638"/>
      <c r="X36" s="638"/>
      <c r="Y36" s="638"/>
      <c r="Z36" s="638"/>
      <c r="AA36" s="638"/>
    </row>
    <row r="37" spans="1:27" x14ac:dyDescent="0.25">
      <c r="A37" s="765" t="s">
        <v>444</v>
      </c>
      <c r="B37" s="771">
        <f>VLOOKUP($A37,[2]!EnergySavings,2,FALSE)</f>
        <v>-71.710606568138289</v>
      </c>
      <c r="C37" s="771">
        <f>VLOOKUP($A37,[2]!EnergySavings,3,FALSE)</f>
        <v>-3.5602948558483529</v>
      </c>
      <c r="D37" s="772">
        <f>VLOOKUP($A37,[2]!EnergySavings,19,FALSE)</f>
        <v>0.26827304622443826</v>
      </c>
      <c r="E37" s="773">
        <f>VLOOKUP($A37,[2]!EnergySavings,17,FALSE)</f>
        <v>0.26827304622443826</v>
      </c>
      <c r="F37" s="773">
        <f>VLOOKUP($A37,[2]!EnergySavings,17,FALSE)</f>
        <v>0.26827304622443826</v>
      </c>
      <c r="G37" s="774">
        <f t="shared" si="1"/>
        <v>0.26827304622443826</v>
      </c>
      <c r="H37" s="777">
        <f>VLOOKUP($A37,[2]!EnergySavings,16,FALSE)</f>
        <v>-28.520246356755237</v>
      </c>
      <c r="I37" s="775" t="s">
        <v>503</v>
      </c>
      <c r="Q37" s="445"/>
      <c r="R37" s="445"/>
      <c r="S37" s="445"/>
      <c r="T37" s="638"/>
      <c r="U37" s="638"/>
      <c r="V37" s="638"/>
      <c r="W37" s="638"/>
      <c r="X37" s="638"/>
      <c r="Y37" s="638"/>
      <c r="Z37" s="638"/>
      <c r="AA37" s="638"/>
    </row>
    <row r="38" spans="1:27" x14ac:dyDescent="0.25">
      <c r="A38" s="765" t="s">
        <v>53</v>
      </c>
      <c r="B38" s="771">
        <f>VLOOKUP($A38,[2]!EnergySavings,2,FALSE)</f>
        <v>-1.6794485293324295</v>
      </c>
      <c r="C38" s="771">
        <f>VLOOKUP($A38,[2]!EnergySavings,3,FALSE)</f>
        <v>-1.2205762377670069</v>
      </c>
      <c r="D38" s="772">
        <f>VLOOKUP($A38,[2]!EnergySavings,19,FALSE)</f>
        <v>0.26827304622443826</v>
      </c>
      <c r="E38" s="773">
        <f>VLOOKUP($A38,[2]!EnergySavings,17,FALSE)</f>
        <v>0.26827304622443826</v>
      </c>
      <c r="F38" s="773">
        <f>VLOOKUP($A38,[2]!EnergySavings,17,FALSE)</f>
        <v>0.26827304622443826</v>
      </c>
      <c r="G38" s="774">
        <f t="shared" si="1"/>
        <v>0.26827304622443826</v>
      </c>
      <c r="H38" s="777" t="str">
        <f>VLOOKUP($A38,[2]!EnergySavings,16,FALSE)</f>
        <v>NA</v>
      </c>
      <c r="I38" s="775" t="s">
        <v>503</v>
      </c>
      <c r="Q38" s="445"/>
      <c r="R38" s="445"/>
      <c r="S38" s="445"/>
      <c r="T38" s="638"/>
      <c r="U38" s="638"/>
      <c r="V38" s="638"/>
      <c r="W38" s="638"/>
      <c r="X38" s="638"/>
      <c r="Y38" s="638"/>
      <c r="Z38" s="638"/>
      <c r="AA38" s="638"/>
    </row>
    <row r="39" spans="1:27" x14ac:dyDescent="0.25">
      <c r="A39" s="765" t="s">
        <v>54</v>
      </c>
      <c r="B39" s="771">
        <f>VLOOKUP($A39,[2]!EnergySavings,2,FALSE)</f>
        <v>-3.1290380094721417</v>
      </c>
      <c r="C39" s="771">
        <f>VLOOKUP($A39,[2]!EnergySavings,3,FALSE)</f>
        <v>-2.4334558234493109</v>
      </c>
      <c r="D39" s="772">
        <f>VLOOKUP($A39,[2]!EnergySavings,19,FALSE)</f>
        <v>0.26827304622443826</v>
      </c>
      <c r="E39" s="773">
        <f>VLOOKUP($A39,[2]!EnergySavings,17,FALSE)</f>
        <v>0.26827304622443826</v>
      </c>
      <c r="F39" s="773">
        <f>VLOOKUP($A39,[2]!EnergySavings,17,FALSE)</f>
        <v>0.26827304622443826</v>
      </c>
      <c r="G39" s="774">
        <f t="shared" si="1"/>
        <v>0.26827304622443826</v>
      </c>
      <c r="H39" s="777">
        <f>VLOOKUP($A39,[2]!EnergySavings,16,FALSE)</f>
        <v>-8.5317269537755607</v>
      </c>
      <c r="I39" s="775" t="s">
        <v>503</v>
      </c>
      <c r="Q39" s="445"/>
      <c r="R39" s="445"/>
      <c r="S39" s="445"/>
      <c r="T39" s="638"/>
      <c r="U39" s="638"/>
      <c r="V39" s="638"/>
      <c r="W39" s="638"/>
      <c r="X39" s="638"/>
      <c r="Y39" s="638"/>
      <c r="Z39" s="638"/>
      <c r="AA39" s="638"/>
    </row>
    <row r="40" spans="1:27" x14ac:dyDescent="0.25">
      <c r="A40" s="765" t="s">
        <v>55</v>
      </c>
      <c r="B40" s="771">
        <f>VLOOKUP($A40,[2]!EnergySavings,2,FALSE)</f>
        <v>-3.5601579633859353</v>
      </c>
      <c r="C40" s="771">
        <f>VLOOKUP($A40,[2]!EnergySavings,3,FALSE)</f>
        <v>-2.6170139135801853</v>
      </c>
      <c r="D40" s="772">
        <f>VLOOKUP($A40,[2]!EnergySavings,19,FALSE)</f>
        <v>0.26827304622443826</v>
      </c>
      <c r="E40" s="773">
        <f>VLOOKUP($A40,[2]!EnergySavings,17,FALSE)</f>
        <v>0.26827304622443826</v>
      </c>
      <c r="F40" s="773">
        <f>VLOOKUP($A40,[2]!EnergySavings,17,FALSE)</f>
        <v>0.26827304622443826</v>
      </c>
      <c r="G40" s="774">
        <f t="shared" si="1"/>
        <v>0.26827304622443826</v>
      </c>
      <c r="H40" s="777" t="str">
        <f>VLOOKUP($A40,[2]!EnergySavings,16,FALSE)</f>
        <v>NA</v>
      </c>
      <c r="I40" s="775" t="s">
        <v>503</v>
      </c>
      <c r="Q40" s="445"/>
      <c r="R40" s="445"/>
      <c r="S40" s="445"/>
      <c r="T40" s="638"/>
      <c r="U40" s="638"/>
      <c r="V40" s="638"/>
      <c r="W40" s="638"/>
      <c r="X40" s="638"/>
      <c r="Y40" s="638"/>
      <c r="Z40" s="638"/>
      <c r="AA40" s="638"/>
    </row>
    <row r="41" spans="1:27" x14ac:dyDescent="0.25">
      <c r="A41" s="765" t="s">
        <v>56</v>
      </c>
      <c r="B41" s="771">
        <f>VLOOKUP($A41,[2]!EnergySavings,2,FALSE)</f>
        <v>-4.7319505773729853</v>
      </c>
      <c r="C41" s="771" t="str">
        <f>VLOOKUP($A41,[2]!EnergySavings,3,FALSE)</f>
        <v>NA</v>
      </c>
      <c r="D41" s="772">
        <f>VLOOKUP($A41,[2]!EnergySavings,19,FALSE)</f>
        <v>0.26827304622443826</v>
      </c>
      <c r="E41" s="773">
        <f>VLOOKUP($A41,[2]!EnergySavings,17,FALSE)</f>
        <v>0.26827304622443826</v>
      </c>
      <c r="F41" s="773">
        <f>VLOOKUP($A41,[2]!EnergySavings,17,FALSE)</f>
        <v>0.26827304622443826</v>
      </c>
      <c r="G41" s="774">
        <f t="shared" si="1"/>
        <v>0.26827304622443826</v>
      </c>
      <c r="H41" s="777" t="str">
        <f>VLOOKUP($A41,[2]!EnergySavings,16,FALSE)</f>
        <v>NA</v>
      </c>
      <c r="I41" s="775" t="s">
        <v>503</v>
      </c>
      <c r="Q41" s="445"/>
      <c r="R41" s="445"/>
      <c r="S41" s="445"/>
      <c r="T41" s="638"/>
      <c r="U41" s="638"/>
      <c r="V41" s="638"/>
      <c r="W41" s="638"/>
      <c r="X41" s="638"/>
      <c r="Y41" s="638"/>
      <c r="Z41" s="638"/>
      <c r="AA41" s="638"/>
    </row>
    <row r="42" spans="1:27" x14ac:dyDescent="0.25">
      <c r="A42" s="765" t="s">
        <v>57</v>
      </c>
      <c r="B42" s="771">
        <f>VLOOKUP($A42,[2]!EnergySavings,2,FALSE)</f>
        <v>-10.726430452626698</v>
      </c>
      <c r="C42" s="771" t="str">
        <f>VLOOKUP($A42,[2]!EnergySavings,3,FALSE)</f>
        <v>NA</v>
      </c>
      <c r="D42" s="772">
        <f>VLOOKUP($A42,[2]!EnergySavings,19,FALSE)</f>
        <v>0.26827304622443826</v>
      </c>
      <c r="E42" s="773">
        <f>VLOOKUP($A42,[2]!EnergySavings,17,FALSE)</f>
        <v>0.26827304622443826</v>
      </c>
      <c r="F42" s="773">
        <f>VLOOKUP($A42,[2]!EnergySavings,17,FALSE)</f>
        <v>0.26827304622443826</v>
      </c>
      <c r="G42" s="774">
        <f t="shared" si="1"/>
        <v>0.26827304622443826</v>
      </c>
      <c r="H42" s="771">
        <f>VLOOKUP($A42,[2]!EnergySavings,16,FALSE)</f>
        <v>-7.4594423762704336</v>
      </c>
      <c r="I42" s="775" t="s">
        <v>503</v>
      </c>
      <c r="Q42" s="445"/>
      <c r="R42" s="445"/>
      <c r="S42" s="445"/>
      <c r="T42" s="638"/>
      <c r="U42" s="638"/>
      <c r="V42" s="638"/>
      <c r="W42" s="638"/>
      <c r="X42" s="638"/>
      <c r="Y42" s="638"/>
      <c r="Z42" s="638"/>
      <c r="AA42" s="638"/>
    </row>
    <row r="43" spans="1:27" x14ac:dyDescent="0.25">
      <c r="A43" s="765" t="s">
        <v>58</v>
      </c>
      <c r="B43" s="771">
        <f>VLOOKUP($A43,[2]!EnergySavings,2,FALSE)</f>
        <v>-14.449222251883416</v>
      </c>
      <c r="C43" s="771" t="str">
        <f>VLOOKUP($A43,[2]!EnergySavings,3,FALSE)</f>
        <v>NA</v>
      </c>
      <c r="D43" s="772">
        <f>VLOOKUP($A43,[2]!EnergySavings,19,FALSE)</f>
        <v>0.26827304622443826</v>
      </c>
      <c r="E43" s="773">
        <f>VLOOKUP($A43,[2]!EnergySavings,17,FALSE)</f>
        <v>0.26827304622443826</v>
      </c>
      <c r="F43" s="773">
        <f>VLOOKUP($A43,[2]!EnergySavings,17,FALSE)</f>
        <v>0.26827304622443826</v>
      </c>
      <c r="G43" s="774">
        <f t="shared" si="1"/>
        <v>0.26827304622443826</v>
      </c>
      <c r="H43" s="777">
        <f>VLOOKUP($A43,[2]!EnergySavings,16,FALSE)</f>
        <v>-10.390983905387516</v>
      </c>
      <c r="I43" s="775" t="s">
        <v>503</v>
      </c>
      <c r="Q43" s="445"/>
      <c r="R43" s="445"/>
      <c r="S43" s="445"/>
      <c r="T43" s="638"/>
      <c r="U43" s="638"/>
      <c r="V43" s="638"/>
      <c r="W43" s="638"/>
      <c r="X43" s="638"/>
      <c r="Y43" s="638"/>
      <c r="Z43" s="638"/>
      <c r="AA43" s="638"/>
    </row>
    <row r="44" spans="1:27" x14ac:dyDescent="0.25">
      <c r="A44" s="765" t="s">
        <v>84</v>
      </c>
      <c r="B44" s="771">
        <f>VLOOKUP($A44,[2]!EnergySavings,2,FALSE)</f>
        <v>-126.94877293249891</v>
      </c>
      <c r="C44" s="771">
        <f>VLOOKUP($A44,[2]!EnergySavings,3,FALSE)</f>
        <v>-113.84671667218909</v>
      </c>
      <c r="D44" s="772">
        <f>VLOOKUP($A44,[2]!EnergySavings,19,FALSE)</f>
        <v>0.26827304622443826</v>
      </c>
      <c r="E44" s="773">
        <f>VLOOKUP($A44,[2]!EnergySavings,17,FALSE)</f>
        <v>0.26827304622443826</v>
      </c>
      <c r="F44" s="773">
        <f>VLOOKUP($A44,[2]!EnergySavings,17,FALSE)</f>
        <v>0.26827304622443826</v>
      </c>
      <c r="G44" s="774">
        <f t="shared" si="1"/>
        <v>0.26827304622443826</v>
      </c>
      <c r="H44" s="778">
        <f>VLOOKUP($A44,[2]!EnergySavings,16,FALSE)</f>
        <v>0.59700760705437883</v>
      </c>
      <c r="I44" s="775" t="s">
        <v>503</v>
      </c>
      <c r="Q44" s="445"/>
      <c r="R44" s="445"/>
      <c r="S44" s="445"/>
      <c r="T44" s="638"/>
      <c r="U44" s="638"/>
      <c r="V44" s="638"/>
      <c r="W44" s="638"/>
      <c r="X44" s="638"/>
      <c r="Y44" s="638"/>
      <c r="Z44" s="638"/>
      <c r="AA44" s="638"/>
    </row>
    <row r="45" spans="1:27" x14ac:dyDescent="0.25">
      <c r="A45" s="765" t="s">
        <v>85</v>
      </c>
      <c r="B45" s="771">
        <f>VLOOKUP($A45,[2]!EnergySavings,2,FALSE)</f>
        <v>-30.693159400792101</v>
      </c>
      <c r="C45" s="771" t="s">
        <v>503</v>
      </c>
      <c r="D45" s="772">
        <f>VLOOKUP($A45,[2]!EnergySavings,19,FALSE)</f>
        <v>0.26827304622443826</v>
      </c>
      <c r="E45" s="773">
        <f>VLOOKUP($A45,[2]!EnergySavings,17,FALSE)</f>
        <v>0.26827304622443826</v>
      </c>
      <c r="F45" s="773">
        <f>VLOOKUP($A45,[2]!EnergySavings,17,FALSE)</f>
        <v>0.26827304622443826</v>
      </c>
      <c r="G45" s="774">
        <f t="shared" si="1"/>
        <v>0.26827304622443826</v>
      </c>
      <c r="H45" s="777">
        <f>VLOOKUP($A45,[2]!EnergySavings,16,FALSE)</f>
        <v>-7.9432218941485253</v>
      </c>
      <c r="I45" s="775">
        <f>VLOOKUP($A45,[2]!EnergySavings,3,FALSE)</f>
        <v>0.25847304622443823</v>
      </c>
      <c r="Q45" s="445"/>
      <c r="R45" s="445"/>
      <c r="S45" s="445"/>
      <c r="T45" s="638"/>
      <c r="U45" s="638"/>
      <c r="V45" s="638"/>
      <c r="W45" s="638"/>
      <c r="X45" s="638"/>
      <c r="Y45" s="638"/>
      <c r="Z45" s="638"/>
      <c r="AA45" s="638"/>
    </row>
    <row r="46" spans="1:27" x14ac:dyDescent="0.25">
      <c r="A46" s="765" t="s">
        <v>86</v>
      </c>
      <c r="B46" s="771">
        <f>VLOOKUP($A46,[2]!EnergySavings,2,FALSE)</f>
        <v>-66.366112170201077</v>
      </c>
      <c r="C46" s="771" t="str">
        <f>VLOOKUP($A46,[2]!EnergySavings,3,FALSE)</f>
        <v>NA</v>
      </c>
      <c r="D46" s="772">
        <f>VLOOKUP($A46,[2]!EnergySavings,19,FALSE)</f>
        <v>0.26827304622443826</v>
      </c>
      <c r="E46" s="773">
        <f>VLOOKUP($A46,[2]!EnergySavings,17,FALSE)</f>
        <v>0.26827304622443826</v>
      </c>
      <c r="F46" s="773">
        <f>VLOOKUP($A46,[2]!EnergySavings,17,FALSE)</f>
        <v>0.26827304622443826</v>
      </c>
      <c r="G46" s="774">
        <f t="shared" si="1"/>
        <v>0.26827304622443826</v>
      </c>
      <c r="H46" s="777">
        <f>VLOOKUP($A46,[2]!EnergySavings,16,FALSE)</f>
        <v>-19.304680835309874</v>
      </c>
      <c r="I46" s="775" t="s">
        <v>503</v>
      </c>
      <c r="Q46" s="445"/>
      <c r="R46" s="445"/>
      <c r="S46" s="445"/>
      <c r="T46" s="638"/>
      <c r="U46" s="638"/>
      <c r="V46" s="638"/>
      <c r="W46" s="638"/>
      <c r="X46" s="638"/>
      <c r="Y46" s="638"/>
      <c r="Z46" s="638"/>
      <c r="AA46" s="638"/>
    </row>
    <row r="47" spans="1:27" x14ac:dyDescent="0.25">
      <c r="A47" s="765" t="s">
        <v>87</v>
      </c>
      <c r="B47" s="771">
        <f>VLOOKUP($A47,[2]!EnergySavings,2,FALSE)</f>
        <v>-66.589347135656709</v>
      </c>
      <c r="C47" s="771" t="str">
        <f>VLOOKUP($A47,[2]!EnergySavings,3,FALSE)</f>
        <v>NA</v>
      </c>
      <c r="D47" s="772">
        <f>VLOOKUP($A47,[2]!EnergySavings,19,FALSE)</f>
        <v>0.26827304622443826</v>
      </c>
      <c r="E47" s="773">
        <f>VLOOKUP($A47,[2]!EnergySavings,17,FALSE)</f>
        <v>0.26827304622443826</v>
      </c>
      <c r="F47" s="773">
        <f>VLOOKUP($A47,[2]!EnergySavings,17,FALSE)</f>
        <v>0.26827304622443826</v>
      </c>
      <c r="G47" s="774">
        <f t="shared" si="1"/>
        <v>0.26827304622443826</v>
      </c>
      <c r="H47" s="777">
        <f>VLOOKUP($A47,[2]!EnergySavings,16,FALSE)</f>
        <v>-19.306643429702888</v>
      </c>
      <c r="I47" s="775" t="s">
        <v>503</v>
      </c>
      <c r="Q47" s="445"/>
      <c r="R47" s="445"/>
      <c r="S47" s="445"/>
      <c r="T47" s="638"/>
      <c r="U47" s="638"/>
      <c r="V47" s="638"/>
      <c r="W47" s="638"/>
      <c r="X47" s="638"/>
      <c r="Y47" s="638"/>
      <c r="Z47" s="638"/>
      <c r="AA47" s="638"/>
    </row>
    <row r="48" spans="1:27" x14ac:dyDescent="0.25">
      <c r="A48" s="765" t="s">
        <v>88</v>
      </c>
      <c r="B48" s="771">
        <f>VLOOKUP($A48,[2]!EnergySavings,2,FALSE)</f>
        <v>-74.988253481395404</v>
      </c>
      <c r="C48" s="771" t="str">
        <f>VLOOKUP($A48,[2]!EnergySavings,3,FALSE)</f>
        <v>NA</v>
      </c>
      <c r="D48" s="772">
        <f>VLOOKUP($A48,[2]!EnergySavings,19,FALSE)</f>
        <v>0.26827304622443826</v>
      </c>
      <c r="E48" s="773">
        <f>VLOOKUP($A48,[2]!EnergySavings,17,FALSE)</f>
        <v>0.26827304622443826</v>
      </c>
      <c r="F48" s="773">
        <f>VLOOKUP($A48,[2]!EnergySavings,17,FALSE)</f>
        <v>0.26827304622443826</v>
      </c>
      <c r="G48" s="774">
        <f t="shared" si="1"/>
        <v>0.26827304622443826</v>
      </c>
      <c r="H48" s="777">
        <f>VLOOKUP($A48,[2]!EnergySavings,16,FALSE)</f>
        <v>-17.395076490906696</v>
      </c>
      <c r="I48" s="775" t="s">
        <v>503</v>
      </c>
      <c r="Q48" s="445"/>
      <c r="R48" s="445"/>
      <c r="S48" s="445"/>
      <c r="T48" s="638"/>
      <c r="U48" s="638"/>
      <c r="V48" s="638"/>
      <c r="W48" s="638"/>
      <c r="X48" s="638"/>
      <c r="Y48" s="638"/>
      <c r="Z48" s="638"/>
      <c r="AA48" s="638"/>
    </row>
    <row r="49" spans="1:27" ht="13" thickBot="1" x14ac:dyDescent="0.3">
      <c r="A49" s="779" t="s">
        <v>89</v>
      </c>
      <c r="B49" s="780">
        <f>VLOOKUP($A49,[2]!EnergySavings,2,FALSE)</f>
        <v>-48.339669074902645</v>
      </c>
      <c r="C49" s="780" t="str">
        <f>VLOOKUP($A49,[2]!EnergySavings,3,FALSE)</f>
        <v>NA</v>
      </c>
      <c r="D49" s="781">
        <f>VLOOKUP($A49,[2]!EnergySavings,19,FALSE)</f>
        <v>0.26827304622443826</v>
      </c>
      <c r="E49" s="782">
        <f>VLOOKUP($A49,[2]!EnergySavings,17,FALSE)</f>
        <v>0.26827304622443826</v>
      </c>
      <c r="F49" s="782">
        <f>VLOOKUP($A49,[2]!EnergySavings,17,FALSE)</f>
        <v>0.26827304622443826</v>
      </c>
      <c r="G49" s="783">
        <f t="shared" si="1"/>
        <v>0.26827304622443826</v>
      </c>
      <c r="H49" s="784">
        <f>VLOOKUP($A49,[2]!EnergySavings,16,FALSE)</f>
        <v>-7.4594423762704336</v>
      </c>
      <c r="I49" s="785" t="s">
        <v>503</v>
      </c>
      <c r="Q49" s="445"/>
      <c r="R49" s="445"/>
      <c r="S49" s="445"/>
      <c r="T49" s="638"/>
      <c r="U49" s="638"/>
      <c r="V49" s="638"/>
      <c r="W49" s="638"/>
      <c r="X49" s="638"/>
      <c r="Y49" s="638"/>
      <c r="Z49" s="638"/>
      <c r="AA49" s="638"/>
    </row>
    <row r="50" spans="1:27" ht="14" x14ac:dyDescent="0.3">
      <c r="A50" s="73" t="s">
        <v>246</v>
      </c>
      <c r="C50" s="787" t="s">
        <v>842</v>
      </c>
      <c r="G50" s="135"/>
      <c r="H50" s="22"/>
      <c r="L50" s="22"/>
    </row>
    <row r="52" spans="1:27" ht="37.5" x14ac:dyDescent="0.25">
      <c r="B52" s="374" t="s">
        <v>394</v>
      </c>
      <c r="C52" s="374"/>
      <c r="D52" s="374"/>
      <c r="E52" s="374"/>
      <c r="G52" s="374" t="s">
        <v>393</v>
      </c>
      <c r="H52" s="374"/>
      <c r="I52" s="374"/>
      <c r="L52" s="374" t="s">
        <v>395</v>
      </c>
      <c r="M52" s="374"/>
      <c r="N52" s="374"/>
    </row>
    <row r="53" spans="1:27" x14ac:dyDescent="0.25">
      <c r="B53" s="375"/>
      <c r="C53" s="376" t="s">
        <v>419</v>
      </c>
      <c r="D53" s="377" t="s">
        <v>420</v>
      </c>
      <c r="E53" s="377" t="s">
        <v>391</v>
      </c>
      <c r="G53" s="375" t="s">
        <v>421</v>
      </c>
      <c r="H53" s="376" t="s">
        <v>422</v>
      </c>
      <c r="I53" s="377" t="s">
        <v>392</v>
      </c>
      <c r="J53" s="79"/>
      <c r="K53"/>
      <c r="L53" s="375" t="s">
        <v>421</v>
      </c>
      <c r="M53" s="376" t="s">
        <v>422</v>
      </c>
      <c r="N53" s="377" t="s">
        <v>392</v>
      </c>
    </row>
    <row r="54" spans="1:27" x14ac:dyDescent="0.25">
      <c r="B54" s="374" t="s">
        <v>224</v>
      </c>
      <c r="C54" s="374">
        <f>([1]Assumptions!$E$24*[1]Landfilling!$D$55)+([1]Assumptions!$E$25*[1]Landfilling!$D$53)+([1]Assumptions!$E$26*[1]Landfilling!$D$56)+([1]Assumptions!$E$27*[1]Landfilling!$D$54)</f>
        <v>2.1449203837138002</v>
      </c>
      <c r="D54" s="374">
        <f>([1]Assumptions!$E$24*[1]Landfilling!$B$55)+([1]Assumptions!$E$25*[1]Landfilling!$B$53)+([1]Assumptions!$E$26*[1]Landfilling!$B$56)+([1]Assumptions!$E$27*[1]Landfilling!$B$54)</f>
        <v>2.3832448707931113</v>
      </c>
      <c r="E54" s="374">
        <f>([1]Landfilling!$G$7*[1]Assumptions!$E$25)+([1]Landfilling!$G$8*[1]Assumptions!$E$27)+([1]Landfilling!$G$9*[1]Assumptions!$E$24)+([1]Landfilling!$G$10*[1]Assumptions!$E$26)</f>
        <v>0.22023999999999996</v>
      </c>
      <c r="G54" s="374">
        <f>([1]Landfilling!$D$53*[1]Assumptions!$E$72)+([1]Landfilling!$D$54*[1]Assumptions!$E$73)+([1]Landfilling!$D$55*[1]Assumptions!$E$74)+([1]Landfilling!$D$56*[1]Assumptions!$E$75)+([1]Landfilling!$D$57*[1]Assumptions!$E$76)+([1]Landfilling!$D$58*[1]Assumptions!$E$77)</f>
        <v>1.7685343549147248</v>
      </c>
      <c r="H54" s="374">
        <f>([1]Landfilling!$B$53*[1]Assumptions!$E$72)+([1]Landfilling!$B$54*[1]Assumptions!$E$73)+([1]Landfilling!$B$55*[1]Assumptions!$E$74)+([1]Landfilling!$B$56*[1]Assumptions!$E$75)+([1]Landfilling!$B$57*[1]Assumptions!$E$76)+([1]Landfilling!$B$58*[1]Assumptions!$E$77)</f>
        <v>1.9650381721274721</v>
      </c>
      <c r="I54" s="374">
        <f>([1]Landfilling!$G$7*[1]Assumptions!$E$72)+([1]Landfilling!$G$8*[1]Assumptions!$E$73)+([1]Landfilling!$G$9*[1]Assumptions!$E$74)+([1]Landfilling!$G$10*[1]Assumptions!$E$75)+([1]Landfilling!$G$9*[1]Assumptions!$E$76)+([1]Landfilling!$G$10*[1]Assumptions!$E$77)</f>
        <v>0.18140920186404316</v>
      </c>
      <c r="J54" s="3"/>
      <c r="K54"/>
      <c r="L54" s="436">
        <f>([1]Landfilling!$D$61*[1]Assumptions!$C$92)+([1]Landfilling!$D$62*[1]Assumptions!$C$93)</f>
        <v>1.4604355931627537</v>
      </c>
      <c r="M54" s="436">
        <f>([1]Landfilling!$B$61*[1]Assumptions!$C$92)+([1]Landfilling!$B$62*[1]Assumptions!$C$93)</f>
        <v>1.622706214625282</v>
      </c>
      <c r="N54" s="436">
        <f>([1]Landfilling!$G$10*[1]Assumptions!$C$92)+([1]Landfilling!$G$12*[1]Assumptions!$C$93)</f>
        <v>0.10565298650269181</v>
      </c>
    </row>
    <row r="55" spans="1:27" ht="20" x14ac:dyDescent="0.4">
      <c r="B55" s="374" t="s">
        <v>225</v>
      </c>
      <c r="C55" s="374">
        <f>([1]Assumptions!$F$24*[1]Landfilling!$D$55)+([1]Assumptions!$F$25*[1]Landfilling!$D$53)+([1]Assumptions!$F$26*[1]Landfilling!$D$56)+([1]Assumptions!$F$27*[1]Landfilling!$D$54)</f>
        <v>2.0652062874061854</v>
      </c>
      <c r="D55" s="374">
        <f>([1]Assumptions!$F$24*[1]Landfilling!$B$55)+([1]Assumptions!$F$25*[1]Landfilling!$B$53)+([1]Assumptions!$F$26*[1]Landfilling!$B$56)+([1]Assumptions!$F$27*[1]Landfilling!$B$54)</f>
        <v>2.2946736526735392</v>
      </c>
      <c r="E55" s="374">
        <f>([1]Landfilling!$G$7*[1]Assumptions!$F$25)+([1]Landfilling!$G$8*[1]Assumptions!$F$27)+([1]Landfilling!$G$9*[1]Assumptions!$F$24)+([1]Landfilling!$G$10*[1]Assumptions!$F$26)</f>
        <v>0.22975818181818178</v>
      </c>
      <c r="G55" s="372" t="s">
        <v>62</v>
      </c>
      <c r="H55" s="374"/>
      <c r="I55" s="374"/>
      <c r="J55" s="8"/>
      <c r="K55"/>
      <c r="L55" s="372" t="s">
        <v>62</v>
      </c>
      <c r="M55" s="374"/>
      <c r="N55" s="374"/>
    </row>
    <row r="56" spans="1:27" x14ac:dyDescent="0.25">
      <c r="B56" s="375" t="s">
        <v>226</v>
      </c>
      <c r="C56" s="376">
        <f>([1]Assumptions!$G$24*[1]Landfilling!$D$55)+([1]Assumptions!$G$25*[1]Landfilling!$D$53)+([1]Assumptions!$G$26*[1]Landfilling!$D$56)+([1]Assumptions!$G$27*[1]Landfilling!$D$54)</f>
        <v>2.0320063714709553</v>
      </c>
      <c r="D56" s="377">
        <f>([1]Assumptions!$G$24*[1]Landfilling!$B$55)+([1]Assumptions!$G$25*[1]Landfilling!$B$53)+([1]Assumptions!$G$26*[1]Landfilling!$B$56)+([1]Assumptions!$G$27*[1]Landfilling!$B$54)</f>
        <v>2.2577848571899501</v>
      </c>
      <c r="E56" s="377">
        <f>([1]Landfilling!$G$7*[1]Assumptions!$G$25)+([1]Landfilling!$G$8*[1]Assumptions!$G$27)+([1]Landfilling!$G$9*[1]Assumptions!$G$24)+([1]Landfilling!$G$10*[1]Assumptions!$G$26)</f>
        <v>0.18281999999999995</v>
      </c>
      <c r="I56" s="8"/>
      <c r="J56" s="8"/>
      <c r="K56"/>
    </row>
    <row r="57" spans="1:27" ht="20" x14ac:dyDescent="0.4">
      <c r="B57" s="372" t="s">
        <v>62</v>
      </c>
      <c r="C57" s="374"/>
      <c r="D57" s="374"/>
      <c r="E57" s="374"/>
      <c r="G57" s="5"/>
    </row>
    <row r="58" spans="1:27" x14ac:dyDescent="0.25">
      <c r="G58" s="5"/>
    </row>
  </sheetData>
  <sheetProtection password="CDE6" sheet="1" selectLockedCells="1" selectUnlockedCells="1"/>
  <phoneticPr fontId="14" type="noConversion"/>
  <printOptions horizontalCentered="1" gridLines="1" gridLinesSet="0"/>
  <pageMargins left="0.75" right="0.75" top="1" bottom="1" header="0.5" footer="0.5"/>
  <pageSetup scale="95" orientation="landscape" horizontalDpi="4294967292" verticalDpi="300" r:id="rId1"/>
  <headerFooter alignWithMargins="0"/>
  <rowBreaks count="1" manualBreakCount="1">
    <brk id="22" max="14"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3:D27"/>
  <sheetViews>
    <sheetView workbookViewId="0">
      <selection activeCell="G78" sqref="G78"/>
    </sheetView>
  </sheetViews>
  <sheetFormatPr defaultRowHeight="12.5" x14ac:dyDescent="0.25"/>
  <cols>
    <col min="2" max="2" width="30" bestFit="1" customWidth="1"/>
    <col min="3" max="3" width="2" customWidth="1"/>
    <col min="4" max="4" width="35" bestFit="1" customWidth="1"/>
  </cols>
  <sheetData>
    <row r="3" spans="2:4" ht="13.5" thickBot="1" x14ac:dyDescent="0.35">
      <c r="B3" s="40" t="s">
        <v>109</v>
      </c>
      <c r="C3" s="40"/>
      <c r="D3" s="40" t="s">
        <v>110</v>
      </c>
    </row>
    <row r="4" spans="2:4" x14ac:dyDescent="0.25">
      <c r="B4" s="100" t="s">
        <v>593</v>
      </c>
      <c r="D4" s="100" t="s">
        <v>593</v>
      </c>
    </row>
    <row r="5" spans="2:4" x14ac:dyDescent="0.25">
      <c r="B5" s="115" t="s">
        <v>402</v>
      </c>
      <c r="D5" s="115" t="s">
        <v>403</v>
      </c>
    </row>
    <row r="6" spans="2:4" x14ac:dyDescent="0.25">
      <c r="B6" s="116" t="s">
        <v>404</v>
      </c>
      <c r="D6" s="116" t="s">
        <v>405</v>
      </c>
    </row>
    <row r="7" spans="2:4" x14ac:dyDescent="0.25">
      <c r="B7" s="394" t="s">
        <v>575</v>
      </c>
      <c r="D7" s="394" t="s">
        <v>576</v>
      </c>
    </row>
    <row r="8" spans="2:4" x14ac:dyDescent="0.25">
      <c r="B8" s="394" t="s">
        <v>577</v>
      </c>
      <c r="D8" s="394" t="s">
        <v>578</v>
      </c>
    </row>
    <row r="9" spans="2:4" x14ac:dyDescent="0.25">
      <c r="B9" s="394" t="s">
        <v>406</v>
      </c>
      <c r="D9" s="394" t="s">
        <v>406</v>
      </c>
    </row>
    <row r="10" spans="2:4" x14ac:dyDescent="0.25">
      <c r="B10" s="394" t="s">
        <v>208</v>
      </c>
      <c r="D10" s="394" t="s">
        <v>208</v>
      </c>
    </row>
    <row r="11" spans="2:4" x14ac:dyDescent="0.25">
      <c r="B11" s="394" t="s">
        <v>407</v>
      </c>
      <c r="D11" s="394" t="s">
        <v>407</v>
      </c>
    </row>
    <row r="12" spans="2:4" ht="13" thickBot="1" x14ac:dyDescent="0.3">
      <c r="B12" s="395" t="s">
        <v>579</v>
      </c>
      <c r="D12" s="395" t="s">
        <v>579</v>
      </c>
    </row>
    <row r="18" spans="2:2" x14ac:dyDescent="0.25">
      <c r="B18" s="396" t="s">
        <v>630</v>
      </c>
    </row>
    <row r="19" spans="2:2" x14ac:dyDescent="0.25">
      <c r="B19" s="396" t="s">
        <v>408</v>
      </c>
    </row>
    <row r="20" spans="2:2" x14ac:dyDescent="0.25">
      <c r="B20" s="396" t="s">
        <v>614</v>
      </c>
    </row>
    <row r="21" spans="2:2" x14ac:dyDescent="0.25">
      <c r="B21" s="396" t="s">
        <v>409</v>
      </c>
    </row>
    <row r="22" spans="2:2" x14ac:dyDescent="0.25">
      <c r="B22" s="396" t="s">
        <v>410</v>
      </c>
    </row>
    <row r="23" spans="2:2" x14ac:dyDescent="0.25">
      <c r="B23" s="396" t="s">
        <v>411</v>
      </c>
    </row>
    <row r="24" spans="2:2" x14ac:dyDescent="0.25">
      <c r="B24" s="396" t="s">
        <v>242</v>
      </c>
    </row>
    <row r="25" spans="2:2" x14ac:dyDescent="0.25">
      <c r="B25" s="396" t="s">
        <v>412</v>
      </c>
    </row>
    <row r="26" spans="2:2" x14ac:dyDescent="0.25">
      <c r="B26" s="396" t="s">
        <v>413</v>
      </c>
    </row>
    <row r="27" spans="2:2" x14ac:dyDescent="0.25">
      <c r="B27" s="396" t="s">
        <v>401</v>
      </c>
    </row>
  </sheetData>
  <sheetProtection password="CDE6" sheet="1" selectLockedCells="1" selectUnlockedCells="1"/>
  <phoneticPr fontId="14"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B1:AB192"/>
  <sheetViews>
    <sheetView topLeftCell="A82" zoomScale="85" zoomScaleNormal="85" workbookViewId="0">
      <selection activeCell="N166" sqref="N166"/>
    </sheetView>
  </sheetViews>
  <sheetFormatPr defaultColWidth="9.1796875" defaultRowHeight="12.5" x14ac:dyDescent="0.25"/>
  <cols>
    <col min="1" max="1" width="2.1796875" style="6" customWidth="1"/>
    <col min="2" max="2" width="1.81640625" style="6" customWidth="1"/>
    <col min="3" max="3" width="3" style="6" customWidth="1"/>
    <col min="4" max="4" width="9.1796875" style="6"/>
    <col min="5" max="5" width="15.1796875" style="6" customWidth="1"/>
    <col min="6" max="6" width="9.7265625" style="6" customWidth="1"/>
    <col min="7" max="10" width="13.7265625" style="6" customWidth="1"/>
    <col min="11" max="11" width="15.26953125" style="6" customWidth="1"/>
    <col min="12" max="12" width="2.7265625" style="164" customWidth="1"/>
    <col min="13" max="13" width="14.1796875" style="6" customWidth="1"/>
    <col min="14" max="14" width="8.453125" style="6" customWidth="1"/>
    <col min="15" max="15" width="2.7265625" style="6" bestFit="1" customWidth="1"/>
    <col min="16" max="20" width="13.54296875" style="6" customWidth="1"/>
    <col min="21" max="21" width="15.26953125" style="6" customWidth="1"/>
    <col min="22" max="22" width="26.54296875" style="6" customWidth="1"/>
    <col min="23" max="23" width="8.7265625" style="6" hidden="1" customWidth="1"/>
    <col min="24" max="24" width="17.26953125" style="6" hidden="1" customWidth="1"/>
    <col min="25" max="25" width="17.54296875" style="6" hidden="1" customWidth="1"/>
    <col min="26" max="26" width="9.1796875" style="6" hidden="1" customWidth="1"/>
    <col min="27" max="27" width="53.7265625" style="6" customWidth="1"/>
    <col min="28" max="16384" width="9.1796875" style="6"/>
  </cols>
  <sheetData>
    <row r="1" spans="2:28" ht="13" thickBot="1" x14ac:dyDescent="0.3"/>
    <row r="2" spans="2:28" x14ac:dyDescent="0.25">
      <c r="B2" s="421" t="s">
        <v>775</v>
      </c>
      <c r="C2" s="422"/>
      <c r="D2" s="422"/>
      <c r="E2" s="422"/>
      <c r="F2" s="160"/>
      <c r="G2" s="160"/>
      <c r="H2" s="160"/>
      <c r="I2" s="160"/>
      <c r="J2" s="160"/>
      <c r="K2" s="160"/>
      <c r="L2" s="160"/>
      <c r="M2" s="160"/>
      <c r="N2" s="160"/>
      <c r="O2" s="160"/>
      <c r="P2" s="160"/>
      <c r="Q2" s="160"/>
      <c r="R2" s="160"/>
      <c r="S2" s="160"/>
      <c r="T2" s="160"/>
      <c r="U2" s="160"/>
      <c r="V2" s="160"/>
      <c r="W2" s="160"/>
      <c r="X2" s="160"/>
      <c r="Y2" s="160"/>
      <c r="Z2" s="160"/>
      <c r="AA2" s="168"/>
    </row>
    <row r="3" spans="2:28" ht="18" x14ac:dyDescent="0.4">
      <c r="B3" s="908" t="s">
        <v>70</v>
      </c>
      <c r="C3" s="909"/>
      <c r="D3" s="909"/>
      <c r="E3" s="909"/>
      <c r="F3" s="909"/>
      <c r="G3" s="909"/>
      <c r="H3" s="909"/>
      <c r="I3" s="909"/>
      <c r="J3" s="909"/>
      <c r="K3" s="909"/>
      <c r="L3" s="909"/>
      <c r="M3" s="909"/>
      <c r="N3" s="909"/>
      <c r="O3" s="909"/>
      <c r="P3" s="909"/>
      <c r="Q3" s="909"/>
      <c r="R3" s="909"/>
      <c r="S3" s="909"/>
      <c r="T3" s="909"/>
      <c r="U3" s="909"/>
      <c r="V3" s="909"/>
      <c r="W3" s="909"/>
      <c r="X3" s="909"/>
      <c r="Y3" s="909"/>
      <c r="Z3" s="909"/>
      <c r="AA3" s="910"/>
    </row>
    <row r="4" spans="2:28" ht="13" x14ac:dyDescent="0.3">
      <c r="B4" s="911"/>
      <c r="C4" s="912"/>
      <c r="D4" s="912"/>
      <c r="E4" s="912"/>
      <c r="F4" s="912"/>
      <c r="G4" s="912"/>
      <c r="H4" s="912"/>
      <c r="I4" s="912"/>
      <c r="J4" s="912"/>
      <c r="K4" s="912"/>
      <c r="L4" s="912"/>
      <c r="M4" s="912"/>
      <c r="N4" s="912"/>
      <c r="O4" s="912"/>
      <c r="P4" s="912"/>
      <c r="Q4" s="912"/>
      <c r="R4" s="912"/>
      <c r="S4" s="912"/>
      <c r="T4" s="912"/>
      <c r="U4" s="912"/>
      <c r="V4" s="912"/>
      <c r="W4" s="912"/>
      <c r="X4" s="912"/>
      <c r="Y4" s="912"/>
      <c r="Z4" s="912"/>
      <c r="AA4" s="913"/>
    </row>
    <row r="5" spans="2:28" ht="13" x14ac:dyDescent="0.3">
      <c r="B5" s="911" t="s">
        <v>811</v>
      </c>
      <c r="C5" s="912"/>
      <c r="D5" s="912"/>
      <c r="E5" s="912"/>
      <c r="F5" s="912"/>
      <c r="G5" s="912"/>
      <c r="H5" s="912"/>
      <c r="I5" s="912"/>
      <c r="J5" s="912"/>
      <c r="K5" s="912"/>
      <c r="L5" s="912"/>
      <c r="M5" s="912"/>
      <c r="N5" s="912"/>
      <c r="O5" s="912"/>
      <c r="P5" s="912"/>
      <c r="Q5" s="912"/>
      <c r="R5" s="912"/>
      <c r="S5" s="912"/>
      <c r="T5" s="912"/>
      <c r="U5" s="912"/>
      <c r="V5" s="912"/>
      <c r="W5" s="912"/>
      <c r="X5" s="912"/>
      <c r="Y5" s="912"/>
      <c r="Z5" s="912"/>
      <c r="AA5" s="913"/>
    </row>
    <row r="6" spans="2:28" ht="13.5" thickBot="1" x14ac:dyDescent="0.35">
      <c r="B6" s="171"/>
      <c r="C6" s="172"/>
      <c r="D6" s="163"/>
      <c r="E6" s="163"/>
      <c r="F6" s="163"/>
      <c r="G6" s="163"/>
      <c r="H6" s="163"/>
      <c r="I6" s="163"/>
      <c r="J6" s="163"/>
      <c r="K6" s="163"/>
      <c r="L6" s="163"/>
      <c r="M6" s="163"/>
      <c r="N6" s="163"/>
      <c r="O6" s="163"/>
      <c r="P6" s="163"/>
      <c r="Q6" s="163"/>
      <c r="R6" s="163"/>
      <c r="S6" s="163"/>
      <c r="T6" s="163"/>
      <c r="U6" s="163"/>
      <c r="V6" s="163"/>
      <c r="W6" s="163"/>
      <c r="X6" s="163"/>
      <c r="Y6" s="163"/>
      <c r="Z6" s="163"/>
      <c r="AA6" s="173"/>
    </row>
    <row r="7" spans="2:28" ht="13.5" thickBot="1" x14ac:dyDescent="0.35">
      <c r="C7" s="165"/>
    </row>
    <row r="8" spans="2:28" x14ac:dyDescent="0.25">
      <c r="B8" s="167"/>
      <c r="C8" s="160"/>
      <c r="D8" s="160"/>
      <c r="E8" s="160"/>
      <c r="F8" s="160"/>
      <c r="G8" s="160"/>
      <c r="H8" s="160"/>
      <c r="I8" s="160"/>
      <c r="J8" s="160"/>
      <c r="K8" s="160"/>
      <c r="L8" s="160"/>
      <c r="M8" s="160"/>
      <c r="N8" s="160"/>
      <c r="O8" s="160"/>
      <c r="P8" s="160"/>
      <c r="Q8" s="160"/>
      <c r="R8" s="160"/>
      <c r="S8" s="160"/>
      <c r="T8" s="160"/>
      <c r="U8" s="160"/>
      <c r="V8" s="160"/>
      <c r="W8" s="160"/>
      <c r="X8" s="160"/>
      <c r="Y8" s="160"/>
      <c r="Z8" s="160"/>
      <c r="AA8" s="168"/>
    </row>
    <row r="9" spans="2:28" ht="13" x14ac:dyDescent="0.3">
      <c r="B9" s="169"/>
      <c r="C9" s="161" t="s">
        <v>538</v>
      </c>
      <c r="D9" s="170" t="s">
        <v>812</v>
      </c>
      <c r="E9" s="345"/>
      <c r="F9" s="345"/>
      <c r="G9" s="345"/>
      <c r="H9" s="345"/>
      <c r="I9" s="345"/>
      <c r="J9" s="345"/>
      <c r="K9" s="345"/>
      <c r="L9" s="345"/>
      <c r="M9" s="345"/>
      <c r="N9" s="157"/>
      <c r="O9" s="161" t="s">
        <v>544</v>
      </c>
      <c r="P9" s="170" t="s">
        <v>813</v>
      </c>
      <c r="Q9" s="157"/>
      <c r="R9" s="157"/>
      <c r="S9" s="157"/>
      <c r="T9" s="157"/>
      <c r="U9" s="157"/>
      <c r="V9" s="157"/>
      <c r="W9" s="157"/>
      <c r="X9" s="157"/>
      <c r="Y9" s="157"/>
      <c r="Z9" s="157"/>
      <c r="AA9" s="174"/>
      <c r="AB9" s="49"/>
    </row>
    <row r="10" spans="2:28" ht="13" x14ac:dyDescent="0.3">
      <c r="B10" s="169"/>
      <c r="C10" s="161"/>
      <c r="D10" s="170" t="s">
        <v>581</v>
      </c>
      <c r="E10" s="345"/>
      <c r="F10" s="345"/>
      <c r="G10" s="345"/>
      <c r="H10" s="345"/>
      <c r="I10" s="345"/>
      <c r="J10" s="345"/>
      <c r="K10" s="345"/>
      <c r="L10" s="345"/>
      <c r="M10" s="345"/>
      <c r="N10" s="157"/>
      <c r="O10" s="152"/>
      <c r="P10" s="170" t="s">
        <v>553</v>
      </c>
      <c r="Q10" s="157"/>
      <c r="R10" s="157"/>
      <c r="S10" s="157"/>
      <c r="T10" s="157"/>
      <c r="U10" s="157"/>
      <c r="V10" s="159"/>
      <c r="W10" s="157"/>
      <c r="X10" s="157"/>
      <c r="Y10" s="157"/>
      <c r="Z10" s="157"/>
      <c r="AA10" s="174"/>
      <c r="AB10" s="49"/>
    </row>
    <row r="11" spans="2:28" ht="13" x14ac:dyDescent="0.3">
      <c r="B11" s="169"/>
      <c r="C11" s="161"/>
      <c r="D11" s="170" t="s">
        <v>582</v>
      </c>
      <c r="E11" s="345"/>
      <c r="F11" s="345"/>
      <c r="G11" s="345"/>
      <c r="H11" s="345"/>
      <c r="I11" s="345"/>
      <c r="J11" s="345"/>
      <c r="K11" s="345"/>
      <c r="L11" s="345"/>
      <c r="M11" s="345"/>
      <c r="N11" s="157"/>
      <c r="O11" s="152"/>
      <c r="P11" s="170" t="s">
        <v>554</v>
      </c>
      <c r="Q11" s="157"/>
      <c r="R11" s="157"/>
      <c r="S11" s="157"/>
      <c r="T11" s="157"/>
      <c r="U11" s="157"/>
      <c r="V11" s="157"/>
      <c r="W11" s="157"/>
      <c r="X11" s="157"/>
      <c r="Y11" s="157"/>
      <c r="Z11" s="157"/>
      <c r="AA11" s="174"/>
      <c r="AB11" s="49"/>
    </row>
    <row r="12" spans="2:28" ht="13" x14ac:dyDescent="0.3">
      <c r="B12" s="169"/>
      <c r="C12" s="152"/>
      <c r="D12" s="152"/>
      <c r="E12" s="152"/>
      <c r="F12" s="152"/>
      <c r="G12" s="152"/>
      <c r="H12" s="152"/>
      <c r="I12" s="152"/>
      <c r="J12" s="152"/>
      <c r="K12" s="152"/>
      <c r="L12" s="152"/>
      <c r="M12" s="152"/>
      <c r="N12" s="152"/>
      <c r="O12" s="152"/>
      <c r="P12" s="170" t="s">
        <v>846</v>
      </c>
      <c r="Q12" s="157"/>
      <c r="R12" s="157"/>
      <c r="S12" s="157"/>
      <c r="T12" s="157"/>
      <c r="U12" s="157"/>
      <c r="V12" s="157"/>
      <c r="W12" s="157"/>
      <c r="X12" s="157"/>
      <c r="Y12" s="157"/>
      <c r="Z12" s="157"/>
      <c r="AA12" s="174"/>
      <c r="AB12" s="49"/>
    </row>
    <row r="13" spans="2:28" ht="39" x14ac:dyDescent="0.3">
      <c r="B13" s="169"/>
      <c r="C13" s="152"/>
      <c r="D13" s="175" t="s">
        <v>496</v>
      </c>
      <c r="E13" s="176"/>
      <c r="F13" s="177"/>
      <c r="G13" s="178" t="s">
        <v>540</v>
      </c>
      <c r="H13" s="178" t="s">
        <v>541</v>
      </c>
      <c r="I13" s="178" t="s">
        <v>542</v>
      </c>
      <c r="J13" s="178" t="s">
        <v>543</v>
      </c>
      <c r="K13" s="648" t="s">
        <v>761</v>
      </c>
      <c r="L13" s="158"/>
      <c r="M13" s="179" t="s">
        <v>539</v>
      </c>
      <c r="N13" s="180"/>
      <c r="O13" s="152"/>
      <c r="P13" s="178" t="s">
        <v>555</v>
      </c>
      <c r="Q13" s="178" t="s">
        <v>540</v>
      </c>
      <c r="R13" s="178" t="s">
        <v>541</v>
      </c>
      <c r="S13" s="178" t="s">
        <v>542</v>
      </c>
      <c r="T13" s="178" t="s">
        <v>543</v>
      </c>
      <c r="U13" s="648" t="s">
        <v>761</v>
      </c>
      <c r="V13" s="152"/>
      <c r="W13" s="157"/>
      <c r="X13" s="152"/>
      <c r="Y13" s="152"/>
      <c r="Z13" s="152"/>
      <c r="AA13" s="174"/>
    </row>
    <row r="14" spans="2:28" x14ac:dyDescent="0.25">
      <c r="B14" s="169"/>
      <c r="C14" s="152"/>
      <c r="D14" s="181" t="s">
        <v>515</v>
      </c>
      <c r="E14" s="182"/>
      <c r="F14" s="183"/>
      <c r="G14" s="197"/>
      <c r="H14" s="197">
        <v>2581.9310711278504</v>
      </c>
      <c r="I14" s="197"/>
      <c r="J14" s="403" t="s">
        <v>503</v>
      </c>
      <c r="K14" s="404" t="s">
        <v>503</v>
      </c>
      <c r="L14" s="153"/>
      <c r="M14" s="644">
        <f>SUM(G14:K14)</f>
        <v>2581.9310711278504</v>
      </c>
      <c r="N14" s="184"/>
      <c r="O14" s="152"/>
      <c r="P14" s="197"/>
      <c r="Q14" s="197"/>
      <c r="R14" s="432">
        <v>2581.9310711278504</v>
      </c>
      <c r="S14" s="197"/>
      <c r="T14" s="404" t="s">
        <v>503</v>
      </c>
      <c r="U14" s="404" t="s">
        <v>503</v>
      </c>
      <c r="V14" s="185" t="str">
        <f t="shared" ref="V14:V34" si="0">IF(SUM(P14:U14)&lt;&gt;M14," Tons managed does not equal baseline generation.","")</f>
        <v/>
      </c>
      <c r="W14" s="152"/>
      <c r="X14" s="152"/>
      <c r="Y14" s="152"/>
      <c r="Z14" s="152"/>
      <c r="AA14" s="174"/>
    </row>
    <row r="15" spans="2:28" x14ac:dyDescent="0.25">
      <c r="B15" s="169"/>
      <c r="C15" s="152"/>
      <c r="D15" s="186" t="s">
        <v>84</v>
      </c>
      <c r="E15" s="152"/>
      <c r="F15" s="187"/>
      <c r="G15" s="414"/>
      <c r="H15" s="433">
        <v>1647.4287121844873</v>
      </c>
      <c r="I15" s="199"/>
      <c r="J15" s="400" t="s">
        <v>503</v>
      </c>
      <c r="K15" s="649" t="s">
        <v>503</v>
      </c>
      <c r="L15" s="153"/>
      <c r="M15" s="645">
        <f t="shared" ref="M15:M67" si="1">SUM(G15:K15)</f>
        <v>1647.4287121844873</v>
      </c>
      <c r="N15" s="184"/>
      <c r="O15" s="152"/>
      <c r="P15" s="198"/>
      <c r="Q15" s="199"/>
      <c r="R15" s="198">
        <v>1647.4287121844873</v>
      </c>
      <c r="S15" s="198"/>
      <c r="T15" s="402" t="s">
        <v>503</v>
      </c>
      <c r="U15" s="649" t="s">
        <v>503</v>
      </c>
      <c r="V15" s="185" t="str">
        <f t="shared" si="0"/>
        <v/>
      </c>
      <c r="W15" s="152"/>
      <c r="X15" s="152"/>
      <c r="Y15" s="152"/>
      <c r="Z15" s="152"/>
      <c r="AA15" s="174"/>
    </row>
    <row r="16" spans="2:28" x14ac:dyDescent="0.25">
      <c r="B16" s="169"/>
      <c r="C16" s="152"/>
      <c r="D16" s="186" t="s">
        <v>516</v>
      </c>
      <c r="E16" s="152"/>
      <c r="F16" s="187"/>
      <c r="G16" s="414"/>
      <c r="H16" s="433">
        <v>4001.7125772610179</v>
      </c>
      <c r="I16" s="199"/>
      <c r="J16" s="401" t="s">
        <v>503</v>
      </c>
      <c r="K16" s="402" t="s">
        <v>503</v>
      </c>
      <c r="L16" s="153"/>
      <c r="M16" s="645">
        <f t="shared" si="1"/>
        <v>4001.7125772610179</v>
      </c>
      <c r="N16" s="184"/>
      <c r="O16" s="152"/>
      <c r="P16" s="198"/>
      <c r="Q16" s="199"/>
      <c r="R16" s="198">
        <v>4001.7125772610179</v>
      </c>
      <c r="S16" s="198"/>
      <c r="T16" s="402" t="s">
        <v>503</v>
      </c>
      <c r="U16" s="402" t="s">
        <v>503</v>
      </c>
      <c r="V16" s="185" t="str">
        <f t="shared" si="0"/>
        <v/>
      </c>
      <c r="W16" s="152"/>
      <c r="X16" s="152"/>
      <c r="Y16" s="152"/>
      <c r="Z16" s="152"/>
      <c r="AA16" s="174"/>
    </row>
    <row r="17" spans="2:27" x14ac:dyDescent="0.25">
      <c r="B17" s="169"/>
      <c r="C17" s="152"/>
      <c r="D17" s="186" t="s">
        <v>438</v>
      </c>
      <c r="E17" s="152"/>
      <c r="F17" s="187"/>
      <c r="G17" s="414"/>
      <c r="H17" s="433">
        <v>0</v>
      </c>
      <c r="I17" s="199"/>
      <c r="J17" s="401" t="s">
        <v>503</v>
      </c>
      <c r="K17" s="402" t="s">
        <v>503</v>
      </c>
      <c r="L17" s="153"/>
      <c r="M17" s="645">
        <f t="shared" si="1"/>
        <v>0</v>
      </c>
      <c r="N17" s="184"/>
      <c r="O17" s="152"/>
      <c r="P17" s="198"/>
      <c r="Q17" s="199"/>
      <c r="R17" s="198">
        <v>0</v>
      </c>
      <c r="S17" s="198"/>
      <c r="T17" s="402" t="s">
        <v>503</v>
      </c>
      <c r="U17" s="402" t="s">
        <v>503</v>
      </c>
      <c r="V17" s="185" t="str">
        <f t="shared" si="0"/>
        <v/>
      </c>
      <c r="W17" s="152"/>
      <c r="X17" s="152"/>
      <c r="Y17" s="152"/>
      <c r="Z17" s="152"/>
      <c r="AA17" s="174"/>
    </row>
    <row r="18" spans="2:27" x14ac:dyDescent="0.25">
      <c r="B18" s="169"/>
      <c r="C18" s="152"/>
      <c r="D18" s="186" t="s">
        <v>517</v>
      </c>
      <c r="E18" s="152"/>
      <c r="F18" s="187"/>
      <c r="G18" s="414"/>
      <c r="H18" s="433">
        <v>22379.467981121063</v>
      </c>
      <c r="I18" s="199"/>
      <c r="J18" s="401" t="s">
        <v>503</v>
      </c>
      <c r="K18" s="402" t="s">
        <v>503</v>
      </c>
      <c r="L18" s="153"/>
      <c r="M18" s="645">
        <f t="shared" si="1"/>
        <v>22379.467981121063</v>
      </c>
      <c r="N18" s="184"/>
      <c r="O18" s="152"/>
      <c r="P18" s="198"/>
      <c r="Q18" s="199"/>
      <c r="R18" s="198">
        <v>22379.467981121063</v>
      </c>
      <c r="S18" s="198"/>
      <c r="T18" s="402" t="s">
        <v>503</v>
      </c>
      <c r="U18" s="402" t="s">
        <v>503</v>
      </c>
      <c r="V18" s="185" t="str">
        <f t="shared" si="0"/>
        <v/>
      </c>
      <c r="W18" s="152"/>
      <c r="X18" s="152"/>
      <c r="Y18" s="152"/>
      <c r="Z18" s="152"/>
      <c r="AA18" s="174"/>
    </row>
    <row r="19" spans="2:27" x14ac:dyDescent="0.25">
      <c r="B19" s="169"/>
      <c r="C19" s="152"/>
      <c r="D19" s="186" t="s">
        <v>518</v>
      </c>
      <c r="E19" s="152"/>
      <c r="F19" s="187"/>
      <c r="G19" s="414"/>
      <c r="H19" s="433">
        <v>4378.1563584420928</v>
      </c>
      <c r="I19" s="199"/>
      <c r="J19" s="401" t="s">
        <v>503</v>
      </c>
      <c r="K19" s="402" t="s">
        <v>503</v>
      </c>
      <c r="L19" s="153"/>
      <c r="M19" s="645">
        <f t="shared" si="1"/>
        <v>4378.1563584420928</v>
      </c>
      <c r="N19" s="184"/>
      <c r="O19" s="152"/>
      <c r="P19" s="198"/>
      <c r="Q19" s="199"/>
      <c r="R19" s="198">
        <v>4378.1563584420928</v>
      </c>
      <c r="S19" s="198"/>
      <c r="T19" s="401" t="s">
        <v>503</v>
      </c>
      <c r="U19" s="402" t="s">
        <v>503</v>
      </c>
      <c r="V19" s="185" t="str">
        <f t="shared" si="0"/>
        <v/>
      </c>
      <c r="W19" s="152"/>
      <c r="X19" s="152"/>
      <c r="Y19" s="152"/>
      <c r="Z19" s="152"/>
      <c r="AA19" s="174"/>
    </row>
    <row r="20" spans="2:27" x14ac:dyDescent="0.25">
      <c r="B20" s="169"/>
      <c r="C20" s="152"/>
      <c r="D20" s="186" t="s">
        <v>519</v>
      </c>
      <c r="E20" s="152"/>
      <c r="F20" s="187"/>
      <c r="G20" s="400" t="s">
        <v>503</v>
      </c>
      <c r="H20" s="433">
        <v>4168.741080644736</v>
      </c>
      <c r="I20" s="198"/>
      <c r="J20" s="401" t="s">
        <v>503</v>
      </c>
      <c r="K20" s="402" t="s">
        <v>503</v>
      </c>
      <c r="L20" s="153"/>
      <c r="M20" s="645">
        <f t="shared" si="1"/>
        <v>4168.741080644736</v>
      </c>
      <c r="N20" s="184"/>
      <c r="O20" s="152"/>
      <c r="P20" s="198"/>
      <c r="Q20" s="400" t="s">
        <v>503</v>
      </c>
      <c r="R20" s="198">
        <v>4168.741080644736</v>
      </c>
      <c r="S20" s="198"/>
      <c r="T20" s="401" t="s">
        <v>503</v>
      </c>
      <c r="U20" s="402" t="s">
        <v>503</v>
      </c>
      <c r="V20" s="185" t="str">
        <f t="shared" si="0"/>
        <v/>
      </c>
      <c r="W20" s="152"/>
      <c r="X20" s="152"/>
      <c r="Y20" s="152"/>
      <c r="Z20" s="152"/>
      <c r="AA20" s="174"/>
    </row>
    <row r="21" spans="2:27" x14ac:dyDescent="0.25">
      <c r="B21" s="169"/>
      <c r="C21" s="152"/>
      <c r="D21" s="186" t="s">
        <v>520</v>
      </c>
      <c r="E21" s="152"/>
      <c r="F21" s="187"/>
      <c r="G21" s="198"/>
      <c r="H21" s="433">
        <v>7088.1162615431676</v>
      </c>
      <c r="I21" s="198"/>
      <c r="J21" s="401" t="s">
        <v>503</v>
      </c>
      <c r="K21" s="402" t="s">
        <v>503</v>
      </c>
      <c r="L21" s="153"/>
      <c r="M21" s="645">
        <f t="shared" si="1"/>
        <v>7088.1162615431676</v>
      </c>
      <c r="N21" s="184"/>
      <c r="O21" s="152"/>
      <c r="P21" s="198"/>
      <c r="Q21" s="198"/>
      <c r="R21" s="198">
        <v>7088.1162615431676</v>
      </c>
      <c r="S21" s="198"/>
      <c r="T21" s="401" t="s">
        <v>503</v>
      </c>
      <c r="U21" s="402" t="s">
        <v>503</v>
      </c>
      <c r="V21" s="185" t="str">
        <f t="shared" si="0"/>
        <v/>
      </c>
      <c r="W21" s="152"/>
      <c r="X21" s="152"/>
      <c r="Y21" s="152"/>
      <c r="Z21" s="152"/>
      <c r="AA21" s="174"/>
    </row>
    <row r="22" spans="2:27" x14ac:dyDescent="0.25">
      <c r="B22" s="169"/>
      <c r="C22" s="152"/>
      <c r="D22" s="186" t="s">
        <v>86</v>
      </c>
      <c r="E22" s="152"/>
      <c r="F22" s="187"/>
      <c r="G22" s="400" t="s">
        <v>503</v>
      </c>
      <c r="H22" s="433">
        <v>12601.65494719689</v>
      </c>
      <c r="I22" s="198"/>
      <c r="J22" s="400" t="s">
        <v>503</v>
      </c>
      <c r="K22" s="649" t="s">
        <v>503</v>
      </c>
      <c r="L22" s="153"/>
      <c r="M22" s="645">
        <f t="shared" si="1"/>
        <v>12601.65494719689</v>
      </c>
      <c r="N22" s="184"/>
      <c r="O22" s="152"/>
      <c r="P22" s="198"/>
      <c r="Q22" s="400" t="s">
        <v>503</v>
      </c>
      <c r="R22" s="198">
        <v>12601.65494719689</v>
      </c>
      <c r="S22" s="198"/>
      <c r="T22" s="401" t="s">
        <v>503</v>
      </c>
      <c r="U22" s="649" t="s">
        <v>503</v>
      </c>
      <c r="V22" s="185" t="str">
        <f t="shared" si="0"/>
        <v/>
      </c>
      <c r="W22" s="152"/>
      <c r="X22" s="152"/>
      <c r="Y22" s="152"/>
      <c r="Z22" s="152"/>
      <c r="AA22" s="174"/>
    </row>
    <row r="23" spans="2:27" x14ac:dyDescent="0.25">
      <c r="B23" s="169"/>
      <c r="C23" s="152"/>
      <c r="D23" s="186" t="s">
        <v>87</v>
      </c>
      <c r="E23" s="152"/>
      <c r="F23" s="187"/>
      <c r="G23" s="400" t="s">
        <v>503</v>
      </c>
      <c r="H23" s="433">
        <v>0</v>
      </c>
      <c r="I23" s="198"/>
      <c r="J23" s="400" t="s">
        <v>503</v>
      </c>
      <c r="K23" s="649" t="s">
        <v>503</v>
      </c>
      <c r="L23" s="153"/>
      <c r="M23" s="645">
        <f t="shared" si="1"/>
        <v>0</v>
      </c>
      <c r="N23" s="184"/>
      <c r="O23" s="152"/>
      <c r="P23" s="198"/>
      <c r="Q23" s="400" t="s">
        <v>503</v>
      </c>
      <c r="R23" s="198">
        <v>0</v>
      </c>
      <c r="S23" s="198"/>
      <c r="T23" s="401" t="s">
        <v>503</v>
      </c>
      <c r="U23" s="649" t="s">
        <v>503</v>
      </c>
      <c r="V23" s="185" t="str">
        <f t="shared" si="0"/>
        <v/>
      </c>
      <c r="W23" s="152"/>
      <c r="X23" s="152"/>
      <c r="Y23" s="152"/>
      <c r="Z23" s="152"/>
      <c r="AA23" s="174"/>
    </row>
    <row r="24" spans="2:27" x14ac:dyDescent="0.25">
      <c r="B24" s="169"/>
      <c r="C24" s="152"/>
      <c r="D24" s="186" t="s">
        <v>88</v>
      </c>
      <c r="E24" s="152"/>
      <c r="F24" s="187"/>
      <c r="G24" s="400" t="s">
        <v>503</v>
      </c>
      <c r="H24" s="433">
        <v>5327.0221948308408</v>
      </c>
      <c r="I24" s="198"/>
      <c r="J24" s="400" t="s">
        <v>503</v>
      </c>
      <c r="K24" s="649" t="s">
        <v>503</v>
      </c>
      <c r="L24" s="153"/>
      <c r="M24" s="645">
        <f t="shared" si="1"/>
        <v>5327.0221948308408</v>
      </c>
      <c r="N24" s="184"/>
      <c r="O24" s="152"/>
      <c r="P24" s="198"/>
      <c r="Q24" s="400" t="s">
        <v>503</v>
      </c>
      <c r="R24" s="198">
        <v>5327.0221948308408</v>
      </c>
      <c r="S24" s="198"/>
      <c r="T24" s="401" t="s">
        <v>503</v>
      </c>
      <c r="U24" s="649" t="s">
        <v>503</v>
      </c>
      <c r="V24" s="185" t="str">
        <f t="shared" si="0"/>
        <v/>
      </c>
      <c r="W24" s="152"/>
      <c r="X24" s="152"/>
      <c r="Y24" s="152"/>
      <c r="Z24" s="152"/>
      <c r="AA24" s="174"/>
    </row>
    <row r="25" spans="2:27" x14ac:dyDescent="0.25">
      <c r="B25" s="169"/>
      <c r="C25" s="152"/>
      <c r="D25" s="186" t="s">
        <v>89</v>
      </c>
      <c r="E25" s="152"/>
      <c r="F25" s="187"/>
      <c r="G25" s="400" t="s">
        <v>503</v>
      </c>
      <c r="H25" s="433">
        <v>0</v>
      </c>
      <c r="I25" s="198"/>
      <c r="J25" s="400" t="s">
        <v>503</v>
      </c>
      <c r="K25" s="649" t="s">
        <v>503</v>
      </c>
      <c r="L25" s="153"/>
      <c r="M25" s="645">
        <f t="shared" si="1"/>
        <v>0</v>
      </c>
      <c r="N25" s="184"/>
      <c r="O25" s="152"/>
      <c r="P25" s="198"/>
      <c r="Q25" s="400" t="s">
        <v>503</v>
      </c>
      <c r="R25" s="198">
        <v>0</v>
      </c>
      <c r="S25" s="198"/>
      <c r="T25" s="401" t="s">
        <v>503</v>
      </c>
      <c r="U25" s="649" t="s">
        <v>503</v>
      </c>
      <c r="V25" s="185" t="str">
        <f t="shared" si="0"/>
        <v/>
      </c>
      <c r="W25" s="152"/>
      <c r="X25" s="152"/>
      <c r="Y25" s="152"/>
      <c r="Z25" s="152"/>
      <c r="AA25" s="174"/>
    </row>
    <row r="26" spans="2:27" x14ac:dyDescent="0.25">
      <c r="B26" s="169"/>
      <c r="C26" s="152"/>
      <c r="D26" s="186" t="s">
        <v>85</v>
      </c>
      <c r="E26" s="152"/>
      <c r="F26" s="187"/>
      <c r="G26" s="400" t="s">
        <v>503</v>
      </c>
      <c r="H26" s="433">
        <v>0</v>
      </c>
      <c r="I26" s="198"/>
      <c r="J26" s="198"/>
      <c r="K26" s="649" t="s">
        <v>503</v>
      </c>
      <c r="L26" s="153"/>
      <c r="M26" s="645">
        <f t="shared" si="1"/>
        <v>0</v>
      </c>
      <c r="N26" s="184"/>
      <c r="O26" s="152"/>
      <c r="P26" s="198"/>
      <c r="Q26" s="400" t="s">
        <v>503</v>
      </c>
      <c r="R26" s="198">
        <v>0</v>
      </c>
      <c r="S26" s="198"/>
      <c r="T26" s="198"/>
      <c r="U26" s="649" t="s">
        <v>503</v>
      </c>
      <c r="V26" s="185" t="str">
        <f t="shared" si="0"/>
        <v/>
      </c>
      <c r="W26" s="152"/>
      <c r="X26" s="152"/>
      <c r="Y26" s="152"/>
      <c r="Z26" s="152"/>
      <c r="AA26" s="174"/>
    </row>
    <row r="27" spans="2:27" x14ac:dyDescent="0.25">
      <c r="B27" s="169"/>
      <c r="C27" s="152"/>
      <c r="D27" s="186" t="s">
        <v>59</v>
      </c>
      <c r="E27" s="152"/>
      <c r="F27" s="187"/>
      <c r="G27" s="198"/>
      <c r="H27" s="433">
        <v>27908.476920644473</v>
      </c>
      <c r="I27" s="198"/>
      <c r="J27" s="401" t="s">
        <v>503</v>
      </c>
      <c r="K27" s="649" t="s">
        <v>503</v>
      </c>
      <c r="L27" s="153"/>
      <c r="M27" s="645">
        <f t="shared" si="1"/>
        <v>27908.476920644473</v>
      </c>
      <c r="N27" s="184"/>
      <c r="O27" s="152"/>
      <c r="P27" s="198"/>
      <c r="Q27" s="198"/>
      <c r="R27" s="433">
        <v>27908.476920644473</v>
      </c>
      <c r="S27" s="198"/>
      <c r="T27" s="401" t="s">
        <v>503</v>
      </c>
      <c r="U27" s="649" t="s">
        <v>503</v>
      </c>
      <c r="V27" s="185" t="str">
        <f t="shared" si="0"/>
        <v/>
      </c>
      <c r="W27" s="152"/>
      <c r="X27" s="152"/>
      <c r="Y27" s="152"/>
      <c r="Z27" s="152"/>
      <c r="AA27" s="174"/>
    </row>
    <row r="28" spans="2:27" x14ac:dyDescent="0.25">
      <c r="B28" s="169"/>
      <c r="C28" s="152"/>
      <c r="D28" s="435" t="s">
        <v>128</v>
      </c>
      <c r="E28" s="152"/>
      <c r="F28" s="187"/>
      <c r="G28" s="198"/>
      <c r="H28" s="433">
        <v>0</v>
      </c>
      <c r="I28" s="198"/>
      <c r="J28" s="401" t="s">
        <v>503</v>
      </c>
      <c r="K28" s="649" t="s">
        <v>503</v>
      </c>
      <c r="L28" s="153"/>
      <c r="M28" s="645">
        <f t="shared" si="1"/>
        <v>0</v>
      </c>
      <c r="N28" s="184"/>
      <c r="O28" s="152"/>
      <c r="P28" s="198"/>
      <c r="Q28" s="198"/>
      <c r="R28" s="433">
        <v>0</v>
      </c>
      <c r="S28" s="198"/>
      <c r="T28" s="401" t="s">
        <v>503</v>
      </c>
      <c r="U28" s="649" t="s">
        <v>503</v>
      </c>
      <c r="V28" s="185" t="str">
        <f t="shared" si="0"/>
        <v/>
      </c>
      <c r="W28" s="152"/>
      <c r="X28" s="152"/>
      <c r="Y28" s="152"/>
      <c r="Z28" s="152"/>
      <c r="AA28" s="174"/>
    </row>
    <row r="29" spans="2:27" x14ac:dyDescent="0.25">
      <c r="B29" s="169"/>
      <c r="C29" s="152"/>
      <c r="D29" s="186" t="s">
        <v>502</v>
      </c>
      <c r="E29" s="152"/>
      <c r="F29" s="187"/>
      <c r="G29" s="198"/>
      <c r="H29" s="433">
        <v>12962.300300440122</v>
      </c>
      <c r="I29" s="198"/>
      <c r="J29" s="401" t="s">
        <v>503</v>
      </c>
      <c r="K29" s="649" t="s">
        <v>503</v>
      </c>
      <c r="L29" s="153"/>
      <c r="M29" s="645">
        <f t="shared" si="1"/>
        <v>12962.300300440122</v>
      </c>
      <c r="N29" s="184"/>
      <c r="O29" s="152"/>
      <c r="P29" s="198"/>
      <c r="Q29" s="198"/>
      <c r="R29" s="433">
        <v>12962.300300440122</v>
      </c>
      <c r="S29" s="198"/>
      <c r="T29" s="401" t="s">
        <v>503</v>
      </c>
      <c r="U29" s="649" t="s">
        <v>503</v>
      </c>
      <c r="V29" s="185" t="str">
        <f t="shared" si="0"/>
        <v/>
      </c>
      <c r="W29" s="152"/>
      <c r="X29" s="152"/>
      <c r="Y29" s="152"/>
      <c r="Z29" s="152"/>
      <c r="AA29" s="174"/>
    </row>
    <row r="30" spans="2:27" ht="12.75" customHeight="1" x14ac:dyDescent="0.25">
      <c r="B30" s="169"/>
      <c r="C30" s="152"/>
      <c r="D30" s="186" t="s">
        <v>514</v>
      </c>
      <c r="E30" s="152"/>
      <c r="F30" s="187"/>
      <c r="G30" s="198"/>
      <c r="H30" s="433">
        <v>6726.271332146167</v>
      </c>
      <c r="I30" s="198"/>
      <c r="J30" s="401" t="s">
        <v>503</v>
      </c>
      <c r="K30" s="649" t="s">
        <v>503</v>
      </c>
      <c r="L30" s="153"/>
      <c r="M30" s="645">
        <f t="shared" si="1"/>
        <v>6726.271332146167</v>
      </c>
      <c r="N30" s="184"/>
      <c r="O30" s="152"/>
      <c r="P30" s="198"/>
      <c r="Q30" s="198"/>
      <c r="R30" s="433">
        <v>6726.271332146167</v>
      </c>
      <c r="S30" s="198"/>
      <c r="T30" s="401" t="s">
        <v>503</v>
      </c>
      <c r="U30" s="649" t="s">
        <v>503</v>
      </c>
      <c r="V30" s="185" t="str">
        <f t="shared" si="0"/>
        <v/>
      </c>
      <c r="W30" s="152"/>
      <c r="X30" s="152"/>
      <c r="Y30" s="152"/>
      <c r="Z30" s="152"/>
      <c r="AA30" s="174"/>
    </row>
    <row r="31" spans="2:27" ht="12.75" customHeight="1" x14ac:dyDescent="0.25">
      <c r="B31" s="169"/>
      <c r="C31" s="152"/>
      <c r="D31" s="186" t="s">
        <v>383</v>
      </c>
      <c r="E31" s="152"/>
      <c r="F31" s="187"/>
      <c r="G31" s="198"/>
      <c r="H31" s="433">
        <v>0</v>
      </c>
      <c r="I31" s="198"/>
      <c r="J31" s="401" t="s">
        <v>503</v>
      </c>
      <c r="K31" s="649" t="s">
        <v>503</v>
      </c>
      <c r="L31" s="153"/>
      <c r="M31" s="645">
        <f t="shared" si="1"/>
        <v>0</v>
      </c>
      <c r="N31" s="184"/>
      <c r="O31" s="152"/>
      <c r="P31" s="198"/>
      <c r="Q31" s="198"/>
      <c r="R31" s="433">
        <v>0</v>
      </c>
      <c r="S31" s="198"/>
      <c r="T31" s="401" t="s">
        <v>503</v>
      </c>
      <c r="U31" s="649" t="s">
        <v>503</v>
      </c>
      <c r="V31" s="185" t="str">
        <f t="shared" si="0"/>
        <v/>
      </c>
      <c r="W31" s="152"/>
      <c r="X31" s="152"/>
      <c r="Y31" s="152"/>
      <c r="Z31" s="152"/>
      <c r="AA31" s="174"/>
    </row>
    <row r="32" spans="2:27" ht="12.75" customHeight="1" x14ac:dyDescent="0.25">
      <c r="B32" s="169"/>
      <c r="C32" s="152"/>
      <c r="D32" s="186" t="s">
        <v>384</v>
      </c>
      <c r="E32" s="152"/>
      <c r="F32" s="187"/>
      <c r="G32" s="198"/>
      <c r="H32" s="433">
        <v>0</v>
      </c>
      <c r="I32" s="198"/>
      <c r="J32" s="401" t="s">
        <v>503</v>
      </c>
      <c r="K32" s="649" t="s">
        <v>503</v>
      </c>
      <c r="L32" s="153"/>
      <c r="M32" s="645">
        <f t="shared" si="1"/>
        <v>0</v>
      </c>
      <c r="N32" s="184"/>
      <c r="O32" s="152"/>
      <c r="P32" s="198"/>
      <c r="Q32" s="198"/>
      <c r="R32" s="433">
        <v>0</v>
      </c>
      <c r="S32" s="198"/>
      <c r="T32" s="401" t="s">
        <v>503</v>
      </c>
      <c r="U32" s="649" t="s">
        <v>503</v>
      </c>
      <c r="V32" s="185" t="str">
        <f t="shared" si="0"/>
        <v/>
      </c>
      <c r="W32" s="152"/>
      <c r="X32" s="152"/>
      <c r="Y32" s="152"/>
      <c r="Z32" s="152"/>
      <c r="AA32" s="174"/>
    </row>
    <row r="33" spans="2:27" ht="12.75" customHeight="1" x14ac:dyDescent="0.25">
      <c r="B33" s="169"/>
      <c r="C33" s="152"/>
      <c r="D33" s="186" t="s">
        <v>4</v>
      </c>
      <c r="E33" s="152"/>
      <c r="F33" s="187"/>
      <c r="G33" s="198"/>
      <c r="H33" s="433">
        <v>103846.1137708187</v>
      </c>
      <c r="I33" s="198"/>
      <c r="J33" s="401" t="s">
        <v>503</v>
      </c>
      <c r="K33" s="649" t="s">
        <v>503</v>
      </c>
      <c r="L33" s="153"/>
      <c r="M33" s="645">
        <f t="shared" si="1"/>
        <v>103846.1137708187</v>
      </c>
      <c r="N33" s="184"/>
      <c r="O33" s="152"/>
      <c r="P33" s="198"/>
      <c r="Q33" s="198"/>
      <c r="R33" s="433">
        <v>103846.1137708187</v>
      </c>
      <c r="S33" s="198"/>
      <c r="T33" s="401" t="s">
        <v>503</v>
      </c>
      <c r="U33" s="649" t="s">
        <v>503</v>
      </c>
      <c r="V33" s="185" t="str">
        <f t="shared" si="0"/>
        <v/>
      </c>
      <c r="W33" s="152"/>
      <c r="X33" s="152"/>
      <c r="Y33" s="152"/>
      <c r="Z33" s="152"/>
      <c r="AA33" s="174"/>
    </row>
    <row r="34" spans="2:27" ht="12.75" customHeight="1" x14ac:dyDescent="0.25">
      <c r="B34" s="169"/>
      <c r="C34" s="152"/>
      <c r="D34" s="186" t="s">
        <v>558</v>
      </c>
      <c r="E34" s="152"/>
      <c r="F34" s="187"/>
      <c r="G34" s="198"/>
      <c r="H34" s="433">
        <v>0</v>
      </c>
      <c r="I34" s="198"/>
      <c r="J34" s="401" t="s">
        <v>503</v>
      </c>
      <c r="K34" s="649" t="s">
        <v>503</v>
      </c>
      <c r="L34" s="153"/>
      <c r="M34" s="645">
        <f t="shared" si="1"/>
        <v>0</v>
      </c>
      <c r="N34" s="184"/>
      <c r="O34" s="152"/>
      <c r="P34" s="198"/>
      <c r="Q34" s="198"/>
      <c r="R34" s="433">
        <v>0</v>
      </c>
      <c r="S34" s="198"/>
      <c r="T34" s="401" t="s">
        <v>503</v>
      </c>
      <c r="U34" s="649" t="s">
        <v>503</v>
      </c>
      <c r="V34" s="185" t="str">
        <f t="shared" si="0"/>
        <v/>
      </c>
      <c r="W34" s="152"/>
      <c r="X34" s="152"/>
      <c r="Y34" s="152"/>
      <c r="Z34" s="152"/>
      <c r="AA34" s="174"/>
    </row>
    <row r="35" spans="2:27" ht="12.75" customHeight="1" x14ac:dyDescent="0.25">
      <c r="B35" s="169"/>
      <c r="C35" s="152"/>
      <c r="D35" s="186" t="s">
        <v>646</v>
      </c>
      <c r="E35" s="152"/>
      <c r="F35" s="398"/>
      <c r="G35" s="574" t="s">
        <v>503</v>
      </c>
      <c r="H35" s="433">
        <v>107960.23499957993</v>
      </c>
      <c r="I35" s="198"/>
      <c r="J35" s="433"/>
      <c r="K35" s="433"/>
      <c r="L35" s="153"/>
      <c r="M35" s="645">
        <f t="shared" si="1"/>
        <v>107960.23499957993</v>
      </c>
      <c r="N35" s="184"/>
      <c r="O35" s="152"/>
      <c r="P35" s="198"/>
      <c r="Q35" s="474" t="s">
        <v>503</v>
      </c>
      <c r="R35" s="433">
        <v>107960.23499957993</v>
      </c>
      <c r="S35" s="198"/>
      <c r="T35" s="433"/>
      <c r="U35" s="433"/>
      <c r="V35" s="185" t="str">
        <f>IF(SUM(P35:U35)&lt;&gt;M35," Tons managed does not equal baseline generation.","")</f>
        <v/>
      </c>
      <c r="W35" s="152"/>
      <c r="X35" s="152"/>
      <c r="Y35" s="152"/>
      <c r="Z35" s="152"/>
      <c r="AA35" s="174"/>
    </row>
    <row r="36" spans="2:27" ht="12.75" customHeight="1" x14ac:dyDescent="0.25">
      <c r="B36" s="169"/>
      <c r="C36" s="152"/>
      <c r="D36" s="435" t="s">
        <v>744</v>
      </c>
      <c r="E36" s="152"/>
      <c r="F36" s="398"/>
      <c r="G36" s="574" t="s">
        <v>503</v>
      </c>
      <c r="H36" s="433">
        <v>65275.449706659572</v>
      </c>
      <c r="I36" s="198"/>
      <c r="J36" s="433"/>
      <c r="K36" s="433"/>
      <c r="L36" s="475"/>
      <c r="M36" s="645">
        <f t="shared" si="1"/>
        <v>65275.449706659572</v>
      </c>
      <c r="N36" s="476"/>
      <c r="O36" s="25"/>
      <c r="P36" s="198"/>
      <c r="Q36" s="474" t="s">
        <v>503</v>
      </c>
      <c r="R36" s="433">
        <v>65275.449706659572</v>
      </c>
      <c r="S36" s="198"/>
      <c r="T36" s="433"/>
      <c r="U36" s="433"/>
      <c r="V36" s="185" t="str">
        <f t="shared" ref="V36:V42" si="2">IF(SUM(P36:U36)&lt;&gt;M36," Tons managed does not equal baseline generation.","")</f>
        <v/>
      </c>
      <c r="W36" s="152"/>
      <c r="X36" s="152"/>
      <c r="Y36" s="152"/>
      <c r="Z36" s="152"/>
      <c r="AA36" s="174"/>
    </row>
    <row r="37" spans="2:27" ht="12.75" customHeight="1" x14ac:dyDescent="0.25">
      <c r="B37" s="169"/>
      <c r="C37" s="152"/>
      <c r="D37" s="435" t="s">
        <v>741</v>
      </c>
      <c r="E37" s="152"/>
      <c r="F37" s="398"/>
      <c r="G37" s="574" t="s">
        <v>503</v>
      </c>
      <c r="H37" s="433">
        <v>0</v>
      </c>
      <c r="I37" s="198"/>
      <c r="J37" s="433"/>
      <c r="K37" s="433"/>
      <c r="L37" s="475"/>
      <c r="M37" s="645">
        <f t="shared" si="1"/>
        <v>0</v>
      </c>
      <c r="N37" s="476"/>
      <c r="O37" s="25"/>
      <c r="P37" s="198"/>
      <c r="Q37" s="474" t="s">
        <v>503</v>
      </c>
      <c r="R37" s="433">
        <v>0</v>
      </c>
      <c r="S37" s="198"/>
      <c r="T37" s="433"/>
      <c r="U37" s="433"/>
      <c r="V37" s="185" t="str">
        <f t="shared" si="2"/>
        <v/>
      </c>
      <c r="W37" s="152"/>
      <c r="X37" s="152"/>
      <c r="Y37" s="152"/>
      <c r="Z37" s="152"/>
      <c r="AA37" s="174"/>
    </row>
    <row r="38" spans="2:27" ht="12.75" customHeight="1" x14ac:dyDescent="0.25">
      <c r="B38" s="169"/>
      <c r="C38" s="152"/>
      <c r="D38" s="435" t="s">
        <v>742</v>
      </c>
      <c r="E38" s="152"/>
      <c r="F38" s="398"/>
      <c r="G38" s="574" t="s">
        <v>503</v>
      </c>
      <c r="H38" s="433">
        <v>0</v>
      </c>
      <c r="I38" s="198"/>
      <c r="J38" s="433"/>
      <c r="K38" s="433"/>
      <c r="L38" s="475"/>
      <c r="M38" s="645">
        <f t="shared" si="1"/>
        <v>0</v>
      </c>
      <c r="N38" s="476"/>
      <c r="O38" s="25"/>
      <c r="P38" s="198"/>
      <c r="Q38" s="474" t="s">
        <v>503</v>
      </c>
      <c r="R38" s="433">
        <v>0</v>
      </c>
      <c r="S38" s="198"/>
      <c r="T38" s="433"/>
      <c r="U38" s="433"/>
      <c r="V38" s="185" t="str">
        <f t="shared" si="2"/>
        <v/>
      </c>
      <c r="W38" s="152"/>
      <c r="X38" s="152"/>
      <c r="Y38" s="152"/>
      <c r="Z38" s="152"/>
      <c r="AA38" s="174"/>
    </row>
    <row r="39" spans="2:27" ht="12.75" customHeight="1" x14ac:dyDescent="0.25">
      <c r="B39" s="169"/>
      <c r="C39" s="152"/>
      <c r="D39" s="435" t="s">
        <v>649</v>
      </c>
      <c r="E39" s="152"/>
      <c r="F39" s="152"/>
      <c r="G39" s="574" t="s">
        <v>503</v>
      </c>
      <c r="H39" s="433">
        <v>0</v>
      </c>
      <c r="I39" s="198"/>
      <c r="J39" s="433"/>
      <c r="K39" s="433"/>
      <c r="L39" s="475"/>
      <c r="M39" s="645">
        <f t="shared" si="1"/>
        <v>0</v>
      </c>
      <c r="N39" s="476"/>
      <c r="O39" s="25"/>
      <c r="P39" s="198"/>
      <c r="Q39" s="474" t="s">
        <v>503</v>
      </c>
      <c r="R39" s="433">
        <v>0</v>
      </c>
      <c r="S39" s="198"/>
      <c r="T39" s="433"/>
      <c r="U39" s="433"/>
      <c r="V39" s="185" t="str">
        <f t="shared" si="2"/>
        <v/>
      </c>
      <c r="W39" s="152"/>
      <c r="X39" s="152"/>
      <c r="Y39" s="152"/>
      <c r="Z39" s="152"/>
      <c r="AA39" s="174"/>
    </row>
    <row r="40" spans="2:27" ht="12.75" customHeight="1" x14ac:dyDescent="0.25">
      <c r="B40" s="169"/>
      <c r="C40" s="152"/>
      <c r="D40" s="186" t="s">
        <v>645</v>
      </c>
      <c r="E40" s="152"/>
      <c r="F40" s="152"/>
      <c r="G40" s="574" t="s">
        <v>503</v>
      </c>
      <c r="H40" s="433">
        <v>0</v>
      </c>
      <c r="I40" s="198"/>
      <c r="J40" s="433"/>
      <c r="K40" s="433"/>
      <c r="L40" s="475"/>
      <c r="M40" s="645">
        <f>SUM(G40:K40)</f>
        <v>0</v>
      </c>
      <c r="N40" s="476"/>
      <c r="O40" s="25"/>
      <c r="P40" s="198"/>
      <c r="Q40" s="474" t="s">
        <v>503</v>
      </c>
      <c r="R40" s="433">
        <v>0</v>
      </c>
      <c r="S40" s="198"/>
      <c r="T40" s="433"/>
      <c r="U40" s="433"/>
      <c r="V40" s="185" t="str">
        <f t="shared" si="2"/>
        <v/>
      </c>
      <c r="W40" s="152"/>
      <c r="X40" s="152"/>
      <c r="Y40" s="152"/>
      <c r="Z40" s="152"/>
      <c r="AA40" s="174"/>
    </row>
    <row r="41" spans="2:27" ht="12.75" customHeight="1" x14ac:dyDescent="0.25">
      <c r="B41" s="169"/>
      <c r="C41" s="152"/>
      <c r="D41" s="186" t="s">
        <v>647</v>
      </c>
      <c r="E41" s="152"/>
      <c r="F41" s="152"/>
      <c r="G41" s="574" t="s">
        <v>503</v>
      </c>
      <c r="H41" s="433">
        <v>0</v>
      </c>
      <c r="I41" s="198"/>
      <c r="J41" s="433"/>
      <c r="K41" s="433"/>
      <c r="L41" s="475"/>
      <c r="M41" s="645">
        <f t="shared" si="1"/>
        <v>0</v>
      </c>
      <c r="N41" s="476"/>
      <c r="O41" s="25"/>
      <c r="P41" s="198"/>
      <c r="Q41" s="474" t="s">
        <v>503</v>
      </c>
      <c r="R41" s="433">
        <v>0</v>
      </c>
      <c r="S41" s="198"/>
      <c r="T41" s="433"/>
      <c r="U41" s="433"/>
      <c r="V41" s="185" t="str">
        <f t="shared" si="2"/>
        <v/>
      </c>
      <c r="W41" s="152"/>
      <c r="X41" s="152"/>
      <c r="Y41" s="152"/>
      <c r="Z41" s="152"/>
      <c r="AA41" s="174"/>
    </row>
    <row r="42" spans="2:27" ht="12.75" customHeight="1" x14ac:dyDescent="0.25">
      <c r="B42" s="169"/>
      <c r="C42" s="152"/>
      <c r="D42" s="186" t="s">
        <v>648</v>
      </c>
      <c r="E42" s="152"/>
      <c r="F42" s="152"/>
      <c r="G42" s="574" t="s">
        <v>503</v>
      </c>
      <c r="H42" s="433">
        <v>0</v>
      </c>
      <c r="I42" s="198"/>
      <c r="J42" s="433"/>
      <c r="K42" s="433"/>
      <c r="L42" s="475"/>
      <c r="M42" s="645">
        <f t="shared" si="1"/>
        <v>0</v>
      </c>
      <c r="N42" s="476"/>
      <c r="O42" s="25"/>
      <c r="P42" s="198"/>
      <c r="Q42" s="474" t="s">
        <v>503</v>
      </c>
      <c r="R42" s="433">
        <v>0</v>
      </c>
      <c r="S42" s="198"/>
      <c r="T42" s="433"/>
      <c r="U42" s="433"/>
      <c r="V42" s="185" t="str">
        <f t="shared" si="2"/>
        <v/>
      </c>
      <c r="W42" s="152"/>
      <c r="X42" s="152"/>
      <c r="Y42" s="152"/>
      <c r="Z42" s="152"/>
      <c r="AA42" s="174"/>
    </row>
    <row r="43" spans="2:27" ht="12.75" customHeight="1" x14ac:dyDescent="0.25">
      <c r="B43" s="169"/>
      <c r="C43" s="152"/>
      <c r="D43" s="186" t="s">
        <v>580</v>
      </c>
      <c r="E43" s="152"/>
      <c r="F43" s="152"/>
      <c r="G43" s="402" t="s">
        <v>503</v>
      </c>
      <c r="H43" s="433">
        <v>34800.561320441149</v>
      </c>
      <c r="I43" s="198"/>
      <c r="J43" s="433"/>
      <c r="K43" s="433"/>
      <c r="L43" s="154"/>
      <c r="M43" s="645">
        <f t="shared" si="1"/>
        <v>34800.561320441149</v>
      </c>
      <c r="N43" s="184"/>
      <c r="O43" s="152"/>
      <c r="P43" s="402" t="s">
        <v>503</v>
      </c>
      <c r="Q43" s="401" t="s">
        <v>503</v>
      </c>
      <c r="R43" s="433">
        <v>34800.561320441149</v>
      </c>
      <c r="S43" s="198"/>
      <c r="T43" s="198"/>
      <c r="U43" s="433"/>
      <c r="V43" s="720" t="str">
        <f>IF(AND(SUM(P43:U43)&lt;&gt;M43,$N$150=3)," Tons managed does not equal baseline generation. Entry not valid, select dry digestion under Question 8.a below.",IF(SUM(P43:U43)&lt;&gt;M43," Tons managed does not equal baseline generation.",IF(AND((K43+U43)&gt;1,$N$150=3)," Entry not valid, select dry digestion under Question 8a below."," ")))</f>
        <v xml:space="preserve"> </v>
      </c>
      <c r="W43" s="152"/>
      <c r="X43" s="152"/>
      <c r="Y43" s="152"/>
      <c r="Z43" s="152"/>
      <c r="AA43" s="174"/>
    </row>
    <row r="44" spans="2:27" ht="12.75" customHeight="1" x14ac:dyDescent="0.25">
      <c r="B44" s="169"/>
      <c r="C44" s="152"/>
      <c r="D44" s="188" t="s">
        <v>521</v>
      </c>
      <c r="E44" s="152"/>
      <c r="F44" s="152"/>
      <c r="G44" s="402" t="s">
        <v>503</v>
      </c>
      <c r="H44" s="433">
        <v>0</v>
      </c>
      <c r="I44" s="198"/>
      <c r="J44" s="433"/>
      <c r="K44" s="433"/>
      <c r="L44" s="154"/>
      <c r="M44" s="645">
        <f t="shared" si="1"/>
        <v>0</v>
      </c>
      <c r="N44" s="184"/>
      <c r="O44" s="152"/>
      <c r="P44" s="402" t="s">
        <v>503</v>
      </c>
      <c r="Q44" s="401" t="s">
        <v>503</v>
      </c>
      <c r="R44" s="433">
        <v>0</v>
      </c>
      <c r="S44" s="198"/>
      <c r="T44" s="198"/>
      <c r="U44" s="433"/>
      <c r="V44" s="720" t="str">
        <f>IF(AND(SUM(P44:U44)&lt;&gt;M44,$N$150=3)," Tons managed does not equal baseline generation. Entry not valid, select dry digestion under Question 8.a below.",IF(SUM(P44:U44)&lt;&gt;M44," Tons managed does not equal baseline generation.",IF(AND((K44+U44)&gt;1,$N$150=3)," Entry not valid, select dry digestion under Question 8a below."," ")))</f>
        <v xml:space="preserve"> </v>
      </c>
      <c r="W44" s="152"/>
      <c r="X44" s="152"/>
      <c r="Y44" s="152"/>
      <c r="Z44" s="152"/>
      <c r="AA44" s="174"/>
    </row>
    <row r="45" spans="2:27" ht="12.75" customHeight="1" x14ac:dyDescent="0.25">
      <c r="B45" s="169"/>
      <c r="C45" s="152"/>
      <c r="D45" s="188" t="s">
        <v>522</v>
      </c>
      <c r="E45" s="152"/>
      <c r="F45" s="152"/>
      <c r="G45" s="402" t="s">
        <v>503</v>
      </c>
      <c r="H45" s="433">
        <v>0</v>
      </c>
      <c r="I45" s="198"/>
      <c r="J45" s="433"/>
      <c r="K45" s="433"/>
      <c r="L45" s="154"/>
      <c r="M45" s="645">
        <f t="shared" si="1"/>
        <v>0</v>
      </c>
      <c r="N45" s="184"/>
      <c r="O45" s="152"/>
      <c r="P45" s="402" t="s">
        <v>503</v>
      </c>
      <c r="Q45" s="401" t="s">
        <v>503</v>
      </c>
      <c r="R45" s="433">
        <v>0</v>
      </c>
      <c r="S45" s="198"/>
      <c r="T45" s="198"/>
      <c r="U45" s="433"/>
      <c r="V45" s="720" t="str">
        <f>IF(AND(SUM(P45:U45)&lt;&gt;M45,$N$150=3)," Tons managed does not equal baseline generation. Entry not valid, select dry digestion under Question 8.a below.",IF(SUM(P45:U45)&lt;&gt;M45," Tons managed does not equal baseline generation.",IF(AND((K45+U45)&gt;1,$N$150=3)," Entry not valid, select dry digestion under Question 8a below."," ")))</f>
        <v xml:space="preserve"> </v>
      </c>
      <c r="W45" s="152"/>
      <c r="X45" s="152"/>
      <c r="Y45" s="152"/>
      <c r="Z45" s="152"/>
      <c r="AA45" s="174"/>
    </row>
    <row r="46" spans="2:27" ht="12.75" customHeight="1" x14ac:dyDescent="0.25">
      <c r="B46" s="169"/>
      <c r="C46" s="152"/>
      <c r="D46" s="188" t="s">
        <v>523</v>
      </c>
      <c r="E46" s="152"/>
      <c r="F46" s="152"/>
      <c r="G46" s="402" t="s">
        <v>503</v>
      </c>
      <c r="H46" s="433">
        <v>2781.912059757693</v>
      </c>
      <c r="I46" s="198"/>
      <c r="J46" s="433"/>
      <c r="K46" s="433"/>
      <c r="L46" s="154"/>
      <c r="M46" s="645">
        <f t="shared" si="1"/>
        <v>2781.912059757693</v>
      </c>
      <c r="N46" s="184"/>
      <c r="O46" s="152"/>
      <c r="P46" s="402" t="s">
        <v>503</v>
      </c>
      <c r="Q46" s="401" t="s">
        <v>503</v>
      </c>
      <c r="R46" s="433">
        <v>2781.912059757693</v>
      </c>
      <c r="S46" s="198"/>
      <c r="T46" s="198"/>
      <c r="U46" s="433"/>
      <c r="V46" s="720" t="str">
        <f>IF(AND(SUM(P46:U46)&lt;&gt;M46,$N$150=3)," Tons managed does not equal baseline generation. Entry not valid, select dry digestion under Question 8.a below.",IF(SUM(P46:U46)&lt;&gt;M46," Tons managed does not equal baseline generation.",IF(AND((K46+U46)&gt;1,$N$150=3)," Entry not valid, select dry digestion under Question 8a below."," ")))</f>
        <v xml:space="preserve"> </v>
      </c>
      <c r="W46" s="152"/>
      <c r="X46" s="152"/>
      <c r="Y46" s="152"/>
      <c r="Z46" s="152"/>
      <c r="AA46" s="174"/>
    </row>
    <row r="47" spans="2:27" ht="12.75" customHeight="1" x14ac:dyDescent="0.25">
      <c r="B47" s="169"/>
      <c r="C47" s="152"/>
      <c r="D47" s="186" t="s">
        <v>583</v>
      </c>
      <c r="E47" s="152"/>
      <c r="F47" s="189"/>
      <c r="G47" s="198"/>
      <c r="H47" s="433">
        <v>93768.529977279337</v>
      </c>
      <c r="I47" s="198"/>
      <c r="J47" s="401" t="s">
        <v>503</v>
      </c>
      <c r="K47" s="402" t="s">
        <v>503</v>
      </c>
      <c r="L47" s="153"/>
      <c r="M47" s="645">
        <f t="shared" si="1"/>
        <v>93768.529977279337</v>
      </c>
      <c r="N47" s="184"/>
      <c r="O47" s="152"/>
      <c r="P47" s="198"/>
      <c r="Q47" s="198"/>
      <c r="R47" s="433">
        <v>93768.529977279337</v>
      </c>
      <c r="S47" s="198"/>
      <c r="T47" s="401" t="s">
        <v>503</v>
      </c>
      <c r="U47" s="402" t="s">
        <v>503</v>
      </c>
      <c r="V47" s="185" t="str">
        <f t="shared" ref="V47:V67" si="3">IF(SUM(P47:U47)&lt;&gt;M47," Tons managed does not equal baseline generation.","")</f>
        <v/>
      </c>
      <c r="W47" s="152"/>
      <c r="X47" s="152"/>
      <c r="Y47" s="152"/>
      <c r="Z47" s="152"/>
      <c r="AA47" s="174"/>
    </row>
    <row r="48" spans="2:27" ht="12.75" customHeight="1" x14ac:dyDescent="0.25">
      <c r="B48" s="169"/>
      <c r="C48" s="152"/>
      <c r="D48" s="190" t="s">
        <v>584</v>
      </c>
      <c r="E48" s="152"/>
      <c r="F48" s="191"/>
      <c r="G48" s="198"/>
      <c r="H48" s="433">
        <v>0</v>
      </c>
      <c r="I48" s="198"/>
      <c r="J48" s="401" t="s">
        <v>503</v>
      </c>
      <c r="K48" s="402" t="s">
        <v>503</v>
      </c>
      <c r="L48" s="153"/>
      <c r="M48" s="645">
        <f t="shared" si="1"/>
        <v>0</v>
      </c>
      <c r="N48" s="184"/>
      <c r="O48" s="152"/>
      <c r="P48" s="198"/>
      <c r="Q48" s="198"/>
      <c r="R48" s="433">
        <v>0</v>
      </c>
      <c r="S48" s="198"/>
      <c r="T48" s="401" t="s">
        <v>503</v>
      </c>
      <c r="U48" s="402" t="s">
        <v>503</v>
      </c>
      <c r="V48" s="185" t="str">
        <f t="shared" si="3"/>
        <v/>
      </c>
      <c r="W48" s="152"/>
      <c r="X48" s="152"/>
      <c r="Y48" s="152"/>
      <c r="Z48" s="152"/>
      <c r="AA48" s="174"/>
    </row>
    <row r="49" spans="2:27" ht="12.75" customHeight="1" x14ac:dyDescent="0.25">
      <c r="B49" s="169"/>
      <c r="C49" s="152"/>
      <c r="D49" s="186" t="s">
        <v>585</v>
      </c>
      <c r="E49" s="152"/>
      <c r="F49" s="191"/>
      <c r="G49" s="198"/>
      <c r="H49" s="433">
        <v>0</v>
      </c>
      <c r="I49" s="198"/>
      <c r="J49" s="401" t="s">
        <v>503</v>
      </c>
      <c r="K49" s="402" t="s">
        <v>503</v>
      </c>
      <c r="L49" s="153"/>
      <c r="M49" s="645">
        <f t="shared" si="1"/>
        <v>0</v>
      </c>
      <c r="N49" s="184"/>
      <c r="O49" s="152"/>
      <c r="P49" s="198"/>
      <c r="Q49" s="198"/>
      <c r="R49" s="433">
        <v>0</v>
      </c>
      <c r="S49" s="198"/>
      <c r="T49" s="401" t="s">
        <v>503</v>
      </c>
      <c r="U49" s="402" t="s">
        <v>503</v>
      </c>
      <c r="V49" s="185" t="str">
        <f t="shared" si="3"/>
        <v/>
      </c>
      <c r="W49" s="152"/>
      <c r="X49" s="152"/>
      <c r="Y49" s="152"/>
      <c r="Z49" s="152"/>
      <c r="AA49" s="174"/>
    </row>
    <row r="50" spans="2:27" x14ac:dyDescent="0.25">
      <c r="B50" s="169"/>
      <c r="C50" s="152"/>
      <c r="D50" s="186" t="s">
        <v>633</v>
      </c>
      <c r="E50" s="152"/>
      <c r="F50" s="152"/>
      <c r="G50" s="198"/>
      <c r="H50" s="433">
        <v>31048.613761431894</v>
      </c>
      <c r="I50" s="198"/>
      <c r="J50" s="402" t="s">
        <v>503</v>
      </c>
      <c r="K50" s="402" t="s">
        <v>503</v>
      </c>
      <c r="L50" s="155"/>
      <c r="M50" s="645">
        <f t="shared" si="1"/>
        <v>31048.613761431894</v>
      </c>
      <c r="N50" s="184"/>
      <c r="O50" s="152"/>
      <c r="P50" s="198"/>
      <c r="Q50" s="198"/>
      <c r="R50" s="433">
        <v>31048.613761431894</v>
      </c>
      <c r="S50" s="198"/>
      <c r="T50" s="401" t="s">
        <v>503</v>
      </c>
      <c r="U50" s="402" t="s">
        <v>503</v>
      </c>
      <c r="V50" s="185" t="str">
        <f t="shared" si="3"/>
        <v/>
      </c>
      <c r="W50" s="152"/>
      <c r="X50" s="152"/>
      <c r="Y50" s="152"/>
      <c r="Z50" s="152"/>
      <c r="AA50" s="174"/>
    </row>
    <row r="51" spans="2:27" x14ac:dyDescent="0.25">
      <c r="B51" s="169"/>
      <c r="C51" s="152"/>
      <c r="D51" s="186" t="s">
        <v>386</v>
      </c>
      <c r="E51" s="152"/>
      <c r="F51" s="191"/>
      <c r="G51" s="198"/>
      <c r="H51" s="433">
        <v>65431.449481739066</v>
      </c>
      <c r="I51" s="198"/>
      <c r="J51" s="401" t="s">
        <v>503</v>
      </c>
      <c r="K51" s="402" t="s">
        <v>503</v>
      </c>
      <c r="L51" s="153"/>
      <c r="M51" s="645">
        <f t="shared" si="1"/>
        <v>65431.449481739066</v>
      </c>
      <c r="N51" s="184"/>
      <c r="O51" s="152"/>
      <c r="P51" s="198"/>
      <c r="Q51" s="198"/>
      <c r="R51" s="433">
        <v>65431.449481739066</v>
      </c>
      <c r="S51" s="198"/>
      <c r="T51" s="401" t="s">
        <v>503</v>
      </c>
      <c r="U51" s="402" t="s">
        <v>503</v>
      </c>
      <c r="V51" s="185" t="str">
        <f t="shared" si="3"/>
        <v/>
      </c>
      <c r="W51" s="152"/>
      <c r="X51" s="152"/>
      <c r="Y51" s="152"/>
      <c r="Z51" s="152"/>
      <c r="AA51" s="174"/>
    </row>
    <row r="52" spans="2:27" x14ac:dyDescent="0.25">
      <c r="B52" s="169"/>
      <c r="C52" s="152"/>
      <c r="D52" s="192" t="s">
        <v>272</v>
      </c>
      <c r="E52" s="193"/>
      <c r="F52" s="187"/>
      <c r="G52" s="198"/>
      <c r="H52" s="433">
        <v>0</v>
      </c>
      <c r="I52" s="198"/>
      <c r="J52" s="401" t="s">
        <v>503</v>
      </c>
      <c r="K52" s="402" t="s">
        <v>503</v>
      </c>
      <c r="L52" s="153"/>
      <c r="M52" s="645">
        <f t="shared" si="1"/>
        <v>0</v>
      </c>
      <c r="N52" s="184"/>
      <c r="O52" s="152"/>
      <c r="P52" s="434" t="s">
        <v>503</v>
      </c>
      <c r="Q52" s="198"/>
      <c r="R52" s="433">
        <v>0</v>
      </c>
      <c r="S52" s="198"/>
      <c r="T52" s="401" t="s">
        <v>503</v>
      </c>
      <c r="U52" s="402" t="s">
        <v>503</v>
      </c>
      <c r="V52" s="185" t="str">
        <f t="shared" si="3"/>
        <v/>
      </c>
      <c r="W52" s="152"/>
      <c r="X52" s="152"/>
      <c r="Y52" s="152"/>
      <c r="Z52" s="152"/>
      <c r="AA52" s="174"/>
    </row>
    <row r="53" spans="2:27" x14ac:dyDescent="0.25">
      <c r="B53" s="169"/>
      <c r="C53" s="152"/>
      <c r="D53" s="642" t="s">
        <v>740</v>
      </c>
      <c r="E53" s="193"/>
      <c r="F53" s="187"/>
      <c r="G53" s="574" t="s">
        <v>503</v>
      </c>
      <c r="H53" s="433">
        <v>0</v>
      </c>
      <c r="I53" s="198"/>
      <c r="J53" s="433"/>
      <c r="K53" s="433"/>
      <c r="L53" s="153"/>
      <c r="M53" s="645">
        <f t="shared" si="1"/>
        <v>0</v>
      </c>
      <c r="N53" s="184"/>
      <c r="O53" s="152"/>
      <c r="P53" s="198"/>
      <c r="Q53" s="474" t="s">
        <v>503</v>
      </c>
      <c r="R53" s="433">
        <v>0</v>
      </c>
      <c r="S53" s="198"/>
      <c r="T53" s="433"/>
      <c r="U53" s="433"/>
      <c r="V53" s="185" t="str">
        <f t="shared" si="3"/>
        <v/>
      </c>
      <c r="W53" s="152"/>
      <c r="X53" s="152"/>
      <c r="Y53" s="152"/>
      <c r="Z53" s="152"/>
      <c r="AA53" s="174"/>
    </row>
    <row r="54" spans="2:27" x14ac:dyDescent="0.25">
      <c r="B54" s="169"/>
      <c r="C54" s="152"/>
      <c r="D54" s="194" t="s">
        <v>385</v>
      </c>
      <c r="E54" s="193"/>
      <c r="F54" s="187"/>
      <c r="G54" s="402" t="s">
        <v>503</v>
      </c>
      <c r="H54" s="433">
        <v>0</v>
      </c>
      <c r="I54" s="198"/>
      <c r="J54" s="199"/>
      <c r="K54" s="433"/>
      <c r="L54" s="156"/>
      <c r="M54" s="645">
        <f t="shared" si="1"/>
        <v>0</v>
      </c>
      <c r="N54" s="184"/>
      <c r="O54" s="152"/>
      <c r="P54" s="434" t="s">
        <v>503</v>
      </c>
      <c r="Q54" s="402" t="s">
        <v>503</v>
      </c>
      <c r="R54" s="433">
        <v>0</v>
      </c>
      <c r="S54" s="198"/>
      <c r="T54" s="198"/>
      <c r="U54" s="433"/>
      <c r="V54" s="720" t="str">
        <f>IF(AND(SUM(P54:U54)&lt;&gt;M54,$N$150=3)," Tons managed does not equal baseline generation. Entry not valid, select dry digestion under Question 8.a below.",IF(SUM(P54:U54)&lt;&gt;M54," Tons managed does not equal baseline generation.",IF(AND((K54+U54)&gt;1,$N$150=3)," Entry not valid, select dry digestion under Question 8a below."," ")))</f>
        <v xml:space="preserve"> </v>
      </c>
      <c r="W54" s="152"/>
      <c r="X54" s="152"/>
      <c r="Y54" s="152"/>
      <c r="Z54" s="152"/>
      <c r="AA54" s="174"/>
    </row>
    <row r="55" spans="2:27" x14ac:dyDescent="0.25">
      <c r="B55" s="169"/>
      <c r="C55" s="152"/>
      <c r="D55" s="194" t="s">
        <v>574</v>
      </c>
      <c r="E55" s="193"/>
      <c r="F55" s="187"/>
      <c r="G55" s="402" t="s">
        <v>503</v>
      </c>
      <c r="H55" s="433">
        <v>186408.24273021927</v>
      </c>
      <c r="I55" s="198"/>
      <c r="J55" s="401" t="s">
        <v>503</v>
      </c>
      <c r="K55" s="402" t="s">
        <v>503</v>
      </c>
      <c r="L55" s="153"/>
      <c r="M55" s="645">
        <f t="shared" si="1"/>
        <v>186408.24273021927</v>
      </c>
      <c r="N55" s="184"/>
      <c r="O55" s="152"/>
      <c r="P55" s="434" t="s">
        <v>503</v>
      </c>
      <c r="Q55" s="402" t="s">
        <v>503</v>
      </c>
      <c r="R55" s="433">
        <v>186408.24273021927</v>
      </c>
      <c r="S55" s="198"/>
      <c r="T55" s="401" t="s">
        <v>503</v>
      </c>
      <c r="U55" s="402" t="s">
        <v>503</v>
      </c>
      <c r="V55" s="185" t="str">
        <f t="shared" si="3"/>
        <v/>
      </c>
      <c r="W55" s="152"/>
      <c r="X55" s="152"/>
      <c r="Y55" s="152"/>
      <c r="Z55" s="152"/>
      <c r="AA55" s="174"/>
    </row>
    <row r="56" spans="2:27" x14ac:dyDescent="0.25">
      <c r="B56" s="169"/>
      <c r="C56" s="152"/>
      <c r="D56" s="193" t="s">
        <v>573</v>
      </c>
      <c r="E56" s="152"/>
      <c r="F56" s="187"/>
      <c r="G56" s="198"/>
      <c r="H56" s="433">
        <v>17777.945134258178</v>
      </c>
      <c r="I56" s="198"/>
      <c r="J56" s="401" t="s">
        <v>503</v>
      </c>
      <c r="K56" s="402" t="s">
        <v>503</v>
      </c>
      <c r="L56" s="153"/>
      <c r="M56" s="645">
        <f t="shared" si="1"/>
        <v>17777.945134258178</v>
      </c>
      <c r="N56" s="184"/>
      <c r="O56" s="152"/>
      <c r="P56" s="198"/>
      <c r="Q56" s="198"/>
      <c r="R56" s="433">
        <v>17777.945134258178</v>
      </c>
      <c r="S56" s="198"/>
      <c r="T56" s="402" t="s">
        <v>503</v>
      </c>
      <c r="U56" s="402" t="s">
        <v>503</v>
      </c>
      <c r="V56" s="185" t="str">
        <f t="shared" si="3"/>
        <v/>
      </c>
      <c r="W56" s="152"/>
      <c r="X56" s="152"/>
      <c r="Y56" s="152"/>
      <c r="Z56" s="152"/>
      <c r="AA56" s="174"/>
    </row>
    <row r="57" spans="2:27" x14ac:dyDescent="0.25">
      <c r="B57" s="169"/>
      <c r="C57" s="152"/>
      <c r="D57" s="194" t="s">
        <v>423</v>
      </c>
      <c r="E57" s="193"/>
      <c r="F57" s="187"/>
      <c r="G57" s="198"/>
      <c r="H57" s="433">
        <v>3566.6261698317612</v>
      </c>
      <c r="I57" s="198"/>
      <c r="J57" s="402" t="s">
        <v>503</v>
      </c>
      <c r="K57" s="402" t="s">
        <v>503</v>
      </c>
      <c r="L57" s="155"/>
      <c r="M57" s="645">
        <f t="shared" si="1"/>
        <v>3566.6261698317612</v>
      </c>
      <c r="N57" s="184"/>
      <c r="O57" s="152"/>
      <c r="P57" s="198"/>
      <c r="Q57" s="198"/>
      <c r="R57" s="433">
        <v>3566.6261698317612</v>
      </c>
      <c r="S57" s="198"/>
      <c r="T57" s="402" t="s">
        <v>503</v>
      </c>
      <c r="U57" s="402" t="s">
        <v>503</v>
      </c>
      <c r="V57" s="185" t="str">
        <f t="shared" si="3"/>
        <v/>
      </c>
      <c r="W57" s="152"/>
      <c r="X57" s="152"/>
      <c r="Y57" s="152"/>
      <c r="Z57" s="152"/>
      <c r="AA57" s="174"/>
    </row>
    <row r="58" spans="2:27" x14ac:dyDescent="0.25">
      <c r="B58" s="169"/>
      <c r="C58" s="152"/>
      <c r="D58" s="193" t="s">
        <v>455</v>
      </c>
      <c r="E58" s="152"/>
      <c r="F58" s="187"/>
      <c r="G58" s="402" t="s">
        <v>503</v>
      </c>
      <c r="H58" s="433">
        <v>0</v>
      </c>
      <c r="I58" s="402" t="s">
        <v>503</v>
      </c>
      <c r="J58" s="401" t="s">
        <v>503</v>
      </c>
      <c r="K58" s="402" t="s">
        <v>503</v>
      </c>
      <c r="L58" s="153"/>
      <c r="M58" s="645">
        <f t="shared" si="1"/>
        <v>0</v>
      </c>
      <c r="N58" s="184"/>
      <c r="O58" s="152"/>
      <c r="P58" s="198"/>
      <c r="Q58" s="402" t="s">
        <v>503</v>
      </c>
      <c r="R58" s="433">
        <v>0</v>
      </c>
      <c r="S58" s="402" t="s">
        <v>503</v>
      </c>
      <c r="T58" s="401" t="s">
        <v>503</v>
      </c>
      <c r="U58" s="402" t="s">
        <v>503</v>
      </c>
      <c r="V58" s="185" t="str">
        <f t="shared" si="3"/>
        <v/>
      </c>
      <c r="W58" s="152"/>
      <c r="X58" s="152"/>
      <c r="Y58" s="152"/>
      <c r="Z58" s="152"/>
      <c r="AA58" s="174"/>
    </row>
    <row r="59" spans="2:27" ht="14.5" x14ac:dyDescent="0.25">
      <c r="B59" s="169"/>
      <c r="C59" s="152"/>
      <c r="D59" s="397" t="s">
        <v>476</v>
      </c>
      <c r="E59" s="398">
        <v>1</v>
      </c>
      <c r="F59" s="187"/>
      <c r="G59" s="198"/>
      <c r="H59" s="433">
        <v>0</v>
      </c>
      <c r="I59" s="402" t="s">
        <v>503</v>
      </c>
      <c r="J59" s="401" t="s">
        <v>503</v>
      </c>
      <c r="K59" s="402" t="s">
        <v>503</v>
      </c>
      <c r="L59" s="153"/>
      <c r="M59" s="645">
        <f t="shared" si="1"/>
        <v>0</v>
      </c>
      <c r="N59" s="184"/>
      <c r="O59" s="152"/>
      <c r="P59" s="402" t="s">
        <v>503</v>
      </c>
      <c r="Q59" s="198"/>
      <c r="R59" s="433">
        <v>0</v>
      </c>
      <c r="S59" s="402" t="s">
        <v>503</v>
      </c>
      <c r="T59" s="401" t="s">
        <v>503</v>
      </c>
      <c r="U59" s="402" t="s">
        <v>503</v>
      </c>
      <c r="V59" s="185" t="str">
        <f t="shared" si="3"/>
        <v/>
      </c>
      <c r="W59" s="152"/>
      <c r="X59" s="152"/>
      <c r="Y59" s="152"/>
      <c r="Z59" s="152"/>
      <c r="AA59" s="174"/>
    </row>
    <row r="60" spans="2:27" ht="14.5" x14ac:dyDescent="0.25">
      <c r="B60" s="169"/>
      <c r="C60" s="152"/>
      <c r="D60" s="397" t="s">
        <v>131</v>
      </c>
      <c r="E60" s="398">
        <v>2</v>
      </c>
      <c r="F60" s="187"/>
      <c r="G60" s="198"/>
      <c r="H60" s="433">
        <v>48.934699796860542</v>
      </c>
      <c r="I60" s="402" t="s">
        <v>503</v>
      </c>
      <c r="J60" s="402" t="s">
        <v>503</v>
      </c>
      <c r="K60" s="402" t="s">
        <v>503</v>
      </c>
      <c r="L60" s="155"/>
      <c r="M60" s="645">
        <f t="shared" si="1"/>
        <v>48.934699796860542</v>
      </c>
      <c r="N60" s="184"/>
      <c r="O60" s="152"/>
      <c r="P60" s="402" t="s">
        <v>503</v>
      </c>
      <c r="Q60" s="198"/>
      <c r="R60" s="433">
        <v>48.934699796860542</v>
      </c>
      <c r="S60" s="402" t="s">
        <v>503</v>
      </c>
      <c r="T60" s="402" t="s">
        <v>503</v>
      </c>
      <c r="U60" s="402" t="s">
        <v>503</v>
      </c>
      <c r="V60" s="185" t="str">
        <f t="shared" si="3"/>
        <v/>
      </c>
      <c r="W60" s="152"/>
      <c r="X60" s="152"/>
      <c r="Y60" s="152"/>
      <c r="Z60" s="152"/>
      <c r="AA60" s="174"/>
    </row>
    <row r="61" spans="2:27" ht="14.5" x14ac:dyDescent="0.25">
      <c r="B61" s="169"/>
      <c r="C61" s="152"/>
      <c r="D61" s="397" t="s">
        <v>444</v>
      </c>
      <c r="E61" s="398">
        <v>3</v>
      </c>
      <c r="F61" s="187"/>
      <c r="G61" s="198"/>
      <c r="H61" s="433">
        <v>667.21647161788258</v>
      </c>
      <c r="I61" s="357"/>
      <c r="J61" s="402" t="s">
        <v>503</v>
      </c>
      <c r="K61" s="402" t="s">
        <v>503</v>
      </c>
      <c r="L61" s="155"/>
      <c r="M61" s="645">
        <f t="shared" si="1"/>
        <v>667.21647161788258</v>
      </c>
      <c r="N61" s="184"/>
      <c r="O61" s="152"/>
      <c r="P61" s="198"/>
      <c r="Q61" s="198"/>
      <c r="R61" s="433">
        <v>667.21647161788258</v>
      </c>
      <c r="S61" s="198"/>
      <c r="T61" s="402" t="s">
        <v>503</v>
      </c>
      <c r="U61" s="402" t="s">
        <v>503</v>
      </c>
      <c r="V61" s="185" t="str">
        <f t="shared" si="3"/>
        <v/>
      </c>
      <c r="W61" s="152"/>
      <c r="X61" s="152"/>
      <c r="Y61" s="152"/>
      <c r="Z61" s="152"/>
      <c r="AA61" s="174"/>
    </row>
    <row r="62" spans="2:27" x14ac:dyDescent="0.25">
      <c r="B62" s="169"/>
      <c r="C62" s="152"/>
      <c r="D62" s="194" t="s">
        <v>53</v>
      </c>
      <c r="E62" s="152"/>
      <c r="F62" s="187"/>
      <c r="G62" s="198"/>
      <c r="H62" s="433">
        <v>0</v>
      </c>
      <c r="I62" s="402" t="s">
        <v>503</v>
      </c>
      <c r="J62" s="402" t="s">
        <v>503</v>
      </c>
      <c r="K62" s="402" t="s">
        <v>503</v>
      </c>
      <c r="L62" s="153"/>
      <c r="M62" s="645">
        <f t="shared" si="1"/>
        <v>0</v>
      </c>
      <c r="N62" s="184"/>
      <c r="O62" s="152"/>
      <c r="P62" s="198"/>
      <c r="Q62" s="198"/>
      <c r="R62" s="433">
        <v>0</v>
      </c>
      <c r="S62" s="402" t="s">
        <v>503</v>
      </c>
      <c r="T62" s="402" t="s">
        <v>503</v>
      </c>
      <c r="U62" s="402" t="s">
        <v>503</v>
      </c>
      <c r="V62" s="185" t="str">
        <f t="shared" si="3"/>
        <v/>
      </c>
      <c r="W62" s="152"/>
      <c r="X62" s="152"/>
      <c r="Y62" s="152"/>
      <c r="Z62" s="152"/>
      <c r="AA62" s="174"/>
    </row>
    <row r="63" spans="2:27" x14ac:dyDescent="0.25">
      <c r="B63" s="169"/>
      <c r="C63" s="152"/>
      <c r="D63" s="194" t="s">
        <v>54</v>
      </c>
      <c r="E63" s="152"/>
      <c r="F63" s="187"/>
      <c r="G63" s="198"/>
      <c r="H63" s="433">
        <v>3002.42668852621</v>
      </c>
      <c r="I63" s="198"/>
      <c r="J63" s="402" t="s">
        <v>503</v>
      </c>
      <c r="K63" s="402" t="s">
        <v>503</v>
      </c>
      <c r="L63" s="153"/>
      <c r="M63" s="645">
        <f t="shared" si="1"/>
        <v>3002.42668852621</v>
      </c>
      <c r="N63" s="184"/>
      <c r="O63" s="152"/>
      <c r="P63" s="198"/>
      <c r="Q63" s="198"/>
      <c r="R63" s="433">
        <v>3002.42668852621</v>
      </c>
      <c r="S63" s="198"/>
      <c r="T63" s="402" t="s">
        <v>503</v>
      </c>
      <c r="U63" s="402" t="s">
        <v>503</v>
      </c>
      <c r="V63" s="185" t="str">
        <f t="shared" si="3"/>
        <v/>
      </c>
      <c r="W63" s="152"/>
      <c r="X63" s="152"/>
      <c r="Y63" s="152"/>
      <c r="Z63" s="152"/>
      <c r="AA63" s="174"/>
    </row>
    <row r="64" spans="2:27" x14ac:dyDescent="0.25">
      <c r="B64" s="169"/>
      <c r="C64" s="152"/>
      <c r="D64" s="193" t="s">
        <v>55</v>
      </c>
      <c r="E64" s="152"/>
      <c r="F64" s="187"/>
      <c r="G64" s="198"/>
      <c r="H64" s="433">
        <v>14797.404669376238</v>
      </c>
      <c r="I64" s="402" t="s">
        <v>503</v>
      </c>
      <c r="J64" s="402" t="s">
        <v>503</v>
      </c>
      <c r="K64" s="402" t="s">
        <v>503</v>
      </c>
      <c r="L64" s="153"/>
      <c r="M64" s="645">
        <f t="shared" si="1"/>
        <v>14797.404669376238</v>
      </c>
      <c r="N64" s="184"/>
      <c r="O64" s="152"/>
      <c r="P64" s="198"/>
      <c r="Q64" s="198"/>
      <c r="R64" s="433">
        <v>14797.404669376238</v>
      </c>
      <c r="S64" s="402" t="s">
        <v>503</v>
      </c>
      <c r="T64" s="402" t="s">
        <v>503</v>
      </c>
      <c r="U64" s="402" t="s">
        <v>503</v>
      </c>
      <c r="V64" s="185" t="str">
        <f t="shared" si="3"/>
        <v/>
      </c>
      <c r="W64" s="152"/>
      <c r="X64" s="152"/>
      <c r="Y64" s="152"/>
      <c r="Z64" s="152"/>
      <c r="AA64" s="174"/>
    </row>
    <row r="65" spans="2:27" x14ac:dyDescent="0.25">
      <c r="B65" s="169"/>
      <c r="C65" s="152"/>
      <c r="D65" s="194" t="s">
        <v>56</v>
      </c>
      <c r="E65" s="152"/>
      <c r="F65" s="187"/>
      <c r="G65" s="402" t="s">
        <v>503</v>
      </c>
      <c r="H65" s="433">
        <v>0</v>
      </c>
      <c r="I65" s="402" t="s">
        <v>503</v>
      </c>
      <c r="J65" s="402" t="s">
        <v>503</v>
      </c>
      <c r="K65" s="402" t="s">
        <v>503</v>
      </c>
      <c r="L65" s="153"/>
      <c r="M65" s="645">
        <f t="shared" si="1"/>
        <v>0</v>
      </c>
      <c r="N65" s="184"/>
      <c r="O65" s="152"/>
      <c r="P65" s="198"/>
      <c r="Q65" s="402" t="s">
        <v>503</v>
      </c>
      <c r="R65" s="433">
        <v>0</v>
      </c>
      <c r="S65" s="402" t="s">
        <v>503</v>
      </c>
      <c r="T65" s="402" t="s">
        <v>503</v>
      </c>
      <c r="U65" s="402" t="s">
        <v>503</v>
      </c>
      <c r="V65" s="185" t="str">
        <f t="shared" si="3"/>
        <v/>
      </c>
      <c r="W65" s="152"/>
      <c r="X65" s="152"/>
      <c r="Y65" s="152"/>
      <c r="Z65" s="152"/>
      <c r="AA65" s="174"/>
    </row>
    <row r="66" spans="2:27" x14ac:dyDescent="0.25">
      <c r="B66" s="169"/>
      <c r="C66" s="152"/>
      <c r="D66" s="194" t="s">
        <v>57</v>
      </c>
      <c r="E66" s="152"/>
      <c r="F66" s="187"/>
      <c r="G66" s="402" t="s">
        <v>503</v>
      </c>
      <c r="H66" s="433">
        <v>0</v>
      </c>
      <c r="I66" s="198"/>
      <c r="J66" s="402" t="s">
        <v>503</v>
      </c>
      <c r="K66" s="402" t="s">
        <v>503</v>
      </c>
      <c r="L66" s="153"/>
      <c r="M66" s="645">
        <f t="shared" si="1"/>
        <v>0</v>
      </c>
      <c r="N66" s="184"/>
      <c r="O66" s="152"/>
      <c r="P66" s="198"/>
      <c r="Q66" s="402" t="s">
        <v>503</v>
      </c>
      <c r="R66" s="433">
        <v>0</v>
      </c>
      <c r="S66" s="198"/>
      <c r="T66" s="402" t="s">
        <v>503</v>
      </c>
      <c r="U66" s="402" t="s">
        <v>503</v>
      </c>
      <c r="V66" s="185" t="str">
        <f t="shared" si="3"/>
        <v/>
      </c>
      <c r="W66" s="152"/>
      <c r="X66" s="152"/>
      <c r="Y66" s="152"/>
      <c r="Z66" s="152"/>
      <c r="AA66" s="174"/>
    </row>
    <row r="67" spans="2:27" x14ac:dyDescent="0.25">
      <c r="B67" s="169"/>
      <c r="C67" s="152"/>
      <c r="D67" s="194" t="s">
        <v>58</v>
      </c>
      <c r="E67" s="152"/>
      <c r="F67" s="187"/>
      <c r="G67" s="402" t="s">
        <v>503</v>
      </c>
      <c r="H67" s="433">
        <v>0</v>
      </c>
      <c r="I67" s="198"/>
      <c r="J67" s="402" t="s">
        <v>503</v>
      </c>
      <c r="K67" s="650" t="s">
        <v>503</v>
      </c>
      <c r="L67" s="153"/>
      <c r="M67" s="645">
        <f t="shared" si="1"/>
        <v>0</v>
      </c>
      <c r="N67" s="184"/>
      <c r="O67" s="152"/>
      <c r="P67" s="198"/>
      <c r="Q67" s="402" t="s">
        <v>503</v>
      </c>
      <c r="R67" s="433">
        <v>0</v>
      </c>
      <c r="S67" s="198"/>
      <c r="T67" s="402" t="s">
        <v>503</v>
      </c>
      <c r="U67" s="650" t="s">
        <v>503</v>
      </c>
      <c r="V67" s="185" t="str">
        <f t="shared" si="3"/>
        <v/>
      </c>
      <c r="W67" s="152"/>
      <c r="X67" s="152"/>
      <c r="Y67" s="152"/>
      <c r="Z67" s="152"/>
      <c r="AA67" s="174"/>
    </row>
    <row r="68" spans="2:27" ht="95.25" customHeight="1" x14ac:dyDescent="0.25">
      <c r="B68" s="169"/>
      <c r="C68" s="152"/>
      <c r="D68" s="905" t="s">
        <v>743</v>
      </c>
      <c r="E68" s="906"/>
      <c r="F68" s="906"/>
      <c r="G68" s="906"/>
      <c r="H68" s="906"/>
      <c r="I68" s="906"/>
      <c r="J68" s="906"/>
      <c r="K68" s="907"/>
      <c r="L68" s="907"/>
      <c r="M68" s="906"/>
      <c r="N68" s="195"/>
      <c r="O68" s="152"/>
      <c r="P68" s="906"/>
      <c r="Q68" s="906"/>
      <c r="R68" s="906"/>
      <c r="S68" s="906"/>
      <c r="T68" s="906"/>
      <c r="U68" s="907"/>
      <c r="V68" s="907"/>
      <c r="W68" s="907"/>
      <c r="X68" s="907"/>
      <c r="Y68" s="907"/>
      <c r="Z68" s="907"/>
      <c r="AA68" s="174"/>
    </row>
    <row r="69" spans="2:27" ht="13" thickBot="1" x14ac:dyDescent="0.3">
      <c r="B69" s="171"/>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96"/>
    </row>
    <row r="70" spans="2:27" ht="13" thickBot="1" x14ac:dyDescent="0.3">
      <c r="B70" s="164"/>
      <c r="C70" s="164"/>
      <c r="D70" s="164"/>
      <c r="E70" s="164"/>
      <c r="F70" s="164"/>
      <c r="G70" s="164"/>
      <c r="H70" s="164"/>
      <c r="I70" s="164"/>
      <c r="J70" s="164"/>
      <c r="K70" s="164"/>
      <c r="M70" s="164"/>
      <c r="N70" s="164"/>
      <c r="O70" s="164"/>
      <c r="P70" s="164"/>
      <c r="Q70" s="164"/>
      <c r="R70" s="164"/>
      <c r="S70" s="164"/>
      <c r="T70" s="164"/>
      <c r="U70" s="164"/>
      <c r="V70" s="164"/>
      <c r="W70" s="164"/>
      <c r="X70" s="164"/>
      <c r="Y70" s="164"/>
      <c r="Z70" s="164"/>
      <c r="AA70" s="164"/>
    </row>
    <row r="71" spans="2:27" ht="13" x14ac:dyDescent="0.3">
      <c r="B71" s="167"/>
      <c r="C71" s="575"/>
      <c r="D71" s="576"/>
      <c r="E71" s="576"/>
      <c r="F71" s="576"/>
      <c r="G71" s="576"/>
      <c r="H71" s="576"/>
      <c r="I71" s="576"/>
      <c r="J71" s="576"/>
      <c r="K71" s="576"/>
      <c r="L71" s="576"/>
      <c r="M71" s="576"/>
      <c r="N71" s="576"/>
      <c r="O71" s="576"/>
      <c r="P71" s="576"/>
      <c r="Q71" s="576"/>
      <c r="R71" s="576"/>
      <c r="S71" s="576"/>
      <c r="T71" s="576"/>
      <c r="U71" s="576"/>
      <c r="V71" s="576"/>
      <c r="W71" s="576"/>
      <c r="X71" s="576"/>
      <c r="Y71" s="576"/>
      <c r="Z71" s="576"/>
      <c r="AA71" s="577"/>
    </row>
    <row r="72" spans="2:27" ht="13" x14ac:dyDescent="0.3">
      <c r="B72" s="169"/>
      <c r="C72" s="578" t="s">
        <v>556</v>
      </c>
      <c r="D72" s="579" t="s">
        <v>50</v>
      </c>
      <c r="E72" s="580"/>
      <c r="F72" s="580"/>
      <c r="G72" s="580"/>
      <c r="H72" s="580"/>
      <c r="I72" s="580"/>
      <c r="J72" s="580"/>
      <c r="K72" s="580"/>
      <c r="L72" s="580"/>
      <c r="M72" s="580"/>
      <c r="N72" s="580"/>
      <c r="O72" s="580"/>
      <c r="P72" s="580"/>
      <c r="Q72" s="580"/>
      <c r="R72" s="580"/>
      <c r="S72" s="580"/>
      <c r="T72" s="580"/>
      <c r="U72" s="580"/>
      <c r="V72" s="580"/>
      <c r="W72" s="580"/>
      <c r="X72" s="580"/>
      <c r="Y72" s="580"/>
      <c r="Z72" s="580"/>
      <c r="AA72" s="581"/>
    </row>
    <row r="73" spans="2:27" ht="13" x14ac:dyDescent="0.3">
      <c r="B73" s="169"/>
      <c r="C73" s="578"/>
      <c r="D73" s="579" t="s">
        <v>81</v>
      </c>
      <c r="E73" s="580"/>
      <c r="F73" s="580"/>
      <c r="G73" s="580"/>
      <c r="H73" s="580"/>
      <c r="I73" s="580"/>
      <c r="J73" s="580"/>
      <c r="K73" s="580"/>
      <c r="L73" s="580"/>
      <c r="M73" s="580"/>
      <c r="N73" s="580"/>
      <c r="O73" s="580"/>
      <c r="P73" s="580"/>
      <c r="Q73" s="580"/>
      <c r="R73" s="580"/>
      <c r="S73" s="580"/>
      <c r="T73" s="580"/>
      <c r="U73" s="580"/>
      <c r="V73" s="580"/>
      <c r="W73" s="580"/>
      <c r="X73" s="580"/>
      <c r="Y73" s="580"/>
      <c r="Z73" s="580"/>
      <c r="AA73" s="581"/>
    </row>
    <row r="74" spans="2:27" ht="13" x14ac:dyDescent="0.3">
      <c r="B74" s="169"/>
      <c r="C74" s="578"/>
      <c r="D74" s="580"/>
      <c r="E74" s="580"/>
      <c r="F74" s="580"/>
      <c r="G74" s="580"/>
      <c r="H74" s="580"/>
      <c r="I74" s="580"/>
      <c r="J74" s="580"/>
      <c r="K74" s="580"/>
      <c r="L74" s="580"/>
      <c r="M74" s="580"/>
      <c r="N74" s="580"/>
      <c r="O74" s="580"/>
      <c r="P74" s="580"/>
      <c r="Q74" s="580"/>
      <c r="R74" s="580"/>
      <c r="S74" s="580"/>
      <c r="T74" s="580"/>
      <c r="U74" s="580"/>
      <c r="V74" s="580"/>
      <c r="W74" s="580"/>
      <c r="X74" s="580"/>
      <c r="Y74" s="580"/>
      <c r="Z74" s="580"/>
      <c r="AA74" s="581"/>
    </row>
    <row r="75" spans="2:27" ht="13" x14ac:dyDescent="0.3">
      <c r="B75" s="169"/>
      <c r="C75" s="578"/>
      <c r="D75" s="580"/>
      <c r="E75" s="580"/>
      <c r="F75" s="580"/>
      <c r="G75" s="580"/>
      <c r="H75" s="580"/>
      <c r="I75" s="580"/>
      <c r="J75" s="580"/>
      <c r="K75" s="580"/>
      <c r="L75" s="580"/>
      <c r="M75" s="580"/>
      <c r="N75" s="580"/>
      <c r="O75" s="580"/>
      <c r="P75" s="580"/>
      <c r="Q75" s="580"/>
      <c r="R75" s="580"/>
      <c r="S75" s="580"/>
      <c r="T75" s="580"/>
      <c r="U75" s="580"/>
      <c r="V75" s="580"/>
      <c r="W75" s="582"/>
      <c r="X75" s="583" t="s">
        <v>291</v>
      </c>
      <c r="Y75" s="583" t="s">
        <v>291</v>
      </c>
      <c r="Z75" s="583"/>
      <c r="AA75" s="581"/>
    </row>
    <row r="76" spans="2:27" ht="13" x14ac:dyDescent="0.3">
      <c r="B76" s="169"/>
      <c r="C76" s="578"/>
      <c r="D76" s="584" t="s">
        <v>346</v>
      </c>
      <c r="E76" s="584"/>
      <c r="F76" s="585"/>
      <c r="G76" s="584"/>
      <c r="H76" s="903" t="s">
        <v>340</v>
      </c>
      <c r="I76" s="904"/>
      <c r="J76" s="580"/>
      <c r="K76" s="580"/>
      <c r="L76" s="580"/>
      <c r="M76" s="580"/>
      <c r="N76" s="722" t="s">
        <v>358</v>
      </c>
      <c r="O76" s="580"/>
      <c r="P76" s="580"/>
      <c r="Q76" s="580"/>
      <c r="R76" s="580"/>
      <c r="S76" s="580"/>
      <c r="T76" s="580"/>
      <c r="U76" s="580"/>
      <c r="V76" s="580"/>
      <c r="W76" s="586" t="s">
        <v>345</v>
      </c>
      <c r="X76" s="583">
        <v>1</v>
      </c>
      <c r="Y76" s="586" t="s">
        <v>345</v>
      </c>
      <c r="Z76" s="586" t="s">
        <v>345</v>
      </c>
      <c r="AA76" s="581"/>
    </row>
    <row r="77" spans="2:27" ht="13" x14ac:dyDescent="0.3">
      <c r="B77" s="169"/>
      <c r="C77" s="578"/>
      <c r="D77" s="585"/>
      <c r="E77" s="584"/>
      <c r="F77" s="585"/>
      <c r="G77" s="584"/>
      <c r="H77" s="584"/>
      <c r="I77" s="580"/>
      <c r="J77" s="580"/>
      <c r="K77" s="580"/>
      <c r="L77" s="580"/>
      <c r="M77" s="580"/>
      <c r="N77" s="723">
        <f>VLOOKUP(H78,W76:X85,2,FALSE)</f>
        <v>2</v>
      </c>
      <c r="O77" s="580"/>
      <c r="P77" s="580"/>
      <c r="Q77" s="580"/>
      <c r="R77" s="580"/>
      <c r="S77" s="580"/>
      <c r="T77" s="580"/>
      <c r="U77" s="580"/>
      <c r="V77" s="580"/>
      <c r="W77" s="586" t="s">
        <v>296</v>
      </c>
      <c r="X77" s="583">
        <v>2</v>
      </c>
      <c r="Y77" s="583" t="s">
        <v>292</v>
      </c>
      <c r="Z77" s="583" t="s">
        <v>293</v>
      </c>
      <c r="AA77" s="581"/>
    </row>
    <row r="78" spans="2:27" ht="13" x14ac:dyDescent="0.3">
      <c r="B78" s="169"/>
      <c r="C78" s="578"/>
      <c r="D78" s="584" t="s">
        <v>344</v>
      </c>
      <c r="E78" s="585"/>
      <c r="F78" s="585"/>
      <c r="G78" s="585"/>
      <c r="H78" s="585" t="str">
        <f>VLOOKUP(H76,Y76:Z127,2,FALSE)</f>
        <v>Pacific</v>
      </c>
      <c r="I78" s="580"/>
      <c r="J78" s="580"/>
      <c r="K78" s="580"/>
      <c r="L78" s="580"/>
      <c r="M78" s="580"/>
      <c r="N78" s="580"/>
      <c r="O78" s="580"/>
      <c r="P78" s="580"/>
      <c r="Q78" s="580"/>
      <c r="R78" s="580"/>
      <c r="S78" s="580"/>
      <c r="T78" s="580"/>
      <c r="U78" s="580"/>
      <c r="V78" s="580"/>
      <c r="W78" s="587" t="s">
        <v>355</v>
      </c>
      <c r="X78" s="587">
        <v>3</v>
      </c>
      <c r="Y78" s="583" t="s">
        <v>295</v>
      </c>
      <c r="Z78" s="583" t="s">
        <v>296</v>
      </c>
      <c r="AA78" s="581"/>
    </row>
    <row r="79" spans="2:27" ht="13" x14ac:dyDescent="0.3">
      <c r="B79" s="169"/>
      <c r="C79" s="578"/>
      <c r="D79" s="580"/>
      <c r="E79" s="580"/>
      <c r="F79" s="580"/>
      <c r="G79" s="580"/>
      <c r="H79" s="580"/>
      <c r="I79" s="580"/>
      <c r="J79" s="580"/>
      <c r="K79" s="580"/>
      <c r="L79" s="580"/>
      <c r="M79" s="580"/>
      <c r="N79" s="580"/>
      <c r="O79" s="580"/>
      <c r="P79" s="580"/>
      <c r="Q79" s="580"/>
      <c r="R79" s="580"/>
      <c r="S79" s="580"/>
      <c r="T79" s="580"/>
      <c r="U79" s="580"/>
      <c r="V79" s="580"/>
      <c r="W79" s="586" t="s">
        <v>299</v>
      </c>
      <c r="X79" s="583">
        <v>4</v>
      </c>
      <c r="Y79" s="583" t="s">
        <v>298</v>
      </c>
      <c r="Z79" s="583" t="s">
        <v>355</v>
      </c>
      <c r="AA79" s="581"/>
    </row>
    <row r="80" spans="2:27" ht="13" x14ac:dyDescent="0.3">
      <c r="B80" s="169"/>
      <c r="C80" s="578"/>
      <c r="D80" s="580"/>
      <c r="E80" s="580"/>
      <c r="F80" s="580"/>
      <c r="G80" s="580"/>
      <c r="H80" s="580"/>
      <c r="I80" s="580"/>
      <c r="J80" s="580"/>
      <c r="K80" s="580"/>
      <c r="L80" s="580"/>
      <c r="M80" s="580"/>
      <c r="N80" s="580"/>
      <c r="O80" s="580"/>
      <c r="P80" s="580"/>
      <c r="Q80" s="580"/>
      <c r="R80" s="580"/>
      <c r="S80" s="580"/>
      <c r="T80" s="580"/>
      <c r="U80" s="580"/>
      <c r="V80" s="580"/>
      <c r="W80" s="586" t="s">
        <v>301</v>
      </c>
      <c r="X80" s="583">
        <v>5</v>
      </c>
      <c r="Y80" s="583" t="s">
        <v>300</v>
      </c>
      <c r="Z80" s="583" t="s">
        <v>301</v>
      </c>
      <c r="AA80" s="581"/>
    </row>
    <row r="81" spans="2:27" ht="13" x14ac:dyDescent="0.3">
      <c r="B81" s="169"/>
      <c r="C81" s="578" t="s">
        <v>359</v>
      </c>
      <c r="D81" s="588" t="s">
        <v>381</v>
      </c>
      <c r="E81" s="589"/>
      <c r="F81" s="589"/>
      <c r="G81" s="589"/>
      <c r="H81" s="589"/>
      <c r="I81" s="589"/>
      <c r="J81" s="589"/>
      <c r="K81" s="589"/>
      <c r="L81" s="589"/>
      <c r="M81" s="580"/>
      <c r="N81" s="589"/>
      <c r="O81" s="580"/>
      <c r="P81" s="580"/>
      <c r="Q81" s="580"/>
      <c r="R81" s="580"/>
      <c r="S81" s="580"/>
      <c r="T81" s="580"/>
      <c r="U81" s="580"/>
      <c r="V81" s="580"/>
      <c r="W81" s="586" t="s">
        <v>297</v>
      </c>
      <c r="X81" s="587">
        <v>6</v>
      </c>
      <c r="Y81" s="583" t="s">
        <v>302</v>
      </c>
      <c r="Z81" s="586" t="s">
        <v>296</v>
      </c>
      <c r="AA81" s="581"/>
    </row>
    <row r="82" spans="2:27" ht="13" x14ac:dyDescent="0.3">
      <c r="B82" s="169"/>
      <c r="C82" s="580"/>
      <c r="D82" s="588" t="s">
        <v>382</v>
      </c>
      <c r="E82" s="589"/>
      <c r="F82" s="589"/>
      <c r="G82" s="589"/>
      <c r="H82" s="589"/>
      <c r="I82" s="589"/>
      <c r="J82" s="589"/>
      <c r="K82" s="589"/>
      <c r="L82" s="589"/>
      <c r="M82" s="580"/>
      <c r="N82" s="589"/>
      <c r="O82" s="580"/>
      <c r="P82" s="580"/>
      <c r="Q82" s="580"/>
      <c r="R82" s="580"/>
      <c r="S82" s="580"/>
      <c r="T82" s="580"/>
      <c r="U82" s="580"/>
      <c r="V82" s="580"/>
      <c r="W82" s="586" t="s">
        <v>293</v>
      </c>
      <c r="X82" s="583">
        <v>7</v>
      </c>
      <c r="Y82" s="583" t="s">
        <v>303</v>
      </c>
      <c r="Z82" s="583" t="s">
        <v>355</v>
      </c>
      <c r="AA82" s="581"/>
    </row>
    <row r="83" spans="2:27" ht="13" x14ac:dyDescent="0.3">
      <c r="B83" s="169"/>
      <c r="C83" s="580"/>
      <c r="D83" s="588" t="s">
        <v>640</v>
      </c>
      <c r="E83" s="589"/>
      <c r="F83" s="589"/>
      <c r="G83" s="589"/>
      <c r="H83" s="589"/>
      <c r="I83" s="589"/>
      <c r="J83" s="589"/>
      <c r="K83" s="589"/>
      <c r="L83" s="589"/>
      <c r="M83" s="580"/>
      <c r="N83" s="589"/>
      <c r="O83" s="580"/>
      <c r="P83" s="580"/>
      <c r="Q83" s="580"/>
      <c r="R83" s="580"/>
      <c r="S83" s="580"/>
      <c r="T83" s="580"/>
      <c r="U83" s="580"/>
      <c r="V83" s="580"/>
      <c r="W83" s="583" t="s">
        <v>356</v>
      </c>
      <c r="X83" s="583">
        <v>8</v>
      </c>
      <c r="Y83" s="583" t="s">
        <v>304</v>
      </c>
      <c r="Z83" s="583" t="s">
        <v>356</v>
      </c>
      <c r="AA83" s="581"/>
    </row>
    <row r="84" spans="2:27" ht="13" x14ac:dyDescent="0.3">
      <c r="B84" s="169"/>
      <c r="C84" s="580"/>
      <c r="D84" s="588" t="s">
        <v>641</v>
      </c>
      <c r="E84" s="580"/>
      <c r="F84" s="580"/>
      <c r="G84" s="580"/>
      <c r="H84" s="580"/>
      <c r="I84" s="580"/>
      <c r="J84" s="580"/>
      <c r="K84" s="580"/>
      <c r="L84" s="580"/>
      <c r="M84" s="580"/>
      <c r="N84" s="580"/>
      <c r="O84" s="580"/>
      <c r="P84" s="580"/>
      <c r="Q84" s="580"/>
      <c r="R84" s="580"/>
      <c r="S84" s="580"/>
      <c r="T84" s="580"/>
      <c r="U84" s="580"/>
      <c r="V84" s="580"/>
      <c r="W84" s="586" t="s">
        <v>294</v>
      </c>
      <c r="X84" s="587">
        <v>9</v>
      </c>
      <c r="Y84" s="583" t="s">
        <v>44</v>
      </c>
      <c r="Z84" s="583" t="s">
        <v>357</v>
      </c>
      <c r="AA84" s="581"/>
    </row>
    <row r="85" spans="2:27" x14ac:dyDescent="0.25">
      <c r="B85" s="169"/>
      <c r="C85" s="580"/>
      <c r="D85" s="580"/>
      <c r="E85" s="580"/>
      <c r="F85" s="580"/>
      <c r="G85" s="580"/>
      <c r="H85" s="580"/>
      <c r="I85" s="580"/>
      <c r="J85" s="580"/>
      <c r="K85" s="580"/>
      <c r="L85" s="580"/>
      <c r="M85" s="580"/>
      <c r="N85" s="580"/>
      <c r="O85" s="580"/>
      <c r="P85" s="580"/>
      <c r="Q85" s="580"/>
      <c r="R85" s="580"/>
      <c r="S85" s="580"/>
      <c r="T85" s="580"/>
      <c r="U85" s="580"/>
      <c r="V85" s="580"/>
      <c r="W85" s="583" t="s">
        <v>357</v>
      </c>
      <c r="X85" s="583">
        <v>10</v>
      </c>
      <c r="Y85" s="583" t="s">
        <v>45</v>
      </c>
      <c r="Z85" s="583" t="s">
        <v>357</v>
      </c>
      <c r="AA85" s="581"/>
    </row>
    <row r="86" spans="2:27" x14ac:dyDescent="0.25">
      <c r="B86" s="169"/>
      <c r="C86" s="580"/>
      <c r="D86" s="580"/>
      <c r="E86" s="580"/>
      <c r="F86" s="580"/>
      <c r="G86" s="580"/>
      <c r="H86" s="580"/>
      <c r="I86" s="580"/>
      <c r="J86" s="580"/>
      <c r="K86" s="580"/>
      <c r="L86" s="580"/>
      <c r="M86" s="580"/>
      <c r="N86" s="159">
        <v>1</v>
      </c>
      <c r="O86" s="580"/>
      <c r="P86" s="580"/>
      <c r="Q86" s="580"/>
      <c r="R86" s="580"/>
      <c r="S86" s="580"/>
      <c r="T86" s="580"/>
      <c r="U86" s="580"/>
      <c r="V86" s="580"/>
      <c r="W86" s="582"/>
      <c r="X86" s="582"/>
      <c r="Y86" s="583" t="s">
        <v>305</v>
      </c>
      <c r="Z86" s="583" t="s">
        <v>357</v>
      </c>
      <c r="AA86" s="581"/>
    </row>
    <row r="87" spans="2:27" x14ac:dyDescent="0.25">
      <c r="B87" s="169"/>
      <c r="C87" s="580"/>
      <c r="D87" s="580"/>
      <c r="E87" s="580"/>
      <c r="F87" s="580"/>
      <c r="G87" s="580"/>
      <c r="H87" s="580"/>
      <c r="I87" s="580"/>
      <c r="J87" s="580"/>
      <c r="K87" s="580"/>
      <c r="L87" s="580"/>
      <c r="M87" s="580"/>
      <c r="N87" s="580"/>
      <c r="O87" s="580"/>
      <c r="P87" s="580"/>
      <c r="Q87" s="580"/>
      <c r="R87" s="580"/>
      <c r="S87" s="580"/>
      <c r="T87" s="580"/>
      <c r="U87" s="580"/>
      <c r="V87" s="580"/>
      <c r="W87" s="582"/>
      <c r="X87" s="582"/>
      <c r="Y87" s="583" t="s">
        <v>306</v>
      </c>
      <c r="Z87" s="583" t="s">
        <v>357</v>
      </c>
      <c r="AA87" s="581"/>
    </row>
    <row r="88" spans="2:27" x14ac:dyDescent="0.25">
      <c r="B88" s="169"/>
      <c r="C88" s="580"/>
      <c r="D88" s="580"/>
      <c r="E88" s="580"/>
      <c r="F88" s="580"/>
      <c r="G88" s="580"/>
      <c r="H88" s="580"/>
      <c r="I88" s="580"/>
      <c r="J88" s="580"/>
      <c r="K88" s="580"/>
      <c r="L88" s="580"/>
      <c r="M88" s="580"/>
      <c r="N88" s="580"/>
      <c r="O88" s="580"/>
      <c r="P88" s="580"/>
      <c r="Q88" s="580"/>
      <c r="R88" s="580"/>
      <c r="S88" s="580"/>
      <c r="T88" s="580"/>
      <c r="U88" s="580"/>
      <c r="V88" s="580"/>
      <c r="W88" s="582"/>
      <c r="X88" s="582"/>
      <c r="Y88" s="583" t="s">
        <v>307</v>
      </c>
      <c r="Z88" s="583" t="s">
        <v>296</v>
      </c>
      <c r="AA88" s="581"/>
    </row>
    <row r="89" spans="2:27" x14ac:dyDescent="0.25">
      <c r="B89" s="169"/>
      <c r="C89" s="580"/>
      <c r="D89" s="580"/>
      <c r="E89" s="580"/>
      <c r="F89" s="580"/>
      <c r="G89" s="580"/>
      <c r="H89" s="580"/>
      <c r="I89" s="580"/>
      <c r="J89" s="580"/>
      <c r="K89" s="580"/>
      <c r="L89" s="580"/>
      <c r="M89" s="580"/>
      <c r="N89" s="580"/>
      <c r="O89" s="580"/>
      <c r="P89" s="580"/>
      <c r="Q89" s="580"/>
      <c r="R89" s="580"/>
      <c r="S89" s="580"/>
      <c r="T89" s="580"/>
      <c r="U89" s="580"/>
      <c r="V89" s="580"/>
      <c r="W89" s="582"/>
      <c r="X89" s="582"/>
      <c r="Y89" s="583" t="s">
        <v>308</v>
      </c>
      <c r="Z89" s="583" t="s">
        <v>355</v>
      </c>
      <c r="AA89" s="581"/>
    </row>
    <row r="90" spans="2:27" x14ac:dyDescent="0.25">
      <c r="B90" s="169"/>
      <c r="C90" s="580"/>
      <c r="D90" s="580"/>
      <c r="E90" s="580"/>
      <c r="F90" s="580"/>
      <c r="G90" s="580"/>
      <c r="H90" s="580"/>
      <c r="I90" s="580"/>
      <c r="J90" s="580"/>
      <c r="K90" s="580"/>
      <c r="L90" s="580"/>
      <c r="M90" s="580"/>
      <c r="N90" s="580"/>
      <c r="O90" s="580"/>
      <c r="P90" s="580"/>
      <c r="Q90" s="580"/>
      <c r="R90" s="580"/>
      <c r="S90" s="580"/>
      <c r="T90" s="580"/>
      <c r="U90" s="580"/>
      <c r="V90" s="580"/>
      <c r="W90" s="582"/>
      <c r="X90" s="582"/>
      <c r="Y90" s="583" t="s">
        <v>309</v>
      </c>
      <c r="Z90" s="583" t="s">
        <v>297</v>
      </c>
      <c r="AA90" s="581"/>
    </row>
    <row r="91" spans="2:27" x14ac:dyDescent="0.25">
      <c r="B91" s="169"/>
      <c r="C91" s="580"/>
      <c r="D91" s="580"/>
      <c r="E91" s="580"/>
      <c r="F91" s="580"/>
      <c r="G91" s="580"/>
      <c r="H91" s="580"/>
      <c r="I91" s="580"/>
      <c r="J91" s="580"/>
      <c r="K91" s="580"/>
      <c r="L91" s="580"/>
      <c r="M91" s="580"/>
      <c r="N91" s="580"/>
      <c r="O91" s="580"/>
      <c r="P91" s="580"/>
      <c r="Q91" s="580"/>
      <c r="R91" s="580"/>
      <c r="S91" s="580"/>
      <c r="T91" s="580"/>
      <c r="U91" s="580"/>
      <c r="V91" s="580"/>
      <c r="W91" s="582"/>
      <c r="X91" s="582"/>
      <c r="Y91" s="583" t="s">
        <v>310</v>
      </c>
      <c r="Z91" s="583" t="s">
        <v>297</v>
      </c>
      <c r="AA91" s="581"/>
    </row>
    <row r="92" spans="2:27" ht="13" x14ac:dyDescent="0.3">
      <c r="B92" s="169"/>
      <c r="C92" s="590" t="s">
        <v>683</v>
      </c>
      <c r="D92" s="588" t="s">
        <v>43</v>
      </c>
      <c r="E92" s="589"/>
      <c r="F92" s="589"/>
      <c r="G92" s="589"/>
      <c r="H92" s="589"/>
      <c r="I92" s="589"/>
      <c r="J92" s="589"/>
      <c r="K92" s="589"/>
      <c r="L92" s="589"/>
      <c r="M92" s="580"/>
      <c r="N92" s="589"/>
      <c r="O92" s="580"/>
      <c r="P92" s="580"/>
      <c r="Q92" s="580"/>
      <c r="R92" s="580"/>
      <c r="S92" s="580"/>
      <c r="T92" s="580"/>
      <c r="U92" s="580"/>
      <c r="V92" s="580"/>
      <c r="W92" s="582"/>
      <c r="X92" s="582"/>
      <c r="Y92" s="583" t="s">
        <v>311</v>
      </c>
      <c r="Z92" s="583" t="s">
        <v>299</v>
      </c>
      <c r="AA92" s="581"/>
    </row>
    <row r="93" spans="2:27" ht="13" x14ac:dyDescent="0.3">
      <c r="B93" s="169"/>
      <c r="C93" s="578"/>
      <c r="D93" s="588" t="s">
        <v>705</v>
      </c>
      <c r="E93" s="589"/>
      <c r="F93" s="589"/>
      <c r="G93" s="589"/>
      <c r="H93" s="589"/>
      <c r="I93" s="589"/>
      <c r="J93" s="589"/>
      <c r="K93" s="589"/>
      <c r="L93" s="589"/>
      <c r="M93" s="580"/>
      <c r="N93" s="589"/>
      <c r="O93" s="580"/>
      <c r="P93" s="580"/>
      <c r="Q93" s="580"/>
      <c r="R93" s="580"/>
      <c r="S93" s="580"/>
      <c r="T93" s="580"/>
      <c r="U93" s="580"/>
      <c r="V93" s="580"/>
      <c r="W93" s="582"/>
      <c r="X93" s="582"/>
      <c r="Y93" s="583" t="s">
        <v>312</v>
      </c>
      <c r="Z93" s="583" t="s">
        <v>299</v>
      </c>
      <c r="AA93" s="581"/>
    </row>
    <row r="94" spans="2:27" ht="13" x14ac:dyDescent="0.3">
      <c r="B94" s="169"/>
      <c r="C94" s="578"/>
      <c r="D94" s="588" t="s">
        <v>735</v>
      </c>
      <c r="E94" s="589"/>
      <c r="F94" s="589"/>
      <c r="G94" s="589"/>
      <c r="H94" s="589"/>
      <c r="I94" s="589"/>
      <c r="J94" s="589"/>
      <c r="K94" s="589"/>
      <c r="L94" s="589"/>
      <c r="M94" s="580"/>
      <c r="N94" s="589"/>
      <c r="O94" s="580"/>
      <c r="P94" s="580"/>
      <c r="Q94" s="580"/>
      <c r="R94" s="580"/>
      <c r="S94" s="580"/>
      <c r="T94" s="580"/>
      <c r="U94" s="580"/>
      <c r="V94" s="580"/>
      <c r="W94" s="582"/>
      <c r="X94" s="582"/>
      <c r="Y94" s="583" t="s">
        <v>313</v>
      </c>
      <c r="Z94" s="583" t="s">
        <v>293</v>
      </c>
      <c r="AA94" s="581"/>
    </row>
    <row r="95" spans="2:27" ht="13" x14ac:dyDescent="0.25">
      <c r="B95" s="169"/>
      <c r="C95" s="580"/>
      <c r="D95" s="591"/>
      <c r="E95" s="580"/>
      <c r="F95" s="580"/>
      <c r="G95" s="580"/>
      <c r="H95" s="580"/>
      <c r="I95" s="580"/>
      <c r="J95" s="580"/>
      <c r="K95" s="580"/>
      <c r="L95" s="580"/>
      <c r="M95" s="580"/>
      <c r="N95" s="580"/>
      <c r="O95" s="580"/>
      <c r="P95" s="580"/>
      <c r="Q95" s="580"/>
      <c r="R95" s="580"/>
      <c r="S95" s="580"/>
      <c r="T95" s="580"/>
      <c r="U95" s="580"/>
      <c r="V95" s="580"/>
      <c r="W95" s="582"/>
      <c r="X95" s="582"/>
      <c r="Y95" s="583" t="s">
        <v>314</v>
      </c>
      <c r="Z95" s="583" t="s">
        <v>301</v>
      </c>
      <c r="AA95" s="581"/>
    </row>
    <row r="96" spans="2:27" x14ac:dyDescent="0.25">
      <c r="B96" s="169"/>
      <c r="C96" s="580"/>
      <c r="D96" s="580"/>
      <c r="E96" s="580"/>
      <c r="F96" s="580"/>
      <c r="G96" s="580"/>
      <c r="H96" s="580"/>
      <c r="I96" s="580"/>
      <c r="J96" s="580"/>
      <c r="K96" s="580"/>
      <c r="L96" s="580"/>
      <c r="M96" s="580"/>
      <c r="N96" s="159">
        <v>1</v>
      </c>
      <c r="O96" s="580"/>
      <c r="P96" s="580"/>
      <c r="Q96" s="580"/>
      <c r="R96" s="580"/>
      <c r="S96" s="580"/>
      <c r="T96" s="580"/>
      <c r="U96" s="580"/>
      <c r="V96" s="580"/>
      <c r="W96" s="582"/>
      <c r="X96" s="582"/>
      <c r="Y96" s="583" t="s">
        <v>315</v>
      </c>
      <c r="Z96" s="583" t="s">
        <v>356</v>
      </c>
      <c r="AA96" s="581"/>
    </row>
    <row r="97" spans="2:27" x14ac:dyDescent="0.25">
      <c r="B97" s="169"/>
      <c r="C97" s="580"/>
      <c r="D97" s="580"/>
      <c r="E97" s="580"/>
      <c r="F97" s="580"/>
      <c r="G97" s="580"/>
      <c r="H97" s="580"/>
      <c r="I97" s="580"/>
      <c r="J97" s="580"/>
      <c r="K97" s="580"/>
      <c r="L97" s="580"/>
      <c r="M97" s="580"/>
      <c r="N97" s="580"/>
      <c r="O97" s="580"/>
      <c r="P97" s="580"/>
      <c r="Q97" s="580"/>
      <c r="R97" s="580"/>
      <c r="S97" s="580"/>
      <c r="T97" s="580"/>
      <c r="U97" s="580"/>
      <c r="V97" s="580"/>
      <c r="W97" s="582"/>
      <c r="X97" s="582"/>
      <c r="Y97" s="583" t="s">
        <v>316</v>
      </c>
      <c r="Z97" s="583" t="s">
        <v>357</v>
      </c>
      <c r="AA97" s="581"/>
    </row>
    <row r="98" spans="2:27" x14ac:dyDescent="0.25">
      <c r="B98" s="169"/>
      <c r="C98" s="580"/>
      <c r="D98" s="580"/>
      <c r="E98" s="580"/>
      <c r="F98" s="580"/>
      <c r="G98" s="580"/>
      <c r="H98" s="580"/>
      <c r="I98" s="580"/>
      <c r="J98" s="580"/>
      <c r="K98" s="580"/>
      <c r="L98" s="580"/>
      <c r="M98" s="580"/>
      <c r="N98" s="580"/>
      <c r="O98" s="580"/>
      <c r="P98" s="580"/>
      <c r="Q98" s="580"/>
      <c r="R98" s="580"/>
      <c r="S98" s="580"/>
      <c r="T98" s="580"/>
      <c r="U98" s="580"/>
      <c r="V98" s="580"/>
      <c r="W98" s="582"/>
      <c r="X98" s="582"/>
      <c r="Y98" s="583" t="s">
        <v>317</v>
      </c>
      <c r="Z98" s="583" t="s">
        <v>356</v>
      </c>
      <c r="AA98" s="581"/>
    </row>
    <row r="99" spans="2:27" x14ac:dyDescent="0.25">
      <c r="B99" s="169"/>
      <c r="C99" s="580"/>
      <c r="D99" s="580"/>
      <c r="E99" s="580"/>
      <c r="F99" s="580"/>
      <c r="G99" s="580"/>
      <c r="H99" s="580"/>
      <c r="I99" s="580"/>
      <c r="J99" s="580"/>
      <c r="K99" s="580"/>
      <c r="L99" s="580"/>
      <c r="M99" s="580"/>
      <c r="N99" s="592"/>
      <c r="O99" s="580"/>
      <c r="P99" s="580"/>
      <c r="Q99" s="580"/>
      <c r="R99" s="580"/>
      <c r="S99" s="580"/>
      <c r="T99" s="580"/>
      <c r="U99" s="580"/>
      <c r="V99" s="580"/>
      <c r="W99" s="582"/>
      <c r="X99" s="582"/>
      <c r="Y99" s="583" t="s">
        <v>318</v>
      </c>
      <c r="Z99" s="583" t="s">
        <v>297</v>
      </c>
      <c r="AA99" s="581"/>
    </row>
    <row r="100" spans="2:27" x14ac:dyDescent="0.25">
      <c r="B100" s="169"/>
      <c r="C100" s="580"/>
      <c r="D100" s="580"/>
      <c r="E100" s="580"/>
      <c r="F100" s="580"/>
      <c r="G100" s="580"/>
      <c r="H100" s="580"/>
      <c r="I100" s="580"/>
      <c r="J100" s="580"/>
      <c r="K100" s="580"/>
      <c r="L100" s="580"/>
      <c r="M100" s="580"/>
      <c r="N100" s="580"/>
      <c r="O100" s="580"/>
      <c r="P100" s="580"/>
      <c r="Q100" s="580"/>
      <c r="R100" s="580"/>
      <c r="S100" s="580"/>
      <c r="T100" s="580"/>
      <c r="U100" s="580"/>
      <c r="V100" s="580"/>
      <c r="W100" s="582"/>
      <c r="X100" s="582"/>
      <c r="Y100" s="583" t="s">
        <v>319</v>
      </c>
      <c r="Z100" s="583" t="s">
        <v>299</v>
      </c>
      <c r="AA100" s="581"/>
    </row>
    <row r="101" spans="2:27" x14ac:dyDescent="0.25">
      <c r="B101" s="169"/>
      <c r="C101" s="580"/>
      <c r="D101" s="580"/>
      <c r="E101" s="580"/>
      <c r="F101" s="580"/>
      <c r="G101" s="580"/>
      <c r="H101" s="580"/>
      <c r="I101" s="580"/>
      <c r="J101" s="580"/>
      <c r="K101" s="580"/>
      <c r="L101" s="580"/>
      <c r="M101" s="580"/>
      <c r="N101" s="580"/>
      <c r="O101" s="580"/>
      <c r="P101" s="580"/>
      <c r="Q101" s="580"/>
      <c r="R101" s="580"/>
      <c r="S101" s="580"/>
      <c r="T101" s="580"/>
      <c r="U101" s="580"/>
      <c r="V101" s="580"/>
      <c r="W101" s="582"/>
      <c r="X101" s="582"/>
      <c r="Y101" s="583" t="s">
        <v>320</v>
      </c>
      <c r="Z101" s="583" t="s">
        <v>293</v>
      </c>
      <c r="AA101" s="581"/>
    </row>
    <row r="102" spans="2:27" x14ac:dyDescent="0.25">
      <c r="B102" s="169"/>
      <c r="C102" s="580"/>
      <c r="D102" s="580"/>
      <c r="E102" s="580"/>
      <c r="F102" s="580"/>
      <c r="G102" s="580"/>
      <c r="H102" s="580"/>
      <c r="I102" s="580"/>
      <c r="J102" s="580"/>
      <c r="K102" s="580"/>
      <c r="L102" s="580"/>
      <c r="M102" s="580"/>
      <c r="N102" s="580"/>
      <c r="O102" s="580"/>
      <c r="P102" s="580"/>
      <c r="Q102" s="580"/>
      <c r="R102" s="580"/>
      <c r="S102" s="580"/>
      <c r="T102" s="580"/>
      <c r="U102" s="580"/>
      <c r="V102" s="580"/>
      <c r="W102" s="582"/>
      <c r="X102" s="582"/>
      <c r="Y102" s="583" t="s">
        <v>321</v>
      </c>
      <c r="Z102" s="583" t="s">
        <v>299</v>
      </c>
      <c r="AA102" s="581"/>
    </row>
    <row r="103" spans="2:27" x14ac:dyDescent="0.25">
      <c r="B103" s="169"/>
      <c r="C103" s="580"/>
      <c r="D103" s="580"/>
      <c r="E103" s="580"/>
      <c r="F103" s="580"/>
      <c r="G103" s="580"/>
      <c r="H103" s="580"/>
      <c r="I103" s="580"/>
      <c r="J103" s="580"/>
      <c r="K103" s="580"/>
      <c r="L103" s="580"/>
      <c r="M103" s="580"/>
      <c r="N103" s="580"/>
      <c r="O103" s="580"/>
      <c r="P103" s="580"/>
      <c r="Q103" s="580"/>
      <c r="R103" s="580"/>
      <c r="S103" s="580"/>
      <c r="T103" s="580"/>
      <c r="U103" s="580"/>
      <c r="V103" s="580"/>
      <c r="W103" s="582"/>
      <c r="X103" s="582"/>
      <c r="Y103" s="583" t="s">
        <v>322</v>
      </c>
      <c r="Z103" s="583" t="s">
        <v>355</v>
      </c>
      <c r="AA103" s="581"/>
    </row>
    <row r="104" spans="2:27" ht="13" x14ac:dyDescent="0.3">
      <c r="B104" s="169"/>
      <c r="C104" s="590" t="s">
        <v>360</v>
      </c>
      <c r="D104" s="588" t="s">
        <v>557</v>
      </c>
      <c r="E104" s="589"/>
      <c r="F104" s="589"/>
      <c r="G104" s="589"/>
      <c r="H104" s="589"/>
      <c r="I104" s="589"/>
      <c r="J104" s="589"/>
      <c r="K104" s="589"/>
      <c r="L104" s="580"/>
      <c r="M104" s="580"/>
      <c r="N104" s="580"/>
      <c r="O104" s="580"/>
      <c r="P104" s="580"/>
      <c r="Q104" s="580"/>
      <c r="R104" s="580"/>
      <c r="S104" s="580"/>
      <c r="T104" s="580"/>
      <c r="U104" s="580"/>
      <c r="V104" s="580"/>
      <c r="W104" s="582"/>
      <c r="X104" s="582"/>
      <c r="Y104" s="583" t="s">
        <v>323</v>
      </c>
      <c r="Z104" s="583" t="s">
        <v>299</v>
      </c>
      <c r="AA104" s="581"/>
    </row>
    <row r="105" spans="2:27" x14ac:dyDescent="0.25">
      <c r="B105" s="169"/>
      <c r="C105" s="580"/>
      <c r="D105" s="580"/>
      <c r="E105" s="580"/>
      <c r="F105" s="580"/>
      <c r="G105" s="580"/>
      <c r="H105" s="580"/>
      <c r="I105" s="580"/>
      <c r="J105" s="580"/>
      <c r="K105" s="580"/>
      <c r="L105" s="580"/>
      <c r="M105" s="580"/>
      <c r="N105" s="580"/>
      <c r="O105" s="580"/>
      <c r="P105" s="580"/>
      <c r="Q105" s="580"/>
      <c r="R105" s="580"/>
      <c r="S105" s="580"/>
      <c r="T105" s="580"/>
      <c r="U105" s="580"/>
      <c r="V105" s="580"/>
      <c r="W105" s="582"/>
      <c r="X105" s="582"/>
      <c r="Y105" s="583" t="s">
        <v>324</v>
      </c>
      <c r="Z105" s="583" t="s">
        <v>355</v>
      </c>
      <c r="AA105" s="581"/>
    </row>
    <row r="106" spans="2:27" x14ac:dyDescent="0.25">
      <c r="B106" s="169"/>
      <c r="C106" s="580"/>
      <c r="D106" s="580"/>
      <c r="E106" s="580"/>
      <c r="F106" s="580"/>
      <c r="G106" s="580"/>
      <c r="H106" s="593"/>
      <c r="I106" s="593"/>
      <c r="J106" s="593"/>
      <c r="K106" s="593"/>
      <c r="L106" s="580"/>
      <c r="M106" s="580"/>
      <c r="N106" s="580"/>
      <c r="O106" s="580"/>
      <c r="P106" s="580"/>
      <c r="Q106" s="580"/>
      <c r="R106" s="580"/>
      <c r="S106" s="580"/>
      <c r="T106" s="580"/>
      <c r="U106" s="580"/>
      <c r="V106" s="580"/>
      <c r="W106" s="582"/>
      <c r="X106" s="582"/>
      <c r="Y106" s="583" t="s">
        <v>325</v>
      </c>
      <c r="Z106" s="583" t="s">
        <v>356</v>
      </c>
      <c r="AA106" s="581"/>
    </row>
    <row r="107" spans="2:27" x14ac:dyDescent="0.25">
      <c r="B107" s="169"/>
      <c r="C107" s="580"/>
      <c r="D107" s="580"/>
      <c r="E107" s="580"/>
      <c r="F107" s="580"/>
      <c r="G107" s="580"/>
      <c r="H107" s="580"/>
      <c r="I107" s="580"/>
      <c r="J107" s="580"/>
      <c r="K107" s="580"/>
      <c r="L107" s="580"/>
      <c r="M107" s="580"/>
      <c r="N107" s="159">
        <v>2</v>
      </c>
      <c r="O107" s="580"/>
      <c r="P107" s="580"/>
      <c r="Q107" s="580"/>
      <c r="R107" s="580"/>
      <c r="S107" s="580"/>
      <c r="T107" s="580"/>
      <c r="U107" s="580"/>
      <c r="V107" s="580"/>
      <c r="W107" s="582"/>
      <c r="X107" s="582"/>
      <c r="Y107" s="583" t="s">
        <v>326</v>
      </c>
      <c r="Z107" s="583" t="s">
        <v>294</v>
      </c>
      <c r="AA107" s="581"/>
    </row>
    <row r="108" spans="2:27" x14ac:dyDescent="0.25">
      <c r="B108" s="169"/>
      <c r="C108" s="580"/>
      <c r="D108" s="580"/>
      <c r="E108" s="580"/>
      <c r="F108" s="580"/>
      <c r="G108" s="580"/>
      <c r="H108" s="580"/>
      <c r="I108" s="580"/>
      <c r="J108" s="580"/>
      <c r="K108" s="580"/>
      <c r="L108" s="580"/>
      <c r="M108" s="580"/>
      <c r="N108" s="580"/>
      <c r="O108" s="580"/>
      <c r="P108" s="580"/>
      <c r="Q108" s="580"/>
      <c r="R108" s="580"/>
      <c r="S108" s="580"/>
      <c r="T108" s="580"/>
      <c r="U108" s="580"/>
      <c r="V108" s="580"/>
      <c r="W108" s="582"/>
      <c r="X108" s="582"/>
      <c r="Y108" s="583" t="s">
        <v>327</v>
      </c>
      <c r="Z108" s="583" t="s">
        <v>355</v>
      </c>
      <c r="AA108" s="581"/>
    </row>
    <row r="109" spans="2:27" x14ac:dyDescent="0.25">
      <c r="B109" s="169"/>
      <c r="C109" s="580"/>
      <c r="D109" s="580"/>
      <c r="E109" s="580"/>
      <c r="F109" s="580"/>
      <c r="G109" s="580"/>
      <c r="H109" s="580"/>
      <c r="I109" s="580"/>
      <c r="J109" s="580"/>
      <c r="K109" s="580"/>
      <c r="L109" s="580"/>
      <c r="M109" s="580"/>
      <c r="N109" s="580"/>
      <c r="O109" s="580"/>
      <c r="P109" s="580"/>
      <c r="Q109" s="580"/>
      <c r="R109" s="580"/>
      <c r="S109" s="580"/>
      <c r="T109" s="580"/>
      <c r="U109" s="580"/>
      <c r="V109" s="580"/>
      <c r="W109" s="582"/>
      <c r="X109" s="582"/>
      <c r="Y109" s="583" t="s">
        <v>328</v>
      </c>
      <c r="Z109" s="583" t="s">
        <v>294</v>
      </c>
      <c r="AA109" s="581"/>
    </row>
    <row r="110" spans="2:27" x14ac:dyDescent="0.25">
      <c r="B110" s="169"/>
      <c r="C110" s="580"/>
      <c r="D110" s="580"/>
      <c r="E110" s="580"/>
      <c r="F110" s="580"/>
      <c r="G110" s="580"/>
      <c r="H110" s="580"/>
      <c r="I110" s="580"/>
      <c r="J110" s="580"/>
      <c r="K110" s="580"/>
      <c r="L110" s="580"/>
      <c r="M110" s="580"/>
      <c r="N110" s="580"/>
      <c r="O110" s="580"/>
      <c r="P110" s="580"/>
      <c r="Q110" s="580"/>
      <c r="R110" s="580"/>
      <c r="S110" s="580"/>
      <c r="T110" s="580"/>
      <c r="U110" s="580"/>
      <c r="V110" s="580"/>
      <c r="W110" s="582"/>
      <c r="X110" s="582"/>
      <c r="Y110" s="583" t="s">
        <v>329</v>
      </c>
      <c r="Z110" s="583" t="s">
        <v>357</v>
      </c>
      <c r="AA110" s="581"/>
    </row>
    <row r="111" spans="2:27" x14ac:dyDescent="0.25">
      <c r="B111" s="169"/>
      <c r="C111" s="580"/>
      <c r="D111" s="580"/>
      <c r="E111" s="580"/>
      <c r="F111" s="580"/>
      <c r="G111" s="580"/>
      <c r="H111" s="580"/>
      <c r="I111" s="580"/>
      <c r="J111" s="580"/>
      <c r="K111" s="580"/>
      <c r="L111" s="580"/>
      <c r="M111" s="580"/>
      <c r="N111" s="580"/>
      <c r="O111" s="580"/>
      <c r="P111" s="580"/>
      <c r="Q111" s="580"/>
      <c r="R111" s="580"/>
      <c r="S111" s="580"/>
      <c r="T111" s="580"/>
      <c r="U111" s="580"/>
      <c r="V111" s="580"/>
      <c r="W111" s="582"/>
      <c r="X111" s="582"/>
      <c r="Y111" s="583" t="s">
        <v>736</v>
      </c>
      <c r="Z111" s="583" t="s">
        <v>299</v>
      </c>
      <c r="AA111" s="581"/>
    </row>
    <row r="112" spans="2:27" ht="13" x14ac:dyDescent="0.3">
      <c r="B112" s="169"/>
      <c r="C112" s="590" t="s">
        <v>361</v>
      </c>
      <c r="D112" s="588" t="s">
        <v>721</v>
      </c>
      <c r="E112" s="580"/>
      <c r="F112" s="580"/>
      <c r="G112" s="580"/>
      <c r="H112" s="580"/>
      <c r="I112" s="580"/>
      <c r="J112" s="580"/>
      <c r="K112" s="580"/>
      <c r="L112" s="580"/>
      <c r="M112" s="580"/>
      <c r="N112" s="580"/>
      <c r="O112" s="580"/>
      <c r="P112" s="580"/>
      <c r="Q112" s="580"/>
      <c r="R112" s="580"/>
      <c r="S112" s="580"/>
      <c r="T112" s="580"/>
      <c r="U112" s="580"/>
      <c r="V112" s="580"/>
      <c r="W112" s="580"/>
      <c r="X112" s="580"/>
      <c r="Y112" s="583" t="s">
        <v>737</v>
      </c>
      <c r="Z112" s="583" t="s">
        <v>297</v>
      </c>
      <c r="AA112" s="581"/>
    </row>
    <row r="113" spans="2:27" ht="13" x14ac:dyDescent="0.3">
      <c r="B113" s="169"/>
      <c r="C113" s="590"/>
      <c r="D113" s="588" t="s">
        <v>739</v>
      </c>
      <c r="E113" s="580"/>
      <c r="F113" s="580"/>
      <c r="G113" s="580"/>
      <c r="H113" s="580"/>
      <c r="I113" s="580"/>
      <c r="J113" s="580"/>
      <c r="K113" s="580"/>
      <c r="L113" s="580"/>
      <c r="M113" s="580"/>
      <c r="N113" s="580"/>
      <c r="O113" s="580"/>
      <c r="P113" s="580"/>
      <c r="Q113" s="580"/>
      <c r="R113" s="580"/>
      <c r="S113" s="580"/>
      <c r="T113" s="580"/>
      <c r="U113" s="580"/>
      <c r="V113" s="580"/>
      <c r="W113" s="580"/>
      <c r="X113" s="580"/>
      <c r="Y113" s="583" t="s">
        <v>330</v>
      </c>
      <c r="Z113" s="583" t="s">
        <v>301</v>
      </c>
      <c r="AA113" s="581"/>
    </row>
    <row r="114" spans="2:27" ht="13" x14ac:dyDescent="0.3">
      <c r="B114" s="169"/>
      <c r="C114" s="590"/>
      <c r="D114" s="588" t="s">
        <v>722</v>
      </c>
      <c r="E114" s="580"/>
      <c r="F114" s="580"/>
      <c r="G114" s="580"/>
      <c r="H114" s="580"/>
      <c r="I114" s="580"/>
      <c r="J114" s="580"/>
      <c r="K114" s="580"/>
      <c r="L114" s="580"/>
      <c r="M114" s="580"/>
      <c r="N114" s="580"/>
      <c r="O114" s="580"/>
      <c r="P114" s="580"/>
      <c r="Q114" s="580"/>
      <c r="R114" s="580"/>
      <c r="S114" s="580"/>
      <c r="T114" s="580"/>
      <c r="U114" s="580"/>
      <c r="V114" s="580"/>
      <c r="W114" s="580"/>
      <c r="X114" s="580"/>
      <c r="Y114" s="583" t="s">
        <v>331</v>
      </c>
      <c r="Z114" s="583" t="s">
        <v>296</v>
      </c>
      <c r="AA114" s="581"/>
    </row>
    <row r="115" spans="2:27" ht="13" x14ac:dyDescent="0.3">
      <c r="B115" s="169"/>
      <c r="C115" s="590"/>
      <c r="D115" s="588" t="s">
        <v>723</v>
      </c>
      <c r="E115" s="580"/>
      <c r="F115" s="580"/>
      <c r="G115" s="580"/>
      <c r="H115" s="580"/>
      <c r="I115" s="580"/>
      <c r="J115" s="580"/>
      <c r="K115" s="580"/>
      <c r="L115" s="580"/>
      <c r="M115" s="580"/>
      <c r="N115" s="580"/>
      <c r="O115" s="580"/>
      <c r="P115" s="580"/>
      <c r="Q115" s="580"/>
      <c r="R115" s="580"/>
      <c r="S115" s="580"/>
      <c r="T115" s="580"/>
      <c r="U115" s="580"/>
      <c r="V115" s="580"/>
      <c r="W115" s="580"/>
      <c r="X115" s="580"/>
      <c r="Y115" s="583" t="s">
        <v>332</v>
      </c>
      <c r="Z115" s="583" t="s">
        <v>294</v>
      </c>
      <c r="AA115" s="581"/>
    </row>
    <row r="116" spans="2:27" ht="13" x14ac:dyDescent="0.3">
      <c r="B116" s="169"/>
      <c r="C116" s="590"/>
      <c r="D116" s="588" t="s">
        <v>724</v>
      </c>
      <c r="E116" s="580"/>
      <c r="F116" s="580"/>
      <c r="G116" s="580"/>
      <c r="H116" s="580"/>
      <c r="I116" s="580"/>
      <c r="J116" s="580"/>
      <c r="K116" s="580"/>
      <c r="L116" s="580"/>
      <c r="M116" s="580"/>
      <c r="N116" s="580"/>
      <c r="O116" s="580"/>
      <c r="P116" s="580"/>
      <c r="Q116" s="580"/>
      <c r="R116" s="580"/>
      <c r="S116" s="580"/>
      <c r="T116" s="580"/>
      <c r="U116" s="580"/>
      <c r="V116" s="580"/>
      <c r="W116" s="580"/>
      <c r="X116" s="580"/>
      <c r="Y116" s="583" t="s">
        <v>333</v>
      </c>
      <c r="Z116" s="583" t="s">
        <v>356</v>
      </c>
      <c r="AA116" s="581"/>
    </row>
    <row r="117" spans="2:27" ht="13.5" customHeight="1" x14ac:dyDescent="0.3">
      <c r="B117" s="169"/>
      <c r="C117" s="588"/>
      <c r="D117" s="588"/>
      <c r="E117" s="588"/>
      <c r="F117" s="588"/>
      <c r="G117" s="580"/>
      <c r="H117" s="580"/>
      <c r="I117" s="580"/>
      <c r="J117" s="580"/>
      <c r="K117" s="580"/>
      <c r="L117" s="580"/>
      <c r="M117" s="580"/>
      <c r="N117" s="580"/>
      <c r="O117" s="580"/>
      <c r="P117" s="580"/>
      <c r="Q117" s="580"/>
      <c r="R117" s="580"/>
      <c r="S117" s="580"/>
      <c r="T117" s="580"/>
      <c r="U117" s="580"/>
      <c r="V117" s="580"/>
      <c r="W117" s="580"/>
      <c r="X117" s="580"/>
      <c r="Y117" s="583" t="s">
        <v>334</v>
      </c>
      <c r="Z117" s="583" t="s">
        <v>357</v>
      </c>
      <c r="AA117" s="581"/>
    </row>
    <row r="118" spans="2:27" ht="13.5" customHeight="1" x14ac:dyDescent="0.3">
      <c r="B118" s="169"/>
      <c r="C118" s="588"/>
      <c r="D118" s="588"/>
      <c r="E118" s="588"/>
      <c r="F118" s="588"/>
      <c r="G118" s="580"/>
      <c r="H118" s="580"/>
      <c r="I118" s="580"/>
      <c r="J118" s="580"/>
      <c r="K118" s="580"/>
      <c r="L118" s="580"/>
      <c r="M118" s="580"/>
      <c r="N118" s="327">
        <v>3</v>
      </c>
      <c r="O118" s="580"/>
      <c r="P118" s="580"/>
      <c r="Q118" s="582"/>
      <c r="R118" s="580"/>
      <c r="S118" s="580"/>
      <c r="T118" s="580"/>
      <c r="U118" s="580"/>
      <c r="V118" s="580"/>
      <c r="W118" s="580"/>
      <c r="X118" s="580"/>
      <c r="Y118" s="583" t="s">
        <v>738</v>
      </c>
      <c r="Z118" s="583" t="s">
        <v>299</v>
      </c>
      <c r="AA118" s="581"/>
    </row>
    <row r="119" spans="2:27" ht="13.5" customHeight="1" x14ac:dyDescent="0.3">
      <c r="B119" s="169"/>
      <c r="C119" s="588"/>
      <c r="D119" s="594"/>
      <c r="E119" s="594"/>
      <c r="F119" s="588"/>
      <c r="G119" s="580"/>
      <c r="H119" s="595"/>
      <c r="I119" s="595" t="s">
        <v>66</v>
      </c>
      <c r="J119" s="580"/>
      <c r="K119" s="580"/>
      <c r="L119" s="580"/>
      <c r="M119" s="580"/>
      <c r="N119" s="580"/>
      <c r="O119" s="580"/>
      <c r="P119" s="580"/>
      <c r="Q119" s="582"/>
      <c r="R119" s="580"/>
      <c r="S119" s="580"/>
      <c r="T119" s="580"/>
      <c r="U119" s="580"/>
      <c r="V119" s="580"/>
      <c r="W119" s="580"/>
      <c r="X119" s="580"/>
      <c r="Y119" s="583" t="s">
        <v>335</v>
      </c>
      <c r="Z119" s="583" t="s">
        <v>293</v>
      </c>
      <c r="AA119" s="581"/>
    </row>
    <row r="120" spans="2:27" ht="13.5" customHeight="1" x14ac:dyDescent="0.3">
      <c r="B120" s="169"/>
      <c r="C120" s="588"/>
      <c r="D120" s="588"/>
      <c r="E120" s="588"/>
      <c r="F120" s="588"/>
      <c r="G120" s="580"/>
      <c r="H120" s="595" t="s">
        <v>67</v>
      </c>
      <c r="I120" s="595" t="s">
        <v>731</v>
      </c>
      <c r="J120" s="580"/>
      <c r="K120" s="580"/>
      <c r="L120" s="580"/>
      <c r="M120" s="580"/>
      <c r="N120" s="580"/>
      <c r="O120" s="580"/>
      <c r="P120" s="580"/>
      <c r="Q120" s="582"/>
      <c r="R120" s="580"/>
      <c r="S120" s="580"/>
      <c r="T120" s="580"/>
      <c r="U120" s="580"/>
      <c r="V120" s="580"/>
      <c r="W120" s="580"/>
      <c r="X120" s="580"/>
      <c r="Y120" s="583" t="s">
        <v>336</v>
      </c>
      <c r="Z120" s="583" t="s">
        <v>301</v>
      </c>
      <c r="AA120" s="581"/>
    </row>
    <row r="121" spans="2:27" ht="13.5" customHeight="1" x14ac:dyDescent="0.3">
      <c r="B121" s="169"/>
      <c r="C121" s="588"/>
      <c r="D121" s="582"/>
      <c r="E121" s="582"/>
      <c r="F121" s="582"/>
      <c r="G121" s="582"/>
      <c r="H121" s="595" t="s">
        <v>68</v>
      </c>
      <c r="I121" s="595" t="s">
        <v>732</v>
      </c>
      <c r="J121" s="580"/>
      <c r="K121" s="580"/>
      <c r="L121" s="580"/>
      <c r="M121" s="580"/>
      <c r="N121" s="580"/>
      <c r="O121" s="580"/>
      <c r="P121" s="580"/>
      <c r="Q121" s="582"/>
      <c r="R121" s="580"/>
      <c r="S121" s="580"/>
      <c r="T121" s="580"/>
      <c r="U121" s="580"/>
      <c r="V121" s="580"/>
      <c r="W121" s="580"/>
      <c r="X121" s="580"/>
      <c r="Y121" s="583" t="s">
        <v>337</v>
      </c>
      <c r="Z121" s="583" t="s">
        <v>355</v>
      </c>
      <c r="AA121" s="581"/>
    </row>
    <row r="122" spans="2:27" ht="13.5" customHeight="1" x14ac:dyDescent="0.3">
      <c r="B122" s="169"/>
      <c r="C122" s="588"/>
      <c r="D122" s="582"/>
      <c r="E122" s="582"/>
      <c r="F122" s="582"/>
      <c r="G122" s="582"/>
      <c r="H122" s="595" t="s">
        <v>69</v>
      </c>
      <c r="I122" s="595" t="s">
        <v>734</v>
      </c>
      <c r="J122" s="580"/>
      <c r="K122" s="580"/>
      <c r="L122" s="580"/>
      <c r="M122" s="580"/>
      <c r="N122" s="592"/>
      <c r="O122" s="580"/>
      <c r="P122" s="580"/>
      <c r="Q122" s="582"/>
      <c r="R122" s="580"/>
      <c r="S122" s="580"/>
      <c r="T122" s="580"/>
      <c r="U122" s="580"/>
      <c r="V122" s="580"/>
      <c r="W122" s="580"/>
      <c r="X122" s="580"/>
      <c r="Y122" s="583" t="s">
        <v>338</v>
      </c>
      <c r="Z122" s="583" t="s">
        <v>356</v>
      </c>
      <c r="AA122" s="581"/>
    </row>
    <row r="123" spans="2:27" ht="13.5" customHeight="1" x14ac:dyDescent="0.3">
      <c r="B123" s="169"/>
      <c r="C123" s="588"/>
      <c r="D123" s="582"/>
      <c r="E123" s="588"/>
      <c r="F123" s="588"/>
      <c r="G123" s="580"/>
      <c r="H123" s="595" t="s">
        <v>302</v>
      </c>
      <c r="I123" s="595" t="s">
        <v>733</v>
      </c>
      <c r="J123" s="580"/>
      <c r="K123" s="580"/>
      <c r="L123" s="580"/>
      <c r="M123" s="580"/>
      <c r="N123" s="580"/>
      <c r="O123" s="580"/>
      <c r="P123" s="580"/>
      <c r="Q123" s="582"/>
      <c r="R123" s="580"/>
      <c r="S123" s="580"/>
      <c r="T123" s="580"/>
      <c r="U123" s="580"/>
      <c r="V123" s="580"/>
      <c r="W123" s="580"/>
      <c r="X123" s="580"/>
      <c r="Y123" s="583" t="s">
        <v>339</v>
      </c>
      <c r="Z123" s="583" t="s">
        <v>357</v>
      </c>
      <c r="AA123" s="581"/>
    </row>
    <row r="124" spans="2:27" ht="13.5" customHeight="1" x14ac:dyDescent="0.3">
      <c r="B124" s="169"/>
      <c r="C124" s="588"/>
      <c r="D124" s="582"/>
      <c r="E124" s="592"/>
      <c r="F124" s="592"/>
      <c r="G124" s="580"/>
      <c r="H124" s="580"/>
      <c r="I124" s="580"/>
      <c r="J124" s="580"/>
      <c r="K124" s="580"/>
      <c r="L124" s="580"/>
      <c r="M124" s="580"/>
      <c r="N124" s="580"/>
      <c r="O124" s="580"/>
      <c r="P124" s="580"/>
      <c r="Q124" s="582"/>
      <c r="R124" s="580"/>
      <c r="S124" s="580"/>
      <c r="T124" s="580"/>
      <c r="U124" s="580"/>
      <c r="V124" s="580"/>
      <c r="W124" s="580"/>
      <c r="X124" s="580"/>
      <c r="Y124" s="583" t="s">
        <v>340</v>
      </c>
      <c r="Z124" s="583" t="s">
        <v>296</v>
      </c>
      <c r="AA124" s="581"/>
    </row>
    <row r="125" spans="2:27" ht="13.5" customHeight="1" x14ac:dyDescent="0.3">
      <c r="B125" s="169"/>
      <c r="C125" s="588"/>
      <c r="D125" s="582"/>
      <c r="E125" s="592"/>
      <c r="F125" s="592"/>
      <c r="G125" s="580"/>
      <c r="H125" s="580"/>
      <c r="I125" s="580"/>
      <c r="J125" s="580"/>
      <c r="K125" s="580"/>
      <c r="L125" s="580"/>
      <c r="M125" s="580"/>
      <c r="N125" s="580"/>
      <c r="O125" s="580"/>
      <c r="P125" s="580"/>
      <c r="Q125" s="582"/>
      <c r="R125" s="580"/>
      <c r="S125" s="580"/>
      <c r="T125" s="580"/>
      <c r="U125" s="580"/>
      <c r="V125" s="580"/>
      <c r="W125" s="580"/>
      <c r="X125" s="580"/>
      <c r="Y125" s="580" t="s">
        <v>341</v>
      </c>
      <c r="Z125" s="580" t="s">
        <v>357</v>
      </c>
      <c r="AA125" s="581"/>
    </row>
    <row r="126" spans="2:27" ht="13.5" customHeight="1" x14ac:dyDescent="0.3">
      <c r="B126" s="169"/>
      <c r="C126" s="588"/>
      <c r="D126" s="582"/>
      <c r="E126" s="592"/>
      <c r="F126" s="592"/>
      <c r="G126" s="580"/>
      <c r="H126" s="580"/>
      <c r="I126" s="580"/>
      <c r="J126" s="580"/>
      <c r="K126" s="580"/>
      <c r="L126" s="580"/>
      <c r="M126" s="580"/>
      <c r="N126" s="580"/>
      <c r="O126" s="580"/>
      <c r="P126" s="580"/>
      <c r="Q126" s="582"/>
      <c r="R126" s="580"/>
      <c r="S126" s="580"/>
      <c r="T126" s="580"/>
      <c r="U126" s="580"/>
      <c r="V126" s="580"/>
      <c r="W126" s="580"/>
      <c r="X126" s="580"/>
      <c r="Y126" s="580" t="s">
        <v>342</v>
      </c>
      <c r="Z126" s="580" t="s">
        <v>297</v>
      </c>
      <c r="AA126" s="581"/>
    </row>
    <row r="127" spans="2:27" ht="13.5" customHeight="1" x14ac:dyDescent="0.3">
      <c r="B127" s="169"/>
      <c r="C127" s="588"/>
      <c r="D127" s="582"/>
      <c r="E127" s="592"/>
      <c r="F127" s="592"/>
      <c r="G127" s="580"/>
      <c r="H127" s="580"/>
      <c r="I127" s="580"/>
      <c r="J127" s="580"/>
      <c r="K127" s="580"/>
      <c r="L127" s="580"/>
      <c r="M127" s="580"/>
      <c r="N127" s="580"/>
      <c r="O127" s="580"/>
      <c r="P127" s="580"/>
      <c r="Q127" s="582"/>
      <c r="R127" s="580"/>
      <c r="S127" s="580"/>
      <c r="T127" s="580"/>
      <c r="U127" s="580"/>
      <c r="V127" s="580"/>
      <c r="W127" s="580"/>
      <c r="X127" s="580"/>
      <c r="Y127" s="580" t="s">
        <v>343</v>
      </c>
      <c r="Z127" s="580" t="s">
        <v>355</v>
      </c>
      <c r="AA127" s="581"/>
    </row>
    <row r="128" spans="2:27" ht="13" x14ac:dyDescent="0.3">
      <c r="B128" s="169"/>
      <c r="C128" s="590" t="s">
        <v>691</v>
      </c>
      <c r="D128" s="588" t="s">
        <v>64</v>
      </c>
      <c r="E128" s="592"/>
      <c r="F128" s="592"/>
      <c r="G128" s="580"/>
      <c r="H128" s="580"/>
      <c r="I128" s="580"/>
      <c r="J128" s="580"/>
      <c r="K128" s="580"/>
      <c r="L128" s="580"/>
      <c r="M128" s="580"/>
      <c r="N128" s="580"/>
      <c r="O128" s="580"/>
      <c r="P128" s="580"/>
      <c r="Q128" s="582"/>
      <c r="R128" s="580"/>
      <c r="S128" s="580"/>
      <c r="T128" s="580"/>
      <c r="U128" s="580"/>
      <c r="V128" s="582"/>
      <c r="W128" s="582"/>
      <c r="X128" s="583"/>
      <c r="Y128" s="583"/>
      <c r="Z128" s="580"/>
      <c r="AA128" s="581"/>
    </row>
    <row r="129" spans="2:27" ht="13" x14ac:dyDescent="0.3">
      <c r="B129" s="169"/>
      <c r="C129" s="588"/>
      <c r="D129" s="596" t="s">
        <v>65</v>
      </c>
      <c r="E129" s="592"/>
      <c r="F129" s="592"/>
      <c r="G129" s="580"/>
      <c r="H129" s="580"/>
      <c r="I129" s="580"/>
      <c r="J129" s="580"/>
      <c r="K129" s="580"/>
      <c r="L129" s="580"/>
      <c r="M129" s="580"/>
      <c r="N129" s="580"/>
      <c r="O129" s="580"/>
      <c r="P129" s="580"/>
      <c r="Q129" s="582"/>
      <c r="R129" s="580"/>
      <c r="S129" s="580"/>
      <c r="T129" s="580"/>
      <c r="U129" s="580"/>
      <c r="V129" s="582"/>
      <c r="W129" s="582"/>
      <c r="X129" s="580"/>
      <c r="Y129" s="580"/>
      <c r="Z129" s="580"/>
      <c r="AA129" s="581"/>
    </row>
    <row r="130" spans="2:27" ht="13" x14ac:dyDescent="0.3">
      <c r="B130" s="169"/>
      <c r="C130" s="582"/>
      <c r="D130" s="596"/>
      <c r="E130" s="597"/>
      <c r="F130" s="592"/>
      <c r="G130" s="580"/>
      <c r="H130" s="580"/>
      <c r="I130" s="580"/>
      <c r="J130" s="580"/>
      <c r="K130" s="580"/>
      <c r="L130" s="580"/>
      <c r="M130" s="580"/>
      <c r="N130" s="580"/>
      <c r="O130" s="580"/>
      <c r="P130" s="580"/>
      <c r="Q130" s="582"/>
      <c r="R130" s="580"/>
      <c r="S130" s="580"/>
      <c r="T130" s="580"/>
      <c r="U130" s="580"/>
      <c r="V130" s="582"/>
      <c r="W130" s="582"/>
      <c r="X130" s="583"/>
      <c r="Y130" s="583"/>
      <c r="Z130" s="580"/>
      <c r="AA130" s="581"/>
    </row>
    <row r="131" spans="2:27" ht="13" x14ac:dyDescent="0.3">
      <c r="B131" s="169"/>
      <c r="C131" s="580"/>
      <c r="D131" s="596"/>
      <c r="E131" s="580"/>
      <c r="F131" s="580"/>
      <c r="G131" s="580"/>
      <c r="H131" s="580"/>
      <c r="I131" s="580"/>
      <c r="J131" s="580"/>
      <c r="K131" s="580"/>
      <c r="L131" s="580"/>
      <c r="M131" s="580"/>
      <c r="N131" s="159">
        <v>2</v>
      </c>
      <c r="O131" s="580"/>
      <c r="P131" s="580"/>
      <c r="Q131" s="580"/>
      <c r="R131" s="580"/>
      <c r="S131" s="580"/>
      <c r="T131" s="580"/>
      <c r="U131" s="580"/>
      <c r="V131" s="582"/>
      <c r="W131" s="582"/>
      <c r="X131" s="580"/>
      <c r="Y131" s="580"/>
      <c r="Z131" s="580"/>
      <c r="AA131" s="581"/>
    </row>
    <row r="132" spans="2:27" ht="13" x14ac:dyDescent="0.3">
      <c r="B132" s="169"/>
      <c r="C132" s="580"/>
      <c r="D132" s="580"/>
      <c r="E132" s="580"/>
      <c r="F132" s="580"/>
      <c r="G132" s="580"/>
      <c r="H132" s="595"/>
      <c r="I132" s="595"/>
      <c r="J132" s="595" t="s">
        <v>684</v>
      </c>
      <c r="K132" s="595"/>
      <c r="L132" s="580"/>
      <c r="M132" s="580"/>
      <c r="N132" s="580"/>
      <c r="O132" s="580"/>
      <c r="P132" s="580"/>
      <c r="Q132" s="580"/>
      <c r="R132" s="580"/>
      <c r="S132" s="580"/>
      <c r="T132" s="580"/>
      <c r="U132" s="580"/>
      <c r="V132" s="582"/>
      <c r="W132" s="582"/>
      <c r="X132" s="583"/>
      <c r="Y132" s="583"/>
      <c r="Z132" s="580"/>
      <c r="AA132" s="581"/>
    </row>
    <row r="133" spans="2:27" ht="13" x14ac:dyDescent="0.3">
      <c r="B133" s="169"/>
      <c r="C133" s="580"/>
      <c r="D133" s="580"/>
      <c r="E133" s="580"/>
      <c r="F133" s="580"/>
      <c r="G133" s="580"/>
      <c r="H133" s="595" t="s">
        <v>371</v>
      </c>
      <c r="I133" s="595"/>
      <c r="J133" s="595" t="s">
        <v>706</v>
      </c>
      <c r="K133" s="595"/>
      <c r="L133" s="580"/>
      <c r="M133" s="580"/>
      <c r="N133" s="580"/>
      <c r="O133" s="580"/>
      <c r="P133" s="580"/>
      <c r="Q133" s="580"/>
      <c r="R133" s="580"/>
      <c r="S133" s="580"/>
      <c r="T133" s="580"/>
      <c r="U133" s="580"/>
      <c r="V133" s="582"/>
      <c r="W133" s="582"/>
      <c r="X133" s="580"/>
      <c r="Y133" s="580"/>
      <c r="Z133" s="580"/>
      <c r="AA133" s="581"/>
    </row>
    <row r="134" spans="2:27" ht="13" x14ac:dyDescent="0.3">
      <c r="B134" s="169"/>
      <c r="C134" s="582"/>
      <c r="D134" s="582"/>
      <c r="E134" s="582"/>
      <c r="F134" s="582"/>
      <c r="G134" s="582"/>
      <c r="H134" s="598" t="s">
        <v>685</v>
      </c>
      <c r="I134" s="598"/>
      <c r="J134" s="598" t="s">
        <v>707</v>
      </c>
      <c r="K134" s="598"/>
      <c r="L134" s="580"/>
      <c r="M134" s="582"/>
      <c r="N134" s="582"/>
      <c r="O134" s="580"/>
      <c r="P134" s="580"/>
      <c r="Q134" s="580"/>
      <c r="R134" s="580"/>
      <c r="S134" s="580"/>
      <c r="T134" s="580"/>
      <c r="U134" s="580"/>
      <c r="V134" s="582"/>
      <c r="W134" s="582"/>
      <c r="X134" s="583"/>
      <c r="Y134" s="583"/>
      <c r="Z134" s="580"/>
      <c r="AA134" s="581"/>
    </row>
    <row r="135" spans="2:27" ht="13" x14ac:dyDescent="0.3">
      <c r="B135" s="169"/>
      <c r="C135" s="582"/>
      <c r="D135" s="582"/>
      <c r="E135" s="582"/>
      <c r="F135" s="582"/>
      <c r="G135" s="582"/>
      <c r="H135" s="598" t="s">
        <v>686</v>
      </c>
      <c r="I135" s="598"/>
      <c r="J135" s="598" t="s">
        <v>708</v>
      </c>
      <c r="K135" s="598"/>
      <c r="L135" s="580"/>
      <c r="M135" s="582"/>
      <c r="N135" s="582"/>
      <c r="O135" s="580"/>
      <c r="P135" s="580"/>
      <c r="Q135" s="580"/>
      <c r="R135" s="580"/>
      <c r="S135" s="580"/>
      <c r="T135" s="580"/>
      <c r="U135" s="580"/>
      <c r="V135" s="582"/>
      <c r="W135" s="582"/>
      <c r="X135" s="580"/>
      <c r="Y135" s="580"/>
      <c r="Z135" s="580"/>
      <c r="AA135" s="581"/>
    </row>
    <row r="136" spans="2:27" ht="13" x14ac:dyDescent="0.3">
      <c r="B136" s="169"/>
      <c r="C136" s="582"/>
      <c r="D136" s="582"/>
      <c r="E136" s="582"/>
      <c r="F136" s="582"/>
      <c r="G136" s="582"/>
      <c r="H136" s="598" t="s">
        <v>687</v>
      </c>
      <c r="I136" s="598"/>
      <c r="J136" s="598" t="s">
        <v>689</v>
      </c>
      <c r="K136" s="598"/>
      <c r="L136" s="580"/>
      <c r="M136" s="582"/>
      <c r="N136" s="582"/>
      <c r="O136" s="580"/>
      <c r="P136" s="580"/>
      <c r="Q136" s="580"/>
      <c r="R136" s="580"/>
      <c r="S136" s="580"/>
      <c r="T136" s="580"/>
      <c r="U136" s="580"/>
      <c r="V136" s="582"/>
      <c r="W136" s="582"/>
      <c r="X136" s="583"/>
      <c r="Y136" s="583"/>
      <c r="Z136" s="580"/>
      <c r="AA136" s="581"/>
    </row>
    <row r="137" spans="2:27" ht="13" x14ac:dyDescent="0.3">
      <c r="B137" s="169"/>
      <c r="C137" s="582"/>
      <c r="D137" s="582"/>
      <c r="E137" s="582"/>
      <c r="F137" s="582"/>
      <c r="G137" s="582"/>
      <c r="H137" s="598" t="s">
        <v>688</v>
      </c>
      <c r="I137" s="598"/>
      <c r="J137" s="598" t="s">
        <v>709</v>
      </c>
      <c r="K137" s="598"/>
      <c r="L137" s="580"/>
      <c r="M137" s="582"/>
      <c r="N137" s="582"/>
      <c r="O137" s="580"/>
      <c r="P137" s="580"/>
      <c r="Q137" s="580"/>
      <c r="R137" s="580"/>
      <c r="S137" s="580"/>
      <c r="T137" s="580"/>
      <c r="U137" s="580"/>
      <c r="V137" s="582"/>
      <c r="W137" s="582"/>
      <c r="X137" s="580"/>
      <c r="Y137" s="580"/>
      <c r="Z137" s="580"/>
      <c r="AA137" s="581"/>
    </row>
    <row r="138" spans="2:27" x14ac:dyDescent="0.25">
      <c r="B138" s="169"/>
      <c r="C138" s="582"/>
      <c r="D138" s="582"/>
      <c r="E138" s="582"/>
      <c r="F138" s="582"/>
      <c r="G138" s="582"/>
      <c r="H138" s="582"/>
      <c r="I138" s="582"/>
      <c r="J138" s="582"/>
      <c r="K138" s="582"/>
      <c r="L138" s="580"/>
      <c r="M138" s="582"/>
      <c r="N138" s="582"/>
      <c r="O138" s="580"/>
      <c r="P138" s="580"/>
      <c r="Q138" s="580"/>
      <c r="R138" s="580"/>
      <c r="S138" s="580"/>
      <c r="T138" s="580"/>
      <c r="U138" s="580"/>
      <c r="V138" s="582"/>
      <c r="W138" s="582"/>
      <c r="X138" s="583"/>
      <c r="Y138" s="583"/>
      <c r="Z138" s="580"/>
      <c r="AA138" s="581"/>
    </row>
    <row r="139" spans="2:27" x14ac:dyDescent="0.25">
      <c r="B139" s="169"/>
      <c r="C139" s="582"/>
      <c r="D139" s="582"/>
      <c r="E139" s="582"/>
      <c r="F139" s="582"/>
      <c r="G139" s="582"/>
      <c r="H139" s="582"/>
      <c r="I139" s="582"/>
      <c r="J139" s="582"/>
      <c r="K139" s="582"/>
      <c r="L139" s="580"/>
      <c r="M139" s="582"/>
      <c r="N139" s="582"/>
      <c r="O139" s="580"/>
      <c r="P139" s="580"/>
      <c r="Q139" s="580"/>
      <c r="R139" s="580"/>
      <c r="S139" s="580"/>
      <c r="T139" s="580"/>
      <c r="U139" s="580"/>
      <c r="V139" s="580"/>
      <c r="W139" s="580"/>
      <c r="X139" s="580"/>
      <c r="Y139" s="580"/>
      <c r="Z139" s="580"/>
      <c r="AA139" s="581"/>
    </row>
    <row r="140" spans="2:27" x14ac:dyDescent="0.25">
      <c r="B140" s="169"/>
      <c r="C140" s="582"/>
      <c r="D140" s="582"/>
      <c r="E140" s="582"/>
      <c r="F140" s="582"/>
      <c r="G140" s="582"/>
      <c r="H140" s="582"/>
      <c r="I140" s="582"/>
      <c r="J140" s="582"/>
      <c r="K140" s="582"/>
      <c r="L140" s="580"/>
      <c r="M140" s="582"/>
      <c r="N140" s="582"/>
      <c r="O140" s="580"/>
      <c r="P140" s="580"/>
      <c r="Q140" s="580"/>
      <c r="R140" s="580"/>
      <c r="S140" s="580"/>
      <c r="T140" s="580"/>
      <c r="U140" s="580"/>
      <c r="V140" s="580"/>
      <c r="W140" s="580"/>
      <c r="X140" s="583"/>
      <c r="Y140" s="583"/>
      <c r="Z140" s="580"/>
      <c r="AA140" s="581"/>
    </row>
    <row r="141" spans="2:27" x14ac:dyDescent="0.25">
      <c r="B141" s="169"/>
      <c r="C141" s="582"/>
      <c r="D141" s="582"/>
      <c r="E141" s="582"/>
      <c r="F141" s="582"/>
      <c r="G141" s="582"/>
      <c r="H141" s="582"/>
      <c r="I141" s="582"/>
      <c r="J141" s="582"/>
      <c r="K141" s="582"/>
      <c r="L141" s="580"/>
      <c r="M141" s="582"/>
      <c r="N141" s="582"/>
      <c r="O141" s="580"/>
      <c r="P141" s="580"/>
      <c r="Q141" s="580"/>
      <c r="R141" s="580"/>
      <c r="S141" s="580"/>
      <c r="T141" s="580"/>
      <c r="U141" s="580"/>
      <c r="V141" s="580"/>
      <c r="W141" s="580"/>
      <c r="X141" s="583"/>
      <c r="Y141" s="583"/>
      <c r="Z141" s="580"/>
      <c r="AA141" s="581"/>
    </row>
    <row r="142" spans="2:27" x14ac:dyDescent="0.25">
      <c r="B142" s="169"/>
      <c r="C142" s="582"/>
      <c r="D142" s="582"/>
      <c r="E142" s="582"/>
      <c r="F142" s="582"/>
      <c r="G142" s="582"/>
      <c r="H142" s="582"/>
      <c r="I142" s="582"/>
      <c r="J142" s="582"/>
      <c r="K142" s="582"/>
      <c r="L142" s="580"/>
      <c r="M142" s="582"/>
      <c r="N142" s="582"/>
      <c r="O142" s="580"/>
      <c r="P142" s="580"/>
      <c r="Q142" s="580"/>
      <c r="R142" s="580"/>
      <c r="S142" s="580"/>
      <c r="T142" s="580"/>
      <c r="U142" s="580"/>
      <c r="V142" s="580"/>
      <c r="W142" s="580"/>
      <c r="X142" s="583"/>
      <c r="Y142" s="583"/>
      <c r="Z142" s="580"/>
      <c r="AA142" s="581"/>
    </row>
    <row r="143" spans="2:27" ht="13" x14ac:dyDescent="0.3">
      <c r="B143" s="169"/>
      <c r="C143" s="646" t="s">
        <v>759</v>
      </c>
      <c r="D143" s="588" t="s">
        <v>762</v>
      </c>
      <c r="E143" s="582"/>
      <c r="F143" s="582"/>
      <c r="G143" s="582"/>
      <c r="H143" s="582"/>
      <c r="I143" s="582"/>
      <c r="J143" s="582"/>
      <c r="K143" s="582"/>
      <c r="L143" s="580"/>
      <c r="M143" s="582"/>
      <c r="N143" s="582"/>
      <c r="O143" s="580"/>
      <c r="P143" s="580"/>
      <c r="Q143" s="580"/>
      <c r="R143" s="580"/>
      <c r="S143" s="580"/>
      <c r="T143" s="580"/>
      <c r="U143" s="580"/>
      <c r="V143" s="580"/>
      <c r="W143" s="580"/>
      <c r="X143" s="583"/>
      <c r="Y143" s="583"/>
      <c r="Z143" s="580"/>
      <c r="AA143" s="581"/>
    </row>
    <row r="144" spans="2:27" ht="13" x14ac:dyDescent="0.3">
      <c r="B144" s="169"/>
      <c r="C144" s="646"/>
      <c r="D144" s="588" t="s">
        <v>809</v>
      </c>
      <c r="E144" s="582"/>
      <c r="F144" s="582"/>
      <c r="G144" s="582"/>
      <c r="H144" s="582"/>
      <c r="I144" s="582"/>
      <c r="J144" s="582"/>
      <c r="K144" s="582"/>
      <c r="L144" s="580"/>
      <c r="M144" s="582"/>
      <c r="N144" s="582"/>
      <c r="O144" s="580"/>
      <c r="P144" s="580"/>
      <c r="Q144" s="580"/>
      <c r="R144" s="580"/>
      <c r="S144" s="580"/>
      <c r="T144" s="580"/>
      <c r="U144" s="580"/>
      <c r="V144" s="580"/>
      <c r="W144" s="580"/>
      <c r="X144" s="583"/>
      <c r="Y144" s="583"/>
      <c r="Z144" s="580"/>
      <c r="AA144" s="581"/>
    </row>
    <row r="145" spans="2:27" ht="13" x14ac:dyDescent="0.3">
      <c r="B145" s="169"/>
      <c r="C145" s="646"/>
      <c r="D145" s="588" t="s">
        <v>839</v>
      </c>
      <c r="E145" s="582"/>
      <c r="F145" s="582"/>
      <c r="G145" s="582"/>
      <c r="H145" s="582"/>
      <c r="I145" s="582"/>
      <c r="J145" s="582"/>
      <c r="K145" s="582"/>
      <c r="L145" s="580"/>
      <c r="M145" s="582"/>
      <c r="N145" s="582"/>
      <c r="O145" s="580"/>
      <c r="P145" s="580"/>
      <c r="Q145" s="580"/>
      <c r="R145" s="580"/>
      <c r="S145" s="580"/>
      <c r="T145" s="580"/>
      <c r="U145" s="580"/>
      <c r="V145" s="580"/>
      <c r="W145" s="580"/>
      <c r="X145" s="583"/>
      <c r="Y145" s="583"/>
      <c r="Z145" s="580"/>
      <c r="AA145" s="581"/>
    </row>
    <row r="146" spans="2:27" x14ac:dyDescent="0.25">
      <c r="B146" s="169"/>
      <c r="C146" s="582"/>
      <c r="D146" s="582"/>
      <c r="E146" s="582"/>
      <c r="F146" s="582"/>
      <c r="G146" s="582"/>
      <c r="H146" s="582"/>
      <c r="I146" s="582"/>
      <c r="J146" s="582"/>
      <c r="K146" s="582"/>
      <c r="L146" s="580"/>
      <c r="M146" s="582"/>
      <c r="N146" s="810">
        <v>1</v>
      </c>
      <c r="O146" s="580"/>
      <c r="P146" s="580"/>
      <c r="Q146" s="580"/>
      <c r="R146" s="580"/>
      <c r="S146" s="580"/>
      <c r="T146" s="580"/>
      <c r="U146" s="580"/>
      <c r="V146" s="580"/>
      <c r="W146" s="580"/>
      <c r="X146" s="583"/>
      <c r="Y146" s="583"/>
      <c r="Z146" s="580"/>
      <c r="AA146" s="581"/>
    </row>
    <row r="147" spans="2:27" ht="13" x14ac:dyDescent="0.3">
      <c r="B147" s="169"/>
      <c r="C147" s="582"/>
      <c r="D147" s="582"/>
      <c r="E147" s="582"/>
      <c r="F147" s="582"/>
      <c r="G147" s="582"/>
      <c r="H147" s="647"/>
      <c r="I147" s="582"/>
      <c r="J147" s="598"/>
      <c r="K147" s="598"/>
      <c r="L147" s="580"/>
      <c r="M147" s="582"/>
      <c r="N147" s="582"/>
      <c r="O147" s="580"/>
      <c r="P147" s="580"/>
      <c r="Q147" s="580"/>
      <c r="R147" s="580"/>
      <c r="S147" s="580"/>
      <c r="T147" s="580"/>
      <c r="U147" s="580"/>
      <c r="V147" s="580"/>
      <c r="W147" s="580"/>
      <c r="X147" s="583"/>
      <c r="Y147" s="583"/>
      <c r="Z147" s="580"/>
      <c r="AA147" s="581"/>
    </row>
    <row r="148" spans="2:27" ht="13" x14ac:dyDescent="0.3">
      <c r="B148" s="169"/>
      <c r="C148" s="582"/>
      <c r="D148" s="582"/>
      <c r="E148" s="582"/>
      <c r="F148" s="582"/>
      <c r="G148" s="721" t="str">
        <f>IF(AND($N$148=2,$N$150=3),"Wet digestion is not applicable in WARM for grass, leaves, branches, yard trimmings and mixed organics. Please select dry digestion to model all materials or adjust the materials chosen above."," ")</f>
        <v xml:space="preserve"> </v>
      </c>
      <c r="H148" s="647"/>
      <c r="I148" s="582"/>
      <c r="J148" s="598"/>
      <c r="K148" s="598"/>
      <c r="L148" s="580"/>
      <c r="M148" s="582"/>
      <c r="N148" s="811">
        <f>IF(SUM(K54,K43:K46,U43:U46,U54)&gt;0,2,0)</f>
        <v>0</v>
      </c>
      <c r="O148" s="580"/>
      <c r="P148" s="580"/>
      <c r="Q148" s="580"/>
      <c r="R148" s="580"/>
      <c r="S148" s="580"/>
      <c r="T148" s="580"/>
      <c r="U148" s="580"/>
      <c r="V148" s="580"/>
      <c r="W148" s="580"/>
      <c r="X148" s="583"/>
      <c r="Y148" s="583"/>
      <c r="Z148" s="580"/>
      <c r="AA148" s="581"/>
    </row>
    <row r="149" spans="2:27" x14ac:dyDescent="0.25">
      <c r="B149" s="169"/>
      <c r="C149" s="582"/>
      <c r="D149" s="582"/>
      <c r="E149" s="582"/>
      <c r="F149" s="582"/>
      <c r="G149" s="582"/>
      <c r="H149" s="582"/>
      <c r="I149" s="582"/>
      <c r="J149" s="582"/>
      <c r="K149" s="582"/>
      <c r="L149" s="580"/>
      <c r="M149" s="582"/>
      <c r="N149" s="582"/>
      <c r="O149" s="580"/>
      <c r="P149" s="580"/>
      <c r="Q149" s="580"/>
      <c r="R149" s="580"/>
      <c r="S149" s="580"/>
      <c r="T149" s="580"/>
      <c r="U149" s="580"/>
      <c r="V149" s="580"/>
      <c r="W149" s="580"/>
      <c r="X149" s="583"/>
      <c r="Y149" s="583"/>
      <c r="Z149" s="580"/>
      <c r="AA149" s="581"/>
    </row>
    <row r="150" spans="2:27" x14ac:dyDescent="0.25">
      <c r="B150" s="169"/>
      <c r="C150" s="582"/>
      <c r="D150" s="582"/>
      <c r="E150" s="582"/>
      <c r="F150" s="582"/>
      <c r="G150" s="582"/>
      <c r="H150" s="582"/>
      <c r="I150" s="582"/>
      <c r="J150" s="582"/>
      <c r="K150" s="582"/>
      <c r="L150" s="580"/>
      <c r="M150" s="582"/>
      <c r="N150" s="811">
        <f>N146+N148</f>
        <v>1</v>
      </c>
      <c r="O150" s="580"/>
      <c r="P150" s="580"/>
      <c r="Q150" s="580"/>
      <c r="R150" s="580"/>
      <c r="S150" s="580"/>
      <c r="T150" s="580"/>
      <c r="U150" s="580"/>
      <c r="V150" s="580"/>
      <c r="W150" s="580"/>
      <c r="X150" s="583"/>
      <c r="Y150" s="583"/>
      <c r="Z150" s="580"/>
      <c r="AA150" s="581"/>
    </row>
    <row r="151" spans="2:27" x14ac:dyDescent="0.25">
      <c r="B151" s="169"/>
      <c r="C151" s="582"/>
      <c r="D151" s="582"/>
      <c r="E151" s="582"/>
      <c r="F151" s="582"/>
      <c r="G151" s="582"/>
      <c r="H151" s="582"/>
      <c r="I151" s="582"/>
      <c r="J151" s="582"/>
      <c r="K151" s="582"/>
      <c r="L151" s="580"/>
      <c r="M151" s="582"/>
      <c r="N151" s="582"/>
      <c r="O151" s="580"/>
      <c r="P151" s="580"/>
      <c r="Q151" s="580"/>
      <c r="R151" s="580"/>
      <c r="S151" s="580"/>
      <c r="T151" s="580"/>
      <c r="U151" s="580"/>
      <c r="V151" s="580"/>
      <c r="W151" s="580"/>
      <c r="X151" s="583"/>
      <c r="Y151" s="583"/>
      <c r="Z151" s="580"/>
      <c r="AA151" s="581"/>
    </row>
    <row r="152" spans="2:27" ht="13" x14ac:dyDescent="0.3">
      <c r="B152" s="169"/>
      <c r="C152" s="646" t="s">
        <v>760</v>
      </c>
      <c r="D152" s="588" t="s">
        <v>763</v>
      </c>
      <c r="E152" s="582"/>
      <c r="F152" s="582"/>
      <c r="G152" s="582"/>
      <c r="H152" s="582"/>
      <c r="I152" s="582"/>
      <c r="J152" s="582"/>
      <c r="K152" s="582"/>
      <c r="L152" s="580"/>
      <c r="M152" s="582"/>
      <c r="N152" s="582"/>
      <c r="O152" s="580"/>
      <c r="P152" s="580"/>
      <c r="Q152" s="580"/>
      <c r="R152" s="580"/>
      <c r="S152" s="580"/>
      <c r="T152" s="580"/>
      <c r="U152" s="580"/>
      <c r="V152" s="580"/>
      <c r="W152" s="580"/>
      <c r="X152" s="583"/>
      <c r="Y152" s="583"/>
      <c r="Z152" s="580"/>
      <c r="AA152" s="581"/>
    </row>
    <row r="153" spans="2:27" ht="13" x14ac:dyDescent="0.3">
      <c r="B153" s="169"/>
      <c r="C153" s="646"/>
      <c r="D153" s="588" t="s">
        <v>764</v>
      </c>
      <c r="E153" s="582"/>
      <c r="F153" s="582"/>
      <c r="G153" s="582"/>
      <c r="H153" s="582"/>
      <c r="I153" s="582"/>
      <c r="J153" s="582"/>
      <c r="K153" s="582"/>
      <c r="L153" s="580"/>
      <c r="M153" s="582"/>
      <c r="N153" s="582"/>
      <c r="O153" s="580"/>
      <c r="P153" s="580"/>
      <c r="Q153" s="580"/>
      <c r="R153" s="580"/>
      <c r="S153" s="580"/>
      <c r="T153" s="580"/>
      <c r="U153" s="580"/>
      <c r="V153" s="580"/>
      <c r="W153" s="580"/>
      <c r="X153" s="583"/>
      <c r="Y153" s="583"/>
      <c r="Z153" s="580"/>
      <c r="AA153" s="581"/>
    </row>
    <row r="154" spans="2:27" ht="13" x14ac:dyDescent="0.3">
      <c r="B154" s="169"/>
      <c r="C154" s="646"/>
      <c r="D154" s="588" t="s">
        <v>765</v>
      </c>
      <c r="E154" s="582"/>
      <c r="F154" s="582"/>
      <c r="G154" s="582"/>
      <c r="H154" s="582"/>
      <c r="I154" s="582"/>
      <c r="J154" s="582"/>
      <c r="K154" s="582"/>
      <c r="L154" s="580"/>
      <c r="M154" s="582"/>
      <c r="N154" s="582"/>
      <c r="O154" s="580"/>
      <c r="P154" s="580"/>
      <c r="Q154" s="580"/>
      <c r="R154" s="580"/>
      <c r="S154" s="580"/>
      <c r="T154" s="580"/>
      <c r="U154" s="580"/>
      <c r="V154" s="580"/>
      <c r="W154" s="580"/>
      <c r="X154" s="583"/>
      <c r="Y154" s="583"/>
      <c r="Z154" s="580"/>
      <c r="AA154" s="581"/>
    </row>
    <row r="155" spans="2:27" x14ac:dyDescent="0.25">
      <c r="B155" s="169"/>
      <c r="C155" s="582"/>
      <c r="D155" s="582"/>
      <c r="E155" s="582"/>
      <c r="F155" s="582"/>
      <c r="G155" s="582"/>
      <c r="H155" s="582"/>
      <c r="I155" s="582"/>
      <c r="J155" s="582"/>
      <c r="K155" s="582"/>
      <c r="L155" s="580"/>
      <c r="M155" s="582"/>
      <c r="N155" s="582"/>
      <c r="O155" s="580"/>
      <c r="P155" s="580"/>
      <c r="Q155" s="580"/>
      <c r="R155" s="580"/>
      <c r="S155" s="580"/>
      <c r="T155" s="580"/>
      <c r="U155" s="580"/>
      <c r="V155" s="580"/>
      <c r="W155" s="580"/>
      <c r="X155" s="583"/>
      <c r="Y155" s="583"/>
      <c r="Z155" s="580"/>
      <c r="AA155" s="581"/>
    </row>
    <row r="156" spans="2:27" x14ac:dyDescent="0.25">
      <c r="B156" s="169"/>
      <c r="C156" s="582"/>
      <c r="D156" s="582"/>
      <c r="E156" s="582"/>
      <c r="F156" s="582"/>
      <c r="G156" s="582"/>
      <c r="H156" s="582"/>
      <c r="I156" s="582"/>
      <c r="J156" s="582"/>
      <c r="K156" s="582"/>
      <c r="L156" s="580"/>
      <c r="M156" s="582"/>
      <c r="N156" s="811">
        <v>1</v>
      </c>
      <c r="O156" s="580"/>
      <c r="P156" s="580"/>
      <c r="Q156" s="580"/>
      <c r="R156" s="580"/>
      <c r="S156" s="580"/>
      <c r="T156" s="580"/>
      <c r="U156" s="580"/>
      <c r="V156" s="580"/>
      <c r="W156" s="580"/>
      <c r="X156" s="583"/>
      <c r="Y156" s="583"/>
      <c r="Z156" s="580"/>
      <c r="AA156" s="581"/>
    </row>
    <row r="157" spans="2:27" x14ac:dyDescent="0.25">
      <c r="B157" s="169"/>
      <c r="C157" s="582"/>
      <c r="D157" s="582"/>
      <c r="E157" s="582"/>
      <c r="F157" s="582"/>
      <c r="G157" s="582"/>
      <c r="H157" s="582"/>
      <c r="I157" s="582"/>
      <c r="J157" s="582"/>
      <c r="K157" s="582"/>
      <c r="L157" s="580"/>
      <c r="M157" s="582"/>
      <c r="N157" s="582"/>
      <c r="O157" s="580"/>
      <c r="P157" s="580"/>
      <c r="Q157" s="580"/>
      <c r="R157" s="580"/>
      <c r="S157" s="580"/>
      <c r="T157" s="580"/>
      <c r="U157" s="580"/>
      <c r="V157" s="580"/>
      <c r="W157" s="580"/>
      <c r="X157" s="583"/>
      <c r="Y157" s="583"/>
      <c r="Z157" s="580"/>
      <c r="AA157" s="581"/>
    </row>
    <row r="158" spans="2:27" x14ac:dyDescent="0.25">
      <c r="B158" s="169"/>
      <c r="C158" s="582"/>
      <c r="D158" s="582"/>
      <c r="E158" s="582"/>
      <c r="F158" s="582"/>
      <c r="G158" s="582"/>
      <c r="H158" s="582"/>
      <c r="I158" s="582"/>
      <c r="J158" s="582"/>
      <c r="K158" s="582"/>
      <c r="L158" s="580"/>
      <c r="M158" s="582"/>
      <c r="N158" s="582"/>
      <c r="O158" s="580"/>
      <c r="P158" s="580"/>
      <c r="Q158" s="580"/>
      <c r="R158" s="580"/>
      <c r="S158" s="580"/>
      <c r="T158" s="580"/>
      <c r="U158" s="580"/>
      <c r="V158" s="580"/>
      <c r="W158" s="580"/>
      <c r="X158" s="583"/>
      <c r="Y158" s="583"/>
      <c r="Z158" s="580"/>
      <c r="AA158" s="581"/>
    </row>
    <row r="159" spans="2:27" x14ac:dyDescent="0.25">
      <c r="B159" s="169"/>
      <c r="C159" s="582"/>
      <c r="D159" s="582"/>
      <c r="E159" s="582"/>
      <c r="F159" s="582"/>
      <c r="G159" s="582"/>
      <c r="H159" s="582"/>
      <c r="I159" s="582"/>
      <c r="J159" s="582"/>
      <c r="K159" s="582"/>
      <c r="L159" s="580"/>
      <c r="M159" s="582"/>
      <c r="N159" s="582"/>
      <c r="O159" s="580"/>
      <c r="P159" s="580"/>
      <c r="Q159" s="580"/>
      <c r="R159" s="580"/>
      <c r="S159" s="580"/>
      <c r="T159" s="580"/>
      <c r="U159" s="580"/>
      <c r="V159" s="580"/>
      <c r="W159" s="580"/>
      <c r="X159" s="583"/>
      <c r="Y159" s="583"/>
      <c r="Z159" s="580"/>
      <c r="AA159" s="581"/>
    </row>
    <row r="160" spans="2:27" x14ac:dyDescent="0.25">
      <c r="B160" s="169"/>
      <c r="C160" s="582"/>
      <c r="D160" s="582"/>
      <c r="E160" s="582"/>
      <c r="F160" s="582"/>
      <c r="G160" s="582"/>
      <c r="H160" s="582"/>
      <c r="I160" s="582"/>
      <c r="J160" s="582"/>
      <c r="K160" s="582"/>
      <c r="L160" s="580"/>
      <c r="M160" s="582"/>
      <c r="N160" s="582"/>
      <c r="O160" s="580"/>
      <c r="P160" s="580"/>
      <c r="Q160" s="580"/>
      <c r="R160" s="580"/>
      <c r="S160" s="580"/>
      <c r="T160" s="580"/>
      <c r="U160" s="580"/>
      <c r="V160" s="580"/>
      <c r="W160" s="580"/>
      <c r="X160" s="583"/>
      <c r="Y160" s="583"/>
      <c r="Z160" s="580"/>
      <c r="AA160" s="581"/>
    </row>
    <row r="161" spans="2:27" x14ac:dyDescent="0.25">
      <c r="B161" s="169"/>
      <c r="C161" s="582"/>
      <c r="D161" s="582"/>
      <c r="E161" s="582"/>
      <c r="F161" s="582"/>
      <c r="G161" s="582"/>
      <c r="H161" s="582"/>
      <c r="I161" s="582"/>
      <c r="J161" s="582"/>
      <c r="K161" s="582"/>
      <c r="L161" s="580"/>
      <c r="M161" s="582"/>
      <c r="N161" s="582"/>
      <c r="O161" s="580"/>
      <c r="P161" s="580"/>
      <c r="Q161" s="580"/>
      <c r="R161" s="580"/>
      <c r="S161" s="580"/>
      <c r="T161" s="580"/>
      <c r="U161" s="580"/>
      <c r="V161" s="580"/>
      <c r="W161" s="580"/>
      <c r="X161" s="583"/>
      <c r="Y161" s="583"/>
      <c r="Z161" s="580"/>
      <c r="AA161" s="581"/>
    </row>
    <row r="162" spans="2:27" ht="13" x14ac:dyDescent="0.3">
      <c r="B162" s="169"/>
      <c r="C162" s="588" t="s">
        <v>755</v>
      </c>
      <c r="D162" s="588" t="s">
        <v>46</v>
      </c>
      <c r="E162" s="589"/>
      <c r="F162" s="589"/>
      <c r="G162" s="589"/>
      <c r="H162" s="589"/>
      <c r="I162" s="589"/>
      <c r="J162" s="589"/>
      <c r="K162" s="589"/>
      <c r="L162" s="589"/>
      <c r="M162" s="580"/>
      <c r="N162" s="589"/>
      <c r="O162" s="580"/>
      <c r="P162" s="580"/>
      <c r="Q162" s="580"/>
      <c r="R162" s="580"/>
      <c r="S162" s="580"/>
      <c r="T162" s="580"/>
      <c r="U162" s="580"/>
      <c r="V162" s="580"/>
      <c r="W162" s="580"/>
      <c r="X162" s="580"/>
      <c r="Y162" s="580"/>
      <c r="Z162" s="580"/>
      <c r="AA162" s="581"/>
    </row>
    <row r="163" spans="2:27" ht="13" x14ac:dyDescent="0.3">
      <c r="B163" s="169"/>
      <c r="C163" s="580"/>
      <c r="D163" s="588" t="s">
        <v>559</v>
      </c>
      <c r="E163" s="589"/>
      <c r="F163" s="589"/>
      <c r="G163" s="589"/>
      <c r="H163" s="589"/>
      <c r="I163" s="589"/>
      <c r="J163" s="589"/>
      <c r="K163" s="589"/>
      <c r="L163" s="589"/>
      <c r="M163" s="580"/>
      <c r="N163" s="589"/>
      <c r="O163" s="580"/>
      <c r="P163" s="580"/>
      <c r="Q163" s="580"/>
      <c r="R163" s="580"/>
      <c r="S163" s="580"/>
      <c r="T163" s="580"/>
      <c r="U163" s="580"/>
      <c r="V163" s="580"/>
      <c r="W163" s="580"/>
      <c r="X163" s="580"/>
      <c r="Y163" s="580"/>
      <c r="Z163" s="580"/>
      <c r="AA163" s="581"/>
    </row>
    <row r="164" spans="2:27" ht="13" x14ac:dyDescent="0.3">
      <c r="B164" s="169"/>
      <c r="C164" s="580"/>
      <c r="D164" s="595"/>
      <c r="E164" s="580"/>
      <c r="F164" s="580"/>
      <c r="G164" s="580"/>
      <c r="H164" s="580"/>
      <c r="I164" s="580"/>
      <c r="J164" s="580"/>
      <c r="K164" s="580"/>
      <c r="L164" s="580"/>
      <c r="M164" s="580"/>
      <c r="N164" s="580"/>
      <c r="O164" s="580"/>
      <c r="P164" s="580"/>
      <c r="Q164" s="580"/>
      <c r="R164" s="580"/>
      <c r="S164" s="580"/>
      <c r="T164" s="580"/>
      <c r="U164" s="580"/>
      <c r="V164" s="580"/>
      <c r="W164" s="580"/>
      <c r="X164" s="580"/>
      <c r="Y164" s="580"/>
      <c r="Z164" s="580"/>
      <c r="AA164" s="581"/>
    </row>
    <row r="165" spans="2:27" x14ac:dyDescent="0.25">
      <c r="B165" s="169"/>
      <c r="C165" s="580"/>
      <c r="D165" s="580"/>
      <c r="E165" s="580"/>
      <c r="F165" s="580"/>
      <c r="G165" s="580"/>
      <c r="H165" s="580"/>
      <c r="I165" s="580"/>
      <c r="J165" s="580"/>
      <c r="K165" s="580"/>
      <c r="L165" s="580"/>
      <c r="M165" s="580"/>
      <c r="N165" s="580"/>
      <c r="O165" s="580"/>
      <c r="P165" s="580"/>
      <c r="Q165" s="580"/>
      <c r="R165" s="580"/>
      <c r="S165" s="580"/>
      <c r="T165" s="580"/>
      <c r="U165" s="580"/>
      <c r="V165" s="580"/>
      <c r="W165" s="580"/>
      <c r="X165" s="580"/>
      <c r="Y165" s="580"/>
      <c r="Z165" s="580"/>
      <c r="AA165" s="581"/>
    </row>
    <row r="166" spans="2:27" x14ac:dyDescent="0.25">
      <c r="B166" s="169"/>
      <c r="C166" s="580"/>
      <c r="D166" s="580"/>
      <c r="E166" s="580"/>
      <c r="F166" s="580"/>
      <c r="G166" s="580"/>
      <c r="H166" s="580"/>
      <c r="I166" s="580"/>
      <c r="J166" s="580"/>
      <c r="K166" s="580"/>
      <c r="L166" s="580"/>
      <c r="M166" s="580"/>
      <c r="N166" s="159">
        <v>1</v>
      </c>
      <c r="O166" s="580"/>
      <c r="P166" s="580"/>
      <c r="Q166" s="580"/>
      <c r="R166" s="580"/>
      <c r="S166" s="580"/>
      <c r="T166" s="580"/>
      <c r="U166" s="580"/>
      <c r="V166" s="580"/>
      <c r="W166" s="580"/>
      <c r="X166" s="580"/>
      <c r="Y166" s="580"/>
      <c r="Z166" s="580"/>
      <c r="AA166" s="581"/>
    </row>
    <row r="167" spans="2:27" x14ac:dyDescent="0.25">
      <c r="B167" s="169"/>
      <c r="C167" s="580"/>
      <c r="D167" s="580"/>
      <c r="E167" s="580"/>
      <c r="F167" s="580"/>
      <c r="G167" s="580"/>
      <c r="H167" s="580"/>
      <c r="I167" s="580"/>
      <c r="J167" s="580"/>
      <c r="K167" s="580"/>
      <c r="L167" s="580"/>
      <c r="M167" s="580"/>
      <c r="N167" s="580"/>
      <c r="O167" s="580"/>
      <c r="P167" s="580"/>
      <c r="Q167" s="580"/>
      <c r="R167" s="580"/>
      <c r="S167" s="580"/>
      <c r="T167" s="580"/>
      <c r="U167" s="580"/>
      <c r="V167" s="580"/>
      <c r="W167" s="580"/>
      <c r="X167" s="580"/>
      <c r="Y167" s="580"/>
      <c r="Z167" s="580"/>
      <c r="AA167" s="581"/>
    </row>
    <row r="168" spans="2:27" x14ac:dyDescent="0.25">
      <c r="B168" s="169"/>
      <c r="C168" s="580"/>
      <c r="D168" s="580"/>
      <c r="E168" s="580"/>
      <c r="F168" s="580"/>
      <c r="G168" s="580"/>
      <c r="H168" s="580"/>
      <c r="I168" s="580"/>
      <c r="J168" s="580"/>
      <c r="K168" s="580"/>
      <c r="L168" s="580"/>
      <c r="M168" s="580"/>
      <c r="N168" s="580"/>
      <c r="O168" s="580"/>
      <c r="P168" s="580"/>
      <c r="Q168" s="580"/>
      <c r="R168" s="580"/>
      <c r="S168" s="580"/>
      <c r="T168" s="580"/>
      <c r="U168" s="580"/>
      <c r="V168" s="580"/>
      <c r="W168" s="580"/>
      <c r="X168" s="580"/>
      <c r="Y168" s="580"/>
      <c r="Z168" s="580"/>
      <c r="AA168" s="581"/>
    </row>
    <row r="169" spans="2:27" x14ac:dyDescent="0.25">
      <c r="B169" s="169"/>
      <c r="C169" s="580"/>
      <c r="D169" s="580"/>
      <c r="E169" s="580"/>
      <c r="F169" s="580"/>
      <c r="G169" s="580"/>
      <c r="H169" s="580"/>
      <c r="I169" s="580"/>
      <c r="J169" s="580"/>
      <c r="K169" s="580"/>
      <c r="L169" s="580"/>
      <c r="M169" s="580"/>
      <c r="N169" s="580"/>
      <c r="O169" s="580"/>
      <c r="P169" s="580"/>
      <c r="Q169" s="580"/>
      <c r="R169" s="580"/>
      <c r="S169" s="580"/>
      <c r="T169" s="580"/>
      <c r="U169" s="580"/>
      <c r="V169" s="580"/>
      <c r="W169" s="580"/>
      <c r="X169" s="580"/>
      <c r="Y169" s="580"/>
      <c r="Z169" s="580"/>
      <c r="AA169" s="581"/>
    </row>
    <row r="170" spans="2:27" ht="13" x14ac:dyDescent="0.3">
      <c r="B170" s="169"/>
      <c r="C170" s="578"/>
      <c r="D170" s="580"/>
      <c r="E170" s="580"/>
      <c r="F170" s="580"/>
      <c r="G170" s="580"/>
      <c r="H170" s="580"/>
      <c r="I170" s="580"/>
      <c r="J170" s="580"/>
      <c r="K170" s="580"/>
      <c r="L170" s="580"/>
      <c r="M170" s="580"/>
      <c r="N170" s="580"/>
      <c r="O170" s="580"/>
      <c r="P170" s="580"/>
      <c r="Q170" s="580"/>
      <c r="R170" s="580"/>
      <c r="S170" s="580"/>
      <c r="T170" s="580"/>
      <c r="U170" s="580"/>
      <c r="V170" s="580"/>
      <c r="W170" s="580"/>
      <c r="X170" s="580"/>
      <c r="Y170" s="580"/>
      <c r="Z170" s="580"/>
      <c r="AA170" s="581"/>
    </row>
    <row r="171" spans="2:27" ht="13" x14ac:dyDescent="0.3">
      <c r="B171" s="169"/>
      <c r="C171" s="588" t="s">
        <v>756</v>
      </c>
      <c r="D171" s="588" t="s">
        <v>47</v>
      </c>
      <c r="E171" s="589"/>
      <c r="F171" s="589"/>
      <c r="G171" s="589"/>
      <c r="H171" s="589"/>
      <c r="I171" s="589"/>
      <c r="J171" s="580"/>
      <c r="K171" s="580"/>
      <c r="L171" s="580"/>
      <c r="M171" s="580"/>
      <c r="N171" s="580"/>
      <c r="O171" s="580"/>
      <c r="P171" s="580"/>
      <c r="Q171" s="580"/>
      <c r="R171" s="580"/>
      <c r="S171" s="580"/>
      <c r="T171" s="580"/>
      <c r="U171" s="580"/>
      <c r="V171" s="580"/>
      <c r="W171" s="580"/>
      <c r="X171" s="580"/>
      <c r="Y171" s="580"/>
      <c r="Z171" s="580"/>
      <c r="AA171" s="581"/>
    </row>
    <row r="172" spans="2:27" ht="13" x14ac:dyDescent="0.3">
      <c r="B172" s="169"/>
      <c r="C172" s="580"/>
      <c r="D172" s="588" t="s">
        <v>48</v>
      </c>
      <c r="E172" s="589"/>
      <c r="F172" s="589"/>
      <c r="G172" s="589"/>
      <c r="H172" s="589"/>
      <c r="I172" s="589"/>
      <c r="J172" s="580"/>
      <c r="K172" s="580"/>
      <c r="L172" s="580"/>
      <c r="M172" s="580"/>
      <c r="N172" s="580"/>
      <c r="O172" s="580"/>
      <c r="P172" s="580"/>
      <c r="Q172" s="580"/>
      <c r="R172" s="580"/>
      <c r="S172" s="580"/>
      <c r="T172" s="580"/>
      <c r="U172" s="580"/>
      <c r="V172" s="580"/>
      <c r="W172" s="580"/>
      <c r="X172" s="580"/>
      <c r="Y172" s="580"/>
      <c r="Z172" s="580"/>
      <c r="AA172" s="581"/>
    </row>
    <row r="173" spans="2:27" ht="13" x14ac:dyDescent="0.3">
      <c r="B173" s="169"/>
      <c r="C173" s="580"/>
      <c r="D173" s="595"/>
      <c r="E173" s="580"/>
      <c r="F173" s="580"/>
      <c r="G173" s="580"/>
      <c r="H173" s="580"/>
      <c r="I173" s="580"/>
      <c r="J173" s="580"/>
      <c r="K173" s="580"/>
      <c r="L173" s="580"/>
      <c r="M173" s="580"/>
      <c r="N173" s="580"/>
      <c r="O173" s="580"/>
      <c r="P173" s="580"/>
      <c r="Q173" s="580"/>
      <c r="R173" s="580"/>
      <c r="S173" s="580"/>
      <c r="T173" s="580"/>
      <c r="U173" s="580"/>
      <c r="V173" s="580"/>
      <c r="W173" s="580"/>
      <c r="X173" s="580"/>
      <c r="Y173" s="580"/>
      <c r="Z173" s="580"/>
      <c r="AA173" s="581"/>
    </row>
    <row r="174" spans="2:27" ht="39" x14ac:dyDescent="0.3">
      <c r="B174" s="169"/>
      <c r="C174" s="580"/>
      <c r="D174" s="599" t="s">
        <v>560</v>
      </c>
      <c r="E174" s="600"/>
      <c r="F174" s="601" t="s">
        <v>561</v>
      </c>
      <c r="G174" s="601" t="s">
        <v>562</v>
      </c>
      <c r="H174" s="580"/>
      <c r="I174" s="580"/>
      <c r="J174" s="580"/>
      <c r="K174" s="580"/>
      <c r="L174" s="580"/>
      <c r="M174" s="580"/>
      <c r="N174" s="580"/>
      <c r="O174" s="580"/>
      <c r="P174" s="580"/>
      <c r="Q174" s="580"/>
      <c r="R174" s="580"/>
      <c r="S174" s="580"/>
      <c r="T174" s="580"/>
      <c r="U174" s="580"/>
      <c r="V174" s="580"/>
      <c r="W174" s="580"/>
      <c r="X174" s="580"/>
      <c r="Y174" s="580"/>
      <c r="Z174" s="580"/>
      <c r="AA174" s="581"/>
    </row>
    <row r="175" spans="2:27" x14ac:dyDescent="0.25">
      <c r="B175" s="169"/>
      <c r="C175" s="580"/>
      <c r="D175" s="181" t="s">
        <v>563</v>
      </c>
      <c r="E175" s="690"/>
      <c r="F175" s="692">
        <v>20</v>
      </c>
      <c r="G175" s="68"/>
      <c r="H175" s="603"/>
      <c r="I175" s="580"/>
      <c r="J175" s="580"/>
      <c r="K175" s="580"/>
      <c r="L175" s="580"/>
      <c r="M175" s="580"/>
      <c r="N175" s="580"/>
      <c r="O175" s="580"/>
      <c r="P175" s="580"/>
      <c r="Q175" s="580"/>
      <c r="R175" s="580"/>
      <c r="S175" s="580"/>
      <c r="T175" s="580"/>
      <c r="U175" s="580"/>
      <c r="V175" s="580"/>
      <c r="W175" s="580"/>
      <c r="X175" s="580"/>
      <c r="Y175" s="580"/>
      <c r="Z175" s="580"/>
      <c r="AA175" s="581"/>
    </row>
    <row r="176" spans="2:27" x14ac:dyDescent="0.25">
      <c r="B176" s="169"/>
      <c r="C176" s="580"/>
      <c r="D176" s="186" t="s">
        <v>564</v>
      </c>
      <c r="E176" s="602"/>
      <c r="F176" s="693">
        <v>20</v>
      </c>
      <c r="G176" s="691"/>
      <c r="H176" s="603"/>
      <c r="I176" s="580"/>
      <c r="J176" s="580"/>
      <c r="K176" s="580"/>
      <c r="L176" s="580"/>
      <c r="M176" s="580"/>
      <c r="N176" s="580"/>
      <c r="O176" s="580"/>
      <c r="P176" s="580"/>
      <c r="Q176" s="580"/>
      <c r="R176" s="580"/>
      <c r="S176" s="580"/>
      <c r="T176" s="580"/>
      <c r="U176" s="580"/>
      <c r="V176" s="580"/>
      <c r="W176" s="580"/>
      <c r="X176" s="580"/>
      <c r="Y176" s="580"/>
      <c r="Z176" s="580"/>
      <c r="AA176" s="581"/>
    </row>
    <row r="177" spans="2:27" x14ac:dyDescent="0.25">
      <c r="B177" s="169"/>
      <c r="C177" s="580"/>
      <c r="D177" s="604" t="s">
        <v>565</v>
      </c>
      <c r="E177" s="602"/>
      <c r="F177" s="693">
        <v>20</v>
      </c>
      <c r="G177" s="68"/>
      <c r="H177" s="603"/>
      <c r="I177" s="580"/>
      <c r="J177" s="580"/>
      <c r="K177" s="580"/>
      <c r="L177" s="580"/>
      <c r="M177" s="580"/>
      <c r="N177" s="580"/>
      <c r="O177" s="580"/>
      <c r="P177" s="580"/>
      <c r="Q177" s="580"/>
      <c r="R177" s="580"/>
      <c r="S177" s="580"/>
      <c r="T177" s="580"/>
      <c r="U177" s="580"/>
      <c r="V177" s="580"/>
      <c r="W177" s="580"/>
      <c r="X177" s="580"/>
      <c r="Y177" s="580"/>
      <c r="Z177" s="580"/>
      <c r="AA177" s="581"/>
    </row>
    <row r="178" spans="2:27" x14ac:dyDescent="0.25">
      <c r="B178" s="169"/>
      <c r="C178" s="580"/>
      <c r="D178" s="604" t="s">
        <v>571</v>
      </c>
      <c r="E178" s="602"/>
      <c r="F178" s="693">
        <v>20</v>
      </c>
      <c r="G178" s="68"/>
      <c r="H178" s="603"/>
      <c r="I178" s="580"/>
      <c r="J178" s="580"/>
      <c r="K178" s="580"/>
      <c r="L178" s="580"/>
      <c r="M178" s="580"/>
      <c r="N178" s="580"/>
      <c r="O178" s="580"/>
      <c r="P178" s="580"/>
      <c r="Q178" s="580"/>
      <c r="R178" s="580"/>
      <c r="S178" s="580"/>
      <c r="T178" s="580"/>
      <c r="U178" s="580"/>
      <c r="V178" s="580"/>
      <c r="W178" s="580"/>
      <c r="X178" s="580"/>
      <c r="Y178" s="580"/>
      <c r="Z178" s="580"/>
      <c r="AA178" s="581"/>
    </row>
    <row r="179" spans="2:27" x14ac:dyDescent="0.25">
      <c r="B179" s="169"/>
      <c r="C179" s="580"/>
      <c r="D179" s="688" t="s">
        <v>758</v>
      </c>
      <c r="E179" s="612"/>
      <c r="F179" s="694">
        <v>20</v>
      </c>
      <c r="G179" s="689"/>
      <c r="H179" s="603"/>
      <c r="I179" s="580"/>
      <c r="J179" s="580"/>
      <c r="K179" s="580"/>
      <c r="L179" s="580"/>
      <c r="M179" s="580"/>
      <c r="N179" s="580"/>
      <c r="O179" s="580"/>
      <c r="P179" s="580"/>
      <c r="Q179" s="580"/>
      <c r="R179" s="580"/>
      <c r="S179" s="580"/>
      <c r="T179" s="580"/>
      <c r="U179" s="580"/>
      <c r="V179" s="580"/>
      <c r="W179" s="580"/>
      <c r="X179" s="580"/>
      <c r="Y179" s="580"/>
      <c r="Z179" s="580"/>
      <c r="AA179" s="581"/>
    </row>
    <row r="180" spans="2:27" x14ac:dyDescent="0.25">
      <c r="B180" s="169"/>
      <c r="C180" s="580"/>
      <c r="D180" s="580"/>
      <c r="E180" s="580"/>
      <c r="F180" s="580"/>
      <c r="G180" s="580"/>
      <c r="H180" s="603"/>
      <c r="I180" s="580"/>
      <c r="J180" s="580"/>
      <c r="K180" s="580"/>
      <c r="L180" s="580"/>
      <c r="M180" s="580"/>
      <c r="N180" s="580"/>
      <c r="O180" s="580"/>
      <c r="P180" s="580"/>
      <c r="Q180" s="580"/>
      <c r="R180" s="580"/>
      <c r="S180" s="580"/>
      <c r="T180" s="580"/>
      <c r="U180" s="580"/>
      <c r="V180" s="580"/>
      <c r="W180" s="580"/>
      <c r="X180" s="580"/>
      <c r="Y180" s="580"/>
      <c r="Z180" s="580"/>
      <c r="AA180" s="581"/>
    </row>
    <row r="181" spans="2:27" ht="13" x14ac:dyDescent="0.3">
      <c r="B181" s="169"/>
      <c r="C181" s="590" t="s">
        <v>757</v>
      </c>
      <c r="D181" s="588" t="s">
        <v>49</v>
      </c>
      <c r="E181" s="589"/>
      <c r="F181" s="589"/>
      <c r="G181" s="589"/>
      <c r="H181" s="603"/>
      <c r="I181" s="589"/>
      <c r="J181" s="589"/>
      <c r="K181" s="589"/>
      <c r="L181" s="589"/>
      <c r="M181" s="589"/>
      <c r="N181" s="589"/>
      <c r="O181" s="580"/>
      <c r="P181" s="580"/>
      <c r="Q181" s="580"/>
      <c r="R181" s="580"/>
      <c r="S181" s="580"/>
      <c r="T181" s="580"/>
      <c r="U181" s="580"/>
      <c r="V181" s="580"/>
      <c r="W181" s="580"/>
      <c r="X181" s="580"/>
      <c r="Y181" s="580"/>
      <c r="Z181" s="580"/>
      <c r="AA181" s="581"/>
    </row>
    <row r="182" spans="2:27" ht="18" customHeight="1" x14ac:dyDescent="0.3">
      <c r="B182" s="169"/>
      <c r="C182" s="580"/>
      <c r="D182" s="605"/>
      <c r="E182" s="606"/>
      <c r="F182" s="606"/>
      <c r="G182" s="606"/>
      <c r="H182" s="603"/>
      <c r="I182" s="580"/>
      <c r="J182" s="580"/>
      <c r="K182" s="580"/>
      <c r="L182" s="580"/>
      <c r="M182" s="580"/>
      <c r="N182" s="580"/>
      <c r="O182" s="580"/>
      <c r="P182" s="580"/>
      <c r="Q182" s="580"/>
      <c r="R182" s="580"/>
      <c r="S182" s="580"/>
      <c r="T182" s="580"/>
      <c r="U182" s="580"/>
      <c r="V182" s="580"/>
      <c r="W182" s="580"/>
      <c r="X182" s="580"/>
      <c r="Y182" s="580"/>
      <c r="Z182" s="580"/>
      <c r="AA182" s="581"/>
    </row>
    <row r="183" spans="2:27" x14ac:dyDescent="0.25">
      <c r="B183" s="169"/>
      <c r="C183" s="580"/>
      <c r="D183" s="607" t="s">
        <v>5</v>
      </c>
      <c r="E183" s="608"/>
      <c r="F183" s="609"/>
      <c r="G183" s="66"/>
      <c r="H183" s="610"/>
      <c r="I183" s="580"/>
      <c r="J183" s="580"/>
      <c r="K183" s="580"/>
      <c r="L183" s="580"/>
      <c r="M183" s="580"/>
      <c r="N183" s="580"/>
      <c r="O183" s="580"/>
      <c r="P183" s="580"/>
      <c r="Q183" s="580"/>
      <c r="R183" s="580"/>
      <c r="S183" s="580"/>
      <c r="T183" s="580"/>
      <c r="U183" s="580"/>
      <c r="V183" s="580"/>
      <c r="W183" s="580"/>
      <c r="X183" s="580"/>
      <c r="Y183" s="580"/>
      <c r="Z183" s="580"/>
      <c r="AA183" s="581"/>
    </row>
    <row r="184" spans="2:27" x14ac:dyDescent="0.25">
      <c r="B184" s="169"/>
      <c r="C184" s="580"/>
      <c r="D184" s="611" t="s">
        <v>6</v>
      </c>
      <c r="E184" s="606"/>
      <c r="F184" s="612"/>
      <c r="G184" s="63"/>
      <c r="H184" s="610"/>
      <c r="I184" s="580"/>
      <c r="J184" s="580"/>
      <c r="K184" s="580"/>
      <c r="L184" s="580"/>
      <c r="M184" s="580"/>
      <c r="N184" s="580"/>
      <c r="O184" s="580"/>
      <c r="P184" s="580"/>
      <c r="Q184" s="580"/>
      <c r="R184" s="580"/>
      <c r="S184" s="580"/>
      <c r="T184" s="580"/>
      <c r="U184" s="580"/>
      <c r="V184" s="580"/>
      <c r="W184" s="580"/>
      <c r="X184" s="580"/>
      <c r="Y184" s="580"/>
      <c r="Z184" s="580"/>
      <c r="AA184" s="581"/>
    </row>
    <row r="185" spans="2:27" ht="12" customHeight="1" x14ac:dyDescent="0.25">
      <c r="B185" s="169"/>
      <c r="C185" s="580"/>
      <c r="D185" s="613"/>
      <c r="E185" s="606"/>
      <c r="F185" s="606"/>
      <c r="G185" s="606"/>
      <c r="H185" s="603"/>
      <c r="I185" s="580"/>
      <c r="J185" s="580"/>
      <c r="K185" s="580"/>
      <c r="L185" s="580"/>
      <c r="M185" s="580"/>
      <c r="N185" s="580"/>
      <c r="O185" s="580"/>
      <c r="P185" s="580"/>
      <c r="Q185" s="580"/>
      <c r="R185" s="580"/>
      <c r="S185" s="580"/>
      <c r="T185" s="580"/>
      <c r="U185" s="580"/>
      <c r="V185" s="580"/>
      <c r="W185" s="580"/>
      <c r="X185" s="580"/>
      <c r="Y185" s="580"/>
      <c r="Z185" s="580"/>
      <c r="AA185" s="581"/>
    </row>
    <row r="186" spans="2:27" x14ac:dyDescent="0.25">
      <c r="B186" s="169"/>
      <c r="C186" s="580"/>
      <c r="D186" s="611" t="s">
        <v>9</v>
      </c>
      <c r="E186" s="606"/>
      <c r="F186" s="614" t="s">
        <v>570</v>
      </c>
      <c r="G186" s="64"/>
      <c r="H186" s="615" t="s">
        <v>133</v>
      </c>
      <c r="I186" s="106"/>
      <c r="J186" s="580"/>
      <c r="K186" s="580"/>
      <c r="L186" s="580"/>
      <c r="M186" s="580"/>
      <c r="N186" s="580"/>
      <c r="O186" s="580"/>
      <c r="P186" s="580"/>
      <c r="Q186" s="580"/>
      <c r="R186" s="580"/>
      <c r="S186" s="580"/>
      <c r="T186" s="580"/>
      <c r="U186" s="580"/>
      <c r="V186" s="580"/>
      <c r="W186" s="580"/>
      <c r="X186" s="580"/>
      <c r="Y186" s="580"/>
      <c r="Z186" s="580"/>
      <c r="AA186" s="581"/>
    </row>
    <row r="187" spans="2:27" x14ac:dyDescent="0.25">
      <c r="B187" s="169"/>
      <c r="C187" s="580"/>
      <c r="D187" s="589"/>
      <c r="E187" s="580"/>
      <c r="F187" s="580"/>
      <c r="G187" s="580"/>
      <c r="H187" s="603"/>
      <c r="I187" s="580"/>
      <c r="J187" s="580"/>
      <c r="K187" s="580"/>
      <c r="L187" s="580"/>
      <c r="M187" s="580"/>
      <c r="N187" s="580"/>
      <c r="O187" s="580"/>
      <c r="P187" s="580"/>
      <c r="Q187" s="580"/>
      <c r="R187" s="580"/>
      <c r="S187" s="580"/>
      <c r="T187" s="580"/>
      <c r="U187" s="580"/>
      <c r="V187" s="580"/>
      <c r="W187" s="580"/>
      <c r="X187" s="580"/>
      <c r="Y187" s="580"/>
      <c r="Z187" s="580"/>
      <c r="AA187" s="581"/>
    </row>
    <row r="188" spans="2:27" ht="13" x14ac:dyDescent="0.3">
      <c r="B188" s="169"/>
      <c r="C188" s="588" t="s">
        <v>568</v>
      </c>
      <c r="D188" s="580"/>
      <c r="E188" s="580"/>
      <c r="F188" s="580"/>
      <c r="G188" s="580"/>
      <c r="H188" s="603"/>
      <c r="I188" s="580"/>
      <c r="J188" s="580"/>
      <c r="K188" s="580"/>
      <c r="L188" s="580"/>
      <c r="M188" s="580"/>
      <c r="N188" s="580"/>
      <c r="O188" s="580"/>
      <c r="P188" s="580"/>
      <c r="Q188" s="580"/>
      <c r="R188" s="580"/>
      <c r="S188" s="580"/>
      <c r="T188" s="580"/>
      <c r="U188" s="580"/>
      <c r="V188" s="580"/>
      <c r="W188" s="580"/>
      <c r="X188" s="580"/>
      <c r="Y188" s="580"/>
      <c r="Z188" s="580"/>
      <c r="AA188" s="581"/>
    </row>
    <row r="189" spans="2:27" ht="13" x14ac:dyDescent="0.3">
      <c r="B189" s="169"/>
      <c r="C189" s="588" t="s">
        <v>569</v>
      </c>
      <c r="D189" s="580"/>
      <c r="E189" s="580"/>
      <c r="F189" s="580"/>
      <c r="G189" s="580"/>
      <c r="H189" s="603"/>
      <c r="I189" s="580"/>
      <c r="J189" s="580"/>
      <c r="K189" s="580"/>
      <c r="L189" s="580"/>
      <c r="M189" s="580"/>
      <c r="N189" s="580"/>
      <c r="O189" s="580"/>
      <c r="P189" s="580"/>
      <c r="Q189" s="580"/>
      <c r="R189" s="580"/>
      <c r="S189" s="580"/>
      <c r="T189" s="580"/>
      <c r="U189" s="580"/>
      <c r="V189" s="580"/>
      <c r="W189" s="580"/>
      <c r="X189" s="580"/>
      <c r="Y189" s="580"/>
      <c r="Z189" s="580"/>
      <c r="AA189" s="581"/>
    </row>
    <row r="190" spans="2:27" ht="13" x14ac:dyDescent="0.3">
      <c r="B190" s="169"/>
      <c r="C190" s="588" t="s">
        <v>443</v>
      </c>
      <c r="D190" s="580"/>
      <c r="E190" s="580"/>
      <c r="F190" s="580"/>
      <c r="G190" s="580"/>
      <c r="H190" s="603"/>
      <c r="I190" s="580"/>
      <c r="J190" s="580"/>
      <c r="K190" s="580"/>
      <c r="L190" s="580"/>
      <c r="M190" s="580"/>
      <c r="N190" s="580"/>
      <c r="O190" s="580"/>
      <c r="P190" s="580"/>
      <c r="Q190" s="580"/>
      <c r="R190" s="580"/>
      <c r="S190" s="580"/>
      <c r="T190" s="580"/>
      <c r="U190" s="580"/>
      <c r="V190" s="580"/>
      <c r="W190" s="580"/>
      <c r="X190" s="580"/>
      <c r="Y190" s="580"/>
      <c r="Z190" s="580"/>
      <c r="AA190" s="581"/>
    </row>
    <row r="191" spans="2:27" ht="13" thickBot="1" x14ac:dyDescent="0.3">
      <c r="B191" s="171"/>
      <c r="C191" s="616"/>
      <c r="D191" s="616"/>
      <c r="E191" s="616"/>
      <c r="F191" s="616"/>
      <c r="G191" s="616"/>
      <c r="H191" s="617"/>
      <c r="I191" s="616"/>
      <c r="J191" s="616"/>
      <c r="K191" s="616"/>
      <c r="L191" s="616"/>
      <c r="M191" s="616"/>
      <c r="N191" s="616"/>
      <c r="O191" s="616"/>
      <c r="P191" s="616"/>
      <c r="Q191" s="616"/>
      <c r="R191" s="616"/>
      <c r="S191" s="616"/>
      <c r="T191" s="616"/>
      <c r="U191" s="616"/>
      <c r="V191" s="616"/>
      <c r="W191" s="616"/>
      <c r="X191" s="616"/>
      <c r="Y191" s="616"/>
      <c r="Z191" s="616"/>
      <c r="AA191" s="618"/>
    </row>
    <row r="192" spans="2:27" x14ac:dyDescent="0.25">
      <c r="L192" s="6"/>
    </row>
  </sheetData>
  <mergeCells count="6">
    <mergeCell ref="H76:I76"/>
    <mergeCell ref="D68:M68"/>
    <mergeCell ref="P68:Z68"/>
    <mergeCell ref="B3:AA3"/>
    <mergeCell ref="B4:AA4"/>
    <mergeCell ref="B5:AA5"/>
  </mergeCells>
  <phoneticPr fontId="14" type="noConversion"/>
  <conditionalFormatting sqref="V14:V67">
    <cfRule type="cellIs" dxfId="16" priority="1" stopIfTrue="1" operator="notEqual">
      <formula>""""""</formula>
    </cfRule>
  </conditionalFormatting>
  <dataValidations xWindow="636" yWindow="417" count="7">
    <dataValidation allowBlank="1" showInputMessage="1" showErrorMessage="1" prompt="Only dry digestion is applicable for yard trimmings.  See Question 8a below._x000a_" sqref="K43 U43"/>
    <dataValidation allowBlank="1" showInputMessage="1" showErrorMessage="1" prompt="Only dry digestion is applicable for grass.  See Question 8a below._x000a_" sqref="K44 U44"/>
    <dataValidation allowBlank="1" showInputMessage="1" showErrorMessage="1" prompt="Only dry digestion is applicable for leaves.  See Question 8a below._x000a__x000a_" sqref="K45 U45"/>
    <dataValidation allowBlank="1" showInputMessage="1" showErrorMessage="1" prompt="Only dry digestion is applicable for branches.  See Question 8a below._x000a_" sqref="K46 U46"/>
    <dataValidation allowBlank="1" showInputMessage="1" showErrorMessage="1" prompt="Only dry digestion is applicable for mixed organics.  See Question 8a below._x000a_" sqref="K54 U54"/>
    <dataValidation allowBlank="1" showInputMessage="1" showErrorMessage="1" prompt="Wet and dry digestion can be modeled for this material.  See Question 8a below._x000a__x000a__x000a_" sqref="K35:K42 U35:U42 K53 U53"/>
    <dataValidation type="list" allowBlank="1" showInputMessage="1" showErrorMessage="1" sqref="H76:I76">
      <formula1>$Y$76:$Y$127</formula1>
    </dataValidation>
  </dataValidations>
  <pageMargins left="0.5" right="0.5" top="0.76" bottom="0.83" header="0.5" footer="0.5"/>
  <pageSetup scale="76" orientation="landscape" horizontalDpi="360" r:id="rId1"/>
  <headerFooter alignWithMargins="0">
    <oddHeader>&amp;A</oddHeader>
    <oddFooter>Page &amp;P of &amp;N</oddFooter>
  </headerFooter>
  <rowBreaks count="1" manualBreakCount="1">
    <brk id="68" min="16" max="28" man="1"/>
  </rowBreaks>
  <ignoredErrors>
    <ignoredError sqref="V5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168" r:id="rId4" name="Group Box 120">
              <controlPr defaultSize="0" autoFill="0" autoPict="0">
                <anchor moveWithCells="1">
                  <from>
                    <xdr:col>3</xdr:col>
                    <xdr:colOff>12700</xdr:colOff>
                    <xdr:row>84</xdr:row>
                    <xdr:rowOff>38100</xdr:rowOff>
                  </from>
                  <to>
                    <xdr:col>4</xdr:col>
                    <xdr:colOff>647700</xdr:colOff>
                    <xdr:row>89</xdr:row>
                    <xdr:rowOff>76200</xdr:rowOff>
                  </to>
                </anchor>
              </controlPr>
            </control>
          </mc:Choice>
        </mc:AlternateContent>
        <mc:AlternateContent xmlns:mc="http://schemas.openxmlformats.org/markup-compatibility/2006">
          <mc:Choice Requires="x14">
            <control shapeId="2169" r:id="rId5" name="Option Button 121">
              <controlPr defaultSize="0" autoFill="0" autoLine="0" autoPict="0">
                <anchor moveWithCells="1">
                  <from>
                    <xdr:col>3</xdr:col>
                    <xdr:colOff>127000</xdr:colOff>
                    <xdr:row>87</xdr:row>
                    <xdr:rowOff>0</xdr:rowOff>
                  </from>
                  <to>
                    <xdr:col>4</xdr:col>
                    <xdr:colOff>552450</xdr:colOff>
                    <xdr:row>88</xdr:row>
                    <xdr:rowOff>57150</xdr:rowOff>
                  </to>
                </anchor>
              </controlPr>
            </control>
          </mc:Choice>
        </mc:AlternateContent>
        <mc:AlternateContent xmlns:mc="http://schemas.openxmlformats.org/markup-compatibility/2006">
          <mc:Choice Requires="x14">
            <control shapeId="2170" r:id="rId6" name="Option Button 122">
              <controlPr defaultSize="0" autoFill="0" autoLine="0" autoPict="0">
                <anchor moveWithCells="1">
                  <from>
                    <xdr:col>3</xdr:col>
                    <xdr:colOff>127000</xdr:colOff>
                    <xdr:row>84</xdr:row>
                    <xdr:rowOff>127000</xdr:rowOff>
                  </from>
                  <to>
                    <xdr:col>4</xdr:col>
                    <xdr:colOff>533400</xdr:colOff>
                    <xdr:row>86</xdr:row>
                    <xdr:rowOff>12700</xdr:rowOff>
                  </to>
                </anchor>
              </controlPr>
            </control>
          </mc:Choice>
        </mc:AlternateContent>
        <mc:AlternateContent xmlns:mc="http://schemas.openxmlformats.org/markup-compatibility/2006">
          <mc:Choice Requires="x14">
            <control shapeId="2171" r:id="rId7" name="Group Box 123">
              <controlPr defaultSize="0" autoFill="0" autoPict="0">
                <anchor moveWithCells="1">
                  <from>
                    <xdr:col>3</xdr:col>
                    <xdr:colOff>19050</xdr:colOff>
                    <xdr:row>95</xdr:row>
                    <xdr:rowOff>31750</xdr:rowOff>
                  </from>
                  <to>
                    <xdr:col>4</xdr:col>
                    <xdr:colOff>914400</xdr:colOff>
                    <xdr:row>102</xdr:row>
                    <xdr:rowOff>12700</xdr:rowOff>
                  </to>
                </anchor>
              </controlPr>
            </control>
          </mc:Choice>
        </mc:AlternateContent>
        <mc:AlternateContent xmlns:mc="http://schemas.openxmlformats.org/markup-compatibility/2006">
          <mc:Choice Requires="x14">
            <control shapeId="2172" r:id="rId8" name="Option Button 124">
              <controlPr defaultSize="0" autoFill="0" autoLine="0" autoPict="0">
                <anchor moveWithCells="1">
                  <from>
                    <xdr:col>3</xdr:col>
                    <xdr:colOff>165100</xdr:colOff>
                    <xdr:row>97</xdr:row>
                    <xdr:rowOff>114300</xdr:rowOff>
                  </from>
                  <to>
                    <xdr:col>4</xdr:col>
                    <xdr:colOff>850900</xdr:colOff>
                    <xdr:row>99</xdr:row>
                    <xdr:rowOff>0</xdr:rowOff>
                  </to>
                </anchor>
              </controlPr>
            </control>
          </mc:Choice>
        </mc:AlternateContent>
        <mc:AlternateContent xmlns:mc="http://schemas.openxmlformats.org/markup-compatibility/2006">
          <mc:Choice Requires="x14">
            <control shapeId="2173" r:id="rId9" name="Option Button 125">
              <controlPr defaultSize="0" autoFill="0" autoLine="0" autoPict="0">
                <anchor moveWithCells="1">
                  <from>
                    <xdr:col>3</xdr:col>
                    <xdr:colOff>165100</xdr:colOff>
                    <xdr:row>99</xdr:row>
                    <xdr:rowOff>127000</xdr:rowOff>
                  </from>
                  <to>
                    <xdr:col>4</xdr:col>
                    <xdr:colOff>838200</xdr:colOff>
                    <xdr:row>101</xdr:row>
                    <xdr:rowOff>12700</xdr:rowOff>
                  </to>
                </anchor>
              </controlPr>
            </control>
          </mc:Choice>
        </mc:AlternateContent>
        <mc:AlternateContent xmlns:mc="http://schemas.openxmlformats.org/markup-compatibility/2006">
          <mc:Choice Requires="x14">
            <control shapeId="2174" r:id="rId10" name="Option Button 126">
              <controlPr defaultSize="0" autoFill="0" autoLine="0" autoPict="0">
                <anchor moveWithCells="1">
                  <from>
                    <xdr:col>3</xdr:col>
                    <xdr:colOff>165100</xdr:colOff>
                    <xdr:row>95</xdr:row>
                    <xdr:rowOff>95250</xdr:rowOff>
                  </from>
                  <to>
                    <xdr:col>4</xdr:col>
                    <xdr:colOff>819150</xdr:colOff>
                    <xdr:row>96</xdr:row>
                    <xdr:rowOff>152400</xdr:rowOff>
                  </to>
                </anchor>
              </controlPr>
            </control>
          </mc:Choice>
        </mc:AlternateContent>
        <mc:AlternateContent xmlns:mc="http://schemas.openxmlformats.org/markup-compatibility/2006">
          <mc:Choice Requires="x14">
            <control shapeId="2175" r:id="rId11" name="Group Box 127">
              <controlPr defaultSize="0" autoFill="0" autoPict="0">
                <anchor moveWithCells="1">
                  <from>
                    <xdr:col>3</xdr:col>
                    <xdr:colOff>0</xdr:colOff>
                    <xdr:row>105</xdr:row>
                    <xdr:rowOff>12700</xdr:rowOff>
                  </from>
                  <to>
                    <xdr:col>4</xdr:col>
                    <xdr:colOff>914400</xdr:colOff>
                    <xdr:row>109</xdr:row>
                    <xdr:rowOff>88900</xdr:rowOff>
                  </to>
                </anchor>
              </controlPr>
            </control>
          </mc:Choice>
        </mc:AlternateContent>
        <mc:AlternateContent xmlns:mc="http://schemas.openxmlformats.org/markup-compatibility/2006">
          <mc:Choice Requires="x14">
            <control shapeId="2176" r:id="rId12" name="Option Button 128">
              <controlPr defaultSize="0" autoFill="0" autoLine="0" autoPict="0">
                <anchor moveWithCells="1">
                  <from>
                    <xdr:col>3</xdr:col>
                    <xdr:colOff>127000</xdr:colOff>
                    <xdr:row>105</xdr:row>
                    <xdr:rowOff>114300</xdr:rowOff>
                  </from>
                  <to>
                    <xdr:col>4</xdr:col>
                    <xdr:colOff>850900</xdr:colOff>
                    <xdr:row>106</xdr:row>
                    <xdr:rowOff>152400</xdr:rowOff>
                  </to>
                </anchor>
              </controlPr>
            </control>
          </mc:Choice>
        </mc:AlternateContent>
        <mc:AlternateContent xmlns:mc="http://schemas.openxmlformats.org/markup-compatibility/2006">
          <mc:Choice Requires="x14">
            <control shapeId="2177" r:id="rId13" name="Option Button 129">
              <controlPr defaultSize="0" autoFill="0" autoLine="0" autoPict="0">
                <anchor moveWithCells="1">
                  <from>
                    <xdr:col>3</xdr:col>
                    <xdr:colOff>127000</xdr:colOff>
                    <xdr:row>107</xdr:row>
                    <xdr:rowOff>88900</xdr:rowOff>
                  </from>
                  <to>
                    <xdr:col>4</xdr:col>
                    <xdr:colOff>850900</xdr:colOff>
                    <xdr:row>108</xdr:row>
                    <xdr:rowOff>133350</xdr:rowOff>
                  </to>
                </anchor>
              </controlPr>
            </control>
          </mc:Choice>
        </mc:AlternateContent>
        <mc:AlternateContent xmlns:mc="http://schemas.openxmlformats.org/markup-compatibility/2006">
          <mc:Choice Requires="x14">
            <control shapeId="2179" r:id="rId14" name="Group Box 131">
              <controlPr defaultSize="0" autoFill="0" autoPict="0">
                <anchor moveWithCells="1">
                  <from>
                    <xdr:col>3</xdr:col>
                    <xdr:colOff>12700</xdr:colOff>
                    <xdr:row>164</xdr:row>
                    <xdr:rowOff>12700</xdr:rowOff>
                  </from>
                  <to>
                    <xdr:col>5</xdr:col>
                    <xdr:colOff>76200</xdr:colOff>
                    <xdr:row>168</xdr:row>
                    <xdr:rowOff>107950</xdr:rowOff>
                  </to>
                </anchor>
              </controlPr>
            </control>
          </mc:Choice>
        </mc:AlternateContent>
        <mc:AlternateContent xmlns:mc="http://schemas.openxmlformats.org/markup-compatibility/2006">
          <mc:Choice Requires="x14">
            <control shapeId="2180" r:id="rId15" name="Option Button 132">
              <controlPr defaultSize="0" autoFill="0" autoLine="0" autoPict="0">
                <anchor moveWithCells="1">
                  <from>
                    <xdr:col>3</xdr:col>
                    <xdr:colOff>184150</xdr:colOff>
                    <xdr:row>164</xdr:row>
                    <xdr:rowOff>152400</xdr:rowOff>
                  </from>
                  <to>
                    <xdr:col>4</xdr:col>
                    <xdr:colOff>914400</xdr:colOff>
                    <xdr:row>166</xdr:row>
                    <xdr:rowOff>38100</xdr:rowOff>
                  </to>
                </anchor>
              </controlPr>
            </control>
          </mc:Choice>
        </mc:AlternateContent>
        <mc:AlternateContent xmlns:mc="http://schemas.openxmlformats.org/markup-compatibility/2006">
          <mc:Choice Requires="x14">
            <control shapeId="2181" r:id="rId16" name="Option Button 133">
              <controlPr defaultSize="0" autoFill="0" autoLine="0" autoPict="0">
                <anchor moveWithCells="1">
                  <from>
                    <xdr:col>3</xdr:col>
                    <xdr:colOff>171450</xdr:colOff>
                    <xdr:row>166</xdr:row>
                    <xdr:rowOff>114300</xdr:rowOff>
                  </from>
                  <to>
                    <xdr:col>4</xdr:col>
                    <xdr:colOff>914400</xdr:colOff>
                    <xdr:row>167</xdr:row>
                    <xdr:rowOff>152400</xdr:rowOff>
                  </to>
                </anchor>
              </controlPr>
            </control>
          </mc:Choice>
        </mc:AlternateContent>
        <mc:AlternateContent xmlns:mc="http://schemas.openxmlformats.org/markup-compatibility/2006">
          <mc:Choice Requires="x14">
            <control shapeId="2185" r:id="rId17" name="Group Box 137">
              <controlPr defaultSize="0" autoFill="0" autoPict="0">
                <anchor moveWithCells="1" sizeWithCells="1">
                  <from>
                    <xdr:col>2</xdr:col>
                    <xdr:colOff>190500</xdr:colOff>
                    <xdr:row>73</xdr:row>
                    <xdr:rowOff>133350</xdr:rowOff>
                  </from>
                  <to>
                    <xdr:col>9</xdr:col>
                    <xdr:colOff>342900</xdr:colOff>
                    <xdr:row>78</xdr:row>
                    <xdr:rowOff>133350</xdr:rowOff>
                  </to>
                </anchor>
              </controlPr>
            </control>
          </mc:Choice>
        </mc:AlternateContent>
        <mc:AlternateContent xmlns:mc="http://schemas.openxmlformats.org/markup-compatibility/2006">
          <mc:Choice Requires="x14">
            <control shapeId="2255" r:id="rId18" name="Group Box 207">
              <controlPr defaultSize="0" autoFill="0" autoPict="0">
                <anchor moveWithCells="1">
                  <from>
                    <xdr:col>2</xdr:col>
                    <xdr:colOff>190500</xdr:colOff>
                    <xdr:row>117</xdr:row>
                    <xdr:rowOff>69850</xdr:rowOff>
                  </from>
                  <to>
                    <xdr:col>5</xdr:col>
                    <xdr:colOff>336550</xdr:colOff>
                    <xdr:row>125</xdr:row>
                    <xdr:rowOff>50800</xdr:rowOff>
                  </to>
                </anchor>
              </controlPr>
            </control>
          </mc:Choice>
        </mc:AlternateContent>
        <mc:AlternateContent xmlns:mc="http://schemas.openxmlformats.org/markup-compatibility/2006">
          <mc:Choice Requires="x14">
            <control shapeId="2257" r:id="rId19" name="Option Button 209">
              <controlPr defaultSize="0" autoFill="0" autoLine="0" autoPict="0">
                <anchor moveWithCells="1">
                  <from>
                    <xdr:col>3</xdr:col>
                    <xdr:colOff>107950</xdr:colOff>
                    <xdr:row>118</xdr:row>
                    <xdr:rowOff>0</xdr:rowOff>
                  </from>
                  <to>
                    <xdr:col>5</xdr:col>
                    <xdr:colOff>203200</xdr:colOff>
                    <xdr:row>119</xdr:row>
                    <xdr:rowOff>50800</xdr:rowOff>
                  </to>
                </anchor>
              </controlPr>
            </control>
          </mc:Choice>
        </mc:AlternateContent>
        <mc:AlternateContent xmlns:mc="http://schemas.openxmlformats.org/markup-compatibility/2006">
          <mc:Choice Requires="x14">
            <control shapeId="2258" r:id="rId20" name="Option Button 210">
              <controlPr defaultSize="0" autoFill="0" autoLine="0" autoPict="0">
                <anchor moveWithCells="1">
                  <from>
                    <xdr:col>3</xdr:col>
                    <xdr:colOff>107950</xdr:colOff>
                    <xdr:row>119</xdr:row>
                    <xdr:rowOff>133350</xdr:rowOff>
                  </from>
                  <to>
                    <xdr:col>5</xdr:col>
                    <xdr:colOff>203200</xdr:colOff>
                    <xdr:row>121</xdr:row>
                    <xdr:rowOff>12700</xdr:rowOff>
                  </to>
                </anchor>
              </controlPr>
            </control>
          </mc:Choice>
        </mc:AlternateContent>
        <mc:AlternateContent xmlns:mc="http://schemas.openxmlformats.org/markup-compatibility/2006">
          <mc:Choice Requires="x14">
            <control shapeId="2259" r:id="rId21" name="Option Button 211">
              <controlPr defaultSize="0" autoFill="0" autoLine="0" autoPict="0">
                <anchor moveWithCells="1">
                  <from>
                    <xdr:col>3</xdr:col>
                    <xdr:colOff>107950</xdr:colOff>
                    <xdr:row>121</xdr:row>
                    <xdr:rowOff>95250</xdr:rowOff>
                  </from>
                  <to>
                    <xdr:col>5</xdr:col>
                    <xdr:colOff>190500</xdr:colOff>
                    <xdr:row>122</xdr:row>
                    <xdr:rowOff>146050</xdr:rowOff>
                  </to>
                </anchor>
              </controlPr>
            </control>
          </mc:Choice>
        </mc:AlternateContent>
        <mc:AlternateContent xmlns:mc="http://schemas.openxmlformats.org/markup-compatibility/2006">
          <mc:Choice Requires="x14">
            <control shapeId="2260" r:id="rId22" name="Group Box 212">
              <controlPr defaultSize="0" autoFill="0" autoPict="0">
                <anchor moveWithCells="1">
                  <from>
                    <xdr:col>2</xdr:col>
                    <xdr:colOff>190500</xdr:colOff>
                    <xdr:row>130</xdr:row>
                    <xdr:rowOff>88900</xdr:rowOff>
                  </from>
                  <to>
                    <xdr:col>5</xdr:col>
                    <xdr:colOff>336550</xdr:colOff>
                    <xdr:row>140</xdr:row>
                    <xdr:rowOff>133350</xdr:rowOff>
                  </to>
                </anchor>
              </controlPr>
            </control>
          </mc:Choice>
        </mc:AlternateContent>
        <mc:AlternateContent xmlns:mc="http://schemas.openxmlformats.org/markup-compatibility/2006">
          <mc:Choice Requires="x14">
            <control shapeId="2261" r:id="rId23" name="Option Button 213">
              <controlPr defaultSize="0" autoFill="0" autoLine="0" autoPict="0">
                <anchor moveWithCells="1">
                  <from>
                    <xdr:col>3</xdr:col>
                    <xdr:colOff>107950</xdr:colOff>
                    <xdr:row>133</xdr:row>
                    <xdr:rowOff>12700</xdr:rowOff>
                  </from>
                  <to>
                    <xdr:col>5</xdr:col>
                    <xdr:colOff>209550</xdr:colOff>
                    <xdr:row>134</xdr:row>
                    <xdr:rowOff>69850</xdr:rowOff>
                  </to>
                </anchor>
              </controlPr>
            </control>
          </mc:Choice>
        </mc:AlternateContent>
        <mc:AlternateContent xmlns:mc="http://schemas.openxmlformats.org/markup-compatibility/2006">
          <mc:Choice Requires="x14">
            <control shapeId="2262" r:id="rId24" name="Option Button 214">
              <controlPr defaultSize="0" autoFill="0" autoLine="0" autoPict="0">
                <anchor moveWithCells="1">
                  <from>
                    <xdr:col>3</xdr:col>
                    <xdr:colOff>107950</xdr:colOff>
                    <xdr:row>134</xdr:row>
                    <xdr:rowOff>152400</xdr:rowOff>
                  </from>
                  <to>
                    <xdr:col>5</xdr:col>
                    <xdr:colOff>209550</xdr:colOff>
                    <xdr:row>136</xdr:row>
                    <xdr:rowOff>50800</xdr:rowOff>
                  </to>
                </anchor>
              </controlPr>
            </control>
          </mc:Choice>
        </mc:AlternateContent>
        <mc:AlternateContent xmlns:mc="http://schemas.openxmlformats.org/markup-compatibility/2006">
          <mc:Choice Requires="x14">
            <control shapeId="2263" r:id="rId25" name="Option Button 215">
              <controlPr defaultSize="0" autoFill="0" autoLine="0" autoPict="0">
                <anchor moveWithCells="1">
                  <from>
                    <xdr:col>3</xdr:col>
                    <xdr:colOff>107950</xdr:colOff>
                    <xdr:row>136</xdr:row>
                    <xdr:rowOff>133350</xdr:rowOff>
                  </from>
                  <to>
                    <xdr:col>5</xdr:col>
                    <xdr:colOff>209550</xdr:colOff>
                    <xdr:row>138</xdr:row>
                    <xdr:rowOff>31750</xdr:rowOff>
                  </to>
                </anchor>
              </controlPr>
            </control>
          </mc:Choice>
        </mc:AlternateContent>
        <mc:AlternateContent xmlns:mc="http://schemas.openxmlformats.org/markup-compatibility/2006">
          <mc:Choice Requires="x14">
            <control shapeId="2264" r:id="rId26" name="Option Button 216">
              <controlPr defaultSize="0" autoFill="0" autoLine="0" autoPict="0">
                <anchor moveWithCells="1">
                  <from>
                    <xdr:col>3</xdr:col>
                    <xdr:colOff>107950</xdr:colOff>
                    <xdr:row>138</xdr:row>
                    <xdr:rowOff>127000</xdr:rowOff>
                  </from>
                  <to>
                    <xdr:col>5</xdr:col>
                    <xdr:colOff>209550</xdr:colOff>
                    <xdr:row>140</xdr:row>
                    <xdr:rowOff>19050</xdr:rowOff>
                  </to>
                </anchor>
              </controlPr>
            </control>
          </mc:Choice>
        </mc:AlternateContent>
        <mc:AlternateContent xmlns:mc="http://schemas.openxmlformats.org/markup-compatibility/2006">
          <mc:Choice Requires="x14">
            <control shapeId="2333" r:id="rId27" name="Option Button 285">
              <controlPr defaultSize="0" autoFill="0" autoLine="0" autoPict="0">
                <anchor moveWithCells="1">
                  <from>
                    <xdr:col>3</xdr:col>
                    <xdr:colOff>114300</xdr:colOff>
                    <xdr:row>131</xdr:row>
                    <xdr:rowOff>31750</xdr:rowOff>
                  </from>
                  <to>
                    <xdr:col>5</xdr:col>
                    <xdr:colOff>222250</xdr:colOff>
                    <xdr:row>132</xdr:row>
                    <xdr:rowOff>76200</xdr:rowOff>
                  </to>
                </anchor>
              </controlPr>
            </control>
          </mc:Choice>
        </mc:AlternateContent>
        <mc:AlternateContent xmlns:mc="http://schemas.openxmlformats.org/markup-compatibility/2006">
          <mc:Choice Requires="x14">
            <control shapeId="2334" r:id="rId28" name="Option Button 286">
              <controlPr defaultSize="0" autoFill="0" autoLine="0" autoPict="0">
                <anchor moveWithCells="1">
                  <from>
                    <xdr:col>3</xdr:col>
                    <xdr:colOff>107950</xdr:colOff>
                    <xdr:row>123</xdr:row>
                    <xdr:rowOff>50800</xdr:rowOff>
                  </from>
                  <to>
                    <xdr:col>5</xdr:col>
                    <xdr:colOff>190500</xdr:colOff>
                    <xdr:row>124</xdr:row>
                    <xdr:rowOff>95250</xdr:rowOff>
                  </to>
                </anchor>
              </controlPr>
            </control>
          </mc:Choice>
        </mc:AlternateContent>
        <mc:AlternateContent xmlns:mc="http://schemas.openxmlformats.org/markup-compatibility/2006">
          <mc:Choice Requires="x14">
            <control shapeId="2366" r:id="rId29" name="Option Button 318">
              <controlPr defaultSize="0" autoFill="0" autoLine="0" autoPict="0">
                <anchor moveWithCells="1">
                  <from>
                    <xdr:col>3</xdr:col>
                    <xdr:colOff>76200</xdr:colOff>
                    <xdr:row>146</xdr:row>
                    <xdr:rowOff>88900</xdr:rowOff>
                  </from>
                  <to>
                    <xdr:col>5</xdr:col>
                    <xdr:colOff>190500</xdr:colOff>
                    <xdr:row>147</xdr:row>
                    <xdr:rowOff>146050</xdr:rowOff>
                  </to>
                </anchor>
              </controlPr>
            </control>
          </mc:Choice>
        </mc:AlternateContent>
        <mc:AlternateContent xmlns:mc="http://schemas.openxmlformats.org/markup-compatibility/2006">
          <mc:Choice Requires="x14">
            <control shapeId="2367" r:id="rId30" name="Group Box 319">
              <controlPr defaultSize="0" autoFill="0" autoPict="0">
                <anchor moveWithCells="1">
                  <from>
                    <xdr:col>2</xdr:col>
                    <xdr:colOff>184150</xdr:colOff>
                    <xdr:row>145</xdr:row>
                    <xdr:rowOff>114300</xdr:rowOff>
                  </from>
                  <to>
                    <xdr:col>5</xdr:col>
                    <xdr:colOff>317500</xdr:colOff>
                    <xdr:row>150</xdr:row>
                    <xdr:rowOff>114300</xdr:rowOff>
                  </to>
                </anchor>
              </controlPr>
            </control>
          </mc:Choice>
        </mc:AlternateContent>
        <mc:AlternateContent xmlns:mc="http://schemas.openxmlformats.org/markup-compatibility/2006">
          <mc:Choice Requires="x14">
            <control shapeId="2377" r:id="rId31" name="Group Box 329">
              <controlPr defaultSize="0" autoFill="0" autoPict="0">
                <anchor moveWithCells="1">
                  <from>
                    <xdr:col>2</xdr:col>
                    <xdr:colOff>184150</xdr:colOff>
                    <xdr:row>154</xdr:row>
                    <xdr:rowOff>146050</xdr:rowOff>
                  </from>
                  <to>
                    <xdr:col>5</xdr:col>
                    <xdr:colOff>19050</xdr:colOff>
                    <xdr:row>159</xdr:row>
                    <xdr:rowOff>69850</xdr:rowOff>
                  </to>
                </anchor>
              </controlPr>
            </control>
          </mc:Choice>
        </mc:AlternateContent>
        <mc:AlternateContent xmlns:mc="http://schemas.openxmlformats.org/markup-compatibility/2006">
          <mc:Choice Requires="x14">
            <control shapeId="2385" r:id="rId32" name="Option Button 337">
              <controlPr defaultSize="0" autoFill="0" autoLine="0" autoPict="0" altText="Yes">
                <anchor moveWithCells="1">
                  <from>
                    <xdr:col>3</xdr:col>
                    <xdr:colOff>133350</xdr:colOff>
                    <xdr:row>155</xdr:row>
                    <xdr:rowOff>95250</xdr:rowOff>
                  </from>
                  <to>
                    <xdr:col>4</xdr:col>
                    <xdr:colOff>857250</xdr:colOff>
                    <xdr:row>156</xdr:row>
                    <xdr:rowOff>133350</xdr:rowOff>
                  </to>
                </anchor>
              </controlPr>
            </control>
          </mc:Choice>
        </mc:AlternateContent>
        <mc:AlternateContent xmlns:mc="http://schemas.openxmlformats.org/markup-compatibility/2006">
          <mc:Choice Requires="x14">
            <control shapeId="2387" r:id="rId33" name="Option Button 339">
              <controlPr defaultSize="0" autoFill="0" autoLine="0" autoPict="0">
                <anchor moveWithCells="1">
                  <from>
                    <xdr:col>3</xdr:col>
                    <xdr:colOff>76200</xdr:colOff>
                    <xdr:row>148</xdr:row>
                    <xdr:rowOff>69850</xdr:rowOff>
                  </from>
                  <to>
                    <xdr:col>5</xdr:col>
                    <xdr:colOff>203200</xdr:colOff>
                    <xdr:row>150</xdr:row>
                    <xdr:rowOff>0</xdr:rowOff>
                  </to>
                </anchor>
              </controlPr>
            </control>
          </mc:Choice>
        </mc:AlternateContent>
        <mc:AlternateContent xmlns:mc="http://schemas.openxmlformats.org/markup-compatibility/2006">
          <mc:Choice Requires="x14">
            <control shapeId="2394" r:id="rId34" name="Option Button 346">
              <controlPr defaultSize="0" autoFill="0" autoLine="0" autoPict="0" altText="Yes">
                <anchor moveWithCells="1">
                  <from>
                    <xdr:col>3</xdr:col>
                    <xdr:colOff>133350</xdr:colOff>
                    <xdr:row>157</xdr:row>
                    <xdr:rowOff>69850</xdr:rowOff>
                  </from>
                  <to>
                    <xdr:col>4</xdr:col>
                    <xdr:colOff>857250</xdr:colOff>
                    <xdr:row>158</xdr:row>
                    <xdr:rowOff>107950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U81"/>
  <sheetViews>
    <sheetView zoomScale="90" zoomScaleNormal="90" workbookViewId="0">
      <pane xSplit="2" ySplit="1" topLeftCell="F2" activePane="bottomRight" state="frozen"/>
      <selection activeCell="R26" sqref="R26"/>
      <selection pane="topRight" activeCell="R26" sqref="R26"/>
      <selection pane="bottomLeft" activeCell="R26" sqref="R26"/>
      <selection pane="bottomRight" activeCell="G17" sqref="G17"/>
    </sheetView>
  </sheetViews>
  <sheetFormatPr defaultRowHeight="12.5" x14ac:dyDescent="0.25"/>
  <cols>
    <col min="1" max="1" width="26.453125" customWidth="1"/>
    <col min="2" max="2" width="17" customWidth="1"/>
    <col min="3" max="3" width="16.81640625" customWidth="1"/>
    <col min="4" max="4" width="15" customWidth="1"/>
    <col min="5" max="5" width="12.81640625" customWidth="1"/>
    <col min="6" max="6" width="17.81640625" customWidth="1"/>
    <col min="7" max="7" width="13.81640625" customWidth="1"/>
    <col min="8" max="8" width="16.81640625" customWidth="1"/>
    <col min="9" max="9" width="16.7265625" customWidth="1"/>
    <col min="10" max="14" width="13.453125" style="8" customWidth="1"/>
    <col min="15" max="15" width="16.1796875" customWidth="1"/>
    <col min="16" max="16" width="14.54296875" customWidth="1"/>
    <col min="17" max="17" width="13.7265625" customWidth="1"/>
    <col min="18" max="19" width="13.26953125" style="28" customWidth="1"/>
    <col min="20" max="21" width="13.26953125" customWidth="1"/>
    <col min="22" max="22" width="12.1796875" customWidth="1"/>
    <col min="23" max="23" width="11.453125" customWidth="1"/>
    <col min="24" max="24" width="13.1796875" customWidth="1"/>
  </cols>
  <sheetData>
    <row r="1" spans="1:21" ht="117" x14ac:dyDescent="0.3">
      <c r="A1" s="85" t="s">
        <v>496</v>
      </c>
      <c r="B1" s="86" t="s">
        <v>399</v>
      </c>
      <c r="C1" s="86" t="s">
        <v>387</v>
      </c>
      <c r="D1" s="86" t="s">
        <v>388</v>
      </c>
      <c r="E1" s="88" t="s">
        <v>389</v>
      </c>
      <c r="F1" s="88" t="s">
        <v>390</v>
      </c>
      <c r="G1" s="88" t="s">
        <v>400</v>
      </c>
      <c r="H1" s="88" t="s">
        <v>414</v>
      </c>
      <c r="I1" s="86" t="s">
        <v>564</v>
      </c>
      <c r="J1" s="86" t="s">
        <v>571</v>
      </c>
      <c r="K1" s="751" t="s">
        <v>766</v>
      </c>
      <c r="L1" s="751" t="s">
        <v>767</v>
      </c>
      <c r="M1" s="751" t="s">
        <v>770</v>
      </c>
      <c r="N1" s="752" t="s">
        <v>771</v>
      </c>
      <c r="O1" s="742" t="s">
        <v>375</v>
      </c>
      <c r="P1" s="314" t="s">
        <v>91</v>
      </c>
      <c r="Q1" s="315" t="s">
        <v>92</v>
      </c>
      <c r="R1" s="314" t="s">
        <v>816</v>
      </c>
      <c r="S1" s="651"/>
      <c r="T1" s="651"/>
      <c r="U1" s="651"/>
    </row>
    <row r="2" spans="1:21" x14ac:dyDescent="0.25">
      <c r="A2" s="89" t="s">
        <v>515</v>
      </c>
      <c r="B2" s="95">
        <f>IF('Analysis Inputs'!$N$86=2,VLOOKUP(A2,'[1]Emission Factors'!$B$6:$CL$61,16,FALSE),VLOOKUP(A2,[1]!EmissionFactors,17,FALSE))</f>
        <v>-11.08553302325919</v>
      </c>
      <c r="C2" s="69">
        <f>VLOOKUP(A2,'[1]Emission Factors'!$B$6:$CL$61,24,FALSE)+IF('Analysis Inputs'!$N$166=2,(('Analysis Inputs'!$G$177-'Analysis Inputs'!$F$177)*'Summary Data'!$B$66),0)</f>
        <v>-9.107799577537099</v>
      </c>
      <c r="D2" s="10">
        <f>IF('Analysis Inputs'!$N$96=2,F2,IF('Analysis Inputs'!$N$96=3,E2,IF('Analysis Inputs'!$N$107=1,H2,G2)))</f>
        <v>2.0254519141196047E-2</v>
      </c>
      <c r="E2" s="146">
        <f>VLOOKUP(A2,'Landfilling EFs'!$B$16:$GW$69,'Landfilling EFs'!$C$5,FALSE)+IF('Analysis Inputs'!$N$166=2,(('Analysis Inputs'!$G$175-'Analysis Inputs'!$F$175)*$B$66),0)</f>
        <v>2.0254519141196047E-2</v>
      </c>
      <c r="F2" s="149">
        <f>VLOOKUP($A2,'Landfilling EFs'!$B$16:$GW$69,'Landfilling EFs'!$D$5,FALSE)+IF('Analysis Inputs'!$N$166=2,(('Analysis Inputs'!$G$175-'Analysis Inputs'!$F$175)*$B$66),0)</f>
        <v>2.0254519141196047E-2</v>
      </c>
      <c r="G2" s="326">
        <f>VLOOKUP($A2,'Landfilling EFs'!$B$16:$GW$69,'Landfilling EFs'!$E$5,FALSE)+IF('Analysis Inputs'!$N$166=2,(('Analysis Inputs'!$G$175-'Analysis Inputs'!$F$175)*$B$66),0)</f>
        <v>2.0254519141196047E-2</v>
      </c>
      <c r="H2" s="326">
        <f t="shared" ref="H2:H8" si="0">+E2</f>
        <v>2.0254519141196047E-2</v>
      </c>
      <c r="I2" s="12">
        <f>SUM(VLOOKUP(A2,'[1]Emission Factors'!$B$6:$CL$61,31,FALSE),VLOOKUP(A2,'[1]Emission Factors'!$B$6:$CL$61,32,FALSE),VLOOKUP(A2,'[1]Emission Factors'!$B$6:$CL$61,33,FALSE),VLOOKUP(A2,'[1]Emission Factors'!$B$6:$CL$61,34,FALSE),VLOOKUP(A2,'[1]Emission Factors'!$B$6:$CL$61,36,FALSE))+P2+IF('Analysis Inputs'!$N$166=2,(('Analysis Inputs'!$G$176-'Analysis Inputs'!$F$176)*'Summary Data'!$B$66),0)</f>
        <v>2.7063572539042055E-2</v>
      </c>
      <c r="J2" s="655" t="s">
        <v>503</v>
      </c>
      <c r="K2" s="655" t="s">
        <v>503</v>
      </c>
      <c r="L2" s="655" t="s">
        <v>503</v>
      </c>
      <c r="M2" s="655" t="s">
        <v>503</v>
      </c>
      <c r="N2" s="391" t="s">
        <v>503</v>
      </c>
      <c r="O2" s="333" t="str">
        <f>VLOOKUP(A2,LF_Collection_Scenario,'Landfill Gas Collection'!$AB$13,FALSE)</f>
        <v>--</v>
      </c>
      <c r="P2" s="817">
        <f>-VLOOKUP($A2,Avoided_Utility_Combustion,'Analysis Inputs'!$N$77+1,FALSE)</f>
        <v>1.8064162856982962E-2</v>
      </c>
      <c r="Q2" s="318">
        <f>VLOOKUP('Analysis Inputs'!$H$78,LF_Avoided_Utility_Ratio,2,FALSE)</f>
        <v>7.5875281375367018E-2</v>
      </c>
      <c r="R2" s="319" t="s">
        <v>503</v>
      </c>
    </row>
    <row r="3" spans="1:21" x14ac:dyDescent="0.25">
      <c r="A3" s="89" t="s">
        <v>516</v>
      </c>
      <c r="B3" s="95">
        <f>IF('Analysis Inputs'!$N$86=2,VLOOKUP(A3,'[1]Emission Factors'!$B$6:$CL$61,16,FALSE),VLOOKUP(A3,[1]!EmissionFactors,17,FALSE))</f>
        <v>-3.6665929423863797</v>
      </c>
      <c r="C3" s="69">
        <f>VLOOKUP(A3,'[1]Emission Factors'!$B$6:$CL$61,24,FALSE)+IF('Analysis Inputs'!$N$166=2,(('Analysis Inputs'!$G$177-'Analysis Inputs'!$F$177)*'Summary Data'!$B$66),0)</f>
        <v>-1.8122705074770458</v>
      </c>
      <c r="D3" s="10">
        <f>IF('Analysis Inputs'!$N$96=2,F3,IF('Analysis Inputs'!$N$96=3,E3,IF('Analysis Inputs'!$N$107=1,H3,G3)))</f>
        <v>2.0254519141196047E-2</v>
      </c>
      <c r="E3" s="146">
        <f>VLOOKUP(A3,'Landfilling EFs'!$B$16:$GW$69,'Landfilling EFs'!$C$5,FALSE)+IF('Analysis Inputs'!$N$166=2,(('Analysis Inputs'!$G$175-'Analysis Inputs'!$F$175)*$B$66),0)</f>
        <v>2.0254519141196047E-2</v>
      </c>
      <c r="F3" s="149">
        <f>VLOOKUP($A3,'Landfilling EFs'!$B$16:$GW$69,'Landfilling EFs'!$D$5,FALSE)+IF('Analysis Inputs'!$N$166=2,(('Analysis Inputs'!$G$175-'Analysis Inputs'!$F$175)*$B$66),0)</f>
        <v>2.0254519141196047E-2</v>
      </c>
      <c r="G3" s="326">
        <f>VLOOKUP($A3,'Landfilling EFs'!$B$16:$GW$69,'Landfilling EFs'!$E$5,FALSE)+IF('Analysis Inputs'!$N$166=2,(('Analysis Inputs'!$G$175-'Analysis Inputs'!$F$175)*$B$66),0)</f>
        <v>2.0254519141196047E-2</v>
      </c>
      <c r="H3" s="326">
        <f t="shared" si="0"/>
        <v>2.0254519141196047E-2</v>
      </c>
      <c r="I3" s="12">
        <f>SUM(VLOOKUP(A3,'[1]Emission Factors'!$B$6:$CL$61,31,FALSE),VLOOKUP(A3,'[1]Emission Factors'!$B$6:$CL$61,32,FALSE),VLOOKUP(A3,'[1]Emission Factors'!$B$6:$CL$61,33,FALSE),VLOOKUP(A3,'[1]Emission Factors'!$B$6:$CL$61,34,FALSE),VLOOKUP(A3,'[1]Emission Factors'!$B$6:$CL$61,36,FALSE))+P3+IF('Analysis Inputs'!$N$166=2,(('Analysis Inputs'!$G$176-'Analysis Inputs'!$F$176)*'Summary Data'!$B$66),0)</f>
        <v>-1.5780993743307059</v>
      </c>
      <c r="J3" s="655" t="s">
        <v>503</v>
      </c>
      <c r="K3" s="655" t="s">
        <v>503</v>
      </c>
      <c r="L3" s="655" t="s">
        <v>503</v>
      </c>
      <c r="M3" s="655" t="s">
        <v>503</v>
      </c>
      <c r="N3" s="391" t="s">
        <v>503</v>
      </c>
      <c r="O3" s="333" t="str">
        <f>VLOOKUP(A3,LF_Collection_Scenario,'Landfill Gas Collection'!$AB$13,FALSE)</f>
        <v>--</v>
      </c>
      <c r="P3" s="319">
        <f>-VLOOKUP($A3,Avoided_Utility_Combustion,'Analysis Inputs'!$N$77+1,FALSE)</f>
        <v>1.1323803581989316E-2</v>
      </c>
      <c r="Q3" s="318">
        <f>VLOOKUP('Analysis Inputs'!$H$78,LF_Avoided_Utility_Ratio,2,FALSE)</f>
        <v>7.5875281375367018E-2</v>
      </c>
      <c r="R3" s="319" t="s">
        <v>503</v>
      </c>
    </row>
    <row r="4" spans="1:21" s="8" customFormat="1" x14ac:dyDescent="0.25">
      <c r="A4" s="111" t="s">
        <v>438</v>
      </c>
      <c r="B4" s="95">
        <f>IF('Analysis Inputs'!$N$86=2,VLOOKUP(A4,'[1]Emission Factors'!$B$6:$CL$61,16,FALSE),VLOOKUP(A4,[1]!EmissionFactors,17,FALSE))</f>
        <v>-7.0760377212807279</v>
      </c>
      <c r="C4" s="69">
        <f>VLOOKUP(A4,'[1]Emission Factors'!$B$6:$CL$61,24,FALSE)+IF('Analysis Inputs'!$N$166=2,(('Analysis Inputs'!$G$177-'Analysis Inputs'!$F$177)*'Summary Data'!$B$66),0)</f>
        <v>-4.7071546723673707</v>
      </c>
      <c r="D4" s="12">
        <f>IF('Analysis Inputs'!$N$96=2,F4,IF('Analysis Inputs'!$N$96=3,E4,IF('Analysis Inputs'!$N$107=1,H4,G4)))</f>
        <v>2.0254519141196047E-2</v>
      </c>
      <c r="E4" s="146">
        <f>VLOOKUP(A4,'Landfilling EFs'!$B$16:$GW$69,'Landfilling EFs'!$C$5,FALSE)+IF('Analysis Inputs'!$N$166=2,(('Analysis Inputs'!$G$175-'Analysis Inputs'!$F$175)*$B$66),0)</f>
        <v>2.0254519141196047E-2</v>
      </c>
      <c r="F4" s="149">
        <f>VLOOKUP($A4,'Landfilling EFs'!$B$16:$GW$69,'Landfilling EFs'!$D$5,FALSE)+IF('Analysis Inputs'!$N$166=2,(('Analysis Inputs'!$G$175-'Analysis Inputs'!$F$175)*$B$66),0)</f>
        <v>2.0254519141196047E-2</v>
      </c>
      <c r="G4" s="326">
        <f>VLOOKUP($A4,'Landfilling EFs'!$B$16:$GW$69,'Landfilling EFs'!$E$5,FALSE)+IF('Analysis Inputs'!$N$166=2,(('Analysis Inputs'!$G$175-'Analysis Inputs'!$F$175)*$B$66),0)</f>
        <v>2.0254519141196047E-2</v>
      </c>
      <c r="H4" s="326">
        <f>+E4</f>
        <v>2.0254519141196047E-2</v>
      </c>
      <c r="I4" s="12">
        <f>SUM(VLOOKUP(A4,'[1]Emission Factors'!$B$6:$CL$61,31,FALSE),VLOOKUP(A4,'[1]Emission Factors'!$B$6:$CL$61,32,FALSE),VLOOKUP(A4,'[1]Emission Factors'!$B$6:$CL$61,33,FALSE),VLOOKUP(A4,'[1]Emission Factors'!$B$6:$CL$61,34,FALSE),VLOOKUP(A4,'[1]Emission Factors'!$B$6:$CL$61,36,FALSE))+P4+IF('Analysis Inputs'!$N$166=2,(('Analysis Inputs'!$G$176-'Analysis Inputs'!$F$176)*'Summary Data'!$B$66),0)</f>
        <v>2.3693392901545235E-2</v>
      </c>
      <c r="J4" s="71" t="s">
        <v>503</v>
      </c>
      <c r="K4" s="655" t="s">
        <v>503</v>
      </c>
      <c r="L4" s="655" t="s">
        <v>503</v>
      </c>
      <c r="M4" s="655" t="s">
        <v>503</v>
      </c>
      <c r="N4" s="391" t="s">
        <v>503</v>
      </c>
      <c r="O4" s="333" t="str">
        <f>VLOOKUP(A4,LF_Collection_Scenario,'Landfill Gas Collection'!$AB$13,FALSE)</f>
        <v>--</v>
      </c>
      <c r="P4" s="319">
        <f>-VLOOKUP($A4,Avoided_Utility_Combustion,'Analysis Inputs'!$N$77+1,FALSE)</f>
        <v>1.469398321948614E-2</v>
      </c>
      <c r="Q4" s="318">
        <f>VLOOKUP('Analysis Inputs'!$H$78,LF_Avoided_Utility_Ratio,2,FALSE)</f>
        <v>7.5875281375367018E-2</v>
      </c>
      <c r="R4" s="319" t="s">
        <v>503</v>
      </c>
      <c r="S4" s="107"/>
    </row>
    <row r="5" spans="1:21" x14ac:dyDescent="0.25">
      <c r="A5" s="89" t="s">
        <v>517</v>
      </c>
      <c r="B5" s="95">
        <f>IF('Analysis Inputs'!$N$86=2,VLOOKUP(A5,'[1]Emission Factors'!$B$6:$CL$61,16,FALSE),VLOOKUP(A5,[1]!EmissionFactors,17,FALSE))</f>
        <v>-0.5983195221800004</v>
      </c>
      <c r="C5" s="69">
        <f>VLOOKUP(A5,'[1]Emission Factors'!$B$6:$CL$61,24,FALSE)+IF('Analysis Inputs'!$N$166=2,(('Analysis Inputs'!$G$177-'Analysis Inputs'!$F$177)*'Summary Data'!$B$66),0)</f>
        <v>-0.27652247316904294</v>
      </c>
      <c r="D5" s="10">
        <f>IF('Analysis Inputs'!$N$96=2,F5,IF('Analysis Inputs'!$N$96=3,E5,IF('Analysis Inputs'!$N$107=1,H5,G5)))</f>
        <v>2.0254519141196047E-2</v>
      </c>
      <c r="E5" s="146">
        <f>VLOOKUP(A5,'Landfilling EFs'!$B$16:$GW$69,'Landfilling EFs'!$C$5,FALSE)+IF('Analysis Inputs'!$N$166=2,(('Analysis Inputs'!$G$175-'Analysis Inputs'!$F$175)*$B$66),0)</f>
        <v>2.0254519141196047E-2</v>
      </c>
      <c r="F5" s="149">
        <f>VLOOKUP($A5,'Landfilling EFs'!$B$16:$GW$69,'Landfilling EFs'!$D$5,FALSE)+IF('Analysis Inputs'!$N$166=2,(('Analysis Inputs'!$G$175-'Analysis Inputs'!$F$175)*$B$66),0)</f>
        <v>2.0254519141196047E-2</v>
      </c>
      <c r="G5" s="326">
        <f>VLOOKUP($A5,'Landfilling EFs'!$B$16:$GW$69,'Landfilling EFs'!$E$5,FALSE)+IF('Analysis Inputs'!$N$166=2,(('Analysis Inputs'!$G$175-'Analysis Inputs'!$F$175)*$B$66),0)</f>
        <v>2.0254519141196047E-2</v>
      </c>
      <c r="H5" s="326">
        <f t="shared" si="0"/>
        <v>2.0254519141196047E-2</v>
      </c>
      <c r="I5" s="12">
        <f>SUM(VLOOKUP(A5,'[1]Emission Factors'!$B$6:$CL$61,31,FALSE),VLOOKUP(A5,'[1]Emission Factors'!$B$6:$CL$61,32,FALSE),VLOOKUP(A5,'[1]Emission Factors'!$B$6:$CL$61,33,FALSE),VLOOKUP(A5,'[1]Emission Factors'!$B$6:$CL$61,34,FALSE),VLOOKUP(A5,'[1]Emission Factors'!$B$6:$CL$61,36,FALSE))+P5+IF('Analysis Inputs'!$N$166=2,(('Analysis Inputs'!$G$176-'Analysis Inputs'!$F$176)*'Summary Data'!$B$66),0)</f>
        <v>2.1671285119047139E-2</v>
      </c>
      <c r="J5" s="655" t="s">
        <v>503</v>
      </c>
      <c r="K5" s="655" t="s">
        <v>503</v>
      </c>
      <c r="L5" s="655" t="s">
        <v>503</v>
      </c>
      <c r="M5" s="655" t="s">
        <v>503</v>
      </c>
      <c r="N5" s="391" t="s">
        <v>503</v>
      </c>
      <c r="O5" s="333" t="str">
        <f>VLOOKUP(A5,LF_Collection_Scenario,'Landfill Gas Collection'!$AB$13,FALSE)</f>
        <v>--</v>
      </c>
      <c r="P5" s="319">
        <f>-VLOOKUP($A5,Avoided_Utility_Combustion,'Analysis Inputs'!$N$77+1,FALSE)</f>
        <v>1.2671875436988046E-2</v>
      </c>
      <c r="Q5" s="318">
        <f>VLOOKUP('Analysis Inputs'!$H$78,LF_Avoided_Utility_Ratio,2,FALSE)</f>
        <v>7.5875281375367018E-2</v>
      </c>
      <c r="R5" s="319" t="s">
        <v>503</v>
      </c>
    </row>
    <row r="6" spans="1:21" x14ac:dyDescent="0.25">
      <c r="A6" s="89" t="s">
        <v>518</v>
      </c>
      <c r="B6" s="95">
        <f>IF('Analysis Inputs'!$N$86=2,VLOOKUP(A6,'[1]Emission Factors'!$B$6:$CL$61,16,FALSE),VLOOKUP(A6,[1]!EmissionFactors,17,FALSE))</f>
        <v>-1.5707799286813973</v>
      </c>
      <c r="C6" s="69">
        <f>VLOOKUP(A6,'[1]Emission Factors'!$B$6:$CL$61,24,FALSE)+IF('Analysis Inputs'!$N$166=2,(('Analysis Inputs'!$G$177-'Analysis Inputs'!$F$177)*'Summary Data'!$B$66),0)</f>
        <v>-0.86868705060174922</v>
      </c>
      <c r="D6" s="10">
        <f>IF('Analysis Inputs'!$N$96=2,F6,IF('Analysis Inputs'!$N$96=3,E6,IF('Analysis Inputs'!$N$107=1,H6,G6)))</f>
        <v>2.0254519141196047E-2</v>
      </c>
      <c r="E6" s="146">
        <f>VLOOKUP(A6,'Landfilling EFs'!$B$16:$GW$69,'Landfilling EFs'!$C$5,FALSE)+IF('Analysis Inputs'!$N$166=2,(('Analysis Inputs'!$G$175-'Analysis Inputs'!$F$175)*$B$66),0)</f>
        <v>2.0254519141196047E-2</v>
      </c>
      <c r="F6" s="149">
        <f>VLOOKUP($A6,'Landfilling EFs'!$B$16:$GW$69,'Landfilling EFs'!$D$5,FALSE)+IF('Analysis Inputs'!$N$166=2,(('Analysis Inputs'!$G$175-'Analysis Inputs'!$F$175)*$B$66),0)</f>
        <v>2.0254519141196047E-2</v>
      </c>
      <c r="G6" s="326">
        <f>VLOOKUP($A6,'Landfilling EFs'!$B$16:$GW$69,'Landfilling EFs'!$E$5,FALSE)+IF('Analysis Inputs'!$N$166=2,(('Analysis Inputs'!$G$175-'Analysis Inputs'!$F$175)*$B$66),0)</f>
        <v>2.0254519141196047E-2</v>
      </c>
      <c r="H6" s="326">
        <f t="shared" si="0"/>
        <v>2.0254519141196047E-2</v>
      </c>
      <c r="I6" s="12">
        <f>SUM(VLOOKUP(A6,'[1]Emission Factors'!$B$6:$CL$61,31,FALSE),VLOOKUP(A6,'[1]Emission Factors'!$B$6:$CL$61,32,FALSE),VLOOKUP(A6,'[1]Emission Factors'!$B$6:$CL$61,33,FALSE),VLOOKUP(A6,'[1]Emission Factors'!$B$6:$CL$61,34,FALSE),VLOOKUP(A6,'[1]Emission Factors'!$B$6:$CL$61,36,FALSE))+P6+IF('Analysis Inputs'!$N$166=2,(('Analysis Inputs'!$G$176-'Analysis Inputs'!$F$176)*'Summary Data'!$B$66),0)</f>
        <v>1.7255084391217581</v>
      </c>
      <c r="J6" s="655" t="s">
        <v>503</v>
      </c>
      <c r="K6" s="655" t="s">
        <v>503</v>
      </c>
      <c r="L6" s="655" t="s">
        <v>503</v>
      </c>
      <c r="M6" s="655" t="s">
        <v>503</v>
      </c>
      <c r="N6" s="391" t="s">
        <v>503</v>
      </c>
      <c r="O6" s="333" t="str">
        <f>VLOOKUP(A6,LF_Collection_Scenario,'Landfill Gas Collection'!$AB$13,FALSE)</f>
        <v>--</v>
      </c>
      <c r="P6" s="319">
        <f>-VLOOKUP($A6,Avoided_Utility_Combustion,'Analysis Inputs'!$N$77+1,FALSE)</f>
        <v>-1.0776486408859833</v>
      </c>
      <c r="Q6" s="318">
        <f>VLOOKUP('Analysis Inputs'!$H$78,LF_Avoided_Utility_Ratio,2,FALSE)</f>
        <v>7.5875281375367018E-2</v>
      </c>
      <c r="R6" s="319" t="s">
        <v>503</v>
      </c>
    </row>
    <row r="7" spans="1:21" x14ac:dyDescent="0.25">
      <c r="A7" s="89" t="s">
        <v>519</v>
      </c>
      <c r="B7" s="95">
        <f>IF('Analysis Inputs'!$N$86=2,VLOOKUP(A7,'[1]Emission Factors'!$B$6:$CL$61,16,FALSE),VLOOKUP(A7,[1]!EmissionFactors,17,FALSE))</f>
        <v>-1.7987541239290445</v>
      </c>
      <c r="C7" s="127" t="s">
        <v>503</v>
      </c>
      <c r="D7" s="10">
        <f>IF('Analysis Inputs'!$N$96=2,F7,IF('Analysis Inputs'!$N$96=3,E7,IF('Analysis Inputs'!$N$107=1,H7,G7)))</f>
        <v>2.0254519141196047E-2</v>
      </c>
      <c r="E7" s="146">
        <f>VLOOKUP(A7,'Landfilling EFs'!$B$16:$GW$69,'Landfilling EFs'!$C$5,FALSE)+IF('Analysis Inputs'!$N$166=2,(('Analysis Inputs'!$G$175-'Analysis Inputs'!$F$175)*$B$66),0)</f>
        <v>2.0254519141196047E-2</v>
      </c>
      <c r="F7" s="149">
        <f>VLOOKUP($A7,'Landfilling EFs'!$B$16:$GW$69,'Landfilling EFs'!$D$5,FALSE)+IF('Analysis Inputs'!$N$166=2,(('Analysis Inputs'!$G$175-'Analysis Inputs'!$F$175)*$B$66),0)</f>
        <v>2.0254519141196047E-2</v>
      </c>
      <c r="G7" s="326">
        <f>VLOOKUP($A7,'Landfilling EFs'!$B$16:$GW$69,'Landfilling EFs'!$E$5,FALSE)+IF('Analysis Inputs'!$N$166=2,(('Analysis Inputs'!$G$175-'Analysis Inputs'!$F$175)*$B$66),0)</f>
        <v>2.0254519141196047E-2</v>
      </c>
      <c r="H7" s="326">
        <f t="shared" si="0"/>
        <v>2.0254519141196047E-2</v>
      </c>
      <c r="I7" s="12">
        <f>SUM(VLOOKUP(A7,'[1]Emission Factors'!$B$6:$CL$61,31,FALSE),VLOOKUP(A7,'[1]Emission Factors'!$B$6:$CL$61,32,FALSE),VLOOKUP(A7,'[1]Emission Factors'!$B$6:$CL$61,33,FALSE),VLOOKUP(A7,'[1]Emission Factors'!$B$6:$CL$61,34,FALSE),VLOOKUP(A7,'[1]Emission Factors'!$B$6:$CL$61,36,FALSE))+P7+IF('Analysis Inputs'!$N$166=2,(('Analysis Inputs'!$G$176-'Analysis Inputs'!$F$176)*'Summary Data'!$B$66),0)</f>
        <v>1.7313321095353524</v>
      </c>
      <c r="J7" s="655" t="s">
        <v>503</v>
      </c>
      <c r="K7" s="655" t="s">
        <v>503</v>
      </c>
      <c r="L7" s="655" t="s">
        <v>503</v>
      </c>
      <c r="M7" s="655" t="s">
        <v>503</v>
      </c>
      <c r="N7" s="391" t="s">
        <v>503</v>
      </c>
      <c r="O7" s="333" t="str">
        <f>VLOOKUP(A7,LF_Collection_Scenario,'Landfill Gas Collection'!$AB$13,FALSE)</f>
        <v>--</v>
      </c>
      <c r="P7" s="319">
        <f>-VLOOKUP($A7,Avoided_Utility_Combustion,'Analysis Inputs'!$N$77+1,FALSE)</f>
        <v>-1.071824970472389</v>
      </c>
      <c r="Q7" s="318">
        <f>VLOOKUP('Analysis Inputs'!$H$78,LF_Avoided_Utility_Ratio,2,FALSE)</f>
        <v>7.5875281375367018E-2</v>
      </c>
      <c r="R7" s="319" t="s">
        <v>503</v>
      </c>
      <c r="S7" s="652"/>
    </row>
    <row r="8" spans="1:21" x14ac:dyDescent="0.25">
      <c r="A8" s="89" t="s">
        <v>520</v>
      </c>
      <c r="B8" s="95">
        <f>IF('Analysis Inputs'!$N$86=2,VLOOKUP(A8,'[1]Emission Factors'!$B$6:$CL$61,16,FALSE),VLOOKUP(A8,[1]!EmissionFactors,17,FALSE))</f>
        <v>-2.2386394694979734</v>
      </c>
      <c r="C8" s="69">
        <f>VLOOKUP(A8,'[1]Emission Factors'!$B$6:$CL$61,24,FALSE)+IF('Analysis Inputs'!$N$166=2,(('Analysis Inputs'!$G$177-'Analysis Inputs'!$F$177)*'Summary Data'!$B$66),0)</f>
        <v>-1.1173153833954395</v>
      </c>
      <c r="D8" s="10">
        <f>IF('Analysis Inputs'!$N$96=2,F8,IF('Analysis Inputs'!$N$96=3,E8,IF('Analysis Inputs'!$N$107=1,H8,G8)))</f>
        <v>2.0254519141196047E-2</v>
      </c>
      <c r="E8" s="146">
        <f>VLOOKUP(A8,'Landfilling EFs'!$B$16:$GW$69,'Landfilling EFs'!$C$5,FALSE)+IF('Analysis Inputs'!$N$166=2,(('Analysis Inputs'!$G$175-'Analysis Inputs'!$F$175)*$B$66),0)</f>
        <v>2.0254519141196047E-2</v>
      </c>
      <c r="F8" s="149">
        <f>VLOOKUP($A8,'Landfilling EFs'!$B$16:$GW$69,'Landfilling EFs'!$D$5,FALSE)+IF('Analysis Inputs'!$N$166=2,(('Analysis Inputs'!$G$175-'Analysis Inputs'!$F$175)*$B$66),0)</f>
        <v>2.0254519141196047E-2</v>
      </c>
      <c r="G8" s="326">
        <f>VLOOKUP($A8,'Landfilling EFs'!$B$16:$GW$69,'Landfilling EFs'!$E$5,FALSE)+IF('Analysis Inputs'!$N$166=2,(('Analysis Inputs'!$G$175-'Analysis Inputs'!$F$175)*$B$66),0)</f>
        <v>2.0254519141196047E-2</v>
      </c>
      <c r="H8" s="326">
        <f t="shared" si="0"/>
        <v>2.0254519141196047E-2</v>
      </c>
      <c r="I8" s="12">
        <f>SUM(VLOOKUP(A8,'[1]Emission Factors'!$B$6:$CL$61,31,FALSE),VLOOKUP(A8,'[1]Emission Factors'!$B$6:$CL$61,32,FALSE),VLOOKUP(A8,'[1]Emission Factors'!$B$6:$CL$61,33,FALSE),VLOOKUP(A8,'[1]Emission Factors'!$B$6:$CL$61,34,FALSE),VLOOKUP(A8,'[1]Emission Factors'!$B$6:$CL$61,36,FALSE))+P8+IF('Analysis Inputs'!$N$166=2,(('Analysis Inputs'!$G$176-'Analysis Inputs'!$F$176)*'Summary Data'!$B$66),0)</f>
        <v>1.4748235777750751</v>
      </c>
      <c r="J8" s="655" t="s">
        <v>503</v>
      </c>
      <c r="K8" s="655" t="s">
        <v>503</v>
      </c>
      <c r="L8" s="655" t="s">
        <v>503</v>
      </c>
      <c r="M8" s="655" t="s">
        <v>503</v>
      </c>
      <c r="N8" s="391" t="s">
        <v>503</v>
      </c>
      <c r="O8" s="333" t="str">
        <f>VLOOKUP(A8,LF_Collection_Scenario,'Landfill Gas Collection'!$AB$13,FALSE)</f>
        <v>--</v>
      </c>
      <c r="P8" s="319">
        <f>-VLOOKUP($A8,Avoided_Utility_Combustion,'Analysis Inputs'!$N$77+1,FALSE)</f>
        <v>-0.57158246651946076</v>
      </c>
      <c r="Q8" s="318">
        <f>VLOOKUP('Analysis Inputs'!$H$78,LF_Avoided_Utility_Ratio,2,FALSE)</f>
        <v>7.5875281375367018E-2</v>
      </c>
      <c r="R8" s="319" t="s">
        <v>503</v>
      </c>
      <c r="S8" s="652"/>
    </row>
    <row r="9" spans="1:21" s="695" customFormat="1" x14ac:dyDescent="0.25">
      <c r="A9" s="824" t="s">
        <v>59</v>
      </c>
      <c r="B9" s="825">
        <f>IF('Analysis Inputs'!$N$86=2,VLOOKUP(A9,'[1]Emission Factors'!$B$6:$CL$61,16,FALSE),VLOOKUP(A9,[1]!EmissionFactors,17,FALSE))</f>
        <v>-8.1031341810822894</v>
      </c>
      <c r="C9" s="826">
        <f>VLOOKUP(A9,'[1]Emission Factors'!$B$6:$CL$61,24,FALSE)+IF('Analysis Inputs'!$N$166=2,(('Analysis Inputs'!$G$177-'Analysis Inputs'!$F$177)*'Summary Data'!$B$66),0)</f>
        <v>-3.120666284103407</v>
      </c>
      <c r="D9" s="827">
        <f>IF('Analysis Inputs'!$N$96=2,F9,IF('Analysis Inputs'!$N$96=3,E9,IF('Analysis Inputs'!$N$107=1,H9,G9)))</f>
        <v>0.44490318170364651</v>
      </c>
      <c r="E9" s="828">
        <f>VLOOKUP(A9,'Landfilling EFs'!$B$16:$GW$69,'Landfilling EFs'!$C$5,FALSE)+IF('Analysis Inputs'!$N$166=2,(('Analysis Inputs'!$G$175-'Analysis Inputs'!$F$175)*$B$66),0)</f>
        <v>0.24171966743026244</v>
      </c>
      <c r="F9" s="829">
        <f>VLOOKUP($A9,'Landfilling EFs'!$B$16:$GW$69,'Landfilling EFs'!$D$5,FALSE)+IF('Analysis Inputs'!$N$166=2,(('Analysis Inputs'!$G$175-'Analysis Inputs'!$F$175)*$B$66),0)</f>
        <v>1.6634715021436628</v>
      </c>
      <c r="G9" s="901">
        <f>VLOOKUP($A9,'Landfilling EFs'!$B$16:$GW$69,'Landfilling EFs'!$E$5,FALSE)+IF('Analysis Inputs'!$N$166=2,(('Analysis Inputs'!$G$175-'Analysis Inputs'!$F$175)*$B$66),0)</f>
        <v>0.44490318170364651</v>
      </c>
      <c r="H9" s="842">
        <f>VLOOKUP($A9,'Landfilling EFs'!$B$16:$GW$69,'Landfilling EFs'!$F$5,FALSE)+(VLOOKUP('Summary Data'!A9,[1]!LandfillTypicalNatlAverage,2,FALSE)*O9*(1-[1]Assumptions!$G$15)*(-Q9))+IF('Analysis Inputs'!$N$166=2,(('Analysis Inputs'!$G$175-'Analysis Inputs'!$F$175)*$B$66),0)</f>
        <v>-0.14415036460828598</v>
      </c>
      <c r="I9" s="827">
        <f>SUM(VLOOKUP(A9,'[1]Emission Factors'!$B$6:$CL$61,31,FALSE),VLOOKUP(A9,'[1]Emission Factors'!$B$6:$CL$61,32,FALSE),VLOOKUP(A9,'[1]Emission Factors'!$B$6:$CL$61,33,FALSE),VLOOKUP(A9,'[1]Emission Factors'!$B$6:$CL$61,34,FALSE),VLOOKUP(A9,'[1]Emission Factors'!$B$6:$CL$61,36,FALSE))+P9+IF('Analysis Inputs'!$N$166=2,(('Analysis Inputs'!$G$176-'Analysis Inputs'!$F$176)*'Summary Data'!$B$66),0)</f>
        <v>-0.33411272664151603</v>
      </c>
      <c r="J9" s="830" t="s">
        <v>503</v>
      </c>
      <c r="K9" s="830" t="s">
        <v>503</v>
      </c>
      <c r="L9" s="830" t="s">
        <v>503</v>
      </c>
      <c r="M9" s="830" t="s">
        <v>503</v>
      </c>
      <c r="N9" s="831" t="s">
        <v>503</v>
      </c>
      <c r="O9" s="832">
        <v>1</v>
      </c>
      <c r="P9" s="833">
        <f>-VLOOKUP($A9,Avoided_Utility_Combustion,'Analysis Inputs'!$N$77+1,FALSE)</f>
        <v>-0.3797788029902418</v>
      </c>
      <c r="Q9" s="834">
        <f>VLOOKUP('Analysis Inputs'!$H$78,LF_Avoided_Utility_Ratio,2,FALSE)</f>
        <v>7.5875281375367018E-2</v>
      </c>
      <c r="R9" s="833" t="s">
        <v>503</v>
      </c>
      <c r="S9" s="835"/>
    </row>
    <row r="10" spans="1:21" ht="13" x14ac:dyDescent="0.3">
      <c r="A10" s="113" t="s">
        <v>290</v>
      </c>
      <c r="B10" s="95">
        <f>IF('Analysis Inputs'!$N$86=2,VLOOKUP(A10,'[1]Emission Factors'!$B$6:$CL$61,16,FALSE),VLOOKUP(A10,[1]!EmissionFactors,17,FALSE))</f>
        <v>-8.8993191138523571</v>
      </c>
      <c r="C10" s="69">
        <f>VLOOKUP(A10,'[1]Emission Factors'!$B$6:$CL$61,24,FALSE)+IF('Analysis Inputs'!$N$166=2,(('Analysis Inputs'!$G$177-'Analysis Inputs'!$F$177)*'Summary Data'!$B$66),0)</f>
        <v>-3.069996609697593</v>
      </c>
      <c r="D10" s="10">
        <f>IF('Analysis Inputs'!$N$96=2,F10,IF('Analysis Inputs'!$N$96=3,E10,IF('Analysis Inputs'!$N$107=1,H10,G10)))</f>
        <v>-0.42430723670909465</v>
      </c>
      <c r="E10" s="146">
        <f>VLOOKUP(A10,'Landfilling EFs'!$B$16:$GW$69,'Landfilling EFs'!$C$5,FALSE)+IF('Analysis Inputs'!$N$166=2,(('Analysis Inputs'!$G$175-'Analysis Inputs'!$F$175)*$B$66),0)</f>
        <v>-0.41279974631931526</v>
      </c>
      <c r="F10" s="149">
        <f>VLOOKUP($A10,'Landfilling EFs'!$B$16:$GW$69,'Landfilling EFs'!$D$5,FALSE)+IF('Analysis Inputs'!$N$166=2,(('Analysis Inputs'!$G$175-'Analysis Inputs'!$F$175)*$B$66),0)</f>
        <v>0.24852403935782544</v>
      </c>
      <c r="G10" s="326">
        <f>VLOOKUP($A10,'Landfilling EFs'!$B$16:$GW$69,'Landfilling EFs'!$E$5,FALSE)+IF('Analysis Inputs'!$N$166=2,(('Analysis Inputs'!$G$175-'Analysis Inputs'!$F$175)*$B$66),0)</f>
        <v>-0.42430723670909465</v>
      </c>
      <c r="H10" s="326">
        <f>VLOOKUP($A10,'Landfilling EFs'!$B$16:$GW$69,'Landfilling EFs'!$F$5,FALSE)+(VLOOKUP('Summary Data'!A10,[1]!LandfillTypicalNatlAverage,2,FALSE)*O10*(1-[1]Assumptions!$G$15)*(-Q10))+IF('Analysis Inputs'!$N$166=2,(('Analysis Inputs'!$G$175-'Analysis Inputs'!$F$175)*$B$66),0)</f>
        <v>-0.6067255522886118</v>
      </c>
      <c r="I10" s="12">
        <f>SUM(VLOOKUP(A10,'[1]Emission Factors'!$B$6:$CL$61,31,FALSE),VLOOKUP(A10,'[1]Emission Factors'!$B$6:$CL$61,32,FALSE),VLOOKUP(A10,'[1]Emission Factors'!$B$6:$CL$61,33,FALSE),VLOOKUP(A10,'[1]Emission Factors'!$B$6:$CL$61,34,FALSE),VLOOKUP(A10,'[1]Emission Factors'!$B$6:$CL$61,36,FALSE))+P10+IF('Analysis Inputs'!$N$166=2,(('Analysis Inputs'!$G$176-'Analysis Inputs'!$F$176)*'Summary Data'!$B$66),0)</f>
        <v>-0.2378603961946068</v>
      </c>
      <c r="J10" s="655" t="s">
        <v>503</v>
      </c>
      <c r="K10" s="655" t="s">
        <v>503</v>
      </c>
      <c r="L10" s="655" t="s">
        <v>503</v>
      </c>
      <c r="M10" s="655" t="s">
        <v>503</v>
      </c>
      <c r="N10" s="391" t="s">
        <v>503</v>
      </c>
      <c r="O10" s="832">
        <v>1</v>
      </c>
      <c r="P10" s="319">
        <f>-VLOOKUP($A10,Avoided_Utility_Combustion,'Analysis Inputs'!$N$77+1,FALSE)</f>
        <v>-0.28352647254333257</v>
      </c>
      <c r="Q10" s="318">
        <f>VLOOKUP('Analysis Inputs'!$H$78,LF_Avoided_Utility_Ratio,2,FALSE)</f>
        <v>7.5875281375367018E-2</v>
      </c>
      <c r="R10" s="319" t="s">
        <v>503</v>
      </c>
      <c r="S10" s="209"/>
    </row>
    <row r="11" spans="1:21" x14ac:dyDescent="0.25">
      <c r="A11" s="111" t="s">
        <v>502</v>
      </c>
      <c r="B11" s="95">
        <f>IF('Analysis Inputs'!$N$86=2,VLOOKUP(A11,'[1]Emission Factors'!$B$6:$CL$61,16,FALSE),VLOOKUP(A11,[1]!EmissionFactors,17,FALSE))</f>
        <v>-5.838762216163337</v>
      </c>
      <c r="C11" s="69">
        <f>VLOOKUP(A11,'[1]Emission Factors'!$B$6:$CL$61,24,FALSE)+IF('Analysis Inputs'!$N$166=2,(('Analysis Inputs'!$G$177-'Analysis Inputs'!$F$177)*'Summary Data'!$B$66),0)</f>
        <v>-2.7478990031843069</v>
      </c>
      <c r="D11" s="10">
        <f>IF('Analysis Inputs'!$N$96=2,F11,IF('Analysis Inputs'!$N$96=3,E11,IF('Analysis Inputs'!$N$107=1,H11,G11)))</f>
        <v>-0.75213407401661003</v>
      </c>
      <c r="E11" s="146">
        <f>VLOOKUP(A11,'Landfilling EFs'!$B$16:$GW$69,'Landfilling EFs'!$C$5,FALSE)+IF('Analysis Inputs'!$N$166=2,(('Analysis Inputs'!$G$175-'Analysis Inputs'!$F$175)*$B$66),0)</f>
        <v>-0.82252511226327996</v>
      </c>
      <c r="F11" s="149">
        <f>VLOOKUP($A11,'Landfilling EFs'!$B$16:$GW$69,'Landfilling EFs'!$D$5,FALSE)+IF('Analysis Inputs'!$N$166=2,(('Analysis Inputs'!$G$175-'Analysis Inputs'!$F$175)*$B$66),0)</f>
        <v>-0.23072721102720414</v>
      </c>
      <c r="G11" s="326">
        <f>VLOOKUP($A11,'Landfilling EFs'!$B$16:$GW$69,'Landfilling EFs'!$E$5,FALSE)+IF('Analysis Inputs'!$N$166=2,(('Analysis Inputs'!$G$175-'Analysis Inputs'!$F$175)*$B$66),0)</f>
        <v>-0.75213407401661003</v>
      </c>
      <c r="H11" s="326">
        <f>VLOOKUP($A11,'Landfilling EFs'!$B$16:$GW$69,'Landfilling EFs'!$F$5,FALSE)+(VLOOKUP('Summary Data'!A11,[1]!LandfillTypicalNatlAverage,2,FALSE)*O11*(1-[1]Assumptions!$G$15)*(-Q11))+IF('Analysis Inputs'!$N$166=2,(('Analysis Inputs'!$G$175-'Analysis Inputs'!$F$175)*$B$66),0)</f>
        <v>-0.98002575427918248</v>
      </c>
      <c r="I11" s="12">
        <f>SUM(VLOOKUP(A11,'[1]Emission Factors'!$B$6:$CL$61,31,FALSE),VLOOKUP(A11,'[1]Emission Factors'!$B$6:$CL$61,32,FALSE),VLOOKUP(A11,'[1]Emission Factors'!$B$6:$CL$61,33,FALSE),VLOOKUP(A11,'[1]Emission Factors'!$B$6:$CL$61,34,FALSE),VLOOKUP(A11,'[1]Emission Factors'!$B$6:$CL$61,36,FALSE))+P11+IF('Analysis Inputs'!$N$166=2,(('Analysis Inputs'!$G$176-'Analysis Inputs'!$F$176)*'Summary Data'!$B$66),0)</f>
        <v>-0.38302077354086989</v>
      </c>
      <c r="J11" s="655" t="s">
        <v>503</v>
      </c>
      <c r="K11" s="655" t="s">
        <v>503</v>
      </c>
      <c r="L11" s="655" t="s">
        <v>503</v>
      </c>
      <c r="M11" s="655" t="s">
        <v>503</v>
      </c>
      <c r="N11" s="391" t="s">
        <v>503</v>
      </c>
      <c r="O11" s="832">
        <v>1</v>
      </c>
      <c r="P11" s="319">
        <f>-VLOOKUP($A11,Avoided_Utility_Combustion,'Analysis Inputs'!$N$77+1,FALSE)</f>
        <v>-0.42868684988959566</v>
      </c>
      <c r="Q11" s="318">
        <f>VLOOKUP('Analysis Inputs'!$H$78,LF_Avoided_Utility_Ratio,2,FALSE)</f>
        <v>7.5875281375367018E-2</v>
      </c>
      <c r="R11" s="319" t="s">
        <v>503</v>
      </c>
    </row>
    <row r="12" spans="1:21" x14ac:dyDescent="0.25">
      <c r="A12" s="111" t="s">
        <v>514</v>
      </c>
      <c r="B12" s="95">
        <f>IF('Analysis Inputs'!$N$86=2,VLOOKUP(A12,'[1]Emission Factors'!$B$6:$CL$61,16,FALSE),VLOOKUP(A12,[1]!EmissionFactors,17,FALSE))</f>
        <v>-8.2536211815316562</v>
      </c>
      <c r="C12" s="69">
        <f>VLOOKUP(A12,'[1]Emission Factors'!$B$6:$CL$61,24,FALSE)+IF('Analysis Inputs'!$N$166=2,(('Analysis Inputs'!$G$177-'Analysis Inputs'!$F$177)*'Summary Data'!$B$66),0)</f>
        <v>-2.8591915764677114</v>
      </c>
      <c r="D12" s="10">
        <f>IF('Analysis Inputs'!$N$96=2,F12,IF('Analysis Inputs'!$N$96=3,E12,IF('Analysis Inputs'!$N$107=1,H12,G12)))</f>
        <v>1.4991848235747869</v>
      </c>
      <c r="E12" s="146">
        <f>VLOOKUP(A12,'Landfilling EFs'!$B$16:$GW$69,'Landfilling EFs'!$C$5,FALSE)+IF('Analysis Inputs'!$N$166=2,(('Analysis Inputs'!$G$175-'Analysis Inputs'!$F$175)*$B$66),0)</f>
        <v>1.2240916972277507</v>
      </c>
      <c r="F12" s="149">
        <f>VLOOKUP($A12,'Landfilling EFs'!$B$16:$GW$69,'Landfilling EFs'!$D$5,FALSE)+IF('Analysis Inputs'!$N$166=2,(('Analysis Inputs'!$G$175-'Analysis Inputs'!$F$175)*$B$66),0)</f>
        <v>3.3978061204317305</v>
      </c>
      <c r="G12" s="326">
        <f>VLOOKUP($A12,'Landfilling EFs'!$B$16:$GW$69,'Landfilling EFs'!$E$5,FALSE)+IF('Analysis Inputs'!$N$166=2,(('Analysis Inputs'!$G$175-'Analysis Inputs'!$F$175)*$B$66),0)</f>
        <v>1.4991848235747869</v>
      </c>
      <c r="H12" s="326">
        <f>VLOOKUP($A12,'Landfilling EFs'!$B$16:$GW$69,'Landfilling EFs'!$F$5,FALSE)+(VLOOKUP('Summary Data'!A12,[1]!LandfillTypicalNatlAverage,2,FALSE)*O12*(1-[1]Assumptions!$G$15)*(-Q12))+IF('Analysis Inputs'!$N$166=2,(('Analysis Inputs'!$G$175-'Analysis Inputs'!$F$175)*$B$66),0)</f>
        <v>0.64328690402650812</v>
      </c>
      <c r="I12" s="12">
        <f>SUM(VLOOKUP(A12,'[1]Emission Factors'!$B$6:$CL$61,31,FALSE),VLOOKUP(A12,'[1]Emission Factors'!$B$6:$CL$61,32,FALSE),VLOOKUP(A12,'[1]Emission Factors'!$B$6:$CL$61,33,FALSE),VLOOKUP(A12,'[1]Emission Factors'!$B$6:$CL$61,34,FALSE),VLOOKUP(A12,'[1]Emission Factors'!$B$6:$CL$61,36,FALSE))+P12+IF('Analysis Inputs'!$N$166=2,(('Analysis Inputs'!$G$176-'Analysis Inputs'!$F$176)*'Summary Data'!$B$66),0)</f>
        <v>-0.32100946821092835</v>
      </c>
      <c r="J12" s="655" t="s">
        <v>503</v>
      </c>
      <c r="K12" s="655" t="s">
        <v>503</v>
      </c>
      <c r="L12" s="655" t="s">
        <v>503</v>
      </c>
      <c r="M12" s="655" t="s">
        <v>503</v>
      </c>
      <c r="N12" s="391" t="s">
        <v>503</v>
      </c>
      <c r="O12" s="832">
        <v>1</v>
      </c>
      <c r="P12" s="319">
        <f>-VLOOKUP($A12,Avoided_Utility_Combustion,'Analysis Inputs'!$N$77+1,FALSE)</f>
        <v>-0.36667554455965412</v>
      </c>
      <c r="Q12" s="318">
        <f>VLOOKUP('Analysis Inputs'!$H$78,LF_Avoided_Utility_Ratio,2,FALSE)</f>
        <v>7.5875281375367018E-2</v>
      </c>
      <c r="R12" s="319" t="s">
        <v>503</v>
      </c>
    </row>
    <row r="13" spans="1:21" x14ac:dyDescent="0.25">
      <c r="A13" s="111" t="s">
        <v>383</v>
      </c>
      <c r="B13" s="95">
        <f>IF('Analysis Inputs'!$N$86=2,VLOOKUP(A13,'[1]Emission Factors'!$B$6:$CL$61,16,FALSE),VLOOKUP(A13,[1]!EmissionFactors,17,FALSE))</f>
        <v>-6.2151324433540438</v>
      </c>
      <c r="C13" s="69">
        <f>VLOOKUP(A13,'[1]Emission Factors'!$B$6:$CL$61,24,FALSE)+IF('Analysis Inputs'!$N$166=2,(('Analysis Inputs'!$G$177-'Analysis Inputs'!$F$177)*'Summary Data'!$B$66),0)</f>
        <v>-2.6355265343583718</v>
      </c>
      <c r="D13" s="12">
        <f>IF('Analysis Inputs'!$N$96=2,F13,IF('Analysis Inputs'!$N$96=3,E13,IF('Analysis Inputs'!$N$107=1,H13,G13)))</f>
        <v>-0.75213407401661003</v>
      </c>
      <c r="E13" s="146">
        <f>VLOOKUP(A13,'Landfilling EFs'!$B$16:$GW$69,'Landfilling EFs'!$C$5,FALSE)+IF('Analysis Inputs'!$N$166=2,(('Analysis Inputs'!$G$175-'Analysis Inputs'!$F$175)*$B$66),0)</f>
        <v>-0.82252511226327996</v>
      </c>
      <c r="F13" s="149">
        <f>VLOOKUP($A13,'Landfilling EFs'!$B$16:$GW$69,'Landfilling EFs'!$D$5,FALSE)+IF('Analysis Inputs'!$N$166=2,(('Analysis Inputs'!$G$175-'Analysis Inputs'!$F$175)*$B$66),0)</f>
        <v>-0.23072721102720414</v>
      </c>
      <c r="G13" s="326">
        <f>VLOOKUP($A13,'Landfilling EFs'!$B$16:$GW$69,'Landfilling EFs'!$E$5,FALSE)+IF('Analysis Inputs'!$N$166=2,(('Analysis Inputs'!$G$175-'Analysis Inputs'!$F$175)*$B$66),0)</f>
        <v>-0.75213407401661003</v>
      </c>
      <c r="H13" s="326">
        <f>VLOOKUP($A13,'Landfilling EFs'!$B$16:$GW$69,'Landfilling EFs'!$F$5,FALSE)+(VLOOKUP('Summary Data'!A13,[1]!LandfillTypicalNatlAverage,2,FALSE)*O13*(1-[1]Assumptions!$G$15)*(-Q13))+IF('Analysis Inputs'!$N$166=2,(('Analysis Inputs'!$G$175-'Analysis Inputs'!$F$175)*$B$66),0)</f>
        <v>-0.98002575427918248</v>
      </c>
      <c r="I13" s="12">
        <f>SUM(VLOOKUP(A13,'[1]Emission Factors'!$B$6:$CL$61,31,FALSE),VLOOKUP(A13,'[1]Emission Factors'!$B$6:$CL$61,32,FALSE),VLOOKUP(A13,'[1]Emission Factors'!$B$6:$CL$61,33,FALSE),VLOOKUP(A13,'[1]Emission Factors'!$B$6:$CL$61,34,FALSE),VLOOKUP(A13,'[1]Emission Factors'!$B$6:$CL$61,36,FALSE))+P13+IF('Analysis Inputs'!$N$166=2,(('Analysis Inputs'!$G$176-'Analysis Inputs'!$F$176)*'Summary Data'!$B$66),0)</f>
        <v>-0.38302077354086989</v>
      </c>
      <c r="J13" s="655" t="s">
        <v>503</v>
      </c>
      <c r="K13" s="655" t="s">
        <v>503</v>
      </c>
      <c r="L13" s="655" t="s">
        <v>503</v>
      </c>
      <c r="M13" s="655" t="s">
        <v>503</v>
      </c>
      <c r="N13" s="391" t="s">
        <v>503</v>
      </c>
      <c r="O13" s="832">
        <v>1</v>
      </c>
      <c r="P13" s="319">
        <f>-VLOOKUP($A13,Avoided_Utility_Combustion,'Analysis Inputs'!$N$77+1,FALSE)</f>
        <v>-0.42868684988959566</v>
      </c>
      <c r="Q13" s="318">
        <f>VLOOKUP('Analysis Inputs'!$H$78,LF_Avoided_Utility_Ratio,2,FALSE)</f>
        <v>7.5875281375367018E-2</v>
      </c>
      <c r="R13" s="319" t="s">
        <v>503</v>
      </c>
    </row>
    <row r="14" spans="1:21" x14ac:dyDescent="0.25">
      <c r="A14" s="111" t="s">
        <v>384</v>
      </c>
      <c r="B14" s="95">
        <f>IF('Analysis Inputs'!$N$86=2,VLOOKUP(A14,'[1]Emission Factors'!$B$6:$CL$61,16,FALSE),VLOOKUP(A14,[1]!EmissionFactors,17,FALSE))</f>
        <v>-9.3685734098595148</v>
      </c>
      <c r="C14" s="69">
        <f>VLOOKUP(A14,'[1]Emission Factors'!$B$6:$CL$61,24,FALSE)+IF('Analysis Inputs'!$N$166=2,(('Analysis Inputs'!$G$177-'Analysis Inputs'!$F$177)*'Summary Data'!$B$66),0)</f>
        <v>-3.1059997534212043</v>
      </c>
      <c r="D14" s="10">
        <f>IF('Analysis Inputs'!$N$96=2,F14,IF('Analysis Inputs'!$N$96=3,E14,IF('Analysis Inputs'!$N$107=1,H14,G14)))</f>
        <v>1.4991848235747869</v>
      </c>
      <c r="E14" s="146">
        <f>VLOOKUP(A14,'Landfilling EFs'!$B$16:$GW$69,'Landfilling EFs'!$C$5,FALSE)+IF('Analysis Inputs'!$N$166=2,(('Analysis Inputs'!$G$175-'Analysis Inputs'!$F$175)*$B$66),0)</f>
        <v>1.2240916972277507</v>
      </c>
      <c r="F14" s="149">
        <f>VLOOKUP($A14,'Landfilling EFs'!$B$16:$GW$69,'Landfilling EFs'!$D$5,FALSE)+IF('Analysis Inputs'!$N$166=2,(('Analysis Inputs'!$G$175-'Analysis Inputs'!$F$175)*$B$66),0)</f>
        <v>3.3978061204317305</v>
      </c>
      <c r="G14" s="326">
        <f>VLOOKUP($A14,'Landfilling EFs'!$B$16:$GW$69,'Landfilling EFs'!$E$5,FALSE)+IF('Analysis Inputs'!$N$166=2,(('Analysis Inputs'!$G$175-'Analysis Inputs'!$F$175)*$B$66),0)</f>
        <v>1.4991848235747869</v>
      </c>
      <c r="H14" s="326">
        <f>VLOOKUP($A14,'Landfilling EFs'!$B$16:$GW$69,'Landfilling EFs'!$F$5,FALSE)+(VLOOKUP('Summary Data'!A14,[1]!LandfillTypicalNatlAverage,2,FALSE)*O14*(1-[1]Assumptions!$G$15)*(-Q14))+IF('Analysis Inputs'!$N$166=2,(('Analysis Inputs'!$G$175-'Analysis Inputs'!$F$175)*$B$66),0)</f>
        <v>0.64328690402650812</v>
      </c>
      <c r="I14" s="12">
        <f>SUM(VLOOKUP(A14,'[1]Emission Factors'!$B$6:$CL$61,31,FALSE),VLOOKUP(A14,'[1]Emission Factors'!$B$6:$CL$61,32,FALSE),VLOOKUP(A14,'[1]Emission Factors'!$B$6:$CL$61,33,FALSE),VLOOKUP(A14,'[1]Emission Factors'!$B$6:$CL$61,34,FALSE),VLOOKUP(A14,'[1]Emission Factors'!$B$6:$CL$61,36,FALSE))+P14+IF('Analysis Inputs'!$N$166=2,(('Analysis Inputs'!$G$176-'Analysis Inputs'!$F$176)*'Summary Data'!$B$66),0)</f>
        <v>-0.32100946821092835</v>
      </c>
      <c r="J14" s="655" t="s">
        <v>503</v>
      </c>
      <c r="K14" s="655" t="s">
        <v>503</v>
      </c>
      <c r="L14" s="655" t="s">
        <v>503</v>
      </c>
      <c r="M14" s="655" t="s">
        <v>503</v>
      </c>
      <c r="N14" s="391" t="s">
        <v>503</v>
      </c>
      <c r="O14" s="832">
        <v>1</v>
      </c>
      <c r="P14" s="319">
        <f>-VLOOKUP($A14,Avoided_Utility_Combustion,'Analysis Inputs'!$N$77+1,FALSE)</f>
        <v>-0.36667554455965412</v>
      </c>
      <c r="Q14" s="318">
        <f>VLOOKUP('Analysis Inputs'!$H$78,LF_Avoided_Utility_Ratio,2,FALSE)</f>
        <v>7.5875281375367018E-2</v>
      </c>
      <c r="R14" s="319" t="s">
        <v>503</v>
      </c>
    </row>
    <row r="15" spans="1:21" x14ac:dyDescent="0.25">
      <c r="A15" s="111" t="s">
        <v>4</v>
      </c>
      <c r="B15" s="95">
        <f>IF('Analysis Inputs'!$N$86=2,VLOOKUP(A15,'[1]Emission Factors'!$B$6:$CL$61,16,FALSE),VLOOKUP(A15,[1]!EmissionFactors,17,FALSE))</f>
        <v>-2.026026091003577</v>
      </c>
      <c r="C15" s="69">
        <f>VLOOKUP(A15,'[1]Emission Factors'!$B$6:$CL$61,24,FALSE)+IF('Analysis Inputs'!$N$166=2,(('Analysis Inputs'!$G$177-'Analysis Inputs'!$F$177)*'Summary Data'!$B$66),0)</f>
        <v>-2.4616116917341553</v>
      </c>
      <c r="D15" s="10">
        <f>IF('Analysis Inputs'!$N$96=2,F15,IF('Analysis Inputs'!$N$96=3,E15,IF('Analysis Inputs'!$N$107=1,H15,G15)))</f>
        <v>-1.0117749791615904</v>
      </c>
      <c r="E15" s="146">
        <f>VLOOKUP(A15,'Landfilling EFs'!$B$16:$GW$69,'Landfilling EFs'!$C$5,FALSE)+IF('Analysis Inputs'!$N$166=2,(('Analysis Inputs'!$G$175-'Analysis Inputs'!$F$175)*$B$66),0)</f>
        <v>-1.0149343187411981</v>
      </c>
      <c r="F15" s="149">
        <f>VLOOKUP($A15,'Landfilling EFs'!$B$16:$GW$69,'Landfilling EFs'!$D$5,FALSE)+IF('Analysis Inputs'!$N$166=2,(('Analysis Inputs'!$G$175-'Analysis Inputs'!$F$175)*$B$66),0)</f>
        <v>-0.91931617608588745</v>
      </c>
      <c r="G15" s="326">
        <f>VLOOKUP($A15,'Landfilling EFs'!$B$16:$GW$69,'Landfilling EFs'!$E$5,FALSE)+IF('Analysis Inputs'!$N$166=2,(('Analysis Inputs'!$G$175-'Analysis Inputs'!$F$175)*$B$66),0)</f>
        <v>-1.0117749791615904</v>
      </c>
      <c r="H15" s="326">
        <f>VLOOKUP($A15,'Landfilling EFs'!$B$16:$GW$69,'Landfilling EFs'!$F$5,FALSE)+(VLOOKUP('Summary Data'!A15,[1]!LandfillTypicalNatlAverage,2,FALSE)*O15*(1-[1]Assumptions!$G$15)*(-Q15))+IF('Analysis Inputs'!$N$166=2,(('Analysis Inputs'!$G$175-'Analysis Inputs'!$F$175)*$B$66),0)</f>
        <v>-1.04126662681468</v>
      </c>
      <c r="I15" s="12">
        <f>SUM(VLOOKUP(A15,'[1]Emission Factors'!$B$6:$CL$61,31,FALSE),VLOOKUP(A15,'[1]Emission Factors'!$B$6:$CL$61,32,FALSE),VLOOKUP(A15,'[1]Emission Factors'!$B$6:$CL$61,33,FALSE),VLOOKUP(A15,'[1]Emission Factors'!$B$6:$CL$61,34,FALSE),VLOOKUP(A15,'[1]Emission Factors'!$B$6:$CL$61,36,FALSE))+P15+IF('Analysis Inputs'!$N$166=2,(('Analysis Inputs'!$G$176-'Analysis Inputs'!$F$176)*'Summary Data'!$B$66),0)</f>
        <v>-0.40189377951085209</v>
      </c>
      <c r="J15" s="71" t="s">
        <v>503</v>
      </c>
      <c r="K15" s="655" t="s">
        <v>503</v>
      </c>
      <c r="L15" s="655" t="s">
        <v>503</v>
      </c>
      <c r="M15" s="655" t="s">
        <v>503</v>
      </c>
      <c r="N15" s="391" t="s">
        <v>503</v>
      </c>
      <c r="O15" s="832">
        <v>1</v>
      </c>
      <c r="P15" s="319">
        <f>-VLOOKUP($A15,Avoided_Utility_Combustion,'Analysis Inputs'!$N$77+1,FALSE)</f>
        <v>-0.44755985585957786</v>
      </c>
      <c r="Q15" s="318">
        <f>VLOOKUP('Analysis Inputs'!$H$78,LF_Avoided_Utility_Ratio,2,FALSE)</f>
        <v>7.5875281375367018E-2</v>
      </c>
      <c r="R15" s="319" t="s">
        <v>503</v>
      </c>
      <c r="S15" s="652"/>
    </row>
    <row r="16" spans="1:21" x14ac:dyDescent="0.25">
      <c r="A16" s="111" t="s">
        <v>558</v>
      </c>
      <c r="B16" s="95">
        <f>IF('Analysis Inputs'!$N$86=2,VLOOKUP(A16,'[1]Emission Factors'!$B$6:$CL$61,16,FALSE),VLOOKUP(A16,[1]!EmissionFactors,17,FALSE))</f>
        <v>-2.2336449635394291</v>
      </c>
      <c r="C16" s="69">
        <f>VLOOKUP(A16,'[1]Emission Factors'!$B$6:$CL$61,24,FALSE)+IF('Analysis Inputs'!$N$166=2,(('Analysis Inputs'!$G$177-'Analysis Inputs'!$F$177)*'Summary Data'!$B$66),0)</f>
        <v>-2.4706339028973177</v>
      </c>
      <c r="D16" s="10">
        <f>IF('Analysis Inputs'!$N$96=2,F16,IF('Analysis Inputs'!$N$96=3,E16,IF('Analysis Inputs'!$N$107=1,H16,G16)))</f>
        <v>-0.88292198354341211</v>
      </c>
      <c r="E16" s="146">
        <f>VLOOKUP(A16,'Landfilling EFs'!$B$16:$GW$69,'Landfilling EFs'!$C$5,FALSE)+IF('Analysis Inputs'!$N$166=2,(('Analysis Inputs'!$G$175-'Analysis Inputs'!$F$175)*$B$66),0)</f>
        <v>-0.8848958355435933</v>
      </c>
      <c r="F16" s="149">
        <f>VLOOKUP($A16,'Landfilling EFs'!$B$16:$GW$69,'Landfilling EFs'!$D$5,FALSE)+IF('Analysis Inputs'!$N$166=2,(('Analysis Inputs'!$G$175-'Analysis Inputs'!$F$175)*$B$66),0)</f>
        <v>-0.85250579992130393</v>
      </c>
      <c r="G16" s="326">
        <f>VLOOKUP($A16,'Landfilling EFs'!$B$16:$GW$69,'Landfilling EFs'!$E$5,FALSE)+IF('Analysis Inputs'!$N$166=2,(('Analysis Inputs'!$G$175-'Analysis Inputs'!$F$175)*$B$66),0)</f>
        <v>-0.88292198354341211</v>
      </c>
      <c r="H16" s="326">
        <f>VLOOKUP($A16,'Landfilling EFs'!$B$16:$GW$69,'Landfilling EFs'!$F$5,FALSE)+(VLOOKUP('Summary Data'!A16,[1]!LandfillTypicalNatlAverage,2,FALSE)*O16*(1-[1]Assumptions!$G$15)*(-Q16))+IF('Analysis Inputs'!$N$166=2,(('Analysis Inputs'!$G$175-'Analysis Inputs'!$F$175)*$B$66),0)</f>
        <v>-0.89361209483869442</v>
      </c>
      <c r="I16" s="12">
        <f>SUM(VLOOKUP(A16,'[1]Emission Factors'!$B$6:$CL$61,31,FALSE),VLOOKUP(A16,'[1]Emission Factors'!$B$6:$CL$61,32,FALSE),VLOOKUP(A16,'[1]Emission Factors'!$B$6:$CL$61,33,FALSE),VLOOKUP(A16,'[1]Emission Factors'!$B$6:$CL$61,34,FALSE),VLOOKUP(A16,'[1]Emission Factors'!$B$6:$CL$61,36,FALSE))+P16+IF('Analysis Inputs'!$N$166=2,(('Analysis Inputs'!$G$176-'Analysis Inputs'!$F$176)*'Summary Data'!$B$66),0)</f>
        <v>-0.40189377951085209</v>
      </c>
      <c r="J16" s="71" t="s">
        <v>503</v>
      </c>
      <c r="K16" s="655" t="s">
        <v>503</v>
      </c>
      <c r="L16" s="655" t="s">
        <v>503</v>
      </c>
      <c r="M16" s="655" t="s">
        <v>503</v>
      </c>
      <c r="N16" s="391" t="s">
        <v>503</v>
      </c>
      <c r="O16" s="832">
        <v>1</v>
      </c>
      <c r="P16" s="319">
        <f>-VLOOKUP($A16,Avoided_Utility_Combustion,'Analysis Inputs'!$N$77+1,FALSE)</f>
        <v>-0.44755985585957786</v>
      </c>
      <c r="Q16" s="318">
        <f>VLOOKUP('Analysis Inputs'!$H$78,LF_Avoided_Utility_Ratio,2,FALSE)</f>
        <v>7.5875281375367018E-2</v>
      </c>
      <c r="R16" s="319" t="s">
        <v>503</v>
      </c>
      <c r="S16" s="652"/>
    </row>
    <row r="17" spans="1:19" x14ac:dyDescent="0.25">
      <c r="A17" s="111" t="s">
        <v>740</v>
      </c>
      <c r="B17" s="95">
        <f>IF('Analysis Inputs'!$N$86=2,VLOOKUP(A17,'[1]Emission Factors'!$B$6:$CL$61,16,FALSE),VLOOKUP(A17,[1]!EmissionFactors,17,FALSE))</f>
        <v>-3.6563116475032813</v>
      </c>
      <c r="C17" s="442" t="s">
        <v>503</v>
      </c>
      <c r="D17" s="10">
        <f>IF('Analysis Inputs'!$N$96=2,F17,IF('Analysis Inputs'!$N$96=3,E17,IF('Analysis Inputs'!$N$107=1,H17,G17)))</f>
        <v>0.48134135202886202</v>
      </c>
      <c r="E17" s="146">
        <f>VLOOKUP(A17,'Landfilling EFs'!$B$16:$GW$69,'Landfilling EFs'!$C$5,FALSE)+IF('Analysis Inputs'!$N$166=2,(('Analysis Inputs'!$G$175-'Analysis Inputs'!$F$175)*$B$66),0)</f>
        <v>0.51589732981534486</v>
      </c>
      <c r="F17" s="149">
        <f>VLOOKUP($A17,'Landfilling EFs'!$B$16:$GW$69,'Landfilling EFs'!$D$5,FALSE)+IF('Analysis Inputs'!$N$166=2,(('Analysis Inputs'!$G$175-'Analysis Inputs'!$F$175)*$B$66),0)</f>
        <v>1.3938424251101666</v>
      </c>
      <c r="G17" s="326">
        <f>VLOOKUP($A17,'Landfilling EFs'!$B$16:$GW$69,'Landfilling EFs'!$E$5,FALSE)+IF('Analysis Inputs'!$N$166=2,(('Analysis Inputs'!$G$175-'Analysis Inputs'!$F$175)*$B$66),0)</f>
        <v>0.48134135202886202</v>
      </c>
      <c r="H17" s="326">
        <f>VLOOKUP($A17,'Landfilling EFs'!$B$16:$GW$69,'Landfilling EFs'!$F$5,FALSE)+(VLOOKUP('Summary Data'!A17,[1]!LandfillTypicalNatlAverage,2,FALSE)*O17*(1-[1]Assumptions!$G$15)*(-Q17))+IF('Analysis Inputs'!$N$166=2,(('Analysis Inputs'!$G$175-'Analysis Inputs'!$F$175)*$B$66),0)</f>
        <v>0.24934515648317024</v>
      </c>
      <c r="I17" s="12">
        <f>SUM(VLOOKUP(A17,'[1]Emission Factors'!$B$6:$CL$61,31,FALSE),VLOOKUP(A17,'[1]Emission Factors'!$B$6:$CL$61,32,FALSE),VLOOKUP(A17,'[1]Emission Factors'!$B$6:$CL$61,33,FALSE),VLOOKUP(A17,'[1]Emission Factors'!$B$6:$CL$61,34,FALSE),VLOOKUP(A17,'[1]Emission Factors'!$B$6:$CL$61,36,FALSE))+P17+IF('Analysis Inputs'!$N$166=2,(('Analysis Inputs'!$G$176-'Analysis Inputs'!$F$176)*'Summary Data'!$B$66),0)</f>
        <v>-8.2131135505153705E-2</v>
      </c>
      <c r="J17" s="656">
        <f>VLOOKUP(A17,'[1]Emission Factors'!$B$6:$CL$61,4,FALSE)+IF('Analysis Inputs'!$N$166=2,(('Analysis Inputs'!$G$178-'Analysis Inputs'!$F$178)*$B$66),0)</f>
        <v>-0.17601201959602991</v>
      </c>
      <c r="K17" s="71">
        <f>SUM(VLOOKUP(A17,'[1]Emission Factors'!$B$6:$CL$61,62,FALSE),VLOOKUP(A17,'[1]Emission Factors'!$B$6:$CL$61,64,FALSE),VLOOKUP(A17,'[1]Emission Factors'!$B$6:$CL$61,65,FALSE),VLOOKUP(A17,'[1]Emission Factors'!$B$6:$CL$61,66,FALSE),VLOOKUP(A17,'[1]Emission Factors'!$B$6:$CL$61,67,FALSE))+$R17+IF('Analysis Inputs'!$N$166=2,(('Analysis Inputs'!$G$179-'Analysis Inputs'!$F$179)*'Summary Data'!$B$66),0)</f>
        <v>-2.4514132058813747E-2</v>
      </c>
      <c r="L17" s="71">
        <f>SUM(VLOOKUP(A17,'[1]Emission Factors'!$B$6:$CL$61,69,FALSE),VLOOKUP(A17,'[1]Emission Factors'!$B$6:$CL$61,71,FALSE),VLOOKUP(A17,'[1]Emission Factors'!$B$6:$CL$61,72,FALSE),VLOOKUP(A17,'[1]Emission Factors'!$B$6:$CL$61,73,FALSE),VLOOKUP(A17,'[1]Emission Factors'!$B$6:$CL$61,74,FALSE))+$R17+IF('Analysis Inputs'!$N$166=2,(('Analysis Inputs'!$G$179-'Analysis Inputs'!$F$179)*'Summary Data'!$B$66),0)</f>
        <v>-0.10349403124651566</v>
      </c>
      <c r="M17" s="71">
        <f>SUM(VLOOKUP(A17,'[1]Emission Factors'!$B$6:$CL$61,76,FALSE),VLOOKUP(A17,'[1]Emission Factors'!$B$6:$CL$61,78,FALSE),VLOOKUP(A17,'[1]Emission Factors'!$B$6:$CL$61,79,FALSE),VLOOKUP(A17,'[1]Emission Factors'!$B$6:$CL$61,80,FALSE),VLOOKUP(A17,'[1]Emission Factors'!$B$6:$CL$61,81,FALSE))+$R17+IF('Analysis Inputs'!$N$166=2,(('Analysis Inputs'!$G$179-'Analysis Inputs'!$F$179)*'Summary Data'!$B$66),0)</f>
        <v>1.3985071055409734E-2</v>
      </c>
      <c r="N17" s="392">
        <f>SUM(VLOOKUP(A17,'[1]Emission Factors'!$B$6:$CL$61,83,FALSE),VLOOKUP(A17,'[1]Emission Factors'!$B$6:$CL$61,85,FALSE),VLOOKUP(A17,'[1]Emission Factors'!$B$6:$CL$61,86,FALSE),VLOOKUP(A17,'[1]Emission Factors'!$B$6:$CL$61,87,FALSE),VLOOKUP(A17,'[1]Emission Factors'!$B$6:$CL$61,88,FALSE))+$R17+IF('Analysis Inputs'!$N$166=2,(('Analysis Inputs'!$G$179-'Analysis Inputs'!$F$179)*'Summary Data'!$B$66),0)</f>
        <v>-4.3152396934205604E-2</v>
      </c>
      <c r="O17" s="832">
        <v>1</v>
      </c>
      <c r="P17" s="716">
        <f>-VLOOKUP($A17,Avoided_Utility_Combustion,'Analysis Inputs'!$N$77+1,FALSE)</f>
        <v>-0.12779721185387946</v>
      </c>
      <c r="Q17" s="383">
        <f>VLOOKUP('Analysis Inputs'!$H$78,LF_Avoided_Utility_Ratio,2,FALSE)</f>
        <v>7.5875281375367018E-2</v>
      </c>
      <c r="R17" s="818">
        <f>((IF(AND('Analysis Inputs'!$N$146=1,'Analysis Inputs'!$N$156=1),VLOOKUP($A17,'Avoided Utility'!$C$94:$G$107,2,FALSE),IF(AND('Analysis Inputs'!$N$146=1,'Analysis Inputs'!$N$156=2),VLOOKUP($A17,'Avoided Utility'!$C$94:$G$107,3,FALSE),IF(AND('Analysis Inputs'!$N$146=2,'Analysis Inputs'!$N$156=1),VLOOKUP($A17,'Avoided Utility'!$C$94:$G$107,4,FALSE),IF(AND('Analysis Inputs'!$N$146=2,'Analysis Inputs'!$N$156=2),VLOOKUP($A17,'Avoided Utility'!$C$94:$G$107,5,FALSE)))))))*(((VLOOKUP('Analysis Inputs'!$N$77,'Avoided Utility'!$B$73:$G$82,6,FALSE))))/1000</f>
        <v>-8.4869238875810521E-2</v>
      </c>
      <c r="S17" s="697"/>
    </row>
    <row r="18" spans="1:19" x14ac:dyDescent="0.25">
      <c r="A18" s="111" t="s">
        <v>646</v>
      </c>
      <c r="B18" s="95">
        <f>IF('Analysis Inputs'!$N$86=2,VLOOKUP(A18,'[1]Emission Factors'!$B$6:$CL$61,16,FALSE),VLOOKUP(A18,[1]!EmissionFactors,17,FALSE))</f>
        <v>-0.75780310692084685</v>
      </c>
      <c r="C18" s="442" t="s">
        <v>503</v>
      </c>
      <c r="D18" s="10">
        <f>IF('Analysis Inputs'!$N$96=2,F18,IF('Analysis Inputs'!$N$96=3,E18,IF('Analysis Inputs'!$N$107=1,H18,G18)))</f>
        <v>0.48134135202886202</v>
      </c>
      <c r="E18" s="146">
        <f>VLOOKUP(A18,'Landfilling EFs'!$B$16:$GW$69,'Landfilling EFs'!$C$5,FALSE)+IF('Analysis Inputs'!$N$166=2,(('Analysis Inputs'!$G$175-'Analysis Inputs'!$F$175)*$B$66),0)</f>
        <v>0.51589732981534486</v>
      </c>
      <c r="F18" s="149">
        <f>VLOOKUP($A18,'Landfilling EFs'!$B$16:$GW$69,'Landfilling EFs'!$D$5,FALSE)+IF('Analysis Inputs'!$N$166=2,(('Analysis Inputs'!$G$175-'Analysis Inputs'!$F$175)*$B$66),0)</f>
        <v>1.3938424251101666</v>
      </c>
      <c r="G18" s="326">
        <f>VLOOKUP($A18,'Landfilling EFs'!$B$16:$GW$69,'Landfilling EFs'!$E$5,FALSE)+IF('Analysis Inputs'!$N$166=2,(('Analysis Inputs'!$G$175-'Analysis Inputs'!$F$175)*$B$66),0)</f>
        <v>0.48134135202886202</v>
      </c>
      <c r="H18" s="326">
        <f>VLOOKUP($A18,'Landfilling EFs'!$B$16:$GW$69,'Landfilling EFs'!$F$5,FALSE)+(VLOOKUP('Summary Data'!A18,[1]!LandfillTypicalNatlAverage,2,FALSE)*O18*(1-[1]Assumptions!$G$15)*(-Q18))+IF('Analysis Inputs'!$N$166=2,(('Analysis Inputs'!$G$175-'Analysis Inputs'!$F$175)*$B$66),0)</f>
        <v>0.24934515648317024</v>
      </c>
      <c r="I18" s="12">
        <f>SUM(VLOOKUP(A18,'[1]Emission Factors'!$B$6:$CL$61,31,FALSE),VLOOKUP(A18,'[1]Emission Factors'!$B$6:$CL$61,32,FALSE),VLOOKUP(A18,'[1]Emission Factors'!$B$6:$CL$61,33,FALSE),VLOOKUP(A18,'[1]Emission Factors'!$B$6:$CL$61,34,FALSE),VLOOKUP(A18,'[1]Emission Factors'!$B$6:$CL$61,36,FALSE))+P18+IF('Analysis Inputs'!$N$166=2,(('Analysis Inputs'!$G$176-'Analysis Inputs'!$F$176)*'Summary Data'!$B$66),0)</f>
        <v>-8.2131135505153705E-2</v>
      </c>
      <c r="J18" s="656">
        <f>VLOOKUP(A18,'[1]Emission Factors'!$B$6:$CL$61,4,FALSE)+IF('Analysis Inputs'!$N$166=2,(('Analysis Inputs'!$G$178-'Analysis Inputs'!$F$178)*$B$66),0)</f>
        <v>-0.17601201959602991</v>
      </c>
      <c r="K18" s="71">
        <f>SUM(VLOOKUP(A18,'[1]Emission Factors'!$B$6:$CL$61,62,FALSE),VLOOKUP(A18,'[1]Emission Factors'!$B$6:$CL$61,64,FALSE),VLOOKUP(A18,'[1]Emission Factors'!$B$6:$CL$61,65,FALSE),VLOOKUP(A18,'[1]Emission Factors'!$B$6:$CL$61,66,FALSE),VLOOKUP(A18,'[1]Emission Factors'!$B$6:$CL$61,67,FALSE))+$R18+IF('Analysis Inputs'!$N$166=2,(('Analysis Inputs'!$G$179-'Analysis Inputs'!$F$179)*'Summary Data'!$B$66),0)</f>
        <v>-2.4514132058813747E-2</v>
      </c>
      <c r="L18" s="71">
        <f>SUM(VLOOKUP(A18,'[1]Emission Factors'!$B$6:$CL$61,69,FALSE),VLOOKUP(A18,'[1]Emission Factors'!$B$6:$CL$61,71,FALSE),VLOOKUP(A18,'[1]Emission Factors'!$B$6:$CL$61,72,FALSE),VLOOKUP(A18,'[1]Emission Factors'!$B$6:$CL$61,73,FALSE),VLOOKUP(A18,'[1]Emission Factors'!$B$6:$CL$61,74,FALSE))+$R18+IF('Analysis Inputs'!$N$166=2,(('Analysis Inputs'!$G$179-'Analysis Inputs'!$F$179)*'Summary Data'!$B$66),0)</f>
        <v>-0.10349403124651566</v>
      </c>
      <c r="M18" s="71">
        <f>SUM(VLOOKUP(A18,'[1]Emission Factors'!$B$6:$CL$61,76,FALSE),VLOOKUP(A18,'[1]Emission Factors'!$B$6:$CL$61,78,FALSE),VLOOKUP(A18,'[1]Emission Factors'!$B$6:$CL$61,79,FALSE),VLOOKUP(A18,'[1]Emission Factors'!$B$6:$CL$61,80,FALSE),VLOOKUP(A18,'[1]Emission Factors'!$B$6:$CL$61,81,FALSE))+$R18+IF('Analysis Inputs'!$N$166=2,(('Analysis Inputs'!$G$179-'Analysis Inputs'!$F$179)*'Summary Data'!$B$66),0)</f>
        <v>1.3985071055409734E-2</v>
      </c>
      <c r="N18" s="392">
        <f>SUM(VLOOKUP(A18,'[1]Emission Factors'!$B$6:$CL$61,83,FALSE),VLOOKUP(A18,'[1]Emission Factors'!$B$6:$CL$61,85,FALSE),VLOOKUP(A18,'[1]Emission Factors'!$B$6:$CL$61,86,FALSE),VLOOKUP(A18,'[1]Emission Factors'!$B$6:$CL$61,87,FALSE),VLOOKUP(A18,'[1]Emission Factors'!$B$6:$CL$61,88,FALSE))+$R18+IF('Analysis Inputs'!$N$166=2,(('Analysis Inputs'!$G$179-'Analysis Inputs'!$F$179)*'Summary Data'!$B$66),0)</f>
        <v>-4.3152396934205604E-2</v>
      </c>
      <c r="O18" s="832">
        <v>1</v>
      </c>
      <c r="P18" s="716">
        <f>-VLOOKUP($A18,Avoided_Utility_Combustion,'Analysis Inputs'!$N$77+1,FALSE)</f>
        <v>-0.12779721185387946</v>
      </c>
      <c r="Q18" s="383">
        <f>VLOOKUP('Analysis Inputs'!$H$78,LF_Avoided_Utility_Ratio,2,FALSE)</f>
        <v>7.5875281375367018E-2</v>
      </c>
      <c r="R18" s="818">
        <f>((IF(AND('Analysis Inputs'!$N$146=1,'Analysis Inputs'!$N$156=1),VLOOKUP($A18,'Avoided Utility'!$C$94:$G$107,2,FALSE),IF(AND('Analysis Inputs'!$N$146=1,'Analysis Inputs'!$N$156=2),VLOOKUP($A18,'Avoided Utility'!$C$94:$G$107,3,FALSE),IF(AND('Analysis Inputs'!$N$146=2,'Analysis Inputs'!$N$156=1),VLOOKUP($A18,'Avoided Utility'!$C$94:$G$107,4,FALSE),IF(AND('Analysis Inputs'!$N$146=2,'Analysis Inputs'!$N$156=2),VLOOKUP($A18,'Avoided Utility'!$C$94:$G$107,5,FALSE)))))))*(((VLOOKUP('Analysis Inputs'!$N$77,'Avoided Utility'!$B$73:$G$82,6,FALSE))))/1000</f>
        <v>-8.4869238875810521E-2</v>
      </c>
      <c r="S18" s="652"/>
    </row>
    <row r="19" spans="1:19" x14ac:dyDescent="0.25">
      <c r="A19" s="111" t="s">
        <v>744</v>
      </c>
      <c r="B19" s="95">
        <f>IF('Analysis Inputs'!$N$86=2,VLOOKUP(A19,'[1]Emission Factors'!$B$6:$CL$61,16,FALSE),VLOOKUP(A19,[1]!EmissionFactors,17,FALSE))</f>
        <v>-15.098113839071496</v>
      </c>
      <c r="C19" s="442" t="s">
        <v>503</v>
      </c>
      <c r="D19" s="10">
        <f>IF('Analysis Inputs'!$N$96=2,F19,IF('Analysis Inputs'!$N$96=3,E19,IF('Analysis Inputs'!$N$107=1,H19,G19)))</f>
        <v>0.48134135202886202</v>
      </c>
      <c r="E19" s="146">
        <f>VLOOKUP(A19,'Landfilling EFs'!$B$16:$GW$69,'Landfilling EFs'!$C$5,FALSE)+IF('Analysis Inputs'!$N$166=2,(('Analysis Inputs'!$G$175-'Analysis Inputs'!$F$175)*$B$66),0)</f>
        <v>0.51589732981534486</v>
      </c>
      <c r="F19" s="149">
        <f>VLOOKUP($A19,'Landfilling EFs'!$B$16:$GW$69,'Landfilling EFs'!$D$5,FALSE)+IF('Analysis Inputs'!$N$166=2,(('Analysis Inputs'!$G$175-'Analysis Inputs'!$F$175)*$B$66),0)</f>
        <v>1.3938424251101666</v>
      </c>
      <c r="G19" s="326">
        <f>VLOOKUP($A19,'Landfilling EFs'!$B$16:$GW$69,'Landfilling EFs'!$E$5,FALSE)+IF('Analysis Inputs'!$N$166=2,(('Analysis Inputs'!$G$175-'Analysis Inputs'!$F$175)*$B$66),0)</f>
        <v>0.48134135202886202</v>
      </c>
      <c r="H19" s="326">
        <f>VLOOKUP($A19,'Landfilling EFs'!$B$16:$GW$69,'Landfilling EFs'!$F$5,FALSE)+(VLOOKUP('Summary Data'!A19,[1]!LandfillTypicalNatlAverage,2,FALSE)*O19*(1-[1]Assumptions!$G$15)*(-Q19))+IF('Analysis Inputs'!$N$166=2,(('Analysis Inputs'!$G$175-'Analysis Inputs'!$F$175)*$B$66),0)</f>
        <v>0.24934515648317024</v>
      </c>
      <c r="I19" s="12">
        <f>SUM(VLOOKUP(A19,'[1]Emission Factors'!$B$6:$CL$61,31,FALSE),VLOOKUP(A19,'[1]Emission Factors'!$B$6:$CL$61,32,FALSE),VLOOKUP(A19,'[1]Emission Factors'!$B$6:$CL$61,33,FALSE),VLOOKUP(A19,'[1]Emission Factors'!$B$6:$CL$61,34,FALSE),VLOOKUP(A19,'[1]Emission Factors'!$B$6:$CL$61,36,FALSE))+P19+IF('Analysis Inputs'!$N$166=2,(('Analysis Inputs'!$G$176-'Analysis Inputs'!$F$176)*'Summary Data'!$B$66),0)</f>
        <v>-8.2131135505153705E-2</v>
      </c>
      <c r="J19" s="656">
        <f>VLOOKUP(A19,'[1]Emission Factors'!$B$6:$CL$61,4,FALSE)+IF('Analysis Inputs'!$N$166=2,(('Analysis Inputs'!$G$178-'Analysis Inputs'!$F$178)*$B$66),0)</f>
        <v>-0.17601201959602991</v>
      </c>
      <c r="K19" s="71">
        <f>SUM(VLOOKUP(A19,'[1]Emission Factors'!$B$6:$CL$61,62,FALSE),VLOOKUP(A19,'[1]Emission Factors'!$B$6:$CL$61,64,FALSE),VLOOKUP(A19,'[1]Emission Factors'!$B$6:$CL$61,65,FALSE),VLOOKUP(A19,'[1]Emission Factors'!$B$6:$CL$61,66,FALSE),VLOOKUP(A19,'[1]Emission Factors'!$B$6:$CL$61,67,FALSE))+$R19+IF('Analysis Inputs'!$N$166=2,(('Analysis Inputs'!$G$179-'Analysis Inputs'!$F$179)*'Summary Data'!$B$66),0)</f>
        <v>-2.4514132058813747E-2</v>
      </c>
      <c r="L19" s="71">
        <f>SUM(VLOOKUP(A19,'[1]Emission Factors'!$B$6:$CL$61,69,FALSE),VLOOKUP(A19,'[1]Emission Factors'!$B$6:$CL$61,71,FALSE),VLOOKUP(A19,'[1]Emission Factors'!$B$6:$CL$61,72,FALSE),VLOOKUP(A19,'[1]Emission Factors'!$B$6:$CL$61,73,FALSE),VLOOKUP(A19,'[1]Emission Factors'!$B$6:$CL$61,74,FALSE))+$R19+IF('Analysis Inputs'!$N$166=2,(('Analysis Inputs'!$G$179-'Analysis Inputs'!$F$179)*'Summary Data'!$B$66),0)</f>
        <v>-0.10349403124651566</v>
      </c>
      <c r="M19" s="71">
        <f>SUM(VLOOKUP(A19,'[1]Emission Factors'!$B$6:$CL$61,76,FALSE),VLOOKUP(A19,'[1]Emission Factors'!$B$6:$CL$61,78,FALSE),VLOOKUP(A19,'[1]Emission Factors'!$B$6:$CL$61,79,FALSE),VLOOKUP(A19,'[1]Emission Factors'!$B$6:$CL$61,80,FALSE),VLOOKUP(A19,'[1]Emission Factors'!$B$6:$CL$61,81,FALSE))+$R19+IF('Analysis Inputs'!$N$166=2,(('Analysis Inputs'!$G$179-'Analysis Inputs'!$F$179)*'Summary Data'!$B$66),0)</f>
        <v>1.3985071055409734E-2</v>
      </c>
      <c r="N19" s="392">
        <f>SUM(VLOOKUP(A19,'[1]Emission Factors'!$B$6:$CL$61,83,FALSE),VLOOKUP(A19,'[1]Emission Factors'!$B$6:$CL$61,85,FALSE),VLOOKUP(A19,'[1]Emission Factors'!$B$6:$CL$61,86,FALSE),VLOOKUP(A19,'[1]Emission Factors'!$B$6:$CL$61,87,FALSE),VLOOKUP(A19,'[1]Emission Factors'!$B$6:$CL$61,88,FALSE))+$R19+IF('Analysis Inputs'!$N$166=2,(('Analysis Inputs'!$G$179-'Analysis Inputs'!$F$179)*'Summary Data'!$B$66),0)</f>
        <v>-4.3152396934205604E-2</v>
      </c>
      <c r="O19" s="832">
        <v>1</v>
      </c>
      <c r="P19" s="716">
        <f>-VLOOKUP($A19,Avoided_Utility_Combustion,'Analysis Inputs'!$N$77+1,FALSE)</f>
        <v>-0.12779721185387946</v>
      </c>
      <c r="Q19" s="383">
        <f>VLOOKUP('Analysis Inputs'!$H$78,LF_Avoided_Utility_Ratio,2,FALSE)</f>
        <v>7.5875281375367018E-2</v>
      </c>
      <c r="R19" s="818">
        <f>((IF(AND('Analysis Inputs'!$N$146=1,'Analysis Inputs'!$N$156=1),VLOOKUP($A19,'Avoided Utility'!$C$94:$G$107,2,FALSE),IF(AND('Analysis Inputs'!$N$146=1,'Analysis Inputs'!$N$156=2),VLOOKUP($A19,'Avoided Utility'!$C$94:$G$107,3,FALSE),IF(AND('Analysis Inputs'!$N$146=2,'Analysis Inputs'!$N$156=1),VLOOKUP($A19,'Avoided Utility'!$C$94:$G$107,4,FALSE),IF(AND('Analysis Inputs'!$N$146=2,'Analysis Inputs'!$N$156=2),VLOOKUP($A19,'Avoided Utility'!$C$94:$G$107,5,FALSE)))))))*(((VLOOKUP('Analysis Inputs'!$N$77,'Avoided Utility'!$B$73:$G$82,6,FALSE))))/1000</f>
        <v>-8.4869238875810521E-2</v>
      </c>
      <c r="S19" s="652"/>
    </row>
    <row r="20" spans="1:19" x14ac:dyDescent="0.25">
      <c r="A20" s="111" t="s">
        <v>741</v>
      </c>
      <c r="B20" s="95">
        <f>IF('Analysis Inputs'!$N$86=2,VLOOKUP(A20,'[1]Emission Factors'!$B$6:$CL$61,16,FALSE),VLOOKUP(A20,[1]!EmissionFactors,17,FALSE))</f>
        <v>-30.052031630109216</v>
      </c>
      <c r="C20" s="442" t="s">
        <v>503</v>
      </c>
      <c r="D20" s="10">
        <f>IF('Analysis Inputs'!$N$96=2,F20,IF('Analysis Inputs'!$N$96=3,E20,IF('Analysis Inputs'!$N$107=1,H20,G20)))</f>
        <v>0.48134135202886202</v>
      </c>
      <c r="E20" s="146">
        <f>VLOOKUP(A20,'Landfilling EFs'!$B$16:$GW$69,'Landfilling EFs'!$C$5,FALSE)+IF('Analysis Inputs'!$N$166=2,(('Analysis Inputs'!$G$175-'Analysis Inputs'!$F$175)*$B$66),0)</f>
        <v>0.51589732981534486</v>
      </c>
      <c r="F20" s="149">
        <f>VLOOKUP($A20,'Landfilling EFs'!$B$16:$GW$69,'Landfilling EFs'!$D$5,FALSE)+IF('Analysis Inputs'!$N$166=2,(('Analysis Inputs'!$G$175-'Analysis Inputs'!$F$175)*$B$66),0)</f>
        <v>1.3938424251101666</v>
      </c>
      <c r="G20" s="326">
        <f>VLOOKUP($A20,'Landfilling EFs'!$B$16:$GW$69,'Landfilling EFs'!$E$5,FALSE)+IF('Analysis Inputs'!$N$166=2,(('Analysis Inputs'!$G$175-'Analysis Inputs'!$F$175)*$B$66),0)</f>
        <v>0.48134135202886202</v>
      </c>
      <c r="H20" s="326">
        <f>VLOOKUP($A20,'Landfilling EFs'!$B$16:$GW$69,'Landfilling EFs'!$F$5,FALSE)+(VLOOKUP('Summary Data'!A20,[1]!LandfillTypicalNatlAverage,2,FALSE)*O20*(1-[1]Assumptions!$G$15)*(-Q20))+IF('Analysis Inputs'!$N$166=2,(('Analysis Inputs'!$G$175-'Analysis Inputs'!$F$175)*$B$66),0)</f>
        <v>0.24934515648317024</v>
      </c>
      <c r="I20" s="12">
        <f>SUM(VLOOKUP(A20,'[1]Emission Factors'!$B$6:$CL$61,31,FALSE),VLOOKUP(A20,'[1]Emission Factors'!$B$6:$CL$61,32,FALSE),VLOOKUP(A20,'[1]Emission Factors'!$B$6:$CL$61,33,FALSE),VLOOKUP(A20,'[1]Emission Factors'!$B$6:$CL$61,34,FALSE),VLOOKUP(A20,'[1]Emission Factors'!$B$6:$CL$61,36,FALSE))+P20+IF('Analysis Inputs'!$N$166=2,(('Analysis Inputs'!$G$176-'Analysis Inputs'!$F$176)*'Summary Data'!$B$66),0)</f>
        <v>-8.2131135505153705E-2</v>
      </c>
      <c r="J20" s="656">
        <f>VLOOKUP(A20,'[1]Emission Factors'!$B$6:$CL$61,4,FALSE)+IF('Analysis Inputs'!$N$166=2,(('Analysis Inputs'!$G$178-'Analysis Inputs'!$F$178)*$B$66),0)</f>
        <v>-0.17601201959602991</v>
      </c>
      <c r="K20" s="71">
        <f>SUM(VLOOKUP(A20,'[1]Emission Factors'!$B$6:$CL$61,62,FALSE),VLOOKUP(A20,'[1]Emission Factors'!$B$6:$CL$61,64,FALSE),VLOOKUP(A20,'[1]Emission Factors'!$B$6:$CL$61,65,FALSE),VLOOKUP(A20,'[1]Emission Factors'!$B$6:$CL$61,66,FALSE),VLOOKUP(A20,'[1]Emission Factors'!$B$6:$CL$61,67,FALSE))+$R20+IF('Analysis Inputs'!$N$166=2,(('Analysis Inputs'!$G$179-'Analysis Inputs'!$F$179)*'Summary Data'!$B$66),0)</f>
        <v>-2.4514132058813747E-2</v>
      </c>
      <c r="L20" s="71">
        <f>SUM(VLOOKUP(A20,'[1]Emission Factors'!$B$6:$CL$61,69,FALSE),VLOOKUP(A20,'[1]Emission Factors'!$B$6:$CL$61,71,FALSE),VLOOKUP(A20,'[1]Emission Factors'!$B$6:$CL$61,72,FALSE),VLOOKUP(A20,'[1]Emission Factors'!$B$6:$CL$61,73,FALSE),VLOOKUP(A20,'[1]Emission Factors'!$B$6:$CL$61,74,FALSE))+$R20+IF('Analysis Inputs'!$N$166=2,(('Analysis Inputs'!$G$179-'Analysis Inputs'!$F$179)*'Summary Data'!$B$66),0)</f>
        <v>-0.10349403124651566</v>
      </c>
      <c r="M20" s="71">
        <f>SUM(VLOOKUP(A20,'[1]Emission Factors'!$B$6:$CL$61,76,FALSE),VLOOKUP(A20,'[1]Emission Factors'!$B$6:$CL$61,78,FALSE),VLOOKUP(A20,'[1]Emission Factors'!$B$6:$CL$61,79,FALSE),VLOOKUP(A20,'[1]Emission Factors'!$B$6:$CL$61,80,FALSE),VLOOKUP(A20,'[1]Emission Factors'!$B$6:$CL$61,81,FALSE))+$R20+IF('Analysis Inputs'!$N$166=2,(('Analysis Inputs'!$G$179-'Analysis Inputs'!$F$179)*'Summary Data'!$B$66),0)</f>
        <v>1.3985071055409734E-2</v>
      </c>
      <c r="N20" s="392">
        <f>SUM(VLOOKUP(A20,'[1]Emission Factors'!$B$6:$CL$61,83,FALSE),VLOOKUP(A20,'[1]Emission Factors'!$B$6:$CL$61,85,FALSE),VLOOKUP(A20,'[1]Emission Factors'!$B$6:$CL$61,86,FALSE),VLOOKUP(A20,'[1]Emission Factors'!$B$6:$CL$61,87,FALSE),VLOOKUP(A20,'[1]Emission Factors'!$B$6:$CL$61,88,FALSE))+$R20+IF('Analysis Inputs'!$N$166=2,(('Analysis Inputs'!$G$179-'Analysis Inputs'!$F$179)*'Summary Data'!$B$66),0)</f>
        <v>-4.3152396934205604E-2</v>
      </c>
      <c r="O20" s="832">
        <v>1</v>
      </c>
      <c r="P20" s="716">
        <f>-VLOOKUP($A20,Avoided_Utility_Combustion,'Analysis Inputs'!$N$77+1,FALSE)</f>
        <v>-0.12779721185387946</v>
      </c>
      <c r="Q20" s="383">
        <f>VLOOKUP('Analysis Inputs'!$H$78,LF_Avoided_Utility_Ratio,2,FALSE)</f>
        <v>7.5875281375367018E-2</v>
      </c>
      <c r="R20" s="818">
        <f>((IF(AND('Analysis Inputs'!$N$146=1,'Analysis Inputs'!$N$156=1),VLOOKUP($A20,'Avoided Utility'!$C$94:$G$107,2,FALSE),IF(AND('Analysis Inputs'!$N$146=1,'Analysis Inputs'!$N$156=2),VLOOKUP($A20,'Avoided Utility'!$C$94:$G$107,3,FALSE),IF(AND('Analysis Inputs'!$N$146=2,'Analysis Inputs'!$N$156=1),VLOOKUP($A20,'Avoided Utility'!$C$94:$G$107,4,FALSE),IF(AND('Analysis Inputs'!$N$146=2,'Analysis Inputs'!$N$156=2),VLOOKUP($A20,'Avoided Utility'!$C$94:$G$107,5,FALSE)))))))*(((VLOOKUP('Analysis Inputs'!$N$77,'Avoided Utility'!$B$73:$G$82,6,FALSE))))/1000</f>
        <v>-8.4869238875810521E-2</v>
      </c>
      <c r="S20" s="652"/>
    </row>
    <row r="21" spans="1:19" x14ac:dyDescent="0.25">
      <c r="A21" s="111" t="s">
        <v>742</v>
      </c>
      <c r="B21" s="95">
        <f>IF('Analysis Inputs'!$N$86=2,VLOOKUP(A21,'[1]Emission Factors'!$B$6:$CL$61,16,FALSE),VLOOKUP(A21,[1]!EmissionFactors,17,FALSE))</f>
        <v>-2.4730482422145905</v>
      </c>
      <c r="C21" s="442" t="s">
        <v>503</v>
      </c>
      <c r="D21" s="10">
        <f>IF('Analysis Inputs'!$N$96=2,F21,IF('Analysis Inputs'!$N$96=3,E21,IF('Analysis Inputs'!$N$107=1,H21,G21)))</f>
        <v>0.48134135202886202</v>
      </c>
      <c r="E21" s="146">
        <f>VLOOKUP(A21,'Landfilling EFs'!$B$16:$GW$69,'Landfilling EFs'!$C$5,FALSE)+IF('Analysis Inputs'!$N$166=2,(('Analysis Inputs'!$G$175-'Analysis Inputs'!$F$175)*$B$66),0)</f>
        <v>0.51589732981534486</v>
      </c>
      <c r="F21" s="149">
        <f>VLOOKUP($A21,'Landfilling EFs'!$B$16:$GW$69,'Landfilling EFs'!$D$5,FALSE)+IF('Analysis Inputs'!$N$166=2,(('Analysis Inputs'!$G$175-'Analysis Inputs'!$F$175)*$B$66),0)</f>
        <v>1.3938424251101666</v>
      </c>
      <c r="G21" s="326">
        <f>VLOOKUP($A21,'Landfilling EFs'!$B$16:$GW$69,'Landfilling EFs'!$E$5,FALSE)+IF('Analysis Inputs'!$N$166=2,(('Analysis Inputs'!$G$175-'Analysis Inputs'!$F$175)*$B$66),0)</f>
        <v>0.48134135202886202</v>
      </c>
      <c r="H21" s="326">
        <f>VLOOKUP($A21,'Landfilling EFs'!$B$16:$GW$69,'Landfilling EFs'!$F$5,FALSE)+(VLOOKUP('Summary Data'!A21,[1]!LandfillTypicalNatlAverage,2,FALSE)*O21*(1-[1]Assumptions!$G$15)*(-Q21))+IF('Analysis Inputs'!$N$166=2,(('Analysis Inputs'!$G$175-'Analysis Inputs'!$F$175)*$B$66),0)</f>
        <v>0.24934515648317024</v>
      </c>
      <c r="I21" s="12">
        <f>SUM(VLOOKUP(A21,'[1]Emission Factors'!$B$6:$CL$61,31,FALSE),VLOOKUP(A21,'[1]Emission Factors'!$B$6:$CL$61,32,FALSE),VLOOKUP(A21,'[1]Emission Factors'!$B$6:$CL$61,33,FALSE),VLOOKUP(A21,'[1]Emission Factors'!$B$6:$CL$61,34,FALSE),VLOOKUP(A21,'[1]Emission Factors'!$B$6:$CL$61,36,FALSE))+P21+IF('Analysis Inputs'!$N$166=2,(('Analysis Inputs'!$G$176-'Analysis Inputs'!$F$176)*'Summary Data'!$B$66),0)</f>
        <v>-8.2131135505153705E-2</v>
      </c>
      <c r="J21" s="656">
        <f>VLOOKUP(A21,'[1]Emission Factors'!$B$6:$CL$61,4,FALSE)+IF('Analysis Inputs'!$N$166=2,(('Analysis Inputs'!$G$178-'Analysis Inputs'!$F$178)*$B$66),0)</f>
        <v>-0.17601201959602991</v>
      </c>
      <c r="K21" s="71">
        <f>SUM(VLOOKUP(A21,'[1]Emission Factors'!$B$6:$CL$61,62,FALSE),VLOOKUP(A21,'[1]Emission Factors'!$B$6:$CL$61,64,FALSE),VLOOKUP(A21,'[1]Emission Factors'!$B$6:$CL$61,65,FALSE),VLOOKUP(A21,'[1]Emission Factors'!$B$6:$CL$61,66,FALSE),VLOOKUP(A21,'[1]Emission Factors'!$B$6:$CL$61,67,FALSE))+$R21+IF('Analysis Inputs'!$N$166=2,(('Analysis Inputs'!$G$179-'Analysis Inputs'!$F$179)*'Summary Data'!$B$66),0)</f>
        <v>-2.4514132058813747E-2</v>
      </c>
      <c r="L21" s="71">
        <f>SUM(VLOOKUP(A21,'[1]Emission Factors'!$B$6:$CL$61,69,FALSE),VLOOKUP(A21,'[1]Emission Factors'!$B$6:$CL$61,71,FALSE),VLOOKUP(A21,'[1]Emission Factors'!$B$6:$CL$61,72,FALSE),VLOOKUP(A21,'[1]Emission Factors'!$B$6:$CL$61,73,FALSE),VLOOKUP(A21,'[1]Emission Factors'!$B$6:$CL$61,74,FALSE))+$R21+IF('Analysis Inputs'!$N$166=2,(('Analysis Inputs'!$G$179-'Analysis Inputs'!$F$179)*'Summary Data'!$B$66),0)</f>
        <v>-0.10349403124651566</v>
      </c>
      <c r="M21" s="71">
        <f>SUM(VLOOKUP(A21,'[1]Emission Factors'!$B$6:$CL$61,76,FALSE),VLOOKUP(A21,'[1]Emission Factors'!$B$6:$CL$61,78,FALSE),VLOOKUP(A21,'[1]Emission Factors'!$B$6:$CL$61,79,FALSE),VLOOKUP(A21,'[1]Emission Factors'!$B$6:$CL$61,80,FALSE),VLOOKUP(A21,'[1]Emission Factors'!$B$6:$CL$61,81,FALSE))+$R21+IF('Analysis Inputs'!$N$166=2,(('Analysis Inputs'!$G$179-'Analysis Inputs'!$F$179)*'Summary Data'!$B$66),0)</f>
        <v>1.3985071055409734E-2</v>
      </c>
      <c r="N21" s="392">
        <f>SUM(VLOOKUP(A21,'[1]Emission Factors'!$B$6:$CL$61,83,FALSE),VLOOKUP(A21,'[1]Emission Factors'!$B$6:$CL$61,85,FALSE),VLOOKUP(A21,'[1]Emission Factors'!$B$6:$CL$61,86,FALSE),VLOOKUP(A21,'[1]Emission Factors'!$B$6:$CL$61,87,FALSE),VLOOKUP(A21,'[1]Emission Factors'!$B$6:$CL$61,88,FALSE))+$R21+IF('Analysis Inputs'!$N$166=2,(('Analysis Inputs'!$G$179-'Analysis Inputs'!$F$179)*'Summary Data'!$B$66),0)</f>
        <v>-4.3152396934205604E-2</v>
      </c>
      <c r="O21" s="832">
        <v>1</v>
      </c>
      <c r="P21" s="716">
        <f>-VLOOKUP($A21,Avoided_Utility_Combustion,'Analysis Inputs'!$N$77+1,FALSE)</f>
        <v>-0.12779721185387946</v>
      </c>
      <c r="Q21" s="383">
        <f>VLOOKUP('Analysis Inputs'!$H$78,LF_Avoided_Utility_Ratio,2,FALSE)</f>
        <v>7.5875281375367018E-2</v>
      </c>
      <c r="R21" s="818">
        <f>((IF(AND('Analysis Inputs'!$N$146=1,'Analysis Inputs'!$N$156=1),VLOOKUP($A21,'Avoided Utility'!$C$94:$G$107,2,FALSE),IF(AND('Analysis Inputs'!$N$146=1,'Analysis Inputs'!$N$156=2),VLOOKUP($A21,'Avoided Utility'!$C$94:$G$107,3,FALSE),IF(AND('Analysis Inputs'!$N$146=2,'Analysis Inputs'!$N$156=1),VLOOKUP($A21,'Avoided Utility'!$C$94:$G$107,4,FALSE),IF(AND('Analysis Inputs'!$N$146=2,'Analysis Inputs'!$N$156=2),VLOOKUP($A21,'Avoided Utility'!$C$94:$G$107,5,FALSE)))))))*(((VLOOKUP('Analysis Inputs'!$N$77,'Avoided Utility'!$B$73:$G$82,6,FALSE))))/1000</f>
        <v>-8.4869238875810521E-2</v>
      </c>
      <c r="S21" s="652"/>
    </row>
    <row r="22" spans="1:19" x14ac:dyDescent="0.25">
      <c r="A22" s="111" t="s">
        <v>649</v>
      </c>
      <c r="B22" s="95">
        <f>IF('Analysis Inputs'!$N$86=2,VLOOKUP(A22,'[1]Emission Factors'!$B$6:$CL$61,16,FALSE),VLOOKUP(A22,[1]!EmissionFactors,17,FALSE))</f>
        <v>-0.61825309510684989</v>
      </c>
      <c r="C22" s="442" t="s">
        <v>503</v>
      </c>
      <c r="D22" s="12">
        <f>IF('Analysis Inputs'!$N$96=2,F22,IF('Analysis Inputs'!$N$96=3,E22,IF('Analysis Inputs'!$N$107=1,H22,G22)))</f>
        <v>0.48134135202886202</v>
      </c>
      <c r="E22" s="146">
        <f>VLOOKUP(A22,'Landfilling EFs'!$B$16:$GW$69,'Landfilling EFs'!$C$5,FALSE)+IF('Analysis Inputs'!$N$166=2,(('Analysis Inputs'!$G$175-'Analysis Inputs'!$F$175)*$B$66),0)</f>
        <v>0.51589732981534486</v>
      </c>
      <c r="F22" s="149">
        <f>VLOOKUP($A22,'Landfilling EFs'!$B$16:$GW$69,'Landfilling EFs'!$D$5,FALSE)+IF('Analysis Inputs'!$N$166=2,(('Analysis Inputs'!$G$175-'Analysis Inputs'!$F$175)*$B$66),0)</f>
        <v>1.3938424251101666</v>
      </c>
      <c r="G22" s="326">
        <f>VLOOKUP($A22,'Landfilling EFs'!$B$16:$GW$69,'Landfilling EFs'!$E$5,FALSE)+IF('Analysis Inputs'!$N$166=2,(('Analysis Inputs'!$G$175-'Analysis Inputs'!$F$175)*$B$66),0)</f>
        <v>0.48134135202886202</v>
      </c>
      <c r="H22" s="326">
        <f>VLOOKUP($A22,'Landfilling EFs'!$B$16:$GW$69,'Landfilling EFs'!$F$5,FALSE)+(VLOOKUP('Summary Data'!A22,[1]!LandfillTypicalNatlAverage,2,FALSE)*O22*(1-[1]Assumptions!$G$15)*(-Q22))+IF('Analysis Inputs'!$N$166=2,(('Analysis Inputs'!$G$175-'Analysis Inputs'!$F$175)*$B$66),0)</f>
        <v>0.24934515648317024</v>
      </c>
      <c r="I22" s="12">
        <f>SUM(VLOOKUP(A22,'[1]Emission Factors'!$B$6:$CL$61,31,FALSE),VLOOKUP(A22,'[1]Emission Factors'!$B$6:$CL$61,32,FALSE),VLOOKUP(A22,'[1]Emission Factors'!$B$6:$CL$61,33,FALSE),VLOOKUP(A22,'[1]Emission Factors'!$B$6:$CL$61,34,FALSE),VLOOKUP(A22,'[1]Emission Factors'!$B$6:$CL$61,36,FALSE))+P22+IF('Analysis Inputs'!$N$166=2,(('Analysis Inputs'!$G$176-'Analysis Inputs'!$F$176)*'Summary Data'!$B$66),0)</f>
        <v>-8.2131135505153705E-2</v>
      </c>
      <c r="J22" s="656">
        <f>VLOOKUP(A22,'[1]Emission Factors'!$B$6:$CL$61,4,FALSE)+IF('Analysis Inputs'!$N$166=2,(('Analysis Inputs'!$G$178-'Analysis Inputs'!$F$178)*$B$66),0)</f>
        <v>-0.17601201959602991</v>
      </c>
      <c r="K22" s="71">
        <f>SUM(VLOOKUP(A22,'[1]Emission Factors'!$B$6:$CL$61,62,FALSE),VLOOKUP(A22,'[1]Emission Factors'!$B$6:$CL$61,64,FALSE),VLOOKUP(A22,'[1]Emission Factors'!$B$6:$CL$61,65,FALSE),VLOOKUP(A22,'[1]Emission Factors'!$B$6:$CL$61,66,FALSE),VLOOKUP(A22,'[1]Emission Factors'!$B$6:$CL$61,67,FALSE))+$R22+IF('Analysis Inputs'!$N$166=2,(('Analysis Inputs'!$G$179-'Analysis Inputs'!$F$179)*'Summary Data'!$B$66),0)</f>
        <v>-2.4514132058813747E-2</v>
      </c>
      <c r="L22" s="71">
        <f>SUM(VLOOKUP(A22,'[1]Emission Factors'!$B$6:$CL$61,69,FALSE),VLOOKUP(A22,'[1]Emission Factors'!$B$6:$CL$61,71,FALSE),VLOOKUP(A22,'[1]Emission Factors'!$B$6:$CL$61,72,FALSE),VLOOKUP(A22,'[1]Emission Factors'!$B$6:$CL$61,73,FALSE),VLOOKUP(A22,'[1]Emission Factors'!$B$6:$CL$61,74,FALSE))+$R22+IF('Analysis Inputs'!$N$166=2,(('Analysis Inputs'!$G$179-'Analysis Inputs'!$F$179)*'Summary Data'!$B$66),0)</f>
        <v>-0.10349403124651566</v>
      </c>
      <c r="M22" s="71">
        <f>SUM(VLOOKUP(A22,'[1]Emission Factors'!$B$6:$CL$61,76,FALSE),VLOOKUP(A22,'[1]Emission Factors'!$B$6:$CL$61,78,FALSE),VLOOKUP(A22,'[1]Emission Factors'!$B$6:$CL$61,79,FALSE),VLOOKUP(A22,'[1]Emission Factors'!$B$6:$CL$61,80,FALSE),VLOOKUP(A22,'[1]Emission Factors'!$B$6:$CL$61,81,FALSE))+$R22+IF('Analysis Inputs'!$N$166=2,(('Analysis Inputs'!$G$179-'Analysis Inputs'!$F$179)*'Summary Data'!$B$66),0)</f>
        <v>1.3985071055409734E-2</v>
      </c>
      <c r="N22" s="392">
        <f>SUM(VLOOKUP(A22,'[1]Emission Factors'!$B$6:$CL$61,83,FALSE),VLOOKUP(A22,'[1]Emission Factors'!$B$6:$CL$61,85,FALSE),VLOOKUP(A22,'[1]Emission Factors'!$B$6:$CL$61,86,FALSE),VLOOKUP(A22,'[1]Emission Factors'!$B$6:$CL$61,87,FALSE),VLOOKUP(A22,'[1]Emission Factors'!$B$6:$CL$61,88,FALSE))+$R22+IF('Analysis Inputs'!$N$166=2,(('Analysis Inputs'!$G$179-'Analysis Inputs'!$F$179)*'Summary Data'!$B$66),0)</f>
        <v>-4.3152396934205604E-2</v>
      </c>
      <c r="O22" s="832">
        <v>1</v>
      </c>
      <c r="P22" s="716">
        <f>-VLOOKUP($A22,Avoided_Utility_Combustion,'Analysis Inputs'!$N$77+1,FALSE)</f>
        <v>-0.12779721185387946</v>
      </c>
      <c r="Q22" s="383">
        <f>VLOOKUP('Analysis Inputs'!$H$78,LF_Avoided_Utility_Ratio,2,FALSE)</f>
        <v>7.5875281375367018E-2</v>
      </c>
      <c r="R22" s="818">
        <f>((IF(AND('Analysis Inputs'!$N$146=1,'Analysis Inputs'!$N$156=1),VLOOKUP($A22,'Avoided Utility'!$C$94:$G$107,2,FALSE),IF(AND('Analysis Inputs'!$N$146=1,'Analysis Inputs'!$N$156=2),VLOOKUP($A22,'Avoided Utility'!$C$94:$G$107,3,FALSE),IF(AND('Analysis Inputs'!$N$146=2,'Analysis Inputs'!$N$156=1),VLOOKUP($A22,'Avoided Utility'!$C$94:$G$107,4,FALSE),IF(AND('Analysis Inputs'!$N$146=2,'Analysis Inputs'!$N$156=2),VLOOKUP($A22,'Avoided Utility'!$C$94:$G$107,5,FALSE)))))))*(((VLOOKUP('Analysis Inputs'!$N$77,'Avoided Utility'!$B$73:$G$82,6,FALSE))))/1000</f>
        <v>-8.4869238875810521E-2</v>
      </c>
      <c r="S22" s="652"/>
    </row>
    <row r="23" spans="1:19" x14ac:dyDescent="0.25">
      <c r="A23" s="111" t="s">
        <v>645</v>
      </c>
      <c r="B23" s="95">
        <f>IF('Analysis Inputs'!$N$86=2,VLOOKUP(A23,'[1]Emission Factors'!$B$6:$CL$61,16,FALSE),VLOOKUP(A23,[1]!EmissionFactors,17,FALSE))</f>
        <v>-0.66885741730676163</v>
      </c>
      <c r="C23" s="442" t="s">
        <v>503</v>
      </c>
      <c r="D23" s="12">
        <f>IF('Analysis Inputs'!$N$96=2,F23,IF('Analysis Inputs'!$N$96=3,E23,IF('Analysis Inputs'!$N$107=1,H23,G23)))</f>
        <v>0.48134135202886202</v>
      </c>
      <c r="E23" s="146">
        <f>VLOOKUP(A23,'Landfilling EFs'!$B$16:$GW$69,'Landfilling EFs'!$C$5,FALSE)+IF('Analysis Inputs'!$N$166=2,(('Analysis Inputs'!$G$175-'Analysis Inputs'!$F$175)*$B$66),0)</f>
        <v>0.51589732981534486</v>
      </c>
      <c r="F23" s="149">
        <f>VLOOKUP($A23,'Landfilling EFs'!$B$16:$GW$69,'Landfilling EFs'!$D$5,FALSE)+IF('Analysis Inputs'!$N$166=2,(('Analysis Inputs'!$G$175-'Analysis Inputs'!$F$175)*$B$66),0)</f>
        <v>1.3938424251101666</v>
      </c>
      <c r="G23" s="326">
        <f>VLOOKUP($A23,'Landfilling EFs'!$B$16:$GW$69,'Landfilling EFs'!$E$5,FALSE)+IF('Analysis Inputs'!$N$166=2,(('Analysis Inputs'!$G$175-'Analysis Inputs'!$F$175)*$B$66),0)</f>
        <v>0.48134135202886202</v>
      </c>
      <c r="H23" s="326">
        <f>VLOOKUP($A23,'Landfilling EFs'!$B$16:$GW$69,'Landfilling EFs'!$F$5,FALSE)+(VLOOKUP('Summary Data'!A23,[1]!LandfillTypicalNatlAverage,2,FALSE)*O23*(1-[1]Assumptions!$G$15)*(-Q23))+IF('Analysis Inputs'!$N$166=2,(('Analysis Inputs'!$G$175-'Analysis Inputs'!$F$175)*$B$66),0)</f>
        <v>0.24934515648317024</v>
      </c>
      <c r="I23" s="12">
        <f>SUM(VLOOKUP(A23,'[1]Emission Factors'!$B$6:$CL$61,31,FALSE),VLOOKUP(A23,'[1]Emission Factors'!$B$6:$CL$61,32,FALSE),VLOOKUP(A23,'[1]Emission Factors'!$B$6:$CL$61,33,FALSE),VLOOKUP(A23,'[1]Emission Factors'!$B$6:$CL$61,34,FALSE),VLOOKUP(A23,'[1]Emission Factors'!$B$6:$CL$61,36,FALSE))+P23+IF('Analysis Inputs'!$N$166=2,(('Analysis Inputs'!$G$176-'Analysis Inputs'!$F$176)*'Summary Data'!$B$66),0)</f>
        <v>-8.2131135505153705E-2</v>
      </c>
      <c r="J23" s="656">
        <f>VLOOKUP(A23,'[1]Emission Factors'!$B$6:$CL$61,4,FALSE)+IF('Analysis Inputs'!$N$166=2,(('Analysis Inputs'!$G$178-'Analysis Inputs'!$F$178)*$B$66),0)</f>
        <v>-0.17601201959602991</v>
      </c>
      <c r="K23" s="71">
        <f>SUM(VLOOKUP(A23,'[1]Emission Factors'!$B$6:$CL$61,62,FALSE),VLOOKUP(A23,'[1]Emission Factors'!$B$6:$CL$61,64,FALSE),VLOOKUP(A23,'[1]Emission Factors'!$B$6:$CL$61,65,FALSE),VLOOKUP(A23,'[1]Emission Factors'!$B$6:$CL$61,66,FALSE),VLOOKUP(A23,'[1]Emission Factors'!$B$6:$CL$61,67,FALSE))+$R23+IF('Analysis Inputs'!$N$166=2,(('Analysis Inputs'!$G$179-'Analysis Inputs'!$F$179)*'Summary Data'!$B$66),0)</f>
        <v>-2.4514132058813747E-2</v>
      </c>
      <c r="L23" s="71">
        <f>SUM(VLOOKUP(A23,'[1]Emission Factors'!$B$6:$CL$61,69,FALSE),VLOOKUP(A23,'[1]Emission Factors'!$B$6:$CL$61,71,FALSE),VLOOKUP(A23,'[1]Emission Factors'!$B$6:$CL$61,72,FALSE),VLOOKUP(A23,'[1]Emission Factors'!$B$6:$CL$61,73,FALSE),VLOOKUP(A23,'[1]Emission Factors'!$B$6:$CL$61,74,FALSE))+$R23+IF('Analysis Inputs'!$N$166=2,(('Analysis Inputs'!$G$179-'Analysis Inputs'!$F$179)*'Summary Data'!$B$66),0)</f>
        <v>-0.10349403124651566</v>
      </c>
      <c r="M23" s="71">
        <f>SUM(VLOOKUP(A23,'[1]Emission Factors'!$B$6:$CL$61,76,FALSE),VLOOKUP(A23,'[1]Emission Factors'!$B$6:$CL$61,78,FALSE),VLOOKUP(A23,'[1]Emission Factors'!$B$6:$CL$61,79,FALSE),VLOOKUP(A23,'[1]Emission Factors'!$B$6:$CL$61,80,FALSE),VLOOKUP(A23,'[1]Emission Factors'!$B$6:$CL$61,81,FALSE))+$R23+IF('Analysis Inputs'!$N$166=2,(('Analysis Inputs'!$G$179-'Analysis Inputs'!$F$179)*'Summary Data'!$B$66),0)</f>
        <v>1.3985071055409734E-2</v>
      </c>
      <c r="N23" s="392">
        <f>SUM(VLOOKUP(A23,'[1]Emission Factors'!$B$6:$CL$61,83,FALSE),VLOOKUP(A23,'[1]Emission Factors'!$B$6:$CL$61,85,FALSE),VLOOKUP(A23,'[1]Emission Factors'!$B$6:$CL$61,86,FALSE),VLOOKUP(A23,'[1]Emission Factors'!$B$6:$CL$61,87,FALSE),VLOOKUP(A23,'[1]Emission Factors'!$B$6:$CL$61,88,FALSE))+$R23+IF('Analysis Inputs'!$N$166=2,(('Analysis Inputs'!$G$179-'Analysis Inputs'!$F$179)*'Summary Data'!$B$66),0)</f>
        <v>-4.3152396934205604E-2</v>
      </c>
      <c r="O23" s="832">
        <v>1</v>
      </c>
      <c r="P23" s="716">
        <f>-VLOOKUP($A23,Avoided_Utility_Combustion,'Analysis Inputs'!$N$77+1,FALSE)</f>
        <v>-0.12779721185387946</v>
      </c>
      <c r="Q23" s="383">
        <f>VLOOKUP('Analysis Inputs'!$H$78,LF_Avoided_Utility_Ratio,2,FALSE)</f>
        <v>7.5875281375367018E-2</v>
      </c>
      <c r="R23" s="818">
        <f>((IF(AND('Analysis Inputs'!$N$146=1,'Analysis Inputs'!$N$156=1),VLOOKUP($A23,'Avoided Utility'!$C$94:$G$107,2,FALSE),IF(AND('Analysis Inputs'!$N$146=1,'Analysis Inputs'!$N$156=2),VLOOKUP($A23,'Avoided Utility'!$C$94:$G$107,3,FALSE),IF(AND('Analysis Inputs'!$N$146=2,'Analysis Inputs'!$N$156=1),VLOOKUP($A23,'Avoided Utility'!$C$94:$G$107,4,FALSE),IF(AND('Analysis Inputs'!$N$146=2,'Analysis Inputs'!$N$156=2),VLOOKUP($A23,'Avoided Utility'!$C$94:$G$107,5,FALSE)))))))*(((VLOOKUP('Analysis Inputs'!$N$77,'Avoided Utility'!$B$73:$G$82,6,FALSE))))/1000</f>
        <v>-8.4869238875810521E-2</v>
      </c>
      <c r="S23" s="652"/>
    </row>
    <row r="24" spans="1:19" x14ac:dyDescent="0.25">
      <c r="A24" s="111" t="s">
        <v>647</v>
      </c>
      <c r="B24" s="95">
        <f>IF('Analysis Inputs'!$N$86=2,VLOOKUP(A24,'[1]Emission Factors'!$B$6:$CL$61,16,FALSE),VLOOKUP(A24,[1]!EmissionFactors,17,FALSE))</f>
        <v>-0.43975723056728044</v>
      </c>
      <c r="C24" s="442" t="s">
        <v>503</v>
      </c>
      <c r="D24" s="12">
        <f>IF('Analysis Inputs'!$N$96=2,F24,IF('Analysis Inputs'!$N$96=3,E24,IF('Analysis Inputs'!$N$107=1,H24,G24)))</f>
        <v>0.48134135202886202</v>
      </c>
      <c r="E24" s="146">
        <f>VLOOKUP(A24,'Landfilling EFs'!$B$16:$GW$69,'Landfilling EFs'!$C$5,FALSE)+IF('Analysis Inputs'!$N$166=2,(('Analysis Inputs'!$G$175-'Analysis Inputs'!$F$175)*$B$66),0)</f>
        <v>0.51589732981534486</v>
      </c>
      <c r="F24" s="149">
        <f>VLOOKUP($A24,'Landfilling EFs'!$B$16:$GW$69,'Landfilling EFs'!$D$5,FALSE)+IF('Analysis Inputs'!$N$166=2,(('Analysis Inputs'!$G$175-'Analysis Inputs'!$F$175)*$B$66),0)</f>
        <v>1.3938424251101666</v>
      </c>
      <c r="G24" s="326">
        <f>VLOOKUP($A24,'Landfilling EFs'!$B$16:$GW$69,'Landfilling EFs'!$E$5,FALSE)+IF('Analysis Inputs'!$N$166=2,(('Analysis Inputs'!$G$175-'Analysis Inputs'!$F$175)*$B$66),0)</f>
        <v>0.48134135202886202</v>
      </c>
      <c r="H24" s="326">
        <f>VLOOKUP($A24,'Landfilling EFs'!$B$16:$GW$69,'Landfilling EFs'!$F$5,FALSE)+(VLOOKUP('Summary Data'!A24,[1]!LandfillTypicalNatlAverage,2,FALSE)*O24*(1-[1]Assumptions!$G$15)*(-Q24))+IF('Analysis Inputs'!$N$166=2,(('Analysis Inputs'!$G$175-'Analysis Inputs'!$F$175)*$B$66),0)</f>
        <v>0.24934515648317024</v>
      </c>
      <c r="I24" s="12">
        <f>SUM(VLOOKUP(A24,'[1]Emission Factors'!$B$6:$CL$61,31,FALSE),VLOOKUP(A24,'[1]Emission Factors'!$B$6:$CL$61,32,FALSE),VLOOKUP(A24,'[1]Emission Factors'!$B$6:$CL$61,33,FALSE),VLOOKUP(A24,'[1]Emission Factors'!$B$6:$CL$61,34,FALSE),VLOOKUP(A24,'[1]Emission Factors'!$B$6:$CL$61,36,FALSE))+P24+IF('Analysis Inputs'!$N$166=2,(('Analysis Inputs'!$G$176-'Analysis Inputs'!$F$176)*'Summary Data'!$B$66),0)</f>
        <v>-8.2131135505153705E-2</v>
      </c>
      <c r="J24" s="656">
        <f>VLOOKUP(A24,'[1]Emission Factors'!$B$6:$CL$61,4,FALSE)+IF('Analysis Inputs'!$N$166=2,(('Analysis Inputs'!$G$178-'Analysis Inputs'!$F$178)*$B$66),0)</f>
        <v>-0.17601201959602991</v>
      </c>
      <c r="K24" s="71">
        <f>SUM(VLOOKUP(A24,'[1]Emission Factors'!$B$6:$CL$61,62,FALSE),VLOOKUP(A24,'[1]Emission Factors'!$B$6:$CL$61,64,FALSE),VLOOKUP(A24,'[1]Emission Factors'!$B$6:$CL$61,65,FALSE),VLOOKUP(A24,'[1]Emission Factors'!$B$6:$CL$61,66,FALSE),VLOOKUP(A24,'[1]Emission Factors'!$B$6:$CL$61,67,FALSE))+$R24+IF('Analysis Inputs'!$N$166=2,(('Analysis Inputs'!$G$179-'Analysis Inputs'!$F$179)*'Summary Data'!$B$66),0)</f>
        <v>-2.4514132058813747E-2</v>
      </c>
      <c r="L24" s="71">
        <f>SUM(VLOOKUP(A24,'[1]Emission Factors'!$B$6:$CL$61,69,FALSE),VLOOKUP(A24,'[1]Emission Factors'!$B$6:$CL$61,71,FALSE),VLOOKUP(A24,'[1]Emission Factors'!$B$6:$CL$61,72,FALSE),VLOOKUP(A24,'[1]Emission Factors'!$B$6:$CL$61,73,FALSE),VLOOKUP(A24,'[1]Emission Factors'!$B$6:$CL$61,74,FALSE))+$R24+IF('Analysis Inputs'!$N$166=2,(('Analysis Inputs'!$G$179-'Analysis Inputs'!$F$179)*'Summary Data'!$B$66),0)</f>
        <v>-0.10349403124651566</v>
      </c>
      <c r="M24" s="71">
        <f>SUM(VLOOKUP(A24,'[1]Emission Factors'!$B$6:$CL$61,76,FALSE),VLOOKUP(A24,'[1]Emission Factors'!$B$6:$CL$61,78,FALSE),VLOOKUP(A24,'[1]Emission Factors'!$B$6:$CL$61,79,FALSE),VLOOKUP(A24,'[1]Emission Factors'!$B$6:$CL$61,80,FALSE),VLOOKUP(A24,'[1]Emission Factors'!$B$6:$CL$61,81,FALSE))+$R24+IF('Analysis Inputs'!$N$166=2,(('Analysis Inputs'!$G$179-'Analysis Inputs'!$F$179)*'Summary Data'!$B$66),0)</f>
        <v>1.3985071055409734E-2</v>
      </c>
      <c r="N24" s="392">
        <f>SUM(VLOOKUP(A24,'[1]Emission Factors'!$B$6:$CL$61,83,FALSE),VLOOKUP(A24,'[1]Emission Factors'!$B$6:$CL$61,85,FALSE),VLOOKUP(A24,'[1]Emission Factors'!$B$6:$CL$61,86,FALSE),VLOOKUP(A24,'[1]Emission Factors'!$B$6:$CL$61,87,FALSE),VLOOKUP(A24,'[1]Emission Factors'!$B$6:$CL$61,88,FALSE))+$R24+IF('Analysis Inputs'!$N$166=2,(('Analysis Inputs'!$G$179-'Analysis Inputs'!$F$179)*'Summary Data'!$B$66),0)</f>
        <v>-4.3152396934205604E-2</v>
      </c>
      <c r="O24" s="832">
        <v>1</v>
      </c>
      <c r="P24" s="716">
        <f>-VLOOKUP($A24,Avoided_Utility_Combustion,'Analysis Inputs'!$N$77+1,FALSE)</f>
        <v>-0.12779721185387946</v>
      </c>
      <c r="Q24" s="383">
        <f>VLOOKUP('Analysis Inputs'!$H$78,LF_Avoided_Utility_Ratio,2,FALSE)</f>
        <v>7.5875281375367018E-2</v>
      </c>
      <c r="R24" s="818">
        <f>((IF(AND('Analysis Inputs'!$N$146=1,'Analysis Inputs'!$N$156=1),VLOOKUP($A24,'Avoided Utility'!$C$94:$G$107,2,FALSE),IF(AND('Analysis Inputs'!$N$146=1,'Analysis Inputs'!$N$156=2),VLOOKUP($A24,'Avoided Utility'!$C$94:$G$107,3,FALSE),IF(AND('Analysis Inputs'!$N$146=2,'Analysis Inputs'!$N$156=1),VLOOKUP($A24,'Avoided Utility'!$C$94:$G$107,4,FALSE),IF(AND('Analysis Inputs'!$N$146=2,'Analysis Inputs'!$N$156=2),VLOOKUP($A24,'Avoided Utility'!$C$94:$G$107,5,FALSE)))))))*(((VLOOKUP('Analysis Inputs'!$N$77,'Avoided Utility'!$B$73:$G$82,6,FALSE))))/1000</f>
        <v>-8.4869238875810521E-2</v>
      </c>
      <c r="S24" s="652"/>
    </row>
    <row r="25" spans="1:19" x14ac:dyDescent="0.25">
      <c r="A25" s="111" t="s">
        <v>648</v>
      </c>
      <c r="B25" s="95">
        <f>IF('Analysis Inputs'!$N$86=2,VLOOKUP(A25,'[1]Emission Factors'!$B$6:$CL$61,16,FALSE),VLOOKUP(A25,[1]!EmissionFactors,17,FALSE))</f>
        <v>-1.7430171884907069</v>
      </c>
      <c r="C25" s="442" t="s">
        <v>503</v>
      </c>
      <c r="D25" s="12">
        <f>IF('Analysis Inputs'!$N$96=2,F25,IF('Analysis Inputs'!$N$96=3,E25,IF('Analysis Inputs'!$N$107=1,H25,G25)))</f>
        <v>0.48134135202886202</v>
      </c>
      <c r="E25" s="146">
        <f>VLOOKUP(A25,'Landfilling EFs'!$B$16:$GW$69,'Landfilling EFs'!$C$5,FALSE)+IF('Analysis Inputs'!$N$166=2,(('Analysis Inputs'!$G$175-'Analysis Inputs'!$F$175)*$B$66),0)</f>
        <v>0.51589732981534486</v>
      </c>
      <c r="F25" s="149">
        <f>VLOOKUP($A25,'Landfilling EFs'!$B$16:$GW$69,'Landfilling EFs'!$D$5,FALSE)+IF('Analysis Inputs'!$N$166=2,(('Analysis Inputs'!$G$175-'Analysis Inputs'!$F$175)*$B$66),0)</f>
        <v>1.3938424251101666</v>
      </c>
      <c r="G25" s="326">
        <f>VLOOKUP($A25,'Landfilling EFs'!$B$16:$GW$69,'Landfilling EFs'!$E$5,FALSE)+IF('Analysis Inputs'!$N$166=2,(('Analysis Inputs'!$G$175-'Analysis Inputs'!$F$175)*$B$66),0)</f>
        <v>0.48134135202886202</v>
      </c>
      <c r="H25" s="326">
        <f>VLOOKUP($A25,'Landfilling EFs'!$B$16:$GW$69,'Landfilling EFs'!$F$5,FALSE)+(VLOOKUP('Summary Data'!A25,[1]!LandfillTypicalNatlAverage,2,FALSE)*O25*(1-[1]Assumptions!$G$15)*(-Q25))+IF('Analysis Inputs'!$N$166=2,(('Analysis Inputs'!$G$175-'Analysis Inputs'!$F$175)*$B$66),0)</f>
        <v>0.24934515648317024</v>
      </c>
      <c r="I25" s="12">
        <f>SUM(VLOOKUP(A25,'[1]Emission Factors'!$B$6:$CL$61,31,FALSE),VLOOKUP(A25,'[1]Emission Factors'!$B$6:$CL$61,32,FALSE),VLOOKUP(A25,'[1]Emission Factors'!$B$6:$CL$61,33,FALSE),VLOOKUP(A25,'[1]Emission Factors'!$B$6:$CL$61,34,FALSE),VLOOKUP(A25,'[1]Emission Factors'!$B$6:$CL$61,36,FALSE))+P25+IF('Analysis Inputs'!$N$166=2,(('Analysis Inputs'!$G$176-'Analysis Inputs'!$F$176)*'Summary Data'!$B$66),0)</f>
        <v>-8.2131135505153705E-2</v>
      </c>
      <c r="J25" s="656">
        <f>VLOOKUP(A25,'[1]Emission Factors'!$B$6:$CL$61,4,FALSE)+IF('Analysis Inputs'!$N$166=2,(('Analysis Inputs'!$G$178-'Analysis Inputs'!$F$178)*$B$66),0)</f>
        <v>-0.17601201959602991</v>
      </c>
      <c r="K25" s="71">
        <f>SUM(VLOOKUP(A25,'[1]Emission Factors'!$B$6:$CL$61,62,FALSE),VLOOKUP(A25,'[1]Emission Factors'!$B$6:$CL$61,64,FALSE),VLOOKUP(A25,'[1]Emission Factors'!$B$6:$CL$61,65,FALSE),VLOOKUP(A25,'[1]Emission Factors'!$B$6:$CL$61,66,FALSE),VLOOKUP(A25,'[1]Emission Factors'!$B$6:$CL$61,67,FALSE))+$R25+IF('Analysis Inputs'!$N$166=2,(('Analysis Inputs'!$G$179-'Analysis Inputs'!$F$179)*'Summary Data'!$B$66),0)</f>
        <v>-2.4514132058813747E-2</v>
      </c>
      <c r="L25" s="71">
        <f>SUM(VLOOKUP(A25,'[1]Emission Factors'!$B$6:$CL$61,69,FALSE),VLOOKUP(A25,'[1]Emission Factors'!$B$6:$CL$61,71,FALSE),VLOOKUP(A25,'[1]Emission Factors'!$B$6:$CL$61,72,FALSE),VLOOKUP(A25,'[1]Emission Factors'!$B$6:$CL$61,73,FALSE),VLOOKUP(A25,'[1]Emission Factors'!$B$6:$CL$61,74,FALSE))+$R25+IF('Analysis Inputs'!$N$166=2,(('Analysis Inputs'!$G$179-'Analysis Inputs'!$F$179)*'Summary Data'!$B$66),0)</f>
        <v>-0.10349403124651566</v>
      </c>
      <c r="M25" s="71">
        <f>SUM(VLOOKUP(A25,'[1]Emission Factors'!$B$6:$CL$61,76,FALSE),VLOOKUP(A25,'[1]Emission Factors'!$B$6:$CL$61,78,FALSE),VLOOKUP(A25,'[1]Emission Factors'!$B$6:$CL$61,79,FALSE),VLOOKUP(A25,'[1]Emission Factors'!$B$6:$CL$61,80,FALSE),VLOOKUP(A25,'[1]Emission Factors'!$B$6:$CL$61,81,FALSE))+$R25+IF('Analysis Inputs'!$N$166=2,(('Analysis Inputs'!$G$179-'Analysis Inputs'!$F$179)*'Summary Data'!$B$66),0)</f>
        <v>1.3985071055409734E-2</v>
      </c>
      <c r="N25" s="392">
        <f>SUM(VLOOKUP(A25,'[1]Emission Factors'!$B$6:$CL$61,83,FALSE),VLOOKUP(A25,'[1]Emission Factors'!$B$6:$CL$61,85,FALSE),VLOOKUP(A25,'[1]Emission Factors'!$B$6:$CL$61,86,FALSE),VLOOKUP(A25,'[1]Emission Factors'!$B$6:$CL$61,87,FALSE),VLOOKUP(A25,'[1]Emission Factors'!$B$6:$CL$61,88,FALSE))+$R25+IF('Analysis Inputs'!$N$166=2,(('Analysis Inputs'!$G$179-'Analysis Inputs'!$F$179)*'Summary Data'!$B$66),0)</f>
        <v>-4.3152396934205604E-2</v>
      </c>
      <c r="O25" s="832">
        <v>1</v>
      </c>
      <c r="P25" s="716">
        <f>-VLOOKUP($A25,Avoided_Utility_Combustion,'Analysis Inputs'!$N$77+1,FALSE)</f>
        <v>-0.12779721185387946</v>
      </c>
      <c r="Q25" s="383">
        <f>VLOOKUP('Analysis Inputs'!$H$78,LF_Avoided_Utility_Ratio,2,FALSE)</f>
        <v>7.5875281375367018E-2</v>
      </c>
      <c r="R25" s="818">
        <f>((IF(AND('Analysis Inputs'!$N$146=1,'Analysis Inputs'!$N$156=1),VLOOKUP($A25,'Avoided Utility'!$C$94:$G$107,2,FALSE),IF(AND('Analysis Inputs'!$N$146=1,'Analysis Inputs'!$N$156=2),VLOOKUP($A25,'Avoided Utility'!$C$94:$G$107,3,FALSE),IF(AND('Analysis Inputs'!$N$146=2,'Analysis Inputs'!$N$156=1),VLOOKUP($A25,'Avoided Utility'!$C$94:$G$107,4,FALSE),IF(AND('Analysis Inputs'!$N$146=2,'Analysis Inputs'!$N$156=2),VLOOKUP($A25,'Avoided Utility'!$C$94:$G$107,5,FALSE)))))))*(((VLOOKUP('Analysis Inputs'!$N$77,'Avoided Utility'!$B$73:$G$82,6,FALSE))))/1000</f>
        <v>-8.4869238875810521E-2</v>
      </c>
      <c r="S25" s="652"/>
    </row>
    <row r="26" spans="1:19" x14ac:dyDescent="0.25">
      <c r="A26" s="111" t="s">
        <v>580</v>
      </c>
      <c r="B26" s="95" t="str">
        <f>IF('Analysis Inputs'!$N$86=2,VLOOKUP(A26,'[1]Emission Factors'!$B$6:$CL$61,16,FALSE),VLOOKUP(A26,[1]!EmissionFactors,17,FALSE))</f>
        <v>NA</v>
      </c>
      <c r="C26" s="127" t="s">
        <v>503</v>
      </c>
      <c r="D26" s="10">
        <f>IF('Analysis Inputs'!$N$96=2,F26,IF('Analysis Inputs'!$N$96=3,E26,IF('Analysis Inputs'!$N$107=1,H26,G26)))</f>
        <v>-0.20570500870796291</v>
      </c>
      <c r="E26" s="146">
        <f>VLOOKUP(A26,'Landfilling EFs'!$B$16:$GW$69,'Landfilling EFs'!$C$5,FALSE)+IF('Analysis Inputs'!$N$166=2,(('Analysis Inputs'!$G$175-'Analysis Inputs'!$F$175)*$B$66),0)</f>
        <v>-0.18972961797859025</v>
      </c>
      <c r="F26" s="149">
        <f>VLOOKUP($A26,'Landfilling EFs'!$B$16:$GW$69,'Landfilling EFs'!$D$5,FALSE)+IF('Analysis Inputs'!$N$166=2,(('Analysis Inputs'!$G$175-'Analysis Inputs'!$F$175)*$B$66),0)</f>
        <v>0.21407605081676276</v>
      </c>
      <c r="G26" s="326">
        <f>VLOOKUP($A26,'Landfilling EFs'!$B$16:$GW$69,'Landfilling EFs'!$E$5,FALSE)+IF('Analysis Inputs'!$N$166=2,(('Analysis Inputs'!$G$175-'Analysis Inputs'!$F$175)*$B$66),0)</f>
        <v>-0.20570500870796291</v>
      </c>
      <c r="H26" s="326">
        <f>VLOOKUP($A26,'Landfilling EFs'!$B$16:$GW$69,'Landfilling EFs'!$F$5,FALSE)+(VLOOKUP('Summary Data'!A26,[1]!LandfillTypicalNatlAverage,2,FALSE)*O26*(1-[1]Assumptions!$G$15)*(-Q26))+IF('Analysis Inputs'!$N$166=2,(('Analysis Inputs'!$G$175-'Analysis Inputs'!$F$175)*$B$66),0)</f>
        <v>-0.32290357828515642</v>
      </c>
      <c r="I26" s="12">
        <f>SUM(VLOOKUP(A26,'[1]Emission Factors'!$B$6:$CL$61,31,FALSE),VLOOKUP(A26,'[1]Emission Factors'!$B$6:$CL$61,32,FALSE),VLOOKUP(A26,'[1]Emission Factors'!$B$6:$CL$61,33,FALSE),VLOOKUP(A26,'[1]Emission Factors'!$B$6:$CL$61,34,FALSE),VLOOKUP(A26,'[1]Emission Factors'!$B$6:$CL$61,36,FALSE))+P26+IF('Analysis Inputs'!$N$166=2,(('Analysis Inputs'!$G$176-'Analysis Inputs'!$F$176)*'Summary Data'!$B$66),0)</f>
        <v>-0.10531797141113179</v>
      </c>
      <c r="J26" s="656">
        <f>VLOOKUP(A26,'[1]Emission Factors'!$B$6:$CL$61,4,FALSE)+IF('Analysis Inputs'!$N$166=2,(('Analysis Inputs'!$G$178-'Analysis Inputs'!$F$178)*$B$66),0)</f>
        <v>-0.14631201959602991</v>
      </c>
      <c r="K26" s="71" t="s">
        <v>503</v>
      </c>
      <c r="L26" s="71" t="s">
        <v>503</v>
      </c>
      <c r="M26" s="71">
        <f>SUM(VLOOKUP(A26,'[1]Emission Factors'!$B$6:$CL$61,76,FALSE),VLOOKUP(A26,'[1]Emission Factors'!$B$6:$CL$61,78,FALSE),VLOOKUP(A26,'[1]Emission Factors'!$B$6:$CL$61,79,FALSE),VLOOKUP(A26,'[1]Emission Factors'!$B$6:$CL$61,80,FALSE),VLOOKUP(A26,'[1]Emission Factors'!$B$6:$CL$61,81,FALSE))+$R26+IF('Analysis Inputs'!$N$166=2,(('Analysis Inputs'!$G$179-'Analysis Inputs'!$F$179)*'Summary Data'!$B$66),0)</f>
        <v>-4.9257367080273166E-2</v>
      </c>
      <c r="N26" s="392">
        <f>SUM(VLOOKUP(A26,'[1]Emission Factors'!$B$6:$CL$61,83,FALSE),VLOOKUP(A26,'[1]Emission Factors'!$B$6:$CL$61,85,FALSE),VLOOKUP(A26,'[1]Emission Factors'!$B$6:$CL$61,86,FALSE),VLOOKUP(A26,'[1]Emission Factors'!$B$6:$CL$61,87,FALSE),VLOOKUP(A26,'[1]Emission Factors'!$B$6:$CL$61,88,FALSE))+$R26+IF('Analysis Inputs'!$N$166=2,(('Analysis Inputs'!$G$179-'Analysis Inputs'!$F$179)*'Summary Data'!$B$66),0)</f>
        <v>-0.30480535602762426</v>
      </c>
      <c r="O26" s="832">
        <v>1</v>
      </c>
      <c r="P26" s="716">
        <f>-VLOOKUP($A26,Avoided_Utility_Combustion,'Analysis Inputs'!$N$77+1,FALSE)</f>
        <v>-0.15098404775985755</v>
      </c>
      <c r="Q26" s="383">
        <f>VLOOKUP('Analysis Inputs'!$H$78,LF_Avoided_Utility_Ratio,2,FALSE)</f>
        <v>7.5875281375367018E-2</v>
      </c>
      <c r="R26" s="818">
        <f>((IF(AND('Analysis Inputs'!$N$146=1,'Analysis Inputs'!$N$156=1),VLOOKUP($A26,'Avoided Utility'!$C$94:$G$107,2,FALSE),IF(AND('Analysis Inputs'!$N$146=1,'Analysis Inputs'!$N$156=2),VLOOKUP($A26,'Avoided Utility'!$C$94:$G$107,3,FALSE),IF(AND('Analysis Inputs'!$N$146=2,'Analysis Inputs'!$N$156=1),VLOOKUP($A26,'Avoided Utility'!$C$94:$G$107,4,FALSE),IF(AND('Analysis Inputs'!$N$146=2,'Analysis Inputs'!$N$156=2),VLOOKUP($A26,'Avoided Utility'!$C$94:$G$107,5,FALSE)))))))*(((VLOOKUP('Analysis Inputs'!$N$77,'Avoided Utility'!$B$73:$G$82,6,FALSE))))/1000</f>
        <v>0</v>
      </c>
      <c r="S26" s="652"/>
    </row>
    <row r="27" spans="1:19" x14ac:dyDescent="0.25">
      <c r="A27" s="111" t="s">
        <v>521</v>
      </c>
      <c r="B27" s="95" t="str">
        <f>IF('Analysis Inputs'!$N$86=2,VLOOKUP(A27,'[1]Emission Factors'!$B$6:$CL$61,16,FALSE),VLOOKUP(A27,[1]!EmissionFactors,17,FALSE))</f>
        <v>NA</v>
      </c>
      <c r="C27" s="127" t="s">
        <v>503</v>
      </c>
      <c r="D27" s="10">
        <f>IF('Analysis Inputs'!$N$96=2,F27,IF('Analysis Inputs'!$N$96=3,E27,IF('Analysis Inputs'!$N$107=1,H27,G27)))</f>
        <v>8.5958948169235744E-2</v>
      </c>
      <c r="E27" s="146">
        <f>VLOOKUP(A27,'Landfilling EFs'!$B$16:$GW$69,'Landfilling EFs'!$C$5,FALSE)+IF('Analysis Inputs'!$N$166=2,(('Analysis Inputs'!$G$175-'Analysis Inputs'!$F$175)*$B$66),0)</f>
        <v>0.12183643285633308</v>
      </c>
      <c r="F27" s="149">
        <f>VLOOKUP($A27,'Landfilling EFs'!$B$16:$GW$69,'Landfilling EFs'!$D$5,FALSE)+IF('Analysis Inputs'!$N$166=2,(('Analysis Inputs'!$G$175-'Analysis Inputs'!$F$175)*$B$66),0)</f>
        <v>0.38848080510719618</v>
      </c>
      <c r="G27" s="326">
        <f>VLOOKUP($A27,'Landfilling EFs'!$B$16:$GW$69,'Landfilling EFs'!$E$5,FALSE)+IF('Analysis Inputs'!$N$166=2,(('Analysis Inputs'!$G$175-'Analysis Inputs'!$F$175)*$B$66),0)</f>
        <v>8.5958948169235744E-2</v>
      </c>
      <c r="H27" s="326">
        <f>VLOOKUP($A27,'Landfilling EFs'!$B$16:$GW$69,'Landfilling EFs'!$F$5,FALSE)+(VLOOKUP('Summary Data'!A27,[1]!LandfillTypicalNatlAverage,2,FALSE)*O27*(1-[1]Assumptions!$G$15)*(-Q27))+IF('Analysis Inputs'!$N$166=2,(('Analysis Inputs'!$G$175-'Analysis Inputs'!$F$175)*$B$66),0)</f>
        <v>2.360628436291768E-2</v>
      </c>
      <c r="I27" s="12">
        <f>SUM(VLOOKUP(A27,'[1]Emission Factors'!$B$6:$CL$61,31,FALSE),VLOOKUP(A27,'[1]Emission Factors'!$B$6:$CL$61,32,FALSE),VLOOKUP(A27,'[1]Emission Factors'!$B$6:$CL$61,33,FALSE),VLOOKUP(A27,'[1]Emission Factors'!$B$6:$CL$61,34,FALSE),VLOOKUP(A27,'[1]Emission Factors'!$B$6:$CL$61,36,FALSE))+P27+IF('Analysis Inputs'!$N$166=2,(('Analysis Inputs'!$G$176-'Analysis Inputs'!$F$176)*'Summary Data'!$B$66),0)</f>
        <v>-0.10531797141113179</v>
      </c>
      <c r="J27" s="656">
        <f>VLOOKUP(A27,'[1]Emission Factors'!$B$6:$CL$61,4,FALSE)+IF('Analysis Inputs'!$N$166=2,(('Analysis Inputs'!$G$178-'Analysis Inputs'!$F$178)*$B$66),0)</f>
        <v>-0.14631201959602991</v>
      </c>
      <c r="K27" s="71" t="s">
        <v>503</v>
      </c>
      <c r="L27" s="71" t="s">
        <v>503</v>
      </c>
      <c r="M27" s="71">
        <f>SUM(VLOOKUP(A27,'[1]Emission Factors'!$B$6:$CL$61,76,FALSE),VLOOKUP(A27,'[1]Emission Factors'!$B$6:$CL$61,78,FALSE),VLOOKUP(A27,'[1]Emission Factors'!$B$6:$CL$61,79,FALSE),VLOOKUP(A27,'[1]Emission Factors'!$B$6:$CL$61,80,FALSE),VLOOKUP(A27,'[1]Emission Factors'!$B$6:$CL$61,81,FALSE))+$R27+IF('Analysis Inputs'!$N$166=2,(('Analysis Inputs'!$G$179-'Analysis Inputs'!$F$179)*'Summary Data'!$B$66),0)</f>
        <v>4.3375463384247977E-2</v>
      </c>
      <c r="N27" s="392">
        <f>SUM(VLOOKUP(A27,'[1]Emission Factors'!$B$6:$CL$61,83,FALSE),VLOOKUP(A27,'[1]Emission Factors'!$B$6:$CL$61,85,FALSE),VLOOKUP(A27,'[1]Emission Factors'!$B$6:$CL$61,86,FALSE),VLOOKUP(A27,'[1]Emission Factors'!$B$6:$CL$61,87,FALSE),VLOOKUP(A27,'[1]Emission Factors'!$B$6:$CL$61,88,FALSE))+$R27+IF('Analysis Inputs'!$N$166=2,(('Analysis Inputs'!$G$179-'Analysis Inputs'!$F$179)*'Summary Data'!$B$66),0)</f>
        <v>-2.3037790858791846E-2</v>
      </c>
      <c r="O27" s="832">
        <v>1</v>
      </c>
      <c r="P27" s="716">
        <f>P26</f>
        <v>-0.15098404775985755</v>
      </c>
      <c r="Q27" s="383">
        <f>VLOOKUP('Analysis Inputs'!$H$78,LF_Avoided_Utility_Ratio,2,FALSE)</f>
        <v>7.5875281375367018E-2</v>
      </c>
      <c r="R27" s="818">
        <f>((IF(AND('Analysis Inputs'!$N$146=1,'Analysis Inputs'!$N$156=1),VLOOKUP($A27,'Avoided Utility'!$C$94:$G$107,2,FALSE),IF(AND('Analysis Inputs'!$N$146=1,'Analysis Inputs'!$N$156=2),VLOOKUP($A27,'Avoided Utility'!$C$94:$G$107,3,FALSE),IF(AND('Analysis Inputs'!$N$146=2,'Analysis Inputs'!$N$156=1),VLOOKUP($A27,'Avoided Utility'!$C$94:$G$107,4,FALSE),IF(AND('Analysis Inputs'!$N$146=2,'Analysis Inputs'!$N$156=2),VLOOKUP($A27,'Avoided Utility'!$C$94:$G$107,5,FALSE)))))))*(((VLOOKUP('Analysis Inputs'!$N$77,'Avoided Utility'!$B$73:$G$82,6,FALSE))))/1000</f>
        <v>0</v>
      </c>
      <c r="S27" s="652"/>
    </row>
    <row r="28" spans="1:19" x14ac:dyDescent="0.25">
      <c r="A28" s="111" t="s">
        <v>522</v>
      </c>
      <c r="B28" s="95" t="str">
        <f>IF('Analysis Inputs'!$N$86=2,VLOOKUP(A28,'[1]Emission Factors'!$B$6:$CL$61,16,FALSE),VLOOKUP(A28,[1]!EmissionFactors,17,FALSE))</f>
        <v>NA</v>
      </c>
      <c r="C28" s="127" t="s">
        <v>503</v>
      </c>
      <c r="D28" s="10">
        <f>IF('Analysis Inputs'!$N$96=2,F28,IF('Analysis Inputs'!$N$96=3,E28,IF('Analysis Inputs'!$N$107=1,H28,G28)))</f>
        <v>-0.54809044035460408</v>
      </c>
      <c r="E28" s="146">
        <f>VLOOKUP(A28,'Landfilling EFs'!$B$16:$GW$69,'Landfilling EFs'!$C$5,FALSE)+IF('Analysis Inputs'!$N$166=2,(('Analysis Inputs'!$G$175-'Analysis Inputs'!$F$175)*$B$66),0)</f>
        <v>-0.52666175076755628</v>
      </c>
      <c r="F28" s="149">
        <f>VLOOKUP($A28,'Landfilling EFs'!$B$16:$GW$69,'Landfilling EFs'!$D$5,FALSE)+IF('Analysis Inputs'!$N$166=2,(('Analysis Inputs'!$G$175-'Analysis Inputs'!$F$175)*$B$66),0)</f>
        <v>-0.18251034209620373</v>
      </c>
      <c r="G28" s="326">
        <f>VLOOKUP($A28,'Landfilling EFs'!$B$16:$GW$69,'Landfilling EFs'!$E$5,FALSE)+IF('Analysis Inputs'!$N$166=2,(('Analysis Inputs'!$G$175-'Analysis Inputs'!$F$175)*$B$66),0)</f>
        <v>-0.54809044035460408</v>
      </c>
      <c r="H28" s="326">
        <f>VLOOKUP($A28,'Landfilling EFs'!$B$16:$GW$69,'Landfilling EFs'!$F$5,FALSE)+(VLOOKUP('Summary Data'!A28,[1]!LandfillTypicalNatlAverage,2,FALSE)*O28*(1-[1]Assumptions!$G$15)*(-Q28))+IF('Analysis Inputs'!$N$166=2,(('Analysis Inputs'!$G$175-'Analysis Inputs'!$F$175)*$B$66),0)</f>
        <v>-0.63547576668245453</v>
      </c>
      <c r="I28" s="12">
        <f>SUM(VLOOKUP(A28,'[1]Emission Factors'!$B$6:$CL$61,31,FALSE),VLOOKUP(A28,'[1]Emission Factors'!$B$6:$CL$61,32,FALSE),VLOOKUP(A28,'[1]Emission Factors'!$B$6:$CL$61,33,FALSE),VLOOKUP(A28,'[1]Emission Factors'!$B$6:$CL$61,34,FALSE),VLOOKUP(A28,'[1]Emission Factors'!$B$6:$CL$61,36,FALSE))+P28+IF('Analysis Inputs'!$N$166=2,(('Analysis Inputs'!$G$176-'Analysis Inputs'!$F$176)*'Summary Data'!$B$66),0)</f>
        <v>-0.10531797141113179</v>
      </c>
      <c r="J28" s="656">
        <f>VLOOKUP(A28,'[1]Emission Factors'!$B$6:$CL$61,4,FALSE)+IF('Analysis Inputs'!$N$166=2,(('Analysis Inputs'!$G$178-'Analysis Inputs'!$F$178)*$B$66),0)</f>
        <v>-0.14631201959602991</v>
      </c>
      <c r="K28" s="71" t="s">
        <v>503</v>
      </c>
      <c r="L28" s="71" t="s">
        <v>503</v>
      </c>
      <c r="M28" s="71">
        <f>SUM(VLOOKUP(A28,'[1]Emission Factors'!$B$6:$CL$61,76,FALSE),VLOOKUP(A28,'[1]Emission Factors'!$B$6:$CL$61,78,FALSE),VLOOKUP(A28,'[1]Emission Factors'!$B$6:$CL$61,79,FALSE),VLOOKUP(A28,'[1]Emission Factors'!$B$6:$CL$61,80,FALSE),VLOOKUP(A28,'[1]Emission Factors'!$B$6:$CL$61,81,FALSE))+$R28+IF('Analysis Inputs'!$N$166=2,(('Analysis Inputs'!$G$179-'Analysis Inputs'!$F$179)*'Summary Data'!$B$66),0)</f>
        <v>-0.11974738780291451</v>
      </c>
      <c r="N28" s="392">
        <f>SUM(VLOOKUP(A28,'[1]Emission Factors'!$B$6:$CL$61,83,FALSE),VLOOKUP(A28,'[1]Emission Factors'!$B$6:$CL$61,85,FALSE),VLOOKUP(A28,'[1]Emission Factors'!$B$6:$CL$61,86,FALSE),VLOOKUP(A28,'[1]Emission Factors'!$B$6:$CL$61,87,FALSE),VLOOKUP(A28,'[1]Emission Factors'!$B$6:$CL$61,88,FALSE))+$R28+IF('Analysis Inputs'!$N$166=2,(('Analysis Inputs'!$G$179-'Analysis Inputs'!$F$179)*'Summary Data'!$B$66),0)</f>
        <v>-0.50820185611032109</v>
      </c>
      <c r="O28" s="832">
        <v>1</v>
      </c>
      <c r="P28" s="716">
        <f>P26</f>
        <v>-0.15098404775985755</v>
      </c>
      <c r="Q28" s="383">
        <f>VLOOKUP('Analysis Inputs'!$H$78,LF_Avoided_Utility_Ratio,2,FALSE)</f>
        <v>7.5875281375367018E-2</v>
      </c>
      <c r="R28" s="818">
        <f>((IF(AND('Analysis Inputs'!$N$146=1,'Analysis Inputs'!$N$156=1),VLOOKUP($A28,'Avoided Utility'!$C$94:$G$107,2,FALSE),IF(AND('Analysis Inputs'!$N$146=1,'Analysis Inputs'!$N$156=2),VLOOKUP($A28,'Avoided Utility'!$C$94:$G$107,3,FALSE),IF(AND('Analysis Inputs'!$N$146=2,'Analysis Inputs'!$N$156=1),VLOOKUP($A28,'Avoided Utility'!$C$94:$G$107,4,FALSE),IF(AND('Analysis Inputs'!$N$146=2,'Analysis Inputs'!$N$156=2),VLOOKUP($A28,'Avoided Utility'!$C$94:$G$107,5,FALSE)))))))*(((VLOOKUP('Analysis Inputs'!$N$77,'Avoided Utility'!$B$73:$G$82,6,FALSE))))/1000</f>
        <v>0</v>
      </c>
      <c r="S28" s="652"/>
    </row>
    <row r="29" spans="1:19" x14ac:dyDescent="0.25">
      <c r="A29" s="111" t="s">
        <v>523</v>
      </c>
      <c r="B29" s="95" t="str">
        <f>IF('Analysis Inputs'!$N$86=2,VLOOKUP(A29,'[1]Emission Factors'!$B$6:$CL$61,16,FALSE),VLOOKUP(A29,[1]!EmissionFactors,17,FALSE))</f>
        <v>NA</v>
      </c>
      <c r="C29" s="127" t="s">
        <v>503</v>
      </c>
      <c r="D29" s="10">
        <f>IF('Analysis Inputs'!$N$96=2,F29,IF('Analysis Inputs'!$N$96=3,E29,IF('Analysis Inputs'!$N$107=1,H29,G29)))</f>
        <v>-0.38979744141123651</v>
      </c>
      <c r="E29" s="146">
        <f>VLOOKUP(A29,'Landfilling EFs'!$B$16:$GW$69,'Landfilling EFs'!$C$5,FALSE)+IF('Analysis Inputs'!$N$166=2,(('Analysis Inputs'!$G$175-'Analysis Inputs'!$F$175)*$B$66),0)</f>
        <v>-0.5058405371803717</v>
      </c>
      <c r="F29" s="149">
        <f>VLOOKUP($A29,'Landfilling EFs'!$B$16:$GW$69,'Landfilling EFs'!$D$5,FALSE)+IF('Analysis Inputs'!$N$166=2,(('Analysis Inputs'!$G$175-'Analysis Inputs'!$F$175)*$B$66),0)</f>
        <v>0.26185293514886254</v>
      </c>
      <c r="G29" s="326">
        <f>VLOOKUP($A29,'Landfilling EFs'!$B$16:$GW$69,'Landfilling EFs'!$E$5,FALSE)+IF('Analysis Inputs'!$N$166=2,(('Analysis Inputs'!$G$175-'Analysis Inputs'!$F$175)*$B$66),0)</f>
        <v>-0.38979744141123651</v>
      </c>
      <c r="H29" s="326">
        <f>VLOOKUP($A29,'Landfilling EFs'!$B$16:$GW$69,'Landfilling EFs'!$F$5,FALSE)+(VLOOKUP('Summary Data'!A29,[1]!LandfillTypicalNatlAverage,2,FALSE)*O29*(1-[1]Assumptions!$G$15)*(-Q29))+IF('Analysis Inputs'!$N$166=2,(('Analysis Inputs'!$G$175-'Analysis Inputs'!$F$175)*$B$66),0)</f>
        <v>-0.71695327001525722</v>
      </c>
      <c r="I29" s="12">
        <f>SUM(VLOOKUP(A29,'[1]Emission Factors'!$B$6:$CL$61,31,FALSE),VLOOKUP(A29,'[1]Emission Factors'!$B$6:$CL$61,32,FALSE),VLOOKUP(A29,'[1]Emission Factors'!$B$6:$CL$61,33,FALSE),VLOOKUP(A29,'[1]Emission Factors'!$B$6:$CL$61,34,FALSE),VLOOKUP(A29,'[1]Emission Factors'!$B$6:$CL$61,36,FALSE))+P29+IF('Analysis Inputs'!$N$166=2,(('Analysis Inputs'!$G$176-'Analysis Inputs'!$F$176)*'Summary Data'!$B$66),0)</f>
        <v>-0.10531797141113179</v>
      </c>
      <c r="J29" s="656">
        <f>VLOOKUP(A29,'[1]Emission Factors'!$B$6:$CL$61,4,FALSE)+IF('Analysis Inputs'!$N$166=2,(('Analysis Inputs'!$G$178-'Analysis Inputs'!$F$178)*$B$66),0)</f>
        <v>-0.14631201959602991</v>
      </c>
      <c r="K29" s="71" t="s">
        <v>503</v>
      </c>
      <c r="L29" s="71" t="s">
        <v>503</v>
      </c>
      <c r="M29" s="71">
        <f>SUM(VLOOKUP(A29,'[1]Emission Factors'!$B$6:$CL$61,76,FALSE),VLOOKUP(A29,'[1]Emission Factors'!$B$6:$CL$61,78,FALSE),VLOOKUP(A29,'[1]Emission Factors'!$B$6:$CL$61,79,FALSE),VLOOKUP(A29,'[1]Emission Factors'!$B$6:$CL$61,80,FALSE),VLOOKUP(A29,'[1]Emission Factors'!$B$6:$CL$61,81,FALSE))+$R29+IF('Analysis Inputs'!$N$166=2,(('Analysis Inputs'!$G$179-'Analysis Inputs'!$F$179)*'Summary Data'!$B$66),0)</f>
        <v>-0.16403300728667414</v>
      </c>
      <c r="N29" s="392">
        <f>SUM(VLOOKUP(A29,'[1]Emission Factors'!$B$6:$CL$61,83,FALSE),VLOOKUP(A29,'[1]Emission Factors'!$B$6:$CL$61,85,FALSE),VLOOKUP(A29,'[1]Emission Factors'!$B$6:$CL$61,86,FALSE),VLOOKUP(A29,'[1]Emission Factors'!$B$6:$CL$61,87,FALSE),VLOOKUP(A29,'[1]Emission Factors'!$B$6:$CL$61,88,FALSE))+$R29+IF('Analysis Inputs'!$N$166=2,(('Analysis Inputs'!$G$179-'Analysis Inputs'!$F$179)*'Summary Data'!$B$66),0)</f>
        <v>-0.6649439862825921</v>
      </c>
      <c r="O29" s="832">
        <v>1</v>
      </c>
      <c r="P29" s="716">
        <f>P26</f>
        <v>-0.15098404775985755</v>
      </c>
      <c r="Q29" s="383">
        <f>VLOOKUP('Analysis Inputs'!$H$78,LF_Avoided_Utility_Ratio,2,FALSE)</f>
        <v>7.5875281375367018E-2</v>
      </c>
      <c r="R29" s="818">
        <f>((IF(AND('Analysis Inputs'!$N$146=1,'Analysis Inputs'!$N$156=1),VLOOKUP($A29,'Avoided Utility'!$C$94:$G$107,2,FALSE),IF(AND('Analysis Inputs'!$N$146=1,'Analysis Inputs'!$N$156=2),VLOOKUP($A29,'Avoided Utility'!$C$94:$G$107,3,FALSE),IF(AND('Analysis Inputs'!$N$146=2,'Analysis Inputs'!$N$156=1),VLOOKUP($A29,'Avoided Utility'!$C$94:$G$107,4,FALSE),IF(AND('Analysis Inputs'!$N$146=2,'Analysis Inputs'!$N$156=2),VLOOKUP($A29,'Avoided Utility'!$C$94:$G$107,5,FALSE)))))))*(((VLOOKUP('Analysis Inputs'!$N$77,'Avoided Utility'!$B$73:$G$82,6,FALSE))))/1000</f>
        <v>0</v>
      </c>
      <c r="S29" s="652"/>
    </row>
    <row r="30" spans="1:19" x14ac:dyDescent="0.25">
      <c r="A30" s="753" t="s">
        <v>583</v>
      </c>
      <c r="B30" s="95">
        <f>IF('Analysis Inputs'!$N$86=2,VLOOKUP(A30,'[1]Emission Factors'!$B$6:$CL$61,16,FALSE),VLOOKUP(A30,[1]!EmissionFactors,17,FALSE))</f>
        <v>-8.4761820657228313</v>
      </c>
      <c r="C30" s="69">
        <f>VLOOKUP(A30,'[1]Emission Factors'!$B$6:$CL$61,24,FALSE)+IF('Analysis Inputs'!$N$166=2,(('Analysis Inputs'!$G$177-'Analysis Inputs'!$F$177)*'Summary Data'!$B$66),0)</f>
        <v>-3.5307977250746987</v>
      </c>
      <c r="D30" s="10">
        <f>IF('Analysis Inputs'!$N$96=2,F30,IF('Analysis Inputs'!$N$96=3,E30,IF('Analysis Inputs'!$N$107=1,H30,G30)))</f>
        <v>0.28607219190793398</v>
      </c>
      <c r="E30" s="146">
        <f>VLOOKUP(A30,'Landfilling EFs'!$B$16:$GW$69,'Landfilling EFs'!$C$5,FALSE)+IF('Analysis Inputs'!$N$166=2,(('Analysis Inputs'!$G$175-'Analysis Inputs'!$F$175)*$B$66),0)</f>
        <v>0.12711266037161509</v>
      </c>
      <c r="F30" s="149">
        <f>VLOOKUP($A30,'Landfilling EFs'!$B$16:$GW$69,'Landfilling EFs'!$D$5,FALSE)+IF('Analysis Inputs'!$N$166=2,(('Analysis Inputs'!$G$175-'Analysis Inputs'!$F$175)*$B$66),0)</f>
        <v>1.4425349376174013</v>
      </c>
      <c r="G30" s="326">
        <f>VLOOKUP($A30,'Landfilling EFs'!$B$16:$GW$69,'Landfilling EFs'!$E$5,FALSE)+IF('Analysis Inputs'!$N$166=2,(('Analysis Inputs'!$G$175-'Analysis Inputs'!$F$175)*$B$66),0)</f>
        <v>0.28607219190793398</v>
      </c>
      <c r="H30" s="326">
        <f>VLOOKUP($A30,'Landfilling EFs'!$B$16:$GW$69,'Landfilling EFs'!$F$5,FALSE)+(VLOOKUP('Summary Data'!A30,[1]!LandfillTypicalNatlAverage,2,FALSE)*O30*(1-[1]Assumptions!$G$15)*(-Q30))+IF('Analysis Inputs'!$N$166=2,(('Analysis Inputs'!$G$175-'Analysis Inputs'!$F$175)*$B$66),0)</f>
        <v>-0.22937900345627327</v>
      </c>
      <c r="I30" s="12">
        <f>SUM(VLOOKUP(A30,'[1]Emission Factors'!$B$6:$CL$61,31,FALSE),VLOOKUP(A30,'[1]Emission Factors'!$B$6:$CL$61,32,FALSE),VLOOKUP(A30,'[1]Emission Factors'!$B$6:$CL$61,33,FALSE),VLOOKUP(A30,'[1]Emission Factors'!$B$6:$CL$61,34,FALSE),VLOOKUP(A30,'[1]Emission Factors'!$B$6:$CL$61,36,FALSE))+P30+IF('Analysis Inputs'!$N$166=2,(('Analysis Inputs'!$G$176-'Analysis Inputs'!$F$176)*'Summary Data'!$B$66),0)</f>
        <v>-0.33552981977549068</v>
      </c>
      <c r="J30" s="71" t="s">
        <v>503</v>
      </c>
      <c r="K30" s="71" t="s">
        <v>503</v>
      </c>
      <c r="L30" s="71" t="s">
        <v>503</v>
      </c>
      <c r="M30" s="71" t="s">
        <v>503</v>
      </c>
      <c r="N30" s="392" t="s">
        <v>503</v>
      </c>
      <c r="O30" s="832">
        <v>1</v>
      </c>
      <c r="P30" s="716">
        <f>[1]Assumptions!$E$24*$P$11+[1]Assumptions!$E$25*$P$9+[1]Assumptions!$E$26*$P$12+[1]Assumptions!$E$27*$P$10</f>
        <v>-0.38119589612421645</v>
      </c>
      <c r="Q30" s="383">
        <f>VLOOKUP('Analysis Inputs'!$H$78,LF_Avoided_Utility_Ratio,2,FALSE)</f>
        <v>7.5875281375367018E-2</v>
      </c>
      <c r="R30" s="716" t="s">
        <v>503</v>
      </c>
    </row>
    <row r="31" spans="1:19" x14ac:dyDescent="0.25">
      <c r="A31" s="111" t="s">
        <v>584</v>
      </c>
      <c r="B31" s="95">
        <f>IF('Analysis Inputs'!$N$86=2,VLOOKUP(A31,'[1]Emission Factors'!$B$6:$CL$61,16,FALSE),VLOOKUP(A31,[1]!EmissionFactors,17,FALSE))</f>
        <v>-8.4714408906042262</v>
      </c>
      <c r="C31" s="69">
        <f>VLOOKUP(A31,'[1]Emission Factors'!$B$6:$CL$61,24,FALSE)+IF('Analysis Inputs'!$N$166=2,(('Analysis Inputs'!$G$177-'Analysis Inputs'!$F$177)*'Summary Data'!$B$66),0)</f>
        <v>-3.5307977250746987</v>
      </c>
      <c r="D31" s="10">
        <f>IF('Analysis Inputs'!$N$96=2,F31,IF('Analysis Inputs'!$N$96=3,E31,IF('Analysis Inputs'!$N$107=1,H31,G31)))</f>
        <v>0.21518459471038068</v>
      </c>
      <c r="E31" s="146">
        <f>VLOOKUP(A31,'Landfilling EFs'!$B$16:$GW$69,'Landfilling EFs'!$C$5,FALSE)+IF('Analysis Inputs'!$N$166=2,(('Analysis Inputs'!$G$175-'Analysis Inputs'!$F$175)*$B$66),0)</f>
        <v>6.4977307239247578E-2</v>
      </c>
      <c r="F31" s="149">
        <f>VLOOKUP($A31,'Landfilling EFs'!$B$16:$GW$69,'Landfilling EFs'!$D$5,FALSE)+IF('Analysis Inputs'!$N$166=2,(('Analysis Inputs'!$G$175-'Analysis Inputs'!$F$175)*$B$66),0)</f>
        <v>1.3291178983961094</v>
      </c>
      <c r="G31" s="326">
        <f>VLOOKUP($A31,'Landfilling EFs'!$B$16:$GW$69,'Landfilling EFs'!$E$5,FALSE)+IF('Analysis Inputs'!$N$166=2,(('Analysis Inputs'!$G$175-'Analysis Inputs'!$F$175)*$B$66),0)</f>
        <v>0.21518459471038068</v>
      </c>
      <c r="H31" s="326">
        <f>VLOOKUP($A31,'Landfilling EFs'!$B$16:$GW$69,'Landfilling EFs'!$F$5,FALSE)+(VLOOKUP('Summary Data'!A31,[1]!LandfillTypicalNatlAverage,2,FALSE)*O31*(1-[1]Assumptions!$G$15)*(-Q31))+IF('Analysis Inputs'!$N$166=2,(('Analysis Inputs'!$G$175-'Analysis Inputs'!$F$175)*$B$66),0)</f>
        <v>-0.27856283281060146</v>
      </c>
      <c r="I31" s="12">
        <f>SUM(VLOOKUP(A31,'[1]Emission Factors'!$B$6:$CL$61,31,FALSE),VLOOKUP(A31,'[1]Emission Factors'!$B$6:$CL$61,32,FALSE),VLOOKUP(A31,'[1]Emission Factors'!$B$6:$CL$61,33,FALSE),VLOOKUP(A31,'[1]Emission Factors'!$B$6:$CL$61,34,FALSE),VLOOKUP(A31,'[1]Emission Factors'!$B$6:$CL$61,36,FALSE))+P31+IF('Analysis Inputs'!$N$166=2,(('Analysis Inputs'!$G$176-'Analysis Inputs'!$F$176)*'Summary Data'!$B$66),0)</f>
        <v>-0.33390188820339428</v>
      </c>
      <c r="J31" s="71" t="s">
        <v>503</v>
      </c>
      <c r="K31" s="71" t="s">
        <v>503</v>
      </c>
      <c r="L31" s="71" t="s">
        <v>503</v>
      </c>
      <c r="M31" s="71" t="s">
        <v>503</v>
      </c>
      <c r="N31" s="392" t="s">
        <v>503</v>
      </c>
      <c r="O31" s="832">
        <v>1</v>
      </c>
      <c r="P31" s="716">
        <f>[1]Assumptions!$F$24*$P$11+[1]Assumptions!$F$25*$P$9+[1]Assumptions!$F$26*$P$12+[1]Assumptions!$F$27*$P$10</f>
        <v>-0.37956796455212005</v>
      </c>
      <c r="Q31" s="383">
        <f>VLOOKUP('Analysis Inputs'!$H$78,LF_Avoided_Utility_Ratio,2,FALSE)</f>
        <v>7.5875281375367018E-2</v>
      </c>
      <c r="R31" s="716" t="s">
        <v>503</v>
      </c>
      <c r="S31" s="652"/>
    </row>
    <row r="32" spans="1:19" x14ac:dyDescent="0.25">
      <c r="A32" s="111" t="s">
        <v>585</v>
      </c>
      <c r="B32" s="95">
        <f>IF('Analysis Inputs'!$N$86=2,VLOOKUP(A32,'[1]Emission Factors'!$B$6:$CL$61,16,FALSE),VLOOKUP(A32,[1]!EmissionFactors,17,FALSE))</f>
        <v>-8.6912945457382023</v>
      </c>
      <c r="C32" s="69">
        <f>VLOOKUP(A32,'[1]Emission Factors'!$B$6:$CL$61,24,FALSE)+IF('Analysis Inputs'!$N$166=2,(('Analysis Inputs'!$G$177-'Analysis Inputs'!$F$177)*'Summary Data'!$B$66),0)</f>
        <v>-3.5860541665104888</v>
      </c>
      <c r="D32" s="10">
        <f>IF('Analysis Inputs'!$N$96=2,F32,IF('Analysis Inputs'!$N$96=3,E32,IF('Analysis Inputs'!$N$107=1,H32,G32)))</f>
        <v>0.24986169779637749</v>
      </c>
      <c r="E32" s="146">
        <f>VLOOKUP(A32,'Landfilling EFs'!$B$16:$GW$69,'Landfilling EFs'!$C$5,FALSE)+IF('Analysis Inputs'!$N$166=2,(('Analysis Inputs'!$G$175-'Analysis Inputs'!$F$175)*$B$66),0)</f>
        <v>0.15633915660015643</v>
      </c>
      <c r="F32" s="149">
        <f>VLOOKUP($A32,'Landfilling EFs'!$B$16:$GW$69,'Landfilling EFs'!$D$5,FALSE)+IF('Analysis Inputs'!$N$166=2,(('Analysis Inputs'!$G$175-'Analysis Inputs'!$F$175)*$B$66),0)</f>
        <v>1.4153558407243449</v>
      </c>
      <c r="G32" s="326">
        <f>VLOOKUP($A32,'Landfilling EFs'!$B$16:$GW$69,'Landfilling EFs'!$E$5,FALSE)+IF('Analysis Inputs'!$N$166=2,(('Analysis Inputs'!$G$175-'Analysis Inputs'!$F$175)*$B$66),0)</f>
        <v>0.24986169779637749</v>
      </c>
      <c r="H32" s="326">
        <f>VLOOKUP($A32,'Landfilling EFs'!$B$16:$GW$69,'Landfilling EFs'!$F$5,FALSE)+(VLOOKUP('Summary Data'!A32,[1]!LandfillTypicalNatlAverage,2,FALSE)*O32*(1-[1]Assumptions!$G$15)*(-Q32))+IF('Analysis Inputs'!$N$166=2,(('Analysis Inputs'!$G$175-'Analysis Inputs'!$F$175)*$B$66),0)</f>
        <v>-0.19175680593358357</v>
      </c>
      <c r="I32" s="12">
        <f>SUM(VLOOKUP(A32,'[1]Emission Factors'!$B$6:$CL$61,31,FALSE),VLOOKUP(A32,'[1]Emission Factors'!$B$6:$CL$61,32,FALSE),VLOOKUP(A32,'[1]Emission Factors'!$B$6:$CL$61,33,FALSE),VLOOKUP(A32,'[1]Emission Factors'!$B$6:$CL$61,34,FALSE),VLOOKUP(A32,'[1]Emission Factors'!$B$6:$CL$61,36,FALSE))+P32+IF('Analysis Inputs'!$N$166=2,(('Analysis Inputs'!$G$176-'Analysis Inputs'!$F$176)*'Summary Data'!$B$66),0)</f>
        <v>-0.30475333932586968</v>
      </c>
      <c r="J32" s="71" t="s">
        <v>503</v>
      </c>
      <c r="K32" s="71" t="s">
        <v>503</v>
      </c>
      <c r="L32" s="71" t="s">
        <v>503</v>
      </c>
      <c r="M32" s="71" t="s">
        <v>503</v>
      </c>
      <c r="N32" s="392" t="s">
        <v>503</v>
      </c>
      <c r="O32" s="832">
        <v>1</v>
      </c>
      <c r="P32" s="716">
        <f>[1]Assumptions!$G$24*$P$11+[1]Assumptions!$G$25*$P$9+[1]Assumptions!$G$26*$P$12+[1]Assumptions!$G$27*$P$10</f>
        <v>-0.35041941567459545</v>
      </c>
      <c r="Q32" s="383">
        <f>VLOOKUP('Analysis Inputs'!$H$78,LF_Avoided_Utility_Ratio,2,FALSE)</f>
        <v>7.5875281375367018E-2</v>
      </c>
      <c r="R32" s="716" t="s">
        <v>503</v>
      </c>
      <c r="S32" s="652"/>
    </row>
    <row r="33" spans="1:19" s="3" customFormat="1" x14ac:dyDescent="0.25">
      <c r="A33" s="111" t="s">
        <v>633</v>
      </c>
      <c r="B33" s="95">
        <f>IF('Analysis Inputs'!$N$86=2,VLOOKUP(A33,'[1]Emission Factors'!$B$6:$CL$61,16,FALSE),VLOOKUP(A33,[1]!EmissionFactors,17,FALSE))</f>
        <v>-6.2375127723918089</v>
      </c>
      <c r="C33" s="69">
        <f>VLOOKUP(A33,'[1]Emission Factors'!$B$6:$CL$61,24,FALSE)+IF('Analysis Inputs'!$N$166=2,(('Analysis Inputs'!$G$177-'Analysis Inputs'!$F$177)*'Summary Data'!$B$66),0)</f>
        <v>-4.3404241456166677</v>
      </c>
      <c r="D33" s="10">
        <f>IF('Analysis Inputs'!$N$96=2,F33,IF('Analysis Inputs'!$N$96=3,E33,IF('Analysis Inputs'!$N$107=1,H33,G33)))</f>
        <v>2.0254519141196047E-2</v>
      </c>
      <c r="E33" s="146">
        <f>VLOOKUP(A33,'Landfilling EFs'!$B$16:$GW$69,'Landfilling EFs'!$C$5,FALSE)+IF('Analysis Inputs'!$N$166=2,(('Analysis Inputs'!$G$175-'Analysis Inputs'!$F$175)*$B$66),0)</f>
        <v>2.0254519141196047E-2</v>
      </c>
      <c r="F33" s="149">
        <f>VLOOKUP($A33,'Landfilling EFs'!$B$16:$GW$69,'Landfilling EFs'!$D$5,FALSE)+IF('Analysis Inputs'!$N$166=2,(('Analysis Inputs'!$G$175-'Analysis Inputs'!$F$175)*$B$66),0)</f>
        <v>2.0254519141196047E-2</v>
      </c>
      <c r="G33" s="326">
        <f>VLOOKUP($A33,'Landfilling EFs'!$B$16:$GW$69,'Landfilling EFs'!$E$5,FALSE)+IF('Analysis Inputs'!$N$166=2,(('Analysis Inputs'!$G$175-'Analysis Inputs'!$F$175)*$B$66),0)</f>
        <v>2.0254519141196047E-2</v>
      </c>
      <c r="H33" s="326">
        <f>+E33</f>
        <v>2.0254519141196047E-2</v>
      </c>
      <c r="I33" s="12">
        <f>SUM(VLOOKUP(A33,'[1]Emission Factors'!$B$6:$CL$61,31,FALSE),VLOOKUP(A33,'[1]Emission Factors'!$B$6:$CL$61,32,FALSE),VLOOKUP(A33,'[1]Emission Factors'!$B$6:$CL$61,33,FALSE),VLOOKUP(A33,'[1]Emission Factors'!$B$6:$CL$61,34,FALSE),VLOOKUP(A33,'[1]Emission Factors'!$B$6:$CL$61,36,FALSE))+P33+IF('Analysis Inputs'!$N$166=2,(('Analysis Inputs'!$G$176-'Analysis Inputs'!$F$176)*'Summary Data'!$B$66),0)</f>
        <v>-1.0218547887817835</v>
      </c>
      <c r="J33" s="71" t="s">
        <v>503</v>
      </c>
      <c r="K33" s="71" t="s">
        <v>503</v>
      </c>
      <c r="L33" s="71" t="s">
        <v>503</v>
      </c>
      <c r="M33" s="71" t="s">
        <v>503</v>
      </c>
      <c r="N33" s="392" t="s">
        <v>503</v>
      </c>
      <c r="O33" s="715" t="str">
        <f>VLOOKUP(A33,LF_Collection_Scenario,'Landfill Gas Collection'!$AB$13,FALSE)</f>
        <v>--</v>
      </c>
      <c r="P33" s="716">
        <f>((P2*[1]Assumptions!$D$66)+(P3*[1]Assumptions!$D$67))/[1]Assumptions!$D$84</f>
        <v>1.3659571647581175E-2</v>
      </c>
      <c r="Q33" s="716" t="s">
        <v>503</v>
      </c>
      <c r="R33" s="716" t="s">
        <v>503</v>
      </c>
      <c r="S33" s="653"/>
    </row>
    <row r="34" spans="1:19" x14ac:dyDescent="0.25">
      <c r="A34" s="111" t="s">
        <v>386</v>
      </c>
      <c r="B34" s="95">
        <f>IF('Analysis Inputs'!$N$86=2,VLOOKUP(A34,'[1]Emission Factors'!$B$6:$CL$61,16,FALSE),VLOOKUP(A34,[1]!EmissionFactors,17,FALSE))</f>
        <v>-1.9848528439876745</v>
      </c>
      <c r="C34" s="69">
        <f>VLOOKUP(A34,'[1]Emission Factors'!$B$6:$CL$61,24,FALSE)+IF('Analysis Inputs'!$N$166=2,(('Analysis Inputs'!$G$177-'Analysis Inputs'!$F$177)*'Summary Data'!$B$66),0)</f>
        <v>-1.0228366169338372</v>
      </c>
      <c r="D34" s="10">
        <f>IF('Analysis Inputs'!$N$96=2,F34,IF('Analysis Inputs'!$N$96=3,E34,IF('Analysis Inputs'!$N$107=1,H34,G34)))</f>
        <v>2.0254519141196047E-2</v>
      </c>
      <c r="E34" s="146">
        <f>VLOOKUP(A34,'Landfilling EFs'!$B$16:$GW$69,'Landfilling EFs'!$C$5,FALSE)+IF('Analysis Inputs'!$N$166=2,(('Analysis Inputs'!$G$175-'Analysis Inputs'!$F$175)*$B$66),0)</f>
        <v>2.0254519141196047E-2</v>
      </c>
      <c r="F34" s="149">
        <f>VLOOKUP($A34,'Landfilling EFs'!$B$16:$GW$69,'Landfilling EFs'!$D$5,FALSE)+IF('Analysis Inputs'!$N$166=2,(('Analysis Inputs'!$G$175-'Analysis Inputs'!$F$175)*$B$66),0)</f>
        <v>2.0254519141196047E-2</v>
      </c>
      <c r="G34" s="326">
        <f>VLOOKUP($A34,'Landfilling EFs'!$B$16:$GW$69,'Landfilling EFs'!$E$5,FALSE)+IF('Analysis Inputs'!$N$166=2,(('Analysis Inputs'!$G$175-'Analysis Inputs'!$F$175)*$B$66),0)</f>
        <v>2.0254519141196047E-2</v>
      </c>
      <c r="H34" s="326">
        <f>+E34</f>
        <v>2.0254519141196047E-2</v>
      </c>
      <c r="I34" s="12">
        <f>SUM(VLOOKUP(A34,'[1]Emission Factors'!$B$6:$CL$61,31,FALSE),VLOOKUP(A34,'[1]Emission Factors'!$B$6:$CL$61,32,FALSE),VLOOKUP(A34,'[1]Emission Factors'!$B$6:$CL$61,33,FALSE),VLOOKUP(A34,'[1]Emission Factors'!$B$6:$CL$61,34,FALSE),VLOOKUP(A34,'[1]Emission Factors'!$B$6:$CL$61,36,FALSE))+P34+IF('Analysis Inputs'!$N$166=2,(('Analysis Inputs'!$G$176-'Analysis Inputs'!$F$176)*'Summary Data'!$B$66),0)</f>
        <v>1.5700838250868143</v>
      </c>
      <c r="J34" s="71" t="s">
        <v>503</v>
      </c>
      <c r="K34" s="71" t="s">
        <v>503</v>
      </c>
      <c r="L34" s="71" t="s">
        <v>503</v>
      </c>
      <c r="M34" s="71" t="s">
        <v>503</v>
      </c>
      <c r="N34" s="392" t="s">
        <v>503</v>
      </c>
      <c r="O34" s="715" t="str">
        <f>VLOOKUP(A34,LF_Collection_Scenario,'Landfill Gas Collection'!$AB$13,FALSE)</f>
        <v>--</v>
      </c>
      <c r="P34" s="716">
        <f>(P6*[1]Assumptions!$D$69/[1]Assumptions!$D$83)+(P8*[1]Assumptions!$D$71/[1]Assumptions!$D$83)</f>
        <v>-0.76388761277873929</v>
      </c>
      <c r="Q34" s="716" t="s">
        <v>503</v>
      </c>
      <c r="R34" s="716" t="s">
        <v>503</v>
      </c>
      <c r="S34" s="652"/>
    </row>
    <row r="35" spans="1:19" x14ac:dyDescent="0.25">
      <c r="A35" s="111" t="s">
        <v>272</v>
      </c>
      <c r="B35" s="95" t="str">
        <f>IF('Analysis Inputs'!$N$86=2,VLOOKUP(A35,'[1]Emission Factors'!$B$6:$CL$61,16,FALSE),VLOOKUP(A35,[1]!EmissionFactors,17,FALSE))</f>
        <v>NA</v>
      </c>
      <c r="C35" s="69">
        <f>VLOOKUP(A35,'[1]Emission Factors'!$B$6:$CL$61,24,FALSE)+IF('Analysis Inputs'!$N$166=2,(('Analysis Inputs'!$G$177-'Analysis Inputs'!$F$177)*'Summary Data'!$B$66),0)</f>
        <v>-2.8249690881239036</v>
      </c>
      <c r="D35" s="10">
        <f>IF('Analysis Inputs'!$N$96=2,F35,IF('Analysis Inputs'!$N$96=3,E35,IF('Analysis Inputs'!$N$107=1,H35,G35)))</f>
        <v>0.34703889380912989</v>
      </c>
      <c r="E35" s="146">
        <f>VLOOKUP(A35,'Landfilling EFs'!$B$16:$GW$69,'Landfilling EFs'!$C$5,FALSE)+IF('Analysis Inputs'!$N$166=2,(('Analysis Inputs'!$G$175-'Analysis Inputs'!$F$175)*$B$66),0)</f>
        <v>4.1335821577159003E-2</v>
      </c>
      <c r="F35" s="149">
        <f>VLOOKUP($A35,'Landfilling EFs'!$B$16:$GW$69,'Landfilling EFs'!$D$5,FALSE)+IF('Analysis Inputs'!$N$166=2,(('Analysis Inputs'!$G$175-'Analysis Inputs'!$F$175)*$B$66),0)</f>
        <v>1.1477626791734834</v>
      </c>
      <c r="G35" s="326">
        <f>VLOOKUP($A35,'Landfilling EFs'!$B$16:$GW$69,'Landfilling EFs'!$E$5,FALSE)+IF('Analysis Inputs'!$N$166=2,(('Analysis Inputs'!$G$175-'Analysis Inputs'!$F$175)*$B$66),0)</f>
        <v>0.34703889380912989</v>
      </c>
      <c r="H35" s="326">
        <f>VLOOKUP($A35,'Landfilling EFs'!$B$16:$GW$69,'Landfilling EFs'!$F$5,FALSE)+(VLOOKUP('Summary Data'!A35,[1]!LandfillTypicalNatlAverage,2,FALSE)*O35*(1-[1]Assumptions!$G$15)*(-Q35))+IF('Analysis Inputs'!$N$166=2,(('Analysis Inputs'!$G$175-'Analysis Inputs'!$F$175)*$B$66),0)</f>
        <v>-0.30572429878015683</v>
      </c>
      <c r="I35" s="12">
        <f>SUM(VLOOKUP(A35,'[1]Emission Factors'!$B$6:$CL$61,31,FALSE),VLOOKUP(A35,'[1]Emission Factors'!$B$6:$CL$61,32,FALSE),VLOOKUP(A35,'[1]Emission Factors'!$B$6:$CL$61,33,FALSE),VLOOKUP(A35,'[1]Emission Factors'!$B$6:$CL$61,34,FALSE),VLOOKUP(A35,'[1]Emission Factors'!$B$6:$CL$61,36,FALSE))+P35+IF('Analysis Inputs'!$N$166=2,(('Analysis Inputs'!$G$176-'Analysis Inputs'!$F$176)*'Summary Data'!$B$66),0)</f>
        <v>-0.28178892350597995</v>
      </c>
      <c r="J35" s="71" t="s">
        <v>503</v>
      </c>
      <c r="K35" s="71" t="s">
        <v>503</v>
      </c>
      <c r="L35" s="71" t="s">
        <v>503</v>
      </c>
      <c r="M35" s="71" t="s">
        <v>503</v>
      </c>
      <c r="N35" s="392" t="s">
        <v>503</v>
      </c>
      <c r="O35" s="832">
        <v>1</v>
      </c>
      <c r="P35" s="716">
        <f>(P2*[1]Assumptions!$E$66)+(P3*[1]Assumptions!$E$67)+(P5*[1]Assumptions!$E$68)+(P9*[1]Assumptions!$E$72)+(P10*[1]Assumptions!$E$73)+(P11*[1]Assumptions!$E$74)+(P12*[1]Assumptions!$E$75)+(P13*[1]Assumptions!$E$76)+(P14*[1]Assumptions!$E$77)+(P15*[1]Assumptions!$E$78)+(P16*[1]Assumptions!$E$79)+(P34*SUM([1]Assumptions!$E$69:$E$71))</f>
        <v>-0.35050165485843837</v>
      </c>
      <c r="Q35" s="383">
        <f>VLOOKUP('Analysis Inputs'!$H$78,LF_Avoided_Utility_Ratio,2,FALSE)</f>
        <v>7.5875281375367018E-2</v>
      </c>
      <c r="R35" s="716" t="s">
        <v>503</v>
      </c>
      <c r="S35" s="652"/>
    </row>
    <row r="36" spans="1:19" x14ac:dyDescent="0.25">
      <c r="A36" s="111" t="s">
        <v>385</v>
      </c>
      <c r="B36" s="95" t="str">
        <f>IF('Analysis Inputs'!$N$86=2,VLOOKUP(A36,'[1]Emission Factors'!$B$6:$CL$61,16,FALSE),VLOOKUP(A36,[1]!EmissionFactors,17,FALSE))</f>
        <v>NA</v>
      </c>
      <c r="C36" s="127" t="s">
        <v>503</v>
      </c>
      <c r="D36" s="10">
        <f>IF('Analysis Inputs'!$N$96=2,F36,IF('Analysis Inputs'!$N$96=3,E36,IF('Analysis Inputs'!$N$107=1,H36,G36)))</f>
        <v>0.16058590859857633</v>
      </c>
      <c r="E36" s="146">
        <f>VLOOKUP(A36,'Landfilling EFs'!$B$16:$GW$69,'Landfilling EFs'!$C$5,FALSE)+IF('Analysis Inputs'!$N$166=2,(('Analysis Inputs'!$G$175-'Analysis Inputs'!$F$175)*$B$66),0)</f>
        <v>0.18590400696584938</v>
      </c>
      <c r="F36" s="149">
        <f>VLOOKUP($A36,'Landfilling EFs'!$B$16:$GW$69,'Landfilling EFs'!$D$5,FALSE)+IF('Analysis Inputs'!$N$166=2,(('Analysis Inputs'!$G$175-'Analysis Inputs'!$F$175)*$B$66),0)</f>
        <v>0.82763403329379814</v>
      </c>
      <c r="G36" s="326">
        <f>VLOOKUP($A36,'Landfilling EFs'!$B$16:$GW$69,'Landfilling EFs'!$E$5,FALSE)+IF('Analysis Inputs'!$N$166=2,(('Analysis Inputs'!$G$175-'Analysis Inputs'!$F$175)*$B$66),0)</f>
        <v>0.16058590859857633</v>
      </c>
      <c r="H36" s="326">
        <f>VLOOKUP($A36,'Landfilling EFs'!$B$16:$GW$69,'Landfilling EFs'!$F$5,FALSE)+(VLOOKUP('Summary Data'!A36,[1]!LandfillTypicalNatlAverage,2,FALSE)*O36*(1-[1]Assumptions!$G$15)*(-Q36))+IF('Analysis Inputs'!$N$166=2,(('Analysis Inputs'!$G$175-'Analysis Inputs'!$F$175)*$B$66),0)</f>
        <v>-1.6652514438813257E-2</v>
      </c>
      <c r="I36" s="12">
        <f>SUM(VLOOKUP(A36,'[1]Emission Factors'!$B$6:$CL$61,31,FALSE),VLOOKUP(A36,'[1]Emission Factors'!$B$6:$CL$61,32,FALSE),VLOOKUP(A36,'[1]Emission Factors'!$B$6:$CL$61,33,FALSE),VLOOKUP(A36,'[1]Emission Factors'!$B$6:$CL$61,34,FALSE),VLOOKUP(A36,'[1]Emission Factors'!$B$6:$CL$61,36,FALSE))+P36+IF('Analysis Inputs'!$N$166=2,(('Analysis Inputs'!$G$176-'Analysis Inputs'!$F$176)*'Summary Data'!$B$66),0)</f>
        <v>-9.3259254898704805E-2</v>
      </c>
      <c r="J36" s="656">
        <f>VLOOKUP(A36,'[1]Emission Factors'!$B$6:$CL$61,4,FALSE)+IF('Analysis Inputs'!$N$166=2,(('Analysis Inputs'!$G$178-'Analysis Inputs'!$F$178)*$B$66),0)</f>
        <v>-0.16175802015735463</v>
      </c>
      <c r="K36" s="71" t="s">
        <v>503</v>
      </c>
      <c r="L36" s="71" t="s">
        <v>503</v>
      </c>
      <c r="M36" s="71">
        <f>SUM(VLOOKUP(A36,'[1]Emission Factors'!$B$6:$CL$61,76,FALSE),VLOOKUP(A36,'[1]Emission Factors'!$B$6:$CL$61,78,FALSE),VLOOKUP(A36,'[1]Emission Factors'!$B$6:$CL$61,79,FALSE),VLOOKUP(A36,'[1]Emission Factors'!$B$6:$CL$61,80,FALSE),VLOOKUP(A36,'[1]Emission Factors'!$B$6:$CL$61,81,FALSE))+$R36+IF('Analysis Inputs'!$N$166=2,(('Analysis Inputs'!$G$179-'Analysis Inputs'!$F$179)*'Summary Data'!$B$66),0)</f>
        <v>2.7770681615291622E-2</v>
      </c>
      <c r="N36" s="392">
        <f>SUM(VLOOKUP(A36,'[1]Emission Factors'!$B$6:$CL$61,83,FALSE),VLOOKUP(A36,'[1]Emission Factors'!$B$6:$CL$61,85,FALSE),VLOOKUP(A36,'[1]Emission Factors'!$B$6:$CL$61,86,FALSE),VLOOKUP(A36,'[1]Emission Factors'!$B$6:$CL$61,87,FALSE),VLOOKUP(A36,'[1]Emission Factors'!$B$6:$CL$61,88,FALSE))+$R36+IF('Analysis Inputs'!$N$166=2,(('Analysis Inputs'!$G$179-'Analysis Inputs'!$F$179)*'Summary Data'!$B$66),0)</f>
        <v>-0.12459047170627098</v>
      </c>
      <c r="O36" s="832">
        <v>1</v>
      </c>
      <c r="P36" s="716">
        <f>P17*([1]Assumptions!$B$92/[1]Assumptions!$B$94)+P26*([1]Assumptions!$B$93/[1]Assumptions!$B$94)</f>
        <v>-0.13892533124743056</v>
      </c>
      <c r="Q36" s="383">
        <f>VLOOKUP('Analysis Inputs'!$H$78,LF_Avoided_Utility_Ratio,2,FALSE)</f>
        <v>7.5875281375367018E-2</v>
      </c>
      <c r="R36" s="818">
        <f>((IF(AND('Analysis Inputs'!$N$146=1,'Analysis Inputs'!$N$156=1),VLOOKUP($A36,'Avoided Utility'!$C$94:$G$107,2,FALSE),IF(AND('Analysis Inputs'!$N$146=1,'Analysis Inputs'!$N$156=2),VLOOKUP($A36,'Avoided Utility'!$C$94:$G$107,3,FALSE),IF(AND('Analysis Inputs'!$N$146=2,'Analysis Inputs'!$N$156=1),VLOOKUP($A36,'Avoided Utility'!$C$94:$G$107,4,FALSE),IF(AND('Analysis Inputs'!$N$146=2,'Analysis Inputs'!$N$156=2),VLOOKUP($A36,'Avoided Utility'!$C$94:$G$107,5,FALSE)))))))*(((VLOOKUP('Analysis Inputs'!$N$77,'Avoided Utility'!$B$73:$G$82,6,FALSE))))/1000</f>
        <v>0</v>
      </c>
      <c r="S36" s="652"/>
    </row>
    <row r="37" spans="1:19" x14ac:dyDescent="0.25">
      <c r="A37" s="111" t="s">
        <v>574</v>
      </c>
      <c r="B37" s="95" t="str">
        <f>IF('Analysis Inputs'!$N$86=2,VLOOKUP(A37,'[1]Emission Factors'!$B$6:$CL$61,16,FALSE),VLOOKUP(A37,[1]!EmissionFactors,17,FALSE))</f>
        <v>NA</v>
      </c>
      <c r="C37" s="127" t="s">
        <v>503</v>
      </c>
      <c r="D37" s="10">
        <f>IF('Analysis Inputs'!$N$96=2,F37,IF('Analysis Inputs'!$N$96=3,E37,IF('Analysis Inputs'!$N$107=1,H37,G37)))</f>
        <v>0.44094359570930697</v>
      </c>
      <c r="E37" s="146">
        <f>VLOOKUP(A37,'Landfilling EFs'!$B$16:$GW$69,'Landfilling EFs'!$C$5,FALSE)+IF('Analysis Inputs'!$N$166=2,(('Analysis Inputs'!$G$175-'Analysis Inputs'!$F$175)*$B$66),0)</f>
        <v>0.3430907640649542</v>
      </c>
      <c r="F37" s="149">
        <f>VLOOKUP($A37,'Landfilling EFs'!$B$16:$GW$69,'Landfilling EFs'!$D$5,FALSE)+IF('Analysis Inputs'!$N$166=2,(('Analysis Inputs'!$G$175-'Analysis Inputs'!$F$175)*$B$66),0)</f>
        <v>1.270666125629196</v>
      </c>
      <c r="G37" s="326">
        <f>VLOOKUP($A37,'Landfilling EFs'!$B$16:$GW$69,'Landfilling EFs'!$E$5,FALSE)+IF('Analysis Inputs'!$N$166=2,(('Analysis Inputs'!$G$175-'Analysis Inputs'!$F$175)*$B$66),0)</f>
        <v>0.44094359570930697</v>
      </c>
      <c r="H37" s="326">
        <f>VLOOKUP($A37,'Landfilling EFs'!$B$16:$GW$69,'Landfilling EFs'!$F$5,FALSE)+(VLOOKUP('Summary Data'!A37,[1]!LandfillTypicalNatlAverage,2,FALSE)*O37*(1-[1]Assumptions!$G$15)*(-Q37))+IF('Analysis Inputs'!$N$166=2,(('Analysis Inputs'!$G$175-'Analysis Inputs'!$F$175)*$B$66),0)</f>
        <v>9.7011912848671458E-2</v>
      </c>
      <c r="I37" s="12">
        <f>SUM(VLOOKUP(A37,'[1]Emission Factors'!$B$6:$CL$61,31,FALSE),VLOOKUP(A37,'[1]Emission Factors'!$B$6:$CL$61,32,FALSE),VLOOKUP(A37,'[1]Emission Factors'!$B$6:$CL$61,33,FALSE),VLOOKUP(A37,'[1]Emission Factors'!$B$6:$CL$61,34,FALSE),VLOOKUP(A37,'[1]Emission Factors'!$B$6:$CL$61,36,FALSE))+P37+IF('Analysis Inputs'!$N$166=2,(('Analysis Inputs'!$G$176-'Analysis Inputs'!$F$176)*'Summary Data'!$B$66),0)</f>
        <v>5.8935066329127761E-2</v>
      </c>
      <c r="J37" s="71" t="s">
        <v>503</v>
      </c>
      <c r="K37" s="655" t="s">
        <v>503</v>
      </c>
      <c r="L37" s="655" t="s">
        <v>503</v>
      </c>
      <c r="M37" s="655" t="s">
        <v>503</v>
      </c>
      <c r="N37" s="391" t="s">
        <v>503</v>
      </c>
      <c r="O37" s="832">
        <v>1</v>
      </c>
      <c r="P37" s="319">
        <f>-VLOOKUP($A37,Avoided_Utility_Combustion,'Analysis Inputs'!$N$77+1,FALSE)</f>
        <v>-0.26961437099974567</v>
      </c>
      <c r="Q37" s="318">
        <f>VLOOKUP('Analysis Inputs'!$H$78,LF_Avoided_Utility_Ratio,2,FALSE)</f>
        <v>7.5875281375367018E-2</v>
      </c>
      <c r="R37" s="319" t="s">
        <v>503</v>
      </c>
      <c r="S37" s="652"/>
    </row>
    <row r="38" spans="1:19" x14ac:dyDescent="0.25">
      <c r="A38" s="111" t="s">
        <v>573</v>
      </c>
      <c r="B38" s="95">
        <f>IF('Analysis Inputs'!$N$86=2,VLOOKUP(A38,'[1]Emission Factors'!$B$6:$CL$61,16,FALSE),VLOOKUP(A38,[1]!EmissionFactors,17,FALSE))</f>
        <v>-3.8185992981347638</v>
      </c>
      <c r="C38" s="69">
        <f>VLOOKUP(A38,'[1]Emission Factors'!$B$6:$CL$61,24,FALSE)+IF('Analysis Inputs'!$N$166=2,(('Analysis Inputs'!$G$177-'Analysis Inputs'!$F$177)*'Summary Data'!$B$66),0)</f>
        <v>-2.3580317140332059</v>
      </c>
      <c r="D38" s="10">
        <f>IF('Analysis Inputs'!$N$96=2,F38,IF('Analysis Inputs'!$N$96=3,E38,IF('Analysis Inputs'!$N$107=1,H38,G38)))</f>
        <v>2.0254519141196047E-2</v>
      </c>
      <c r="E38" s="146">
        <f>VLOOKUP(A38,'Landfilling EFs'!$B$16:$GW$69,'Landfilling EFs'!$C$5,FALSE)+IF('Analysis Inputs'!$N$166=2,(('Analysis Inputs'!$G$175-'Analysis Inputs'!$F$175)*$B$66),0)</f>
        <v>2.0254519141196047E-2</v>
      </c>
      <c r="F38" s="149">
        <f>VLOOKUP($A38,'Landfilling EFs'!$B$16:$GW$69,'Landfilling EFs'!$D$5,FALSE)+IF('Analysis Inputs'!$N$166=2,(('Analysis Inputs'!$G$175-'Analysis Inputs'!$F$175)*$B$66),0)</f>
        <v>2.0254519141196047E-2</v>
      </c>
      <c r="G38" s="326">
        <f>VLOOKUP($A38,'Landfilling EFs'!$B$16:$GW$69,'Landfilling EFs'!$E$5,FALSE)+IF('Analysis Inputs'!$N$166=2,(('Analysis Inputs'!$G$175-'Analysis Inputs'!$F$175)*$B$66),0)</f>
        <v>2.0254519141196047E-2</v>
      </c>
      <c r="H38" s="326">
        <f t="shared" ref="H38:H43" si="1">+E38</f>
        <v>2.0254519141196047E-2</v>
      </c>
      <c r="I38" s="12">
        <f>SUM(VLOOKUP(A38,'[1]Emission Factors'!$B$6:$CL$61,31,FALSE),VLOOKUP(A38,'[1]Emission Factors'!$B$6:$CL$61,32,FALSE),VLOOKUP(A38,'[1]Emission Factors'!$B$6:$CL$61,33,FALSE),VLOOKUP(A38,'[1]Emission Factors'!$B$6:$CL$61,34,FALSE),VLOOKUP(A38,'[1]Emission Factors'!$B$6:$CL$61,36,FALSE))+P38+IF('Analysis Inputs'!$N$166=2,(('Analysis Inputs'!$G$176-'Analysis Inputs'!$F$176)*'Summary Data'!$B$66),0)</f>
        <v>1.2652365379720676</v>
      </c>
      <c r="J38" s="71" t="s">
        <v>503</v>
      </c>
      <c r="K38" s="655" t="s">
        <v>503</v>
      </c>
      <c r="L38" s="655" t="s">
        <v>503</v>
      </c>
      <c r="M38" s="655" t="s">
        <v>503</v>
      </c>
      <c r="N38" s="391" t="s">
        <v>503</v>
      </c>
      <c r="O38" s="333" t="str">
        <f>VLOOKUP(A38,LF_Collection_Scenario,'Landfill Gas Collection'!$AB$13,FALSE)</f>
        <v>--</v>
      </c>
      <c r="P38" s="319">
        <f>-VLOOKUP($A38,Avoided_Utility_Combustion,'Analysis Inputs'!$N$77+1,FALSE)</f>
        <v>-0.4098138439196134</v>
      </c>
      <c r="Q38" s="319" t="s">
        <v>503</v>
      </c>
      <c r="R38" s="319" t="s">
        <v>503</v>
      </c>
      <c r="S38" s="652"/>
    </row>
    <row r="39" spans="1:19" x14ac:dyDescent="0.25">
      <c r="A39" s="89" t="s">
        <v>423</v>
      </c>
      <c r="B39" s="95">
        <f>IF('Analysis Inputs'!$N$86=2,VLOOKUP(A39,'[1]Emission Factors'!$B$6:$CL$61,16,FALSE),VLOOKUP(A39,[1]!EmissionFactors,17,FALSE))</f>
        <v>-50.486963654668344</v>
      </c>
      <c r="C39" s="69">
        <f>VLOOKUP(A39,'[1]Emission Factors'!$B$6:$CL$61,24,FALSE)+IF('Analysis Inputs'!$N$166=2,(('Analysis Inputs'!$G$177-'Analysis Inputs'!$F$177)*'Summary Data'!$B$66),0)</f>
        <v>-2.5041000762874193</v>
      </c>
      <c r="D39" s="10">
        <f>IF('Analysis Inputs'!$N$96=2,F39,IF('Analysis Inputs'!$N$96=3,E39,IF('Analysis Inputs'!$N$107=1,H39,G39)))</f>
        <v>2.0254519141196047E-2</v>
      </c>
      <c r="E39" s="146">
        <f>VLOOKUP(A39,'Landfilling EFs'!$B$16:$GW$69,'Landfilling EFs'!$C$5,FALSE)+IF('Analysis Inputs'!$N$166=2,(('Analysis Inputs'!$G$175-'Analysis Inputs'!$F$175)*$B$66),0)</f>
        <v>2.0254519141196047E-2</v>
      </c>
      <c r="F39" s="149">
        <f>VLOOKUP($A39,'Landfilling EFs'!$B$16:$GW$69,'Landfilling EFs'!$D$5,FALSE)+IF('Analysis Inputs'!$N$166=2,(('Analysis Inputs'!$G$175-'Analysis Inputs'!$F$175)*$B$66),0)</f>
        <v>2.0254519141196047E-2</v>
      </c>
      <c r="G39" s="326">
        <f>VLOOKUP($A39,'Landfilling EFs'!$B$16:$GW$69,'Landfilling EFs'!$E$5,FALSE)+IF('Analysis Inputs'!$N$166=2,(('Analysis Inputs'!$G$175-'Analysis Inputs'!$F$175)*$B$66),0)</f>
        <v>2.0254519141196047E-2</v>
      </c>
      <c r="H39" s="326">
        <f t="shared" si="1"/>
        <v>2.0254519141196047E-2</v>
      </c>
      <c r="I39" s="12">
        <f>SUM(VLOOKUP(A39,'[1]Emission Factors'!$B$6:$CL$61,31,FALSE),VLOOKUP(A39,'[1]Emission Factors'!$B$6:$CL$61,32,FALSE),VLOOKUP(A39,'[1]Emission Factors'!$B$6:$CL$61,33,FALSE),VLOOKUP(A39,'[1]Emission Factors'!$B$6:$CL$61,34,FALSE),VLOOKUP(A39,'[1]Emission Factors'!$B$6:$CL$61,36,FALSE))+P39+IF('Analysis Inputs'!$N$166=2,(('Analysis Inputs'!$G$176-'Analysis Inputs'!$F$176)*'Summary Data'!$B$66),0)</f>
        <v>-0.14962700605543652</v>
      </c>
      <c r="J39" s="71" t="s">
        <v>503</v>
      </c>
      <c r="K39" s="655" t="s">
        <v>503</v>
      </c>
      <c r="L39" s="655" t="s">
        <v>503</v>
      </c>
      <c r="M39" s="655" t="s">
        <v>503</v>
      </c>
      <c r="N39" s="391" t="s">
        <v>503</v>
      </c>
      <c r="O39" s="333" t="str">
        <f>VLOOKUP(A39,LF_Collection_Scenario,'Landfill Gas Collection'!$AB$13,FALSE)</f>
        <v>--</v>
      </c>
      <c r="P39" s="319">
        <f>-VLOOKUP($A39,Avoided_Utility_Combustion,'Analysis Inputs'!$N$77+1,FALSE)</f>
        <v>-8.2681740439922019E-2</v>
      </c>
      <c r="Q39" s="319" t="s">
        <v>503</v>
      </c>
      <c r="R39" s="319" t="s">
        <v>503</v>
      </c>
      <c r="S39" s="652"/>
    </row>
    <row r="40" spans="1:19" x14ac:dyDescent="0.25">
      <c r="A40" s="346" t="s">
        <v>455</v>
      </c>
      <c r="B40" s="95">
        <f>IF('Analysis Inputs'!$N$86=2,VLOOKUP(A40,'[1]Emission Factors'!$B$6:$CL$61,16,FALSE),VLOOKUP(A40,[1]!EmissionFactors,17,FALSE))</f>
        <v>-0.27330976660243145</v>
      </c>
      <c r="C40" s="127" t="s">
        <v>503</v>
      </c>
      <c r="D40" s="10">
        <f>IF('Analysis Inputs'!$N$96=2,F40,IF('Analysis Inputs'!$N$96=3,E40,IF('Analysis Inputs'!$N$107=1,H40,G40)))</f>
        <v>2.0254519141196047E-2</v>
      </c>
      <c r="E40" s="146">
        <f>VLOOKUP(A40,'Landfilling EFs'!$B$16:$GW$69,'Landfilling EFs'!$C$5,FALSE)+IF('Analysis Inputs'!$N$166=2,(('Analysis Inputs'!$G$175-'Analysis Inputs'!$F$175)*$B$66),0)</f>
        <v>2.0254519141196047E-2</v>
      </c>
      <c r="F40" s="149">
        <f>VLOOKUP($A40,'Landfilling EFs'!$B$16:$GW$69,'Landfilling EFs'!$D$5,FALSE)+IF('Analysis Inputs'!$N$166=2,(('Analysis Inputs'!$G$175-'Analysis Inputs'!$F$175)*$B$66),0)</f>
        <v>2.0254519141196047E-2</v>
      </c>
      <c r="G40" s="326">
        <f>VLOOKUP($A40,'Landfilling EFs'!$B$16:$GW$69,'Landfilling EFs'!$E$5,FALSE)+IF('Analysis Inputs'!$N$166=2,(('Analysis Inputs'!$G$175-'Analysis Inputs'!$F$175)*$B$66),0)</f>
        <v>2.0254519141196047E-2</v>
      </c>
      <c r="H40" s="326">
        <f t="shared" si="1"/>
        <v>2.0254519141196047E-2</v>
      </c>
      <c r="I40" s="359" t="s">
        <v>503</v>
      </c>
      <c r="J40" s="71" t="s">
        <v>503</v>
      </c>
      <c r="K40" s="655" t="s">
        <v>503</v>
      </c>
      <c r="L40" s="655" t="s">
        <v>503</v>
      </c>
      <c r="M40" s="655" t="s">
        <v>503</v>
      </c>
      <c r="N40" s="391" t="s">
        <v>503</v>
      </c>
      <c r="O40" s="333" t="str">
        <f>VLOOKUP(A40,LF_Collection_Scenario,'Landfill Gas Collection'!$AB$13,FALSE)</f>
        <v>--</v>
      </c>
      <c r="P40" s="319" t="s">
        <v>503</v>
      </c>
      <c r="Q40" s="319" t="s">
        <v>503</v>
      </c>
      <c r="R40" s="319" t="s">
        <v>503</v>
      </c>
      <c r="S40" s="652"/>
    </row>
    <row r="41" spans="1:19" x14ac:dyDescent="0.25">
      <c r="A41" s="346" t="s">
        <v>476</v>
      </c>
      <c r="B41" s="95" t="str">
        <f>IF('Analysis Inputs'!$N$86=2,VLOOKUP(A41,'[1]Emission Factors'!$B$6:$CL$61,16,FALSE),VLOOKUP(A41,[1]!EmissionFactors,17,FALSE))</f>
        <v>NA</v>
      </c>
      <c r="C41" s="69">
        <f>VLOOKUP(A41,'[1]Emission Factors'!$B$6:$CL$61,24,FALSE)+IF('Analysis Inputs'!$N$166=2,(('Analysis Inputs'!$G$177-'Analysis Inputs'!$F$177)*'Summary Data'!$B$66),0)</f>
        <v>-7.9565158594323455E-3</v>
      </c>
      <c r="D41" s="10">
        <f>IF('Analysis Inputs'!$N$96=2,F41,IF('Analysis Inputs'!$N$96=3,E41,IF('Analysis Inputs'!$N$107=1,H41,G41)))</f>
        <v>2.0254519141196047E-2</v>
      </c>
      <c r="E41" s="146">
        <f>VLOOKUP(A41,'Landfilling EFs'!$B$16:$GW$69,'Landfilling EFs'!$C$5,FALSE)+IF('Analysis Inputs'!$N$166=2,(('Analysis Inputs'!$G$175-'Analysis Inputs'!$F$175)*$B$66),0)</f>
        <v>2.0254519141196047E-2</v>
      </c>
      <c r="F41" s="149">
        <f>VLOOKUP($A41,'Landfilling EFs'!$B$16:$GW$69,'Landfilling EFs'!$D$5,FALSE)+IF('Analysis Inputs'!$N$166=2,(('Analysis Inputs'!$G$175-'Analysis Inputs'!$F$175)*$B$66),0)</f>
        <v>2.0254519141196047E-2</v>
      </c>
      <c r="G41" s="326">
        <f>VLOOKUP($A41,'Landfilling EFs'!$B$16:$GW$69,'Landfilling EFs'!$E$5,FALSE)+IF('Analysis Inputs'!$N$166=2,(('Analysis Inputs'!$G$175-'Analysis Inputs'!$F$175)*$B$66),0)</f>
        <v>2.0254519141196047E-2</v>
      </c>
      <c r="H41" s="326">
        <f t="shared" si="1"/>
        <v>2.0254519141196047E-2</v>
      </c>
      <c r="I41" s="359" t="s">
        <v>503</v>
      </c>
      <c r="J41" s="71" t="s">
        <v>503</v>
      </c>
      <c r="K41" s="655" t="s">
        <v>503</v>
      </c>
      <c r="L41" s="655" t="s">
        <v>503</v>
      </c>
      <c r="M41" s="655" t="s">
        <v>503</v>
      </c>
      <c r="N41" s="391" t="s">
        <v>503</v>
      </c>
      <c r="O41" s="333" t="str">
        <f>VLOOKUP(A41,LF_Collection_Scenario,'Landfill Gas Collection'!$AB$13,FALSE)</f>
        <v>--</v>
      </c>
      <c r="P41" s="319" t="s">
        <v>503</v>
      </c>
      <c r="Q41" s="319" t="s">
        <v>503</v>
      </c>
      <c r="R41" s="319" t="s">
        <v>503</v>
      </c>
      <c r="S41" s="652"/>
    </row>
    <row r="42" spans="1:19" x14ac:dyDescent="0.25">
      <c r="A42" s="346" t="s">
        <v>131</v>
      </c>
      <c r="B42" s="95" t="str">
        <f>IF('Analysis Inputs'!$N$86=2,VLOOKUP(A42,'[1]Emission Factors'!$B$6:$CL$61,16,FALSE),VLOOKUP(A42,[1]!EmissionFactors,17,FALSE))</f>
        <v>NA</v>
      </c>
      <c r="C42" s="69">
        <f>VLOOKUP(A42,'[1]Emission Factors'!$B$6:$CL$61,24,FALSE)+IF('Analysis Inputs'!$N$166=2,(('Analysis Inputs'!$G$177-'Analysis Inputs'!$F$177)*'Summary Data'!$B$66),0)</f>
        <v>-0.86757417398485015</v>
      </c>
      <c r="D42" s="10">
        <f>IF('Analysis Inputs'!$N$96=2,F42,IF('Analysis Inputs'!$N$96=3,E42,IF('Analysis Inputs'!$N$107=1,H42,G42)))</f>
        <v>2.0254519141196047E-2</v>
      </c>
      <c r="E42" s="146">
        <f>VLOOKUP(A42,'Landfilling EFs'!$B$16:$GW$69,'Landfilling EFs'!$C$5,FALSE)+IF('Analysis Inputs'!$N$166=2,(('Analysis Inputs'!$G$175-'Analysis Inputs'!$F$175)*$B$66),0)</f>
        <v>2.0254519141196047E-2</v>
      </c>
      <c r="F42" s="149">
        <f>VLOOKUP($A42,'Landfilling EFs'!$B$16:$GW$69,'Landfilling EFs'!$D$5,FALSE)+IF('Analysis Inputs'!$N$166=2,(('Analysis Inputs'!$G$175-'Analysis Inputs'!$F$175)*$B$66),0)</f>
        <v>2.0254519141196047E-2</v>
      </c>
      <c r="G42" s="326">
        <f>VLOOKUP($A42,'Landfilling EFs'!$B$16:$GW$69,'Landfilling EFs'!$E$5,FALSE)+IF('Analysis Inputs'!$N$166=2,(('Analysis Inputs'!$G$175-'Analysis Inputs'!$F$175)*$B$66),0)</f>
        <v>2.0254519141196047E-2</v>
      </c>
      <c r="H42" s="326">
        <f t="shared" si="1"/>
        <v>2.0254519141196047E-2</v>
      </c>
      <c r="I42" s="359" t="s">
        <v>503</v>
      </c>
      <c r="J42" s="71" t="s">
        <v>503</v>
      </c>
      <c r="K42" s="655" t="s">
        <v>503</v>
      </c>
      <c r="L42" s="655" t="s">
        <v>503</v>
      </c>
      <c r="M42" s="655" t="s">
        <v>503</v>
      </c>
      <c r="N42" s="391" t="s">
        <v>503</v>
      </c>
      <c r="O42" s="333" t="str">
        <f>VLOOKUP(A42,LF_Collection_Scenario,'Landfill Gas Collection'!$AB$13,FALSE)</f>
        <v>--</v>
      </c>
      <c r="P42" s="319" t="s">
        <v>503</v>
      </c>
      <c r="Q42" s="319" t="s">
        <v>503</v>
      </c>
      <c r="R42" s="319" t="s">
        <v>503</v>
      </c>
      <c r="S42" s="652"/>
    </row>
    <row r="43" spans="1:19" x14ac:dyDescent="0.25">
      <c r="A43" s="346" t="s">
        <v>444</v>
      </c>
      <c r="B43" s="95">
        <f>IF('Analysis Inputs'!$N$86=2,VLOOKUP(A43,'[1]Emission Factors'!$B$6:$CL$61,16,FALSE),VLOOKUP(A43,[1]!EmissionFactors,17,FALSE))</f>
        <v>-4.4378419265320286</v>
      </c>
      <c r="C43" s="69">
        <f>VLOOKUP(A43,'[1]Emission Factors'!$B$6:$CL$61,24,FALSE)+IF('Analysis Inputs'!$N$166=2,(('Analysis Inputs'!$G$177-'Analysis Inputs'!$F$177)*'Summary Data'!$B$66),0)</f>
        <v>-0.37616048668732771</v>
      </c>
      <c r="D43" s="10">
        <f>IF('Analysis Inputs'!$N$96=2,F43,IF('Analysis Inputs'!$N$96=3,E43,IF('Analysis Inputs'!$N$107=1,H43,G43)))</f>
        <v>2.0254519141196047E-2</v>
      </c>
      <c r="E43" s="146">
        <f>VLOOKUP(A43,'Landfilling EFs'!$B$16:$GW$69,'Landfilling EFs'!$C$5,FALSE)+IF('Analysis Inputs'!$N$166=2,(('Analysis Inputs'!$G$175-'Analysis Inputs'!$F$175)*$B$66),0)</f>
        <v>2.0254519141196047E-2</v>
      </c>
      <c r="F43" s="149">
        <f>VLOOKUP($A43,'Landfilling EFs'!$B$16:$GW$69,'Landfilling EFs'!$D$5,FALSE)+IF('Analysis Inputs'!$N$166=2,(('Analysis Inputs'!$G$175-'Analysis Inputs'!$F$175)*$B$66),0)</f>
        <v>2.0254519141196047E-2</v>
      </c>
      <c r="G43" s="326">
        <f>VLOOKUP($A43,'Landfilling EFs'!$B$16:$GW$69,'Landfilling EFs'!$E$5,FALSE)+IF('Analysis Inputs'!$N$166=2,(('Analysis Inputs'!$G$175-'Analysis Inputs'!$F$175)*$B$66),0)</f>
        <v>2.0254519141196047E-2</v>
      </c>
      <c r="H43" s="326">
        <f t="shared" si="1"/>
        <v>2.0254519141196047E-2</v>
      </c>
      <c r="I43" s="12">
        <f>SUM(VLOOKUP(A43,'[1]Emission Factors'!$B$6:$CL$61,31,FALSE),VLOOKUP(A43,'[1]Emission Factors'!$B$6:$CL$61,32,FALSE),VLOOKUP(A43,'[1]Emission Factors'!$B$6:$CL$61,33,FALSE),VLOOKUP(A43,'[1]Emission Factors'!$B$6:$CL$61,34,FALSE),VLOOKUP(A43,'[1]Emission Factors'!$B$6:$CL$61,36,FALSE))+P43+IF('Analysis Inputs'!$N$166=2,(('Analysis Inputs'!$G$176-'Analysis Inputs'!$F$176)*'Summary Data'!$B$66),0)</f>
        <v>0.50582472314229987</v>
      </c>
      <c r="J43" s="71" t="s">
        <v>503</v>
      </c>
      <c r="K43" s="655" t="s">
        <v>503</v>
      </c>
      <c r="L43" s="655" t="s">
        <v>503</v>
      </c>
      <c r="M43" s="655" t="s">
        <v>503</v>
      </c>
      <c r="N43" s="391" t="s">
        <v>503</v>
      </c>
      <c r="O43" s="333" t="str">
        <f>VLOOKUP(A43,LF_Collection_Scenario,'Landfill Gas Collection'!$AB$13,FALSE)</f>
        <v>--</v>
      </c>
      <c r="P43" s="319">
        <f>-VLOOKUP($A43,Avoided_Utility_Combustion,'Analysis Inputs'!$N$77+1,FALSE)</f>
        <v>-1.5659939377631629</v>
      </c>
      <c r="Q43" s="319" t="s">
        <v>503</v>
      </c>
      <c r="R43" s="319" t="s">
        <v>503</v>
      </c>
    </row>
    <row r="44" spans="1:19" x14ac:dyDescent="0.25">
      <c r="A44" s="346" t="s">
        <v>53</v>
      </c>
      <c r="B44" s="95">
        <f>IF('Analysis Inputs'!$N$86=2,VLOOKUP(A44,'[1]Emission Factors'!$B$6:$CL$61,16,FALSE),VLOOKUP(A44,[1]!EmissionFactors,17,FALSE))</f>
        <v>-0.11121434837019081</v>
      </c>
      <c r="C44" s="69">
        <f>VLOOKUP(A44,'[1]Emission Factors'!$B$6:$CL$61,24,FALSE)+IF('Analysis Inputs'!$N$166=2,(('Analysis Inputs'!$G$177-'Analysis Inputs'!$F$177)*'Summary Data'!$B$66),0)</f>
        <v>-8.1312961150786012E-2</v>
      </c>
      <c r="D44" s="10">
        <f>IF('Analysis Inputs'!$N$96=2,F44,IF('Analysis Inputs'!$N$96=3,E44,IF('Analysis Inputs'!$N$107=1,H44,G44)))</f>
        <v>2.0254519141196047E-2</v>
      </c>
      <c r="E44" s="146">
        <f>VLOOKUP(A44,'Landfilling EFs'!$B$16:$GW$69,'Landfilling EFs'!$C$5,FALSE)+IF('Analysis Inputs'!$N$166=2,(('Analysis Inputs'!$G$175-'Analysis Inputs'!$F$175)*$B$66),0)</f>
        <v>2.0254519141196047E-2</v>
      </c>
      <c r="F44" s="149">
        <f>VLOOKUP($A44,'Landfilling EFs'!$B$16:$GW$69,'Landfilling EFs'!$D$5,FALSE)+IF('Analysis Inputs'!$N$166=2,(('Analysis Inputs'!$G$175-'Analysis Inputs'!$F$175)*$B$66),0)</f>
        <v>2.0254519141196047E-2</v>
      </c>
      <c r="G44" s="326">
        <f>VLOOKUP($A44,'Landfilling EFs'!$B$16:$GW$69,'Landfilling EFs'!$E$5,FALSE)+IF('Analysis Inputs'!$N$166=2,(('Analysis Inputs'!$G$175-'Analysis Inputs'!$F$175)*$B$66),0)</f>
        <v>2.0254519141196047E-2</v>
      </c>
      <c r="H44" s="326">
        <f>+E44</f>
        <v>2.0254519141196047E-2</v>
      </c>
      <c r="I44" s="71" t="s">
        <v>503</v>
      </c>
      <c r="J44" s="71" t="s">
        <v>503</v>
      </c>
      <c r="K44" s="655" t="s">
        <v>503</v>
      </c>
      <c r="L44" s="655" t="s">
        <v>503</v>
      </c>
      <c r="M44" s="655" t="s">
        <v>503</v>
      </c>
      <c r="N44" s="391" t="s">
        <v>503</v>
      </c>
      <c r="O44" s="333" t="str">
        <f>VLOOKUP(A44,LF_Collection_Scenario,'Landfill Gas Collection'!$AB$13,FALSE)</f>
        <v>--</v>
      </c>
      <c r="P44" s="321" t="s">
        <v>503</v>
      </c>
      <c r="Q44" s="362" t="s">
        <v>503</v>
      </c>
      <c r="R44" s="319" t="s">
        <v>503</v>
      </c>
    </row>
    <row r="45" spans="1:19" x14ac:dyDescent="0.25">
      <c r="A45" s="346" t="s">
        <v>54</v>
      </c>
      <c r="B45" s="95">
        <f>IF('Analysis Inputs'!$N$86=2,VLOOKUP(A45,'[1]Emission Factors'!$B$6:$CL$61,16,FALSE),VLOOKUP(A45,[1]!EmissionFactors,17,FALSE))</f>
        <v>-0.19361613190346125</v>
      </c>
      <c r="C45" s="69">
        <f>VLOOKUP(A45,'[1]Emission Factors'!$B$6:$CL$61,24,FALSE)+IF('Analysis Inputs'!$N$166=2,(('Analysis Inputs'!$G$177-'Analysis Inputs'!$F$177)*'Summary Data'!$B$66),0)</f>
        <v>-9.066058992224707E-2</v>
      </c>
      <c r="D45" s="10">
        <f>IF('Analysis Inputs'!$N$96=2,F45,IF('Analysis Inputs'!$N$96=3,E45,IF('Analysis Inputs'!$N$107=1,H45,G45)))</f>
        <v>2.0254519141196047E-2</v>
      </c>
      <c r="E45" s="146">
        <f>VLOOKUP(A45,'Landfilling EFs'!$B$16:$GW$69,'Landfilling EFs'!$C$5,FALSE)+IF('Analysis Inputs'!$N$166=2,(('Analysis Inputs'!$G$175-'Analysis Inputs'!$F$175)*$B$66),0)</f>
        <v>2.0254519141196047E-2</v>
      </c>
      <c r="F45" s="149">
        <f>VLOOKUP($A45,'Landfilling EFs'!$B$16:$GW$69,'Landfilling EFs'!$D$5,FALSE)+IF('Analysis Inputs'!$N$166=2,(('Analysis Inputs'!$G$175-'Analysis Inputs'!$F$175)*$B$66),0)</f>
        <v>2.0254519141196047E-2</v>
      </c>
      <c r="G45" s="326">
        <f>VLOOKUP($A45,'Landfilling EFs'!$B$16:$GW$69,'Landfilling EFs'!$E$5,FALSE)+IF('Analysis Inputs'!$N$166=2,(('Analysis Inputs'!$G$175-'Analysis Inputs'!$F$175)*$B$66),0)</f>
        <v>2.0254519141196047E-2</v>
      </c>
      <c r="H45" s="326">
        <f>+E45</f>
        <v>2.0254519141196047E-2</v>
      </c>
      <c r="I45" s="12">
        <f>SUM(VLOOKUP(A45,'[1]Emission Factors'!$B$6:$CL$61,31,FALSE),VLOOKUP(A45,'[1]Emission Factors'!$B$6:$CL$61,32,FALSE),VLOOKUP(A45,'[1]Emission Factors'!$B$6:$CL$61,33,FALSE),VLOOKUP(A45,'[1]Emission Factors'!$B$6:$CL$61,34,FALSE),VLOOKUP(A45,'[1]Emission Factors'!$B$6:$CL$61,36,FALSE))+P45+IF('Analysis Inputs'!$N$166=2,(('Analysis Inputs'!$G$176-'Analysis Inputs'!$F$176)*'Summary Data'!$B$66),0)</f>
        <v>-0.35461659031794068</v>
      </c>
      <c r="J45" s="71" t="s">
        <v>503</v>
      </c>
      <c r="K45" s="655" t="s">
        <v>503</v>
      </c>
      <c r="L45" s="655" t="s">
        <v>503</v>
      </c>
      <c r="M45" s="655" t="s">
        <v>503</v>
      </c>
      <c r="N45" s="391" t="s">
        <v>503</v>
      </c>
      <c r="O45" s="333" t="str">
        <f>VLOOKUP(A45,LF_Collection_Scenario,'Landfill Gas Collection'!$AB$13,FALSE)</f>
        <v>--</v>
      </c>
      <c r="P45" s="319">
        <f>-VLOOKUP($A45,Avoided_Utility_Combustion,'Analysis Inputs'!$N$77+1,FALSE)</f>
        <v>-1.0533599999999996</v>
      </c>
      <c r="Q45" s="362" t="s">
        <v>503</v>
      </c>
      <c r="R45" s="319" t="s">
        <v>503</v>
      </c>
    </row>
    <row r="46" spans="1:19" x14ac:dyDescent="0.25">
      <c r="A46" s="346" t="s">
        <v>55</v>
      </c>
      <c r="B46" s="95">
        <f>IF('Analysis Inputs'!$N$86=2,VLOOKUP(A46,'[1]Emission Factors'!$B$6:$CL$61,16,FALSE),VLOOKUP(A46,[1]!EmissionFactors,17,FALSE))</f>
        <v>-0.21324765004716909</v>
      </c>
      <c r="C46" s="69">
        <f>VLOOKUP(A46,'[1]Emission Factors'!$B$6:$CL$61,24,FALSE)+IF('Analysis Inputs'!$N$166=2,(('Analysis Inputs'!$G$177-'Analysis Inputs'!$F$177)*'Summary Data'!$B$66),0)</f>
        <v>2.8250190407110673E-2</v>
      </c>
      <c r="D46" s="10">
        <f>IF('Analysis Inputs'!$N$96=2,F46,IF('Analysis Inputs'!$N$96=3,E46,IF('Analysis Inputs'!$N$107=1,H46,G46)))</f>
        <v>-6.1041329359337294E-2</v>
      </c>
      <c r="E46" s="146">
        <f>VLOOKUP(A46,'Landfilling EFs'!$B$16:$GW$69,'Landfilling EFs'!$C$5,FALSE)+IF('Analysis Inputs'!$N$166=2,(('Analysis Inputs'!$G$175-'Analysis Inputs'!$F$175)*$B$66),0)</f>
        <v>-6.1041329359337294E-2</v>
      </c>
      <c r="F46" s="149">
        <f>VLOOKUP($A46,'Landfilling EFs'!$B$16:$GW$69,'Landfilling EFs'!$D$5,FALSE)+IF('Analysis Inputs'!$N$166=2,(('Analysis Inputs'!$G$175-'Analysis Inputs'!$F$175)*$B$66),0)</f>
        <v>-6.1041329359337294E-2</v>
      </c>
      <c r="G46" s="326">
        <f>VLOOKUP($A46,'Landfilling EFs'!$B$16:$GW$69,'Landfilling EFs'!$E$5,FALSE)+IF('Analysis Inputs'!$N$166=2,(('Analysis Inputs'!$G$175-'Analysis Inputs'!$F$175)*$B$66),0)</f>
        <v>-6.1041329359337294E-2</v>
      </c>
      <c r="H46" s="326">
        <f>+E46</f>
        <v>-6.1041329359337294E-2</v>
      </c>
      <c r="I46" s="71" t="s">
        <v>503</v>
      </c>
      <c r="J46" s="71" t="s">
        <v>503</v>
      </c>
      <c r="K46" s="655" t="s">
        <v>503</v>
      </c>
      <c r="L46" s="655" t="s">
        <v>503</v>
      </c>
      <c r="M46" s="655" t="s">
        <v>503</v>
      </c>
      <c r="N46" s="391" t="s">
        <v>503</v>
      </c>
      <c r="O46" s="333" t="str">
        <f>VLOOKUP(A46,LF_Collection_Scenario,'Landfill Gas Collection'!$AB$13,FALSE)</f>
        <v>--</v>
      </c>
      <c r="P46" s="321" t="s">
        <v>503</v>
      </c>
      <c r="Q46" s="362" t="s">
        <v>503</v>
      </c>
      <c r="R46" s="319" t="s">
        <v>503</v>
      </c>
    </row>
    <row r="47" spans="1:19" x14ac:dyDescent="0.25">
      <c r="A47" s="346" t="s">
        <v>56</v>
      </c>
      <c r="B47" s="95">
        <f>IF('Analysis Inputs'!$N$86=2,VLOOKUP(A47,'[1]Emission Factors'!$B$6:$CL$61,16,FALSE),VLOOKUP(A47,[1]!EmissionFactors,17,FALSE))</f>
        <v>-0.48714430820443344</v>
      </c>
      <c r="C47" s="127" t="s">
        <v>503</v>
      </c>
      <c r="D47" s="10">
        <f>IF('Analysis Inputs'!$N$96=2,F47,IF('Analysis Inputs'!$N$96=3,E47,IF('Analysis Inputs'!$N$107=1,H47,G47)))</f>
        <v>2.0254519141196047E-2</v>
      </c>
      <c r="E47" s="146">
        <f>VLOOKUP(A47,'Landfilling EFs'!$B$16:$GW$69,'Landfilling EFs'!$C$5,FALSE)+IF('Analysis Inputs'!$N$166=2,(('Analysis Inputs'!$G$175-'Analysis Inputs'!$F$175)*$B$66),0)</f>
        <v>2.0254519141196047E-2</v>
      </c>
      <c r="F47" s="149">
        <f>VLOOKUP($A47,'Landfilling EFs'!$B$16:$GW$69,'Landfilling EFs'!$D$5,FALSE)+IF('Analysis Inputs'!$N$166=2,(('Analysis Inputs'!$G$175-'Analysis Inputs'!$F$175)*$B$66),0)</f>
        <v>2.0254519141196047E-2</v>
      </c>
      <c r="G47" s="326">
        <f>VLOOKUP($A47,'Landfilling EFs'!$B$16:$GW$69,'Landfilling EFs'!$E$5,FALSE)+IF('Analysis Inputs'!$N$166=2,(('Analysis Inputs'!$G$175-'Analysis Inputs'!$F$175)*$B$66),0)</f>
        <v>2.0254519141196047E-2</v>
      </c>
      <c r="H47" s="326">
        <f>+E47</f>
        <v>2.0254519141196047E-2</v>
      </c>
      <c r="I47" s="71" t="s">
        <v>503</v>
      </c>
      <c r="J47" s="71" t="s">
        <v>503</v>
      </c>
      <c r="K47" s="655" t="s">
        <v>503</v>
      </c>
      <c r="L47" s="655" t="s">
        <v>503</v>
      </c>
      <c r="M47" s="655" t="s">
        <v>503</v>
      </c>
      <c r="N47" s="391" t="s">
        <v>503</v>
      </c>
      <c r="O47" s="333" t="str">
        <f>VLOOKUP(A47,LF_Collection_Scenario,'Landfill Gas Collection'!$AB$13,FALSE)</f>
        <v>--</v>
      </c>
      <c r="P47" s="321" t="s">
        <v>503</v>
      </c>
      <c r="Q47" s="362" t="s">
        <v>503</v>
      </c>
      <c r="R47" s="319" t="s">
        <v>503</v>
      </c>
    </row>
    <row r="48" spans="1:19" x14ac:dyDescent="0.25">
      <c r="A48" s="346" t="s">
        <v>57</v>
      </c>
      <c r="B48" s="95">
        <f>IF('Analysis Inputs'!$N$86=2,VLOOKUP(A48,'[1]Emission Factors'!$B$6:$CL$61,16,FALSE),VLOOKUP(A48,[1]!EmissionFactors,17,FALSE))</f>
        <v>-0.6079611455636369</v>
      </c>
      <c r="C48" s="127" t="s">
        <v>503</v>
      </c>
      <c r="D48" s="10">
        <f>IF('Analysis Inputs'!$N$96=2,F48,IF('Analysis Inputs'!$N$96=3,E48,IF('Analysis Inputs'!$N$107=1,H48,G48)))</f>
        <v>2.0254519141196047E-2</v>
      </c>
      <c r="E48" s="146">
        <f>VLOOKUP(A48,'Landfilling EFs'!$B$16:$GW$69,'Landfilling EFs'!$C$5,FALSE)+IF('Analysis Inputs'!$N$166=2,(('Analysis Inputs'!$G$175-'Analysis Inputs'!$F$175)*$B$66),0)</f>
        <v>2.0254519141196047E-2</v>
      </c>
      <c r="F48" s="149">
        <f>VLOOKUP($A48,'Landfilling EFs'!$B$16:$GW$69,'Landfilling EFs'!$D$5,FALSE)+IF('Analysis Inputs'!$N$166=2,(('Analysis Inputs'!$G$175-'Analysis Inputs'!$F$175)*$B$66),0)</f>
        <v>2.0254519141196047E-2</v>
      </c>
      <c r="G48" s="326">
        <f>VLOOKUP($A48,'Landfilling EFs'!$B$16:$GW$69,'Landfilling EFs'!$E$5,FALSE)+IF('Analysis Inputs'!$N$166=2,(('Analysis Inputs'!$G$175-'Analysis Inputs'!$F$175)*$B$66),0)</f>
        <v>2.0254519141196047E-2</v>
      </c>
      <c r="H48" s="326">
        <f>+E48</f>
        <v>2.0254519141196047E-2</v>
      </c>
      <c r="I48" s="12">
        <f>SUM(VLOOKUP(A48,'[1]Emission Factors'!$B$6:$CL$61,31,FALSE),VLOOKUP(A48,'[1]Emission Factors'!$B$6:$CL$61,32,FALSE),VLOOKUP(A48,'[1]Emission Factors'!$B$6:$CL$61,33,FALSE),VLOOKUP(A48,'[1]Emission Factors'!$B$6:$CL$61,34,FALSE),VLOOKUP(A48,'[1]Emission Factors'!$B$6:$CL$61,36,FALSE))+P48+IF('Analysis Inputs'!$N$166=2,(('Analysis Inputs'!$G$176-'Analysis Inputs'!$F$176)*'Summary Data'!$B$66),0)</f>
        <v>-0.13475629310789056</v>
      </c>
      <c r="J48" s="71" t="s">
        <v>503</v>
      </c>
      <c r="K48" s="655" t="s">
        <v>503</v>
      </c>
      <c r="L48" s="655" t="s">
        <v>503</v>
      </c>
      <c r="M48" s="655" t="s">
        <v>503</v>
      </c>
      <c r="N48" s="391" t="s">
        <v>503</v>
      </c>
      <c r="O48" s="333" t="str">
        <f>VLOOKUP(A48,LF_Collection_Scenario,'Landfill Gas Collection'!$AB$13,FALSE)</f>
        <v>--</v>
      </c>
      <c r="P48" s="319">
        <f>-VLOOKUP($A48,Avoided_Utility_Combustion,'Analysis Inputs'!$N$77+1,FALSE)</f>
        <v>-0.42464263432459942</v>
      </c>
      <c r="Q48" s="362" t="s">
        <v>503</v>
      </c>
      <c r="R48" s="319" t="s">
        <v>503</v>
      </c>
    </row>
    <row r="49" spans="1:18" x14ac:dyDescent="0.25">
      <c r="A49" s="346" t="s">
        <v>58</v>
      </c>
      <c r="B49" s="95">
        <f>IF('Analysis Inputs'!$N$86=2,VLOOKUP(A49,'[1]Emission Factors'!$B$6:$CL$61,16,FALSE),VLOOKUP(A49,[1]!EmissionFactors,17,FALSE))</f>
        <v>-4.0490606164644465</v>
      </c>
      <c r="C49" s="127" t="s">
        <v>503</v>
      </c>
      <c r="D49" s="10">
        <f>IF('Analysis Inputs'!$N$96=2,F49,IF('Analysis Inputs'!$N$96=3,E49,IF('Analysis Inputs'!$N$107=1,H49,G49)))</f>
        <v>-0.8592610862888036</v>
      </c>
      <c r="E49" s="146">
        <f>VLOOKUP(A49,'Landfilling EFs'!$B$16:$GW$69,'Landfilling EFs'!$C$5,FALSE)+IF('Analysis Inputs'!$N$166=2,(('Analysis Inputs'!$G$175-'Analysis Inputs'!$F$175)*$B$66),0)</f>
        <v>-0.8592610862888036</v>
      </c>
      <c r="F49" s="149">
        <f>VLOOKUP($A49,'Landfilling EFs'!$B$16:$GW$69,'Landfilling EFs'!$D$5,FALSE)+IF('Analysis Inputs'!$N$166=2,(('Analysis Inputs'!$G$175-'Analysis Inputs'!$F$175)*$B$66),0)</f>
        <v>-0.8592610862888036</v>
      </c>
      <c r="G49" s="326">
        <f>VLOOKUP($A49,'Landfilling EFs'!$B$16:$GW$69,'Landfilling EFs'!$E$5,FALSE)+IF('Analysis Inputs'!$N$166=2,(('Analysis Inputs'!$G$175-'Analysis Inputs'!$F$175)*$B$66),0)</f>
        <v>-0.8592610862888036</v>
      </c>
      <c r="H49" s="326">
        <f>F49</f>
        <v>-0.8592610862888036</v>
      </c>
      <c r="I49" s="12">
        <f>SUM(VLOOKUP(A49,'[1]Emission Factors'!$B$6:$CL$61,31,FALSE),VLOOKUP(A49,'[1]Emission Factors'!$B$6:$CL$61,32,FALSE),VLOOKUP(A49,'[1]Emission Factors'!$B$6:$CL$61,33,FALSE),VLOOKUP(A49,'[1]Emission Factors'!$B$6:$CL$61,34,FALSE),VLOOKUP(A49,'[1]Emission Factors'!$B$6:$CL$61,36,FALSE))+P49+IF('Analysis Inputs'!$N$166=2,(('Analysis Inputs'!$G$176-'Analysis Inputs'!$F$176)*'Summary Data'!$B$66),0)</f>
        <v>-0.50189242557709568</v>
      </c>
      <c r="J49" s="71" t="s">
        <v>503</v>
      </c>
      <c r="K49" s="655" t="s">
        <v>503</v>
      </c>
      <c r="L49" s="655" t="s">
        <v>503</v>
      </c>
      <c r="M49" s="655" t="s">
        <v>503</v>
      </c>
      <c r="N49" s="391" t="s">
        <v>503</v>
      </c>
      <c r="O49" s="333" t="str">
        <f>VLOOKUP(A49,LF_Collection_Scenario,'Landfill Gas Collection'!$AB$13,FALSE)</f>
        <v>--</v>
      </c>
      <c r="P49" s="321">
        <f>-VLOOKUP($A49,Avoided_Utility_Combustion,'Analysis Inputs'!$N$77+1,FALSE)</f>
        <v>-0.58573261363886653</v>
      </c>
      <c r="Q49" s="362" t="s">
        <v>503</v>
      </c>
      <c r="R49" s="319" t="s">
        <v>503</v>
      </c>
    </row>
    <row r="50" spans="1:18" x14ac:dyDescent="0.25">
      <c r="A50" s="346" t="s">
        <v>84</v>
      </c>
      <c r="B50" s="95">
        <f>IF('Analysis Inputs'!$N$86=2,VLOOKUP(A50,'[1]Emission Factors'!$B$6:$CL$61,16,FALSE),VLOOKUP(A50,[1]!EmissionFactors,17,FALSE))</f>
        <v>-7.4742174216693584</v>
      </c>
      <c r="C50" s="69">
        <f>VLOOKUP(A50,'[1]Emission Factors'!$B$6:$CL$61,24,FALSE)+IF('Analysis Inputs'!$N$166=2,(('Analysis Inputs'!$G$177-'Analysis Inputs'!$F$177)*'Summary Data'!$B$66),0)</f>
        <v>-7.1885223815767212</v>
      </c>
      <c r="D50" s="10">
        <f>IF('Analysis Inputs'!$N$96=2,F50,IF('Analysis Inputs'!$N$96=3,E50,IF('Analysis Inputs'!$N$107=1,H50,G50)))</f>
        <v>2.0254519141196047E-2</v>
      </c>
      <c r="E50" s="148">
        <f>VLOOKUP(A50,'Landfilling EFs'!$B$16:$GW$69,'Landfilling EFs'!$C$5,FALSE)+IF('Analysis Inputs'!$N$166=2,(('Analysis Inputs'!$G$175-'Analysis Inputs'!$F$175)*$B$66),0)</f>
        <v>2.0254519141196047E-2</v>
      </c>
      <c r="F50" s="149">
        <f>VLOOKUP($A50,'Landfilling EFs'!$B$16:$GW$69,'Landfilling EFs'!$D$5,FALSE)+IF('Analysis Inputs'!$N$166=2,(('Analysis Inputs'!$G$175-'Analysis Inputs'!$F$175)*$B$66),0)</f>
        <v>2.0254519141196047E-2</v>
      </c>
      <c r="G50" s="326">
        <f>VLOOKUP($A50,'Landfilling EFs'!$B$16:$GW$69,'Landfilling EFs'!$E$5,FALSE)+IF('Analysis Inputs'!$N$166=2,(('Analysis Inputs'!$G$175-'Analysis Inputs'!$F$175)*$B$66),0)</f>
        <v>2.0254519141196047E-2</v>
      </c>
      <c r="H50" s="326">
        <f t="shared" ref="H50:H55" si="2">+E50</f>
        <v>2.0254519141196047E-2</v>
      </c>
      <c r="I50" s="12">
        <f>SUM(VLOOKUP(A50,'[1]Emission Factors'!$B$6:$CL$61,31,FALSE),VLOOKUP(A50,'[1]Emission Factors'!$B$6:$CL$61,32,FALSE),VLOOKUP(A50,'[1]Emission Factors'!$B$6:$CL$61,33,FALSE),VLOOKUP(A50,'[1]Emission Factors'!$B$6:$CL$61,34,FALSE),VLOOKUP(A50,'[1]Emission Factors'!$B$6:$CL$61,36,FALSE))+P50+IF('Analysis Inputs'!$N$166=2,(('Analysis Inputs'!$G$176-'Analysis Inputs'!$F$176)*'Summary Data'!$B$66),0)</f>
        <v>2.7063572539042055E-2</v>
      </c>
      <c r="J50" s="71" t="s">
        <v>503</v>
      </c>
      <c r="K50" s="655" t="s">
        <v>503</v>
      </c>
      <c r="L50" s="655" t="s">
        <v>503</v>
      </c>
      <c r="M50" s="655" t="s">
        <v>503</v>
      </c>
      <c r="N50" s="391" t="s">
        <v>503</v>
      </c>
      <c r="O50" s="333" t="str">
        <f>VLOOKUP(A50,LF_Collection_Scenario,'Landfill Gas Collection'!$AB$13,FALSE)</f>
        <v>--</v>
      </c>
      <c r="P50" s="319">
        <f>-VLOOKUP($A50,Avoided_Utility_Combustion,'Analysis Inputs'!$N$77+1,FALSE)</f>
        <v>1.8064162856982962E-2</v>
      </c>
      <c r="Q50" s="362" t="s">
        <v>503</v>
      </c>
      <c r="R50" s="319" t="s">
        <v>503</v>
      </c>
    </row>
    <row r="51" spans="1:18" x14ac:dyDescent="0.25">
      <c r="A51" s="346" t="s">
        <v>85</v>
      </c>
      <c r="B51" s="95">
        <f>IF('Analysis Inputs'!$N$86=2,VLOOKUP(A51,'[1]Emission Factors'!$B$6:$CL$61,16,FALSE),VLOOKUP(A51,[1]!EmissionFactors,17,FALSE))</f>
        <v>-2.0877983213682918</v>
      </c>
      <c r="C51" s="127" t="s">
        <v>503</v>
      </c>
      <c r="D51" s="10">
        <f>IF('Analysis Inputs'!$N$96=2,F51,IF('Analysis Inputs'!$N$96=3,E51,IF('Analysis Inputs'!$N$107=1,H51,G51)))</f>
        <v>-1.6426151092788039</v>
      </c>
      <c r="E51" s="148">
        <f>VLOOKUP(A51,'Landfilling EFs'!$B$16:$GW$69,'Landfilling EFs'!$C$5,FALSE)+IF('Analysis Inputs'!$N$166=2,(('Analysis Inputs'!$G$175-'Analysis Inputs'!$F$175)*$B$66),0)</f>
        <v>-1.6426151092788039</v>
      </c>
      <c r="F51" s="149">
        <f>VLOOKUP($A51,'Landfilling EFs'!$B$16:$GW$69,'Landfilling EFs'!$D$5,FALSE)+IF('Analysis Inputs'!$N$166=2,(('Analysis Inputs'!$G$175-'Analysis Inputs'!$F$175)*$B$66),0)</f>
        <v>-1.6426151092788039</v>
      </c>
      <c r="G51" s="326">
        <f>VLOOKUP($A51,'Landfilling EFs'!$B$16:$GW$69,'Landfilling EFs'!$E$5,FALSE)+IF('Analysis Inputs'!$N$166=2,(('Analysis Inputs'!$G$175-'Analysis Inputs'!$F$175)*$B$66),0)</f>
        <v>-1.6426151092788039</v>
      </c>
      <c r="H51" s="326">
        <f t="shared" si="2"/>
        <v>-1.6426151092788039</v>
      </c>
      <c r="I51" s="12">
        <f>SUM(VLOOKUP(A51,'[1]Emission Factors'!$B$6:$CL$61,27,FALSE),VLOOKUP(A51,'[1]Emission Factors'!$B$6:$CL$61,28,FALSE),VLOOKUP(A51,'[1]Emission Factors'!$B$6:$CL$61,29,FALSE),VLOOKUP(A51,'[1]Emission Factors'!$B$6:$CL$61,30,FALSE),VLOOKUP(A51,'[1]Emission Factors'!$B$6:$CL$61,32,FALSE))+P51+IF('Analysis Inputs'!$N$166=2,(('Analysis Inputs'!$G$176-'Analysis Inputs'!$F$176)*'Summary Data'!$B$66),0)</f>
        <v>-0.75923074797665513</v>
      </c>
      <c r="J51" s="656">
        <f>VLOOKUP(A51,'[1]Emission Factors'!$B$6:$CL$61,4,FALSE)+IF('Analysis Inputs'!$N$166=2,(('Analysis Inputs'!$G$178-'Analysis Inputs'!$F$178)*$B$66),0)</f>
        <v>-0.1487348044061565</v>
      </c>
      <c r="K51" s="655" t="s">
        <v>503</v>
      </c>
      <c r="L51" s="655" t="s">
        <v>503</v>
      </c>
      <c r="M51" s="655" t="s">
        <v>503</v>
      </c>
      <c r="N51" s="391" t="s">
        <v>503</v>
      </c>
      <c r="O51" s="333" t="str">
        <f>VLOOKUP(A51,LF_Collection_Scenario,'Landfill Gas Collection'!$AB$13,FALSE)</f>
        <v>--</v>
      </c>
      <c r="P51" s="321">
        <f>-VLOOKUP($A51,Avoided_Utility_Combustion,'Analysis Inputs'!$N$77+1,FALSE)</f>
        <v>-0.45122661130517439</v>
      </c>
      <c r="Q51" s="362" t="s">
        <v>503</v>
      </c>
      <c r="R51" s="319" t="s">
        <v>503</v>
      </c>
    </row>
    <row r="52" spans="1:18" x14ac:dyDescent="0.25">
      <c r="A52" s="346" t="s">
        <v>86</v>
      </c>
      <c r="B52" s="95">
        <f>IF('Analysis Inputs'!$N$86=2,VLOOKUP(A52,'[1]Emission Factors'!$B$6:$CL$61,16,FALSE),VLOOKUP(A52,[1]!EmissionFactors,17,FALSE))</f>
        <v>-1.5817379577845374</v>
      </c>
      <c r="C52" s="127" t="s">
        <v>503</v>
      </c>
      <c r="D52" s="10">
        <f>IF('Analysis Inputs'!$N$96=2,F52,IF('Analysis Inputs'!$N$96=3,E52,IF('Analysis Inputs'!$N$107=1,H52,G52)))</f>
        <v>2.0254519141196047E-2</v>
      </c>
      <c r="E52" s="148">
        <f>VLOOKUP(A52,'Landfilling EFs'!$B$16:$GW$69,'Landfilling EFs'!$C$5,FALSE)+IF('Analysis Inputs'!$N$166=2,(('Analysis Inputs'!$G$175-'Analysis Inputs'!$F$175)*$B$66),0)</f>
        <v>2.0254519141196047E-2</v>
      </c>
      <c r="F52" s="149">
        <f>VLOOKUP($A52,'Landfilling EFs'!$B$16:$GW$69,'Landfilling EFs'!$D$5,FALSE)+IF('Analysis Inputs'!$N$166=2,(('Analysis Inputs'!$G$175-'Analysis Inputs'!$F$175)*$B$66),0)</f>
        <v>2.0254519141196047E-2</v>
      </c>
      <c r="G52" s="326">
        <f>VLOOKUP($A52,'Landfilling EFs'!$B$16:$GW$69,'Landfilling EFs'!$E$5,FALSE)+IF('Analysis Inputs'!$N$166=2,(('Analysis Inputs'!$G$175-'Analysis Inputs'!$F$175)*$B$66),0)</f>
        <v>2.0254519141196047E-2</v>
      </c>
      <c r="H52" s="326">
        <f t="shared" si="2"/>
        <v>2.0254519141196047E-2</v>
      </c>
      <c r="I52" s="12">
        <f>SUM(VLOOKUP(A52,'[1]Emission Factors'!$B$6:$CL$61,31,FALSE),VLOOKUP(A52,'[1]Emission Factors'!$B$6:$CL$61,32,FALSE),VLOOKUP(A52,'[1]Emission Factors'!$B$6:$CL$61,33,FALSE),VLOOKUP(A52,'[1]Emission Factors'!$B$6:$CL$61,34,FALSE),VLOOKUP(A52,'[1]Emission Factors'!$B$6:$CL$61,36,FALSE))+P52+IF('Analysis Inputs'!$N$166=2,(('Analysis Inputs'!$G$176-'Analysis Inputs'!$F$176)*'Summary Data'!$B$66),0)</f>
        <v>1.7276114312155559</v>
      </c>
      <c r="J52" s="71" t="s">
        <v>503</v>
      </c>
      <c r="K52" s="655" t="s">
        <v>503</v>
      </c>
      <c r="L52" s="655" t="s">
        <v>503</v>
      </c>
      <c r="M52" s="655" t="s">
        <v>503</v>
      </c>
      <c r="N52" s="391" t="s">
        <v>503</v>
      </c>
      <c r="O52" s="333" t="str">
        <f>VLOOKUP(A52,LF_Collection_Scenario,'Landfill Gas Collection'!$AB$13,FALSE)</f>
        <v>--</v>
      </c>
      <c r="P52" s="319">
        <f>-VLOOKUP($A52,Avoided_Utility_Combustion,'Analysis Inputs'!$N$77+1,FALSE)</f>
        <v>-1.0755456487921855</v>
      </c>
      <c r="Q52" s="362" t="s">
        <v>503</v>
      </c>
      <c r="R52" s="319" t="s">
        <v>503</v>
      </c>
    </row>
    <row r="53" spans="1:18" x14ac:dyDescent="0.25">
      <c r="A53" s="346" t="s">
        <v>87</v>
      </c>
      <c r="B53" s="95">
        <f>IF('Analysis Inputs'!$N$86=2,VLOOKUP(A53,'[1]Emission Factors'!$B$6:$CL$61,16,FALSE),VLOOKUP(A53,[1]!EmissionFactors,17,FALSE))</f>
        <v>-1.5496211386143399</v>
      </c>
      <c r="C53" s="127" t="s">
        <v>503</v>
      </c>
      <c r="D53" s="10">
        <f>IF('Analysis Inputs'!$N$96=2,F53,IF('Analysis Inputs'!$N$96=3,E53,IF('Analysis Inputs'!$N$107=1,H53,G53)))</f>
        <v>2.0254519141196047E-2</v>
      </c>
      <c r="E53" s="148">
        <f>VLOOKUP(A53,'Landfilling EFs'!$B$16:$GW$69,'Landfilling EFs'!$C$5,FALSE)+IF('Analysis Inputs'!$N$166=2,(('Analysis Inputs'!$G$175-'Analysis Inputs'!$F$175)*$B$66),0)</f>
        <v>2.0254519141196047E-2</v>
      </c>
      <c r="F53" s="149">
        <f>VLOOKUP($A53,'Landfilling EFs'!$B$16:$GW$69,'Landfilling EFs'!$D$5,FALSE)+IF('Analysis Inputs'!$N$166=2,(('Analysis Inputs'!$G$175-'Analysis Inputs'!$F$175)*$B$66),0)</f>
        <v>2.0254519141196047E-2</v>
      </c>
      <c r="G53" s="326">
        <f>VLOOKUP($A53,'Landfilling EFs'!$B$16:$GW$69,'Landfilling EFs'!$E$5,FALSE)+IF('Analysis Inputs'!$N$166=2,(('Analysis Inputs'!$G$175-'Analysis Inputs'!$F$175)*$B$66),0)</f>
        <v>2.0254519141196047E-2</v>
      </c>
      <c r="H53" s="326">
        <f t="shared" si="2"/>
        <v>2.0254519141196047E-2</v>
      </c>
      <c r="I53" s="12">
        <f>SUM(VLOOKUP(A53,'[1]Emission Factors'!$B$6:$CL$61,31,FALSE),VLOOKUP(A53,'[1]Emission Factors'!$B$6:$CL$61,32,FALSE),VLOOKUP(A53,'[1]Emission Factors'!$B$6:$CL$61,33,FALSE),VLOOKUP(A53,'[1]Emission Factors'!$B$6:$CL$61,34,FALSE),VLOOKUP(A53,'[1]Emission Factors'!$B$6:$CL$61,36,FALSE))+P53+IF('Analysis Inputs'!$N$166=2,(('Analysis Inputs'!$G$176-'Analysis Inputs'!$F$176)*'Summary Data'!$B$66),0)</f>
        <v>1.7275035854671561</v>
      </c>
      <c r="J53" s="655" t="s">
        <v>503</v>
      </c>
      <c r="K53" s="655" t="s">
        <v>503</v>
      </c>
      <c r="L53" s="655" t="s">
        <v>503</v>
      </c>
      <c r="M53" s="655" t="s">
        <v>503</v>
      </c>
      <c r="N53" s="391" t="s">
        <v>503</v>
      </c>
      <c r="O53" s="333" t="str">
        <f>VLOOKUP(A53,LF_Collection_Scenario,'Landfill Gas Collection'!$AB$13,FALSE)</f>
        <v>--</v>
      </c>
      <c r="P53" s="321">
        <f>-VLOOKUP($A53,Avoided_Utility_Combustion,'Analysis Inputs'!$N$77+1,FALSE)</f>
        <v>-1.0756534945405853</v>
      </c>
      <c r="Q53" s="362" t="s">
        <v>503</v>
      </c>
      <c r="R53" s="319" t="s">
        <v>503</v>
      </c>
    </row>
    <row r="54" spans="1:18" x14ac:dyDescent="0.25">
      <c r="A54" s="346" t="s">
        <v>88</v>
      </c>
      <c r="B54" s="95">
        <f>IF('Analysis Inputs'!$N$86=2,VLOOKUP(A54,'[1]Emission Factors'!$B$6:$CL$61,16,FALSE),VLOOKUP(A54,[1]!EmissionFactors,17,FALSE))</f>
        <v>-2.4982570975155576</v>
      </c>
      <c r="C54" s="127" t="s">
        <v>503</v>
      </c>
      <c r="D54" s="10">
        <f>IF('Analysis Inputs'!$N$96=2,F54,IF('Analysis Inputs'!$N$96=3,E54,IF('Analysis Inputs'!$N$107=1,H54,G54)))</f>
        <v>2.0254519141196047E-2</v>
      </c>
      <c r="E54" s="148">
        <f>VLOOKUP(A54,'Landfilling EFs'!$B$16:$GW$69,'Landfilling EFs'!$C$5,FALSE)+IF('Analysis Inputs'!$N$166=2,(('Analysis Inputs'!$G$175-'Analysis Inputs'!$F$175)*$B$66),0)</f>
        <v>2.0254519141196047E-2</v>
      </c>
      <c r="F54" s="147">
        <f>VLOOKUP($A54,'Landfilling EFs'!$B$16:$GW$69,'Landfilling EFs'!$D$5,FALSE)+IF('Analysis Inputs'!$N$166=2,(('Analysis Inputs'!$G$175-'Analysis Inputs'!$F$175)*$B$66),0)</f>
        <v>2.0254519141196047E-2</v>
      </c>
      <c r="G54" s="326">
        <f>VLOOKUP($A54,'Landfilling EFs'!$B$16:$GW$69,'Landfilling EFs'!$E$5,FALSE)+IF('Analysis Inputs'!$N$166=2,(('Analysis Inputs'!$G$175-'Analysis Inputs'!$F$175)*$B$66),0)</f>
        <v>2.0254519141196047E-2</v>
      </c>
      <c r="H54" s="326">
        <f t="shared" si="2"/>
        <v>2.0254519141196047E-2</v>
      </c>
      <c r="I54" s="12">
        <f>SUM(VLOOKUP(A54,'[1]Emission Factors'!$B$6:$CL$61,31,FALSE),VLOOKUP(A54,'[1]Emission Factors'!$B$6:$CL$61,32,FALSE),VLOOKUP(A54,'[1]Emission Factors'!$B$6:$CL$61,33,FALSE),VLOOKUP(A54,'[1]Emission Factors'!$B$6:$CL$61,34,FALSE),VLOOKUP(A54,'[1]Emission Factors'!$B$6:$CL$61,36,FALSE))+P54+IF('Analysis Inputs'!$N$166=2,(('Analysis Inputs'!$G$176-'Analysis Inputs'!$F$176)*'Summary Data'!$B$66),0)</f>
        <v>2.0474805498183253</v>
      </c>
      <c r="J54" s="655" t="s">
        <v>503</v>
      </c>
      <c r="K54" s="655" t="s">
        <v>503</v>
      </c>
      <c r="L54" s="655" t="s">
        <v>503</v>
      </c>
      <c r="M54" s="655" t="s">
        <v>503</v>
      </c>
      <c r="N54" s="391" t="s">
        <v>503</v>
      </c>
      <c r="O54" s="333" t="str">
        <f>VLOOKUP(A54,LF_Collection_Scenario,'Landfill Gas Collection'!$AB$13,FALSE)</f>
        <v>--</v>
      </c>
      <c r="P54" s="319">
        <f>-VLOOKUP($A54,Avoided_Utility_Combustion,'Analysis Inputs'!$N$77+1,FALSE)</f>
        <v>-0.97061173559908442</v>
      </c>
      <c r="Q54" s="362" t="s">
        <v>503</v>
      </c>
      <c r="R54" s="319" t="s">
        <v>503</v>
      </c>
    </row>
    <row r="55" spans="1:18" ht="13" thickBot="1" x14ac:dyDescent="0.3">
      <c r="A55" s="347" t="s">
        <v>89</v>
      </c>
      <c r="B55" s="658">
        <f>IF('Analysis Inputs'!$N$86=2,VLOOKUP(A55,'[1]Emission Factors'!$B$6:$CL$61,16,FALSE),VLOOKUP(A55,[1]!EmissionFactors,17,FALSE))</f>
        <v>-1.9488924030618728</v>
      </c>
      <c r="C55" s="358" t="s">
        <v>503</v>
      </c>
      <c r="D55" s="91">
        <f>IF('Analysis Inputs'!$N$96=2,F55,IF('Analysis Inputs'!$N$96=3,E55,IF('Analysis Inputs'!$N$107=1,H55,G55)))</f>
        <v>2.0254519141196047E-2</v>
      </c>
      <c r="E55" s="659">
        <f>VLOOKUP(A55,'Landfilling EFs'!$B$16:$GW$69,'Landfilling EFs'!$C$5,FALSE)+IF('Analysis Inputs'!$N$166=2,(('Analysis Inputs'!$G$175-'Analysis Inputs'!$F$175)*$B$66),0)</f>
        <v>2.0254519141196047E-2</v>
      </c>
      <c r="F55" s="660">
        <f>VLOOKUP($A55,'Landfilling EFs'!$B$16:$GW$69,'Landfilling EFs'!$D$5,FALSE)+IF('Analysis Inputs'!$N$166=2,(('Analysis Inputs'!$G$175-'Analysis Inputs'!$F$175)*$B$66),0)</f>
        <v>2.0254519141196047E-2</v>
      </c>
      <c r="G55" s="661">
        <f>VLOOKUP($A55,'Landfilling EFs'!$B$16:$GW$69,'Landfilling EFs'!$E$5,FALSE)+IF('Analysis Inputs'!$N$166=2,(('Analysis Inputs'!$G$175-'Analysis Inputs'!$F$175)*$B$66),0)</f>
        <v>2.0254519141196047E-2</v>
      </c>
      <c r="H55" s="661">
        <f t="shared" si="2"/>
        <v>2.0254519141196047E-2</v>
      </c>
      <c r="I55" s="92">
        <f>SUM(VLOOKUP(A55,'[1]Emission Factors'!$B$6:$CL$61,31,FALSE),VLOOKUP(A55,'[1]Emission Factors'!$B$6:$CL$61,32,FALSE),VLOOKUP(A55,'[1]Emission Factors'!$B$6:$CL$61,33,FALSE),VLOOKUP(A55,'[1]Emission Factors'!$B$6:$CL$61,34,FALSE),VLOOKUP(A55,'[1]Emission Factors'!$B$6:$CL$61,36,FALSE))+P55+IF('Analysis Inputs'!$N$166=2,(('Analysis Inputs'!$G$176-'Analysis Inputs'!$F$176)*'Summary Data'!$B$66),0)</f>
        <v>0.83708146062668787</v>
      </c>
      <c r="J55" s="662" t="s">
        <v>503</v>
      </c>
      <c r="K55" s="662" t="s">
        <v>503</v>
      </c>
      <c r="L55" s="662" t="s">
        <v>503</v>
      </c>
      <c r="M55" s="662" t="s">
        <v>503</v>
      </c>
      <c r="N55" s="711" t="s">
        <v>503</v>
      </c>
      <c r="O55" s="657" t="str">
        <f>VLOOKUP(A55,LF_Collection_Scenario,'Landfill Gas Collection'!$AB$13,FALSE)</f>
        <v>--</v>
      </c>
      <c r="P55" s="365">
        <f>-VLOOKUP($A55,Avoided_Utility_Combustion,'Analysis Inputs'!$N$77+1,FALSE)</f>
        <v>-0.42464263432459942</v>
      </c>
      <c r="Q55" s="363" t="s">
        <v>503</v>
      </c>
      <c r="R55" s="365" t="s">
        <v>503</v>
      </c>
    </row>
    <row r="56" spans="1:18" ht="14" x14ac:dyDescent="0.3">
      <c r="A56" s="73" t="s">
        <v>83</v>
      </c>
      <c r="H56" s="22"/>
      <c r="I56" s="150"/>
      <c r="O56" s="22"/>
      <c r="R56" s="652"/>
    </row>
    <row r="57" spans="1:18" ht="13" x14ac:dyDescent="0.3">
      <c r="B57" s="40" t="s">
        <v>394</v>
      </c>
      <c r="G57" s="40" t="s">
        <v>393</v>
      </c>
      <c r="O57" s="40" t="s">
        <v>395</v>
      </c>
      <c r="P57" s="8"/>
      <c r="R57" s="652"/>
    </row>
    <row r="58" spans="1:18" ht="62.5" x14ac:dyDescent="0.25">
      <c r="B58" s="67"/>
      <c r="C58" s="370" t="s">
        <v>419</v>
      </c>
      <c r="D58" s="370" t="s">
        <v>420</v>
      </c>
      <c r="E58" s="370" t="s">
        <v>391</v>
      </c>
      <c r="G58" s="369" t="s">
        <v>421</v>
      </c>
      <c r="H58" s="369" t="s">
        <v>422</v>
      </c>
      <c r="I58" s="369" t="s">
        <v>392</v>
      </c>
      <c r="J58"/>
      <c r="K58"/>
      <c r="L58"/>
      <c r="M58"/>
      <c r="N58"/>
      <c r="O58" s="369" t="s">
        <v>421</v>
      </c>
      <c r="P58" s="369" t="s">
        <v>422</v>
      </c>
      <c r="Q58" s="369" t="s">
        <v>392</v>
      </c>
      <c r="R58" s="652"/>
    </row>
    <row r="59" spans="1:18" x14ac:dyDescent="0.25">
      <c r="B59" s="67" t="s">
        <v>224</v>
      </c>
      <c r="C59" s="370">
        <f>([1]Assumptions!$E$24*[1]Landfilling!$D$55)+([1]Assumptions!$E$25*[1]Landfilling!$D$53)+([1]Assumptions!$E$26*[1]Landfilling!$D$56)+([1]Assumptions!$E$27*[1]Landfilling!$D$54)</f>
        <v>2.1449203837138002</v>
      </c>
      <c r="D59" s="370">
        <f>([1]Assumptions!$E$24*[1]Landfilling!$B$55)+([1]Assumptions!$E$25*[1]Landfilling!$B$53)+([1]Assumptions!$E$26*[1]Landfilling!$B$56)+([1]Assumptions!$E$27*[1]Landfilling!$B$54)</f>
        <v>2.3832448707931113</v>
      </c>
      <c r="E59" s="370">
        <f>([1]Landfilling!$G$7*[1]Assumptions!$E$25)+([1]Landfilling!$G$8*[1]Assumptions!$E$27)+([1]Landfilling!$G$9*[1]Assumptions!$E$24)+([1]Landfilling!$G$10*[1]Assumptions!$E$26)</f>
        <v>0.22023999999999996</v>
      </c>
      <c r="G59" s="370">
        <f>([1]Landfilling!$D$53*[1]Assumptions!$E$72)+([1]Landfilling!$D$54*[1]Assumptions!$E$73)+([1]Landfilling!$D$55*[1]Assumptions!$E$74)+([1]Landfilling!$D$56*[1]Assumptions!$E$75)+([1]Landfilling!$D$57*[1]Assumptions!$E$76)+([1]Landfilling!$D$58*[1]Assumptions!$E$77)</f>
        <v>1.7685343549147248</v>
      </c>
      <c r="H59" s="370">
        <f>([1]Landfilling!$B$53*[1]Assumptions!$E$72)+([1]Landfilling!$B$54*[1]Assumptions!$E$73)+([1]Landfilling!$B$55*[1]Assumptions!$E$74)+([1]Landfilling!$B$56*[1]Assumptions!$E$75)+([1]Landfilling!$B$57*[1]Assumptions!$E$76)+([1]Landfilling!$B$62*[1]Assumptions!$E$77)</f>
        <v>1.9503060672020711</v>
      </c>
      <c r="I59" s="370">
        <f>([1]Landfilling!$R$27*[1]Assumptions!$E$72)+([1]Landfilling!$R$28*[1]Assumptions!$E$73)+([1]Landfilling!$R$29*[1]Assumptions!$E$74)+([1]Landfilling!$R$30*[1]Assumptions!$E$75)+([1]Landfilling!$R$29*[1]Assumptions!$E$76)+([1]Landfilling!$R$30*[1]Assumptions!$E$77)</f>
        <v>0.59381831007342822</v>
      </c>
      <c r="J59"/>
      <c r="K59"/>
      <c r="L59"/>
      <c r="M59"/>
      <c r="N59"/>
      <c r="O59" s="373">
        <f>([1]Landfilling!$D$61*[1]Assumptions!$C$92)+([1]Landfilling!$D$62*[1]Assumptions!$C$93)</f>
        <v>1.4604355931627537</v>
      </c>
      <c r="P59" s="373">
        <f>([1]Landfilling!$B$61*[1]Assumptions!$C$92)+([1]Landfilling!$B$62*[1]Assumptions!$C$93)</f>
        <v>1.622706214625282</v>
      </c>
      <c r="Q59" s="373">
        <f>([1]Landfilling!$R$31*[1]Assumptions!$C$92)+([1]Landfilling!$R$32*[1]Assumptions!$C$93)</f>
        <v>0.3021545222482977</v>
      </c>
      <c r="R59" s="652"/>
    </row>
    <row r="60" spans="1:18" ht="13" x14ac:dyDescent="0.3">
      <c r="B60" s="67" t="s">
        <v>225</v>
      </c>
      <c r="C60" s="370">
        <f>([1]Assumptions!$E$24*[1]Landfilling!$D$55)+([1]Assumptions!$E$25*[1]Landfilling!$D$53)+([1]Assumptions!$E$26*[1]Landfilling!$D$56)+([1]Assumptions!$E$27*[1]Landfilling!$D$54)</f>
        <v>2.1449203837138002</v>
      </c>
      <c r="D60" s="370">
        <f>([1]Assumptions!$F$24*[1]Landfilling!$B$55)+([1]Assumptions!$F$25*[1]Landfilling!$B$53)+([1]Assumptions!$F$26*[1]Landfilling!$B$56)+([1]Assumptions!$F$27*[1]Landfilling!$B$54)</f>
        <v>2.2946736526735392</v>
      </c>
      <c r="E60" s="370">
        <f>([1]Landfilling!$G$7*[1]Assumptions!$F$25)+([1]Landfilling!$G$8*[1]Assumptions!$F$27)+([1]Landfilling!$G$9*[1]Assumptions!$F$24)+([1]Landfilling!$G$10*[1]Assumptions!$F$26)</f>
        <v>0.22975818181818178</v>
      </c>
      <c r="G60" s="380" t="s">
        <v>62</v>
      </c>
      <c r="H60" s="380" t="s">
        <v>62</v>
      </c>
      <c r="I60" s="380" t="s">
        <v>62</v>
      </c>
      <c r="J60"/>
      <c r="K60"/>
      <c r="L60"/>
      <c r="M60"/>
      <c r="N60"/>
      <c r="O60" s="380" t="s">
        <v>62</v>
      </c>
      <c r="P60" s="380" t="s">
        <v>62</v>
      </c>
      <c r="Q60" s="380" t="s">
        <v>62</v>
      </c>
      <c r="R60" s="652"/>
    </row>
    <row r="61" spans="1:18" x14ac:dyDescent="0.25">
      <c r="B61" s="67" t="s">
        <v>226</v>
      </c>
      <c r="C61" s="370">
        <f>([1]Assumptions!$E$24*[1]Landfilling!$D$55)+([1]Assumptions!$E$25*[1]Landfilling!$D$53)+([1]Assumptions!$E$26*[1]Landfilling!$D$56)+([1]Assumptions!$E$27*[1]Landfilling!$D$54)</f>
        <v>2.1449203837138002</v>
      </c>
      <c r="D61" s="370">
        <f>([1]Assumptions!$G$24*[1]Landfilling!$B$55)+([1]Assumptions!$G$25*[1]Landfilling!$B$53)+([1]Assumptions!$G$26*[1]Landfilling!$B$56)+([1]Assumptions!$G$27*[1]Landfilling!$B$54)</f>
        <v>2.2577848571899501</v>
      </c>
      <c r="E61" s="370">
        <f>([1]Landfilling!$G$7*[1]Assumptions!$G$25)+([1]Landfilling!$G$8*[1]Assumptions!$G$27)+([1]Landfilling!$G$9*[1]Assumptions!$G$24)+([1]Landfilling!$G$10*[1]Assumptions!$G$26)</f>
        <v>0.18281999999999995</v>
      </c>
      <c r="I61" s="8"/>
      <c r="J61"/>
      <c r="K61"/>
      <c r="L61"/>
      <c r="M61"/>
      <c r="N61"/>
      <c r="R61" s="652"/>
    </row>
    <row r="62" spans="1:18" ht="13" x14ac:dyDescent="0.3">
      <c r="C62" s="380" t="s">
        <v>62</v>
      </c>
      <c r="D62" s="380" t="s">
        <v>62</v>
      </c>
      <c r="E62" s="380" t="s">
        <v>62</v>
      </c>
      <c r="R62" s="652"/>
    </row>
    <row r="63" spans="1:18" x14ac:dyDescent="0.25">
      <c r="R63" s="652"/>
    </row>
    <row r="64" spans="1:18" ht="13" x14ac:dyDescent="0.3">
      <c r="B64" s="40" t="s">
        <v>415</v>
      </c>
      <c r="C64" s="40"/>
      <c r="E64" s="40" t="s">
        <v>545</v>
      </c>
      <c r="F64" s="25"/>
      <c r="G64" s="25"/>
      <c r="H64" s="77"/>
      <c r="R64" s="652"/>
    </row>
    <row r="65" spans="2:18" ht="13" x14ac:dyDescent="0.3">
      <c r="B65" s="75" t="s">
        <v>90</v>
      </c>
      <c r="C65" s="370" t="s">
        <v>417</v>
      </c>
      <c r="E65" s="370" t="s">
        <v>546</v>
      </c>
      <c r="F65" s="370" t="s">
        <v>547</v>
      </c>
      <c r="G65" s="370" t="s">
        <v>548</v>
      </c>
      <c r="H65" s="370" t="s">
        <v>547</v>
      </c>
      <c r="I65" s="370" t="s">
        <v>549</v>
      </c>
      <c r="J65" s="56" t="s">
        <v>550</v>
      </c>
      <c r="K65" s="56"/>
      <c r="L65" s="56"/>
      <c r="M65" s="56"/>
      <c r="N65" s="56"/>
      <c r="O65" s="370" t="s">
        <v>551</v>
      </c>
      <c r="R65" s="652"/>
    </row>
    <row r="66" spans="2:18" ht="13" x14ac:dyDescent="0.3">
      <c r="B66" s="76">
        <f>J66</f>
        <v>1.6420435872873713E-4</v>
      </c>
      <c r="C66" s="390">
        <f>B66/[1]Assumptions!$C$57</f>
        <v>6.0208264867203621E-4</v>
      </c>
      <c r="E66" s="390">
        <f>'[1]Post-Consumer Transport'!$K$25</f>
        <v>0</v>
      </c>
      <c r="F66" s="390">
        <f>E66*[1]!liters_gal</f>
        <v>0</v>
      </c>
      <c r="G66" s="390">
        <f>'[1]Post-Consumer Transport'!$M$25</f>
        <v>0</v>
      </c>
      <c r="H66" s="390">
        <f>G66*F66</f>
        <v>0</v>
      </c>
      <c r="I66" s="390">
        <f>'[1]Post-Consumer Transport'!$O$25</f>
        <v>0</v>
      </c>
      <c r="J66" s="143">
        <f>'[1]Post-Consumer Transport'!$O$23</f>
        <v>1.6420435872873713E-4</v>
      </c>
      <c r="K66" s="143"/>
      <c r="L66" s="143"/>
      <c r="M66" s="143"/>
      <c r="N66" s="143"/>
      <c r="O66" s="370">
        <f>J66*(12/44)</f>
        <v>4.4783006926019215E-5</v>
      </c>
      <c r="R66" s="652"/>
    </row>
    <row r="67" spans="2:18" ht="13" x14ac:dyDescent="0.3">
      <c r="C67" s="380" t="s">
        <v>62</v>
      </c>
      <c r="E67" s="384" t="s">
        <v>768</v>
      </c>
      <c r="F67" s="8"/>
      <c r="G67" s="8" t="s">
        <v>552</v>
      </c>
      <c r="H67" s="8"/>
      <c r="I67" s="8"/>
      <c r="J67"/>
      <c r="K67"/>
      <c r="L67"/>
      <c r="M67"/>
      <c r="N67"/>
      <c r="O67" s="380" t="s">
        <v>62</v>
      </c>
      <c r="R67" s="652"/>
    </row>
    <row r="68" spans="2:18" x14ac:dyDescent="0.25">
      <c r="E68" s="21" t="s">
        <v>769</v>
      </c>
      <c r="R68" s="652"/>
    </row>
    <row r="69" spans="2:18" ht="27" customHeight="1" x14ac:dyDescent="0.3">
      <c r="B69" s="39"/>
      <c r="C69" s="120"/>
      <c r="D69" s="120"/>
      <c r="I69" s="8"/>
      <c r="J69"/>
      <c r="K69"/>
      <c r="L69"/>
      <c r="M69"/>
      <c r="N69"/>
      <c r="R69" s="652"/>
    </row>
    <row r="70" spans="2:18" ht="13" x14ac:dyDescent="0.3">
      <c r="B70" s="39"/>
      <c r="C70" s="120"/>
      <c r="D70" s="120"/>
      <c r="I70" s="8"/>
      <c r="J70"/>
      <c r="K70"/>
      <c r="L70"/>
      <c r="M70"/>
      <c r="N70"/>
      <c r="R70" s="652"/>
    </row>
    <row r="71" spans="2:18" ht="13" x14ac:dyDescent="0.3">
      <c r="B71" s="39"/>
      <c r="C71" s="120"/>
      <c r="D71" s="120"/>
      <c r="I71" s="8"/>
      <c r="J71"/>
      <c r="K71"/>
      <c r="L71"/>
      <c r="M71"/>
      <c r="N71"/>
    </row>
    <row r="72" spans="2:18" ht="13" x14ac:dyDescent="0.3">
      <c r="B72" s="39"/>
      <c r="C72" s="120"/>
      <c r="D72" s="120"/>
      <c r="E72" s="119"/>
      <c r="I72" s="8"/>
      <c r="J72"/>
      <c r="K72"/>
      <c r="L72"/>
      <c r="M72"/>
      <c r="N72"/>
    </row>
    <row r="73" spans="2:18" ht="13" x14ac:dyDescent="0.3">
      <c r="B73" s="39"/>
      <c r="C73" s="120"/>
      <c r="D73" s="120"/>
    </row>
    <row r="74" spans="2:18" ht="13" x14ac:dyDescent="0.3">
      <c r="B74" s="39"/>
      <c r="C74" s="120"/>
      <c r="D74" s="120"/>
      <c r="E74" s="3"/>
    </row>
    <row r="75" spans="2:18" ht="27" customHeight="1" x14ac:dyDescent="0.3">
      <c r="B75" s="39"/>
      <c r="C75" s="121"/>
      <c r="D75" s="121"/>
      <c r="E75" s="3"/>
    </row>
    <row r="76" spans="2:18" x14ac:dyDescent="0.25">
      <c r="B76" s="120"/>
      <c r="C76" s="122"/>
      <c r="D76" s="123"/>
      <c r="E76" s="3"/>
    </row>
    <row r="77" spans="2:18" x14ac:dyDescent="0.25">
      <c r="B77" s="120"/>
      <c r="C77" s="122"/>
      <c r="D77" s="123"/>
      <c r="E77" s="3"/>
    </row>
    <row r="78" spans="2:18" x14ac:dyDescent="0.25">
      <c r="B78" s="120"/>
      <c r="C78" s="122"/>
      <c r="D78" s="123"/>
      <c r="E78" s="3"/>
    </row>
    <row r="79" spans="2:18" x14ac:dyDescent="0.25">
      <c r="B79" s="120"/>
      <c r="C79" s="122"/>
      <c r="D79" s="123"/>
      <c r="E79" s="3"/>
    </row>
    <row r="80" spans="2:18" x14ac:dyDescent="0.25">
      <c r="B80" s="120"/>
      <c r="C80" s="122"/>
      <c r="D80" s="123"/>
      <c r="E80" s="3"/>
    </row>
    <row r="81" spans="2:5" x14ac:dyDescent="0.25">
      <c r="B81" s="3"/>
      <c r="C81" s="3"/>
      <c r="D81" s="3"/>
      <c r="E81" s="3"/>
    </row>
  </sheetData>
  <sheetProtection selectLockedCells="1" selectUnlockedCells="1"/>
  <phoneticPr fontId="14" type="noConversion"/>
  <printOptions horizontalCentered="1" gridLines="1" gridLinesSet="0"/>
  <pageMargins left="0.75" right="0.75" top="1" bottom="1" header="0.5" footer="0.5"/>
  <pageSetup scale="95" orientation="landscape" horizontalDpi="4294967292" verticalDpi="300" r:id="rId1"/>
  <headerFooter alignWithMargins="0"/>
  <rowBreaks count="1" manualBreakCount="1">
    <brk id="28" max="1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S81"/>
  <sheetViews>
    <sheetView showRowColHeaders="0" zoomScale="70" zoomScaleNormal="70" workbookViewId="0">
      <selection activeCell="Q1" sqref="Q1"/>
    </sheetView>
  </sheetViews>
  <sheetFormatPr defaultRowHeight="12.5" x14ac:dyDescent="0.25"/>
  <cols>
    <col min="1" max="1" width="25.1796875" customWidth="1"/>
    <col min="2" max="2" width="15.7265625" customWidth="1"/>
    <col min="3" max="3" width="16.81640625" customWidth="1"/>
    <col min="4" max="4" width="17.26953125" customWidth="1"/>
    <col min="5" max="5" width="12.81640625" customWidth="1"/>
    <col min="6" max="6" width="17.81640625" customWidth="1"/>
    <col min="7" max="7" width="13.81640625" customWidth="1"/>
    <col min="8" max="8" width="16.81640625" customWidth="1"/>
    <col min="9" max="9" width="16.7265625" customWidth="1"/>
    <col min="10" max="14" width="13.453125" style="8" customWidth="1"/>
    <col min="15" max="15" width="13.453125" customWidth="1"/>
    <col min="16" max="16" width="14.54296875" customWidth="1"/>
    <col min="17" max="17" width="13.7265625" customWidth="1"/>
    <col min="18" max="18" width="14.26953125" customWidth="1"/>
    <col min="22" max="22" width="12.1796875" customWidth="1"/>
    <col min="23" max="23" width="11.453125" customWidth="1"/>
    <col min="24" max="24" width="13.1796875" customWidth="1"/>
  </cols>
  <sheetData>
    <row r="1" spans="1:19" ht="117" x14ac:dyDescent="0.3">
      <c r="A1" s="85" t="s">
        <v>496</v>
      </c>
      <c r="B1" s="86" t="s">
        <v>399</v>
      </c>
      <c r="C1" s="86" t="s">
        <v>387</v>
      </c>
      <c r="D1" s="86" t="s">
        <v>388</v>
      </c>
      <c r="E1" s="88" t="s">
        <v>389</v>
      </c>
      <c r="F1" s="88" t="s">
        <v>390</v>
      </c>
      <c r="G1" s="88" t="s">
        <v>400</v>
      </c>
      <c r="H1" s="88" t="s">
        <v>414</v>
      </c>
      <c r="I1" s="109" t="s">
        <v>564</v>
      </c>
      <c r="J1" s="87" t="s">
        <v>571</v>
      </c>
      <c r="K1" s="717" t="s">
        <v>766</v>
      </c>
      <c r="L1" s="717" t="s">
        <v>767</v>
      </c>
      <c r="M1" s="717" t="s">
        <v>770</v>
      </c>
      <c r="N1" s="717" t="s">
        <v>771</v>
      </c>
      <c r="O1" s="328" t="s">
        <v>375</v>
      </c>
      <c r="P1" s="314" t="s">
        <v>362</v>
      </c>
      <c r="Q1" s="315" t="s">
        <v>92</v>
      </c>
      <c r="R1" s="314" t="s">
        <v>831</v>
      </c>
    </row>
    <row r="2" spans="1:19" x14ac:dyDescent="0.25">
      <c r="A2" s="89" t="s">
        <v>515</v>
      </c>
      <c r="B2" s="124">
        <f>IF('Analysis Inputs'!$N$86=2,VLOOKUP(A2,[2]!EnergySavings,8,FALSE),VLOOKUP(A2,[2]!EnergySavings,9,FALSE))</f>
        <v>-200.56711325446287</v>
      </c>
      <c r="C2" s="96">
        <f>VLOOKUP(A2,[2]!EnergySavings,12,FALSE)+IF('Analysis Inputs'!$N$166=2,(('Analysis Inputs'!$G$177-'Analysis Inputs'!$F$177)*'Summary Data NRG'!$D$66),0)</f>
        <v>-152.7644316983795</v>
      </c>
      <c r="D2" s="10">
        <f>IF('Analysis Inputs'!$N$96=2,F2,IF('Analysis Inputs'!$N$96=3,E2,IF('Analysis Inputs'!$N$107=1,H2,G2)))</f>
        <v>0.26827304622443826</v>
      </c>
      <c r="E2" s="78">
        <f>VLOOKUP($A2,[2]!EnergySavings,19,FALSE)+IF('Analysis Inputs'!$N$166=2,(('Analysis Inputs'!$G$175-'Analysis Inputs'!$F$175)*$D$66),0)</f>
        <v>0.26827304622443826</v>
      </c>
      <c r="F2" s="11">
        <f t="shared" ref="F2:F8" si="0">+E2</f>
        <v>0.26827304622443826</v>
      </c>
      <c r="G2" s="11">
        <f t="shared" ref="G2:G8" si="1">+E2</f>
        <v>0.26827304622443826</v>
      </c>
      <c r="H2" s="11">
        <f t="shared" ref="H2:H8" si="2">+E2</f>
        <v>0.26827304622443826</v>
      </c>
      <c r="I2" s="12">
        <f>VLOOKUP($A2,[2]!EnergySavings,15,FALSE)+P2+IF('Analysis Inputs'!$N$166=2,(('Analysis Inputs'!$G$176-'Analysis Inputs'!$F$176)*'Summary Data NRG'!$D$66),0)</f>
        <v>0.54521691033474196</v>
      </c>
      <c r="J2" s="391" t="s">
        <v>503</v>
      </c>
      <c r="K2" s="718" t="s">
        <v>503</v>
      </c>
      <c r="L2" s="718" t="s">
        <v>503</v>
      </c>
      <c r="M2" s="718" t="s">
        <v>503</v>
      </c>
      <c r="N2" s="718" t="s">
        <v>503</v>
      </c>
      <c r="O2" s="333" t="str">
        <f>VLOOKUP(A2,LF_Collection_Scenario,'Landfill Gas Collection'!$AB$13,FALSE)</f>
        <v>--</v>
      </c>
      <c r="P2" s="320">
        <f>-(VLOOKUP(A2,[1]!Avoided_utility_national,4,FALSE)*VLOOKUP(A2,[1]!Avoided_utility_national,5,FALSE))/$C$72</f>
        <v>0.27694386411030364</v>
      </c>
      <c r="Q2" s="316" t="s">
        <v>503</v>
      </c>
      <c r="R2" s="321" t="s">
        <v>503</v>
      </c>
    </row>
    <row r="3" spans="1:19" x14ac:dyDescent="0.25">
      <c r="A3" s="89" t="s">
        <v>516</v>
      </c>
      <c r="B3" s="124">
        <f>IF('Analysis Inputs'!$N$86=2,VLOOKUP(A3,[2]!EnergySavings,8,FALSE),VLOOKUP(A3,[2]!EnergySavings,9,FALSE))</f>
        <v>-36.542744907957726</v>
      </c>
      <c r="C3" s="96">
        <f>VLOOKUP(A3,[2]!EnergySavings,12,FALSE)+IF('Analysis Inputs'!$N$166=2,(('Analysis Inputs'!$G$177-'Analysis Inputs'!$F$177)*'Summary Data NRG'!$D$66),0)</f>
        <v>-19.966201047692305</v>
      </c>
      <c r="D3" s="10">
        <f>IF('Analysis Inputs'!$N$96=2,F3,IF('Analysis Inputs'!$N$96=3,E3,IF('Analysis Inputs'!$N$107=1,H3,G3)))</f>
        <v>0.26827304622443826</v>
      </c>
      <c r="E3" s="78">
        <f>VLOOKUP($A3,[2]!EnergySavings,19,FALSE)+IF('Analysis Inputs'!$N$166=2,(('Analysis Inputs'!$G$175-'Analysis Inputs'!$F$175)*$D$66),0)</f>
        <v>0.26827304622443826</v>
      </c>
      <c r="F3" s="11">
        <f t="shared" si="0"/>
        <v>0.26827304622443826</v>
      </c>
      <c r="G3" s="11">
        <f t="shared" si="1"/>
        <v>0.26827304622443826</v>
      </c>
      <c r="H3" s="11">
        <f t="shared" si="2"/>
        <v>0.26827304622443826</v>
      </c>
      <c r="I3" s="12">
        <f>SUM(VLOOKUP(A3,[2]!EnergySavings,14,FALSE),VLOOKUP(A3,[2]!EnergySavings,15,FALSE))+P3+IF('Analysis Inputs'!$N$166=2,(('Analysis Inputs'!$G$176-'Analysis Inputs'!$F$176)*'Summary Data NRG'!$D$66),0)</f>
        <v>-17.1683096764576</v>
      </c>
      <c r="J3" s="391" t="s">
        <v>503</v>
      </c>
      <c r="K3" s="718" t="s">
        <v>503</v>
      </c>
      <c r="L3" s="718" t="s">
        <v>503</v>
      </c>
      <c r="M3" s="718" t="s">
        <v>503</v>
      </c>
      <c r="N3" s="718" t="s">
        <v>503</v>
      </c>
      <c r="O3" s="333" t="str">
        <f>VLOOKUP(A3,LF_Collection_Scenario,'Landfill Gas Collection'!$AB$13,FALSE)</f>
        <v>--</v>
      </c>
      <c r="P3" s="318">
        <f>-(VLOOKUP(A3,[1]!Avoided_utility_national,4,FALSE)*VLOOKUP(A3,[1]!Avoided_utility_national,5,FALSE))/$C$72</f>
        <v>0.17360660138257836</v>
      </c>
      <c r="Q3" s="317" t="s">
        <v>503</v>
      </c>
      <c r="R3" s="321" t="s">
        <v>503</v>
      </c>
    </row>
    <row r="4" spans="1:19" s="8" customFormat="1" x14ac:dyDescent="0.25">
      <c r="A4" s="111" t="s">
        <v>438</v>
      </c>
      <c r="B4" s="124">
        <f>IF('Analysis Inputs'!$N$86=2,VLOOKUP(A4,[2]!EnergySavings,8,FALSE),VLOOKUP(A4,[2]!EnergySavings,9,FALSE))</f>
        <v>-123.3456153694962</v>
      </c>
      <c r="C4" s="96">
        <f>VLOOKUP(A4,[2]!EnergySavings,12,FALSE)+IF('Analysis Inputs'!$N$166=2,(('Analysis Inputs'!$G$177-'Analysis Inputs'!$F$177)*'Summary Data NRG'!$D$66),0)</f>
        <v>-82.589644210684924</v>
      </c>
      <c r="D4" s="12">
        <f>IF('Analysis Inputs'!$N$96=2,F4,IF('Analysis Inputs'!$N$96=3,E4,IF('Analysis Inputs'!$N$107=1,H4,G4)))</f>
        <v>0.26827304622443826</v>
      </c>
      <c r="E4" s="78">
        <f>VLOOKUP($A4,[2]!EnergySavings,19,FALSE)+IF('Analysis Inputs'!$N$166=2,(('Analysis Inputs'!$G$175-'Analysis Inputs'!$F$175)*$D$66),0)</f>
        <v>0.26827304622443826</v>
      </c>
      <c r="F4" s="11">
        <f t="shared" si="0"/>
        <v>0.26827304622443826</v>
      </c>
      <c r="G4" s="11">
        <f>+E4</f>
        <v>0.26827304622443826</v>
      </c>
      <c r="H4" s="11">
        <f>+E4</f>
        <v>0.26827304622443826</v>
      </c>
      <c r="I4" s="12">
        <f>VLOOKUP($A4,[2]!EnergySavings,15,FALSE)+P4+IF('Analysis Inputs'!$N$166=2,(('Analysis Inputs'!$G$176-'Analysis Inputs'!$F$176)*'Summary Data NRG'!$D$66),0)</f>
        <v>0.49354827897087927</v>
      </c>
      <c r="J4" s="392" t="s">
        <v>503</v>
      </c>
      <c r="K4" s="719" t="s">
        <v>503</v>
      </c>
      <c r="L4" s="718" t="s">
        <v>503</v>
      </c>
      <c r="M4" s="718" t="s">
        <v>503</v>
      </c>
      <c r="N4" s="718" t="s">
        <v>503</v>
      </c>
      <c r="O4" s="333" t="str">
        <f>VLOOKUP(A4,LF_Collection_Scenario,'Landfill Gas Collection'!$AB$13,FALSE)</f>
        <v>--</v>
      </c>
      <c r="P4" s="318">
        <f>-(VLOOKUP(A4,[1]!Avoided_utility_national,4,FALSE)*VLOOKUP(A4,[1]!Avoided_utility_national,5,FALSE))/$C$72</f>
        <v>0.22527523274644101</v>
      </c>
      <c r="Q4" s="317" t="s">
        <v>503</v>
      </c>
      <c r="R4" s="321" t="s">
        <v>503</v>
      </c>
    </row>
    <row r="5" spans="1:19" x14ac:dyDescent="0.25">
      <c r="A5" s="89" t="s">
        <v>517</v>
      </c>
      <c r="B5" s="124">
        <f>IF('Analysis Inputs'!$N$86=2,VLOOKUP(A5,[2]!EnergySavings,8,FALSE),VLOOKUP(A5,[2]!EnergySavings,9,FALSE))</f>
        <v>-7.4630021214459079</v>
      </c>
      <c r="C5" s="96">
        <f>VLOOKUP(A5,[2]!EnergySavings,12,FALSE)+IF('Analysis Inputs'!$N$166=2,(('Analysis Inputs'!$G$177-'Analysis Inputs'!$F$177)*'Summary Data NRG'!$D$66),0)</f>
        <v>-2.125409819699291</v>
      </c>
      <c r="D5" s="10">
        <f>IF('Analysis Inputs'!$N$96=2,F5,IF('Analysis Inputs'!$N$96=3,E5,IF('Analysis Inputs'!$N$107=1,H5,G5)))</f>
        <v>0.26827304622443826</v>
      </c>
      <c r="E5" s="78">
        <f>VLOOKUP($A5,[2]!EnergySavings,19,FALSE)+IF('Analysis Inputs'!$N$166=2,(('Analysis Inputs'!$G$175-'Analysis Inputs'!$F$175)*$D$66),0)</f>
        <v>0.26827304622443826</v>
      </c>
      <c r="F5" s="11">
        <f t="shared" si="0"/>
        <v>0.26827304622443826</v>
      </c>
      <c r="G5" s="11">
        <f t="shared" si="1"/>
        <v>0.26827304622443826</v>
      </c>
      <c r="H5" s="11">
        <f t="shared" si="2"/>
        <v>0.26827304622443826</v>
      </c>
      <c r="I5" s="12">
        <f>VLOOKUP($A5,[2]!EnergySavings,15,FALSE)+P5+IF('Analysis Inputs'!$N$166=2,(('Analysis Inputs'!$G$176-'Analysis Inputs'!$F$176)*'Summary Data NRG'!$D$66),0)</f>
        <v>0.46254710015256167</v>
      </c>
      <c r="J5" s="391" t="s">
        <v>503</v>
      </c>
      <c r="K5" s="718" t="s">
        <v>503</v>
      </c>
      <c r="L5" s="718" t="s">
        <v>503</v>
      </c>
      <c r="M5" s="718" t="s">
        <v>503</v>
      </c>
      <c r="N5" s="718" t="s">
        <v>503</v>
      </c>
      <c r="O5" s="333" t="str">
        <f>VLOOKUP(A5,LF_Collection_Scenario,'Landfill Gas Collection'!$AB$13,FALSE)</f>
        <v>--</v>
      </c>
      <c r="P5" s="318">
        <f>-(VLOOKUP(A5,[1]!Avoided_utility_national,4,FALSE)*VLOOKUP(A5,[1]!Avoided_utility_national,5,FALSE))/$C$72</f>
        <v>0.19427405392812341</v>
      </c>
      <c r="Q5" s="317" t="s">
        <v>503</v>
      </c>
      <c r="R5" s="321" t="s">
        <v>503</v>
      </c>
    </row>
    <row r="6" spans="1:19" x14ac:dyDescent="0.25">
      <c r="A6" s="89" t="s">
        <v>518</v>
      </c>
      <c r="B6" s="124">
        <f>IF('Analysis Inputs'!$N$86=2,VLOOKUP(A6,[2]!EnergySavings,8,FALSE),VLOOKUP(A6,[2]!EnergySavings,9,FALSE))</f>
        <v>-67.080552618168909</v>
      </c>
      <c r="C6" s="96">
        <f>VLOOKUP(A6,[2]!EnergySavings,12,FALSE)+IF('Analysis Inputs'!$N$166=2,(('Analysis Inputs'!$G$177-'Analysis Inputs'!$F$177)*'Summary Data NRG'!$D$66),0)</f>
        <v>-50.202595116398498</v>
      </c>
      <c r="D6" s="10">
        <f>IF('Analysis Inputs'!$N$96=2,F6,IF('Analysis Inputs'!$N$96=3,E6,IF('Analysis Inputs'!$N$107=1,H6,G6)))</f>
        <v>0.26827304622443826</v>
      </c>
      <c r="E6" s="78">
        <f>VLOOKUP($A6,[2]!EnergySavings,19,FALSE)+IF('Analysis Inputs'!$N$166=2,(('Analysis Inputs'!$G$175-'Analysis Inputs'!$F$175)*$D$66),0)</f>
        <v>0.26827304622443826</v>
      </c>
      <c r="F6" s="11">
        <f t="shared" si="0"/>
        <v>0.26827304622443826</v>
      </c>
      <c r="G6" s="11">
        <f t="shared" si="1"/>
        <v>0.26827304622443826</v>
      </c>
      <c r="H6" s="11">
        <f t="shared" si="2"/>
        <v>0.26827304622443826</v>
      </c>
      <c r="I6" s="12">
        <f>VLOOKUP($A6,[2]!EnergySavings,15,FALSE)+P6+IF('Analysis Inputs'!$N$166=2,(('Analysis Inputs'!$G$176-'Analysis Inputs'!$F$176)*'Summary Data NRG'!$D$66),0)</f>
        <v>-16.253288518684272</v>
      </c>
      <c r="J6" s="391" t="s">
        <v>503</v>
      </c>
      <c r="K6" s="718" t="s">
        <v>503</v>
      </c>
      <c r="L6" s="718" t="s">
        <v>503</v>
      </c>
      <c r="M6" s="718" t="s">
        <v>503</v>
      </c>
      <c r="N6" s="718" t="s">
        <v>503</v>
      </c>
      <c r="O6" s="333" t="str">
        <f>VLOOKUP(A6,LF_Collection_Scenario,'Landfill Gas Collection'!$AB$13,FALSE)</f>
        <v>--</v>
      </c>
      <c r="P6" s="318">
        <f>-(VLOOKUP(A6,[1]!Avoided_utility_national,4,FALSE)*VLOOKUP(A6,[1]!Avoided_utility_national,5,FALSE))/$C$72</f>
        <v>-16.521561564908708</v>
      </c>
      <c r="Q6" s="317" t="s">
        <v>503</v>
      </c>
      <c r="R6" s="321" t="s">
        <v>503</v>
      </c>
    </row>
    <row r="7" spans="1:19" x14ac:dyDescent="0.25">
      <c r="A7" s="89" t="s">
        <v>519</v>
      </c>
      <c r="B7" s="124">
        <f>IF('Analysis Inputs'!$N$86=2,VLOOKUP(A7,[2]!EnergySavings,8,FALSE),VLOOKUP(A7,[2]!EnergySavings,9,FALSE))</f>
        <v>-71.015275961446619</v>
      </c>
      <c r="C7" s="127" t="s">
        <v>503</v>
      </c>
      <c r="D7" s="10">
        <f>IF('Analysis Inputs'!$N$96=2,F7,IF('Analysis Inputs'!$N$96=3,E7,IF('Analysis Inputs'!$N$107=1,H7,G7)))</f>
        <v>0.26827304622443826</v>
      </c>
      <c r="E7" s="78">
        <f>VLOOKUP($A7,[2]!EnergySavings,19,FALSE)+IF('Analysis Inputs'!$N$166=2,(('Analysis Inputs'!$G$175-'Analysis Inputs'!$F$175)*$D$66),0)</f>
        <v>0.26827304622443826</v>
      </c>
      <c r="F7" s="11">
        <f t="shared" si="0"/>
        <v>0.26827304622443826</v>
      </c>
      <c r="G7" s="11">
        <f t="shared" si="1"/>
        <v>0.26827304622443826</v>
      </c>
      <c r="H7" s="11">
        <f t="shared" si="2"/>
        <v>0.26827304622443826</v>
      </c>
      <c r="I7" s="12">
        <f>VLOOKUP($A7,[2]!EnergySavings,15,FALSE)+P7+IF('Analysis Inputs'!$N$166=2,(('Analysis Inputs'!$G$176-'Analysis Inputs'!$F$176)*'Summary Data NRG'!$D$66),0)</f>
        <v>-16.164005123687517</v>
      </c>
      <c r="J7" s="391" t="s">
        <v>503</v>
      </c>
      <c r="K7" s="718" t="s">
        <v>503</v>
      </c>
      <c r="L7" s="718" t="s">
        <v>503</v>
      </c>
      <c r="M7" s="718" t="s">
        <v>503</v>
      </c>
      <c r="N7" s="718" t="s">
        <v>503</v>
      </c>
      <c r="O7" s="333" t="str">
        <f>VLOOKUP(A7,LF_Collection_Scenario,'Landfill Gas Collection'!$AB$13,FALSE)</f>
        <v>--</v>
      </c>
      <c r="P7" s="318">
        <f>-(VLOOKUP(A7,[1]!Avoided_utility_national,4,FALSE)*VLOOKUP(A7,[1]!Avoided_utility_national,5,FALSE))/$C$72</f>
        <v>-16.432278169911957</v>
      </c>
      <c r="Q7" s="317" t="s">
        <v>503</v>
      </c>
      <c r="R7" s="321" t="s">
        <v>503</v>
      </c>
      <c r="S7" s="9"/>
    </row>
    <row r="8" spans="1:19" x14ac:dyDescent="0.25">
      <c r="A8" s="89" t="s">
        <v>520</v>
      </c>
      <c r="B8" s="124">
        <f>IF('Analysis Inputs'!$N$86=2,VLOOKUP(A8,[2]!EnergySavings,8,FALSE),VLOOKUP(A8,[2]!EnergySavings,9,FALSE))</f>
        <v>-51.327238882170633</v>
      </c>
      <c r="C8" s="96">
        <f>VLOOKUP(A8,[2]!EnergySavings,12,FALSE)+IF('Analysis Inputs'!$N$166=2,(('Analysis Inputs'!$G$177-'Analysis Inputs'!$F$177)*'Summary Data NRG'!$D$66),0)</f>
        <v>-31.871174900862655</v>
      </c>
      <c r="D8" s="10">
        <f>IF('Analysis Inputs'!$N$96=2,F8,IF('Analysis Inputs'!$N$96=3,E8,IF('Analysis Inputs'!$N$107=1,H8,G8)))</f>
        <v>0.26827304622443826</v>
      </c>
      <c r="E8" s="78">
        <f>VLOOKUP($A8,[2]!EnergySavings,19,FALSE)+IF('Analysis Inputs'!$N$166=2,(('Analysis Inputs'!$G$175-'Analysis Inputs'!$F$175)*$D$66),0)</f>
        <v>0.26827304622443826</v>
      </c>
      <c r="F8" s="11">
        <f t="shared" si="0"/>
        <v>0.26827304622443826</v>
      </c>
      <c r="G8" s="11">
        <f t="shared" si="1"/>
        <v>0.26827304622443826</v>
      </c>
      <c r="H8" s="11">
        <f t="shared" si="2"/>
        <v>0.26827304622443826</v>
      </c>
      <c r="I8" s="12">
        <f>VLOOKUP($A8,[2]!EnergySavings,15,FALSE)+P8+IF('Analysis Inputs'!$N$166=2,(('Analysis Inputs'!$G$176-'Analysis Inputs'!$F$176)*'Summary Data NRG'!$D$66),0)</f>
        <v>-8.494726833086661</v>
      </c>
      <c r="J8" s="391" t="s">
        <v>503</v>
      </c>
      <c r="K8" s="718" t="s">
        <v>503</v>
      </c>
      <c r="L8" s="718" t="s">
        <v>503</v>
      </c>
      <c r="M8" s="718" t="s">
        <v>503</v>
      </c>
      <c r="N8" s="718" t="s">
        <v>503</v>
      </c>
      <c r="O8" s="333" t="str">
        <f>VLOOKUP(A8,LF_Collection_Scenario,'Landfill Gas Collection'!$AB$13,FALSE)</f>
        <v>--</v>
      </c>
      <c r="P8" s="318">
        <f>-(VLOOKUP(A8,[1]!Avoided_utility_national,4,FALSE)*VLOOKUP(A8,[1]!Avoided_utility_national,5,FALSE))/$C$72</f>
        <v>-8.7629998793110992</v>
      </c>
      <c r="Q8" s="317" t="s">
        <v>503</v>
      </c>
      <c r="R8" s="321" t="s">
        <v>503</v>
      </c>
      <c r="S8" s="9"/>
    </row>
    <row r="9" spans="1:19" x14ac:dyDescent="0.25">
      <c r="A9" s="89" t="s">
        <v>59</v>
      </c>
      <c r="B9" s="124">
        <f>IF('Analysis Inputs'!$N$86=2,VLOOKUP(A9,[2]!EnergySavings,8,FALSE),VLOOKUP(A9,[2]!EnergySavings,9,FALSE))</f>
        <v>-27.175692842518995</v>
      </c>
      <c r="C9" s="96">
        <f>VLOOKUP(A9,[2]!EnergySavings,12,FALSE)+IF('Analysis Inputs'!$N$166=2,(('Analysis Inputs'!$G$177-'Analysis Inputs'!$F$177)*'Summary Data NRG'!$D$66),0)</f>
        <v>-15.074420877698142</v>
      </c>
      <c r="D9" s="10">
        <f>IF('Analysis Inputs'!$N$96=2,F9,IF('Analysis Inputs'!$N$96=3,E9,IF('Analysis Inputs'!$N$107=1,H9,G9)))</f>
        <v>0.26827304622443826</v>
      </c>
      <c r="E9" s="78">
        <f>VLOOKUP($A9,[2]!EnergySavings,19,FALSE)+IF('Analysis Inputs'!$N$166=2,(('Analysis Inputs'!$G$175-'Analysis Inputs'!$F$175)*$D$66),0)</f>
        <v>-0.24549179504083873</v>
      </c>
      <c r="F9" s="11">
        <f>VLOOKUP($A9,[2]!EnergySavings,17,FALSE)+IF('Analysis Inputs'!$N$166=2,(('Analysis Inputs'!$G$175-'Analysis Inputs'!$F$175)*$D$66),0)</f>
        <v>0.26827304622443826</v>
      </c>
      <c r="G9" s="11">
        <f>VLOOKUP($A9,[2]!EnergySavings,17,FALSE)+IF('Analysis Inputs'!$N$166=2,(('Analysis Inputs'!$G$175-'Analysis Inputs'!$F$175)*$D$66),0)</f>
        <v>0.26827304622443826</v>
      </c>
      <c r="H9" s="11">
        <f>(VLOOKUP(A9,[1]!LandfillTypicalNatlAverage,2,FALSE)*O9*(1-[1]Assumptions!$G$15)*(-Q9)*$C$69)+VLOOKUP($A9,[2]!EnergySavings,17,FALSE)+IF('Analysis Inputs'!$N$166=2,(('Analysis Inputs'!$G$175-'Analysis Inputs'!$F$175)*$D$66),0)</f>
        <v>-0.49265255619883119</v>
      </c>
      <c r="I9" s="12">
        <f>VLOOKUP($A9,[2]!EnergySavings,15,FALSE)+P9+IF('Analysis Inputs'!$N$166=2,(('Analysis Inputs'!$G$176-'Analysis Inputs'!$F$176)*'Summary Data NRG'!$D$66),0)</f>
        <v>-5.5541616849065125</v>
      </c>
      <c r="J9" s="391" t="s">
        <v>503</v>
      </c>
      <c r="K9" s="718" t="s">
        <v>503</v>
      </c>
      <c r="L9" s="718" t="s">
        <v>503</v>
      </c>
      <c r="M9" s="718" t="s">
        <v>503</v>
      </c>
      <c r="N9" s="718" t="s">
        <v>503</v>
      </c>
      <c r="O9" s="333">
        <f>VLOOKUP(A9,LF_Collection_Scenario,'Landfill Gas Collection'!$AB$13,FALSE)</f>
        <v>0.55772812167055175</v>
      </c>
      <c r="P9" s="318">
        <f>-(VLOOKUP(A9,[1]!Avoided_utility_national,4,FALSE)*VLOOKUP(A9,[1]!Avoided_utility_national,5,FALSE))/$C$72</f>
        <v>-5.8224347311309508</v>
      </c>
      <c r="Q9" s="318">
        <f>VLOOKUP('Analysis Inputs'!$H$78,LF_Avoided_Utility_Ratio,2,FALSE)</f>
        <v>7.5875281375367018E-2</v>
      </c>
      <c r="R9" s="321" t="s">
        <v>503</v>
      </c>
    </row>
    <row r="10" spans="1:19" ht="13" x14ac:dyDescent="0.3">
      <c r="A10" s="90" t="s">
        <v>290</v>
      </c>
      <c r="B10" s="124">
        <f>IF('Analysis Inputs'!$N$86=2,VLOOKUP(A10,[2]!EnergySavings,8,FALSE),VLOOKUP(A10,[2]!EnergySavings,9,FALSE))</f>
        <v>-33.267474482017683</v>
      </c>
      <c r="C10" s="96">
        <f>VLOOKUP(A10,[2]!EnergySavings,12,FALSE)+IF('Analysis Inputs'!$N$166=2,(('Analysis Inputs'!$G$177-'Analysis Inputs'!$F$177)*'Summary Data NRG'!$D$66),0)</f>
        <v>-0.68565151603619501</v>
      </c>
      <c r="D10" s="10">
        <f>IF('Analysis Inputs'!$N$96=2,F10,IF('Analysis Inputs'!$N$96=3,E10,IF('Analysis Inputs'!$N$107=1,H10,G10)))</f>
        <v>0.26827304622443826</v>
      </c>
      <c r="E10" s="78">
        <f>VLOOKUP($A10,[2]!EnergySavings,19,FALSE)+IF('Analysis Inputs'!$N$166=2,(('Analysis Inputs'!$G$175-'Analysis Inputs'!$F$175)*$D$66),0)</f>
        <v>4.4838936826990444E-2</v>
      </c>
      <c r="F10" s="11">
        <f>VLOOKUP($A10,[2]!EnergySavings,17,FALSE)+IF('Analysis Inputs'!$N$166=2,(('Analysis Inputs'!$G$175-'Analysis Inputs'!$F$175)*$D$66),0)</f>
        <v>0.26827304622443826</v>
      </c>
      <c r="G10" s="11">
        <f>VLOOKUP($A10,[2]!EnergySavings,17,FALSE)+IF('Analysis Inputs'!$N$166=2,(('Analysis Inputs'!$G$175-'Analysis Inputs'!$F$175)*$D$66),0)</f>
        <v>0.26827304622443826</v>
      </c>
      <c r="H10" s="11">
        <f>(VLOOKUP(A10,[1]!LandfillTypicalNatlAverage,2,FALSE)*O10*(1-[1]Assumptions!$G$15)*(-Q10)*$C$69)+VLOOKUP($A10,[2]!EnergySavings,17,FALSE)+IF('Analysis Inputs'!$N$166=2,(('Analysis Inputs'!$G$175-'Analysis Inputs'!$F$175)*$D$66),0)</f>
        <v>-9.1618289682073084E-2</v>
      </c>
      <c r="I10" s="12">
        <f>VLOOKUP($A10,[2]!EnergySavings,15,FALSE)+P10+IF('Analysis Inputs'!$N$166=2,(('Analysis Inputs'!$G$176-'Analysis Inputs'!$F$176)*'Summary Data NRG'!$D$66),0)</f>
        <v>-4.0785055731545965</v>
      </c>
      <c r="J10" s="391" t="s">
        <v>503</v>
      </c>
      <c r="K10" s="718" t="s">
        <v>503</v>
      </c>
      <c r="L10" s="718" t="s">
        <v>503</v>
      </c>
      <c r="M10" s="718" t="s">
        <v>503</v>
      </c>
      <c r="N10" s="718" t="s">
        <v>503</v>
      </c>
      <c r="O10" s="333">
        <f>VLOOKUP(A10,LF_Collection_Scenario,'Landfill Gas Collection'!$AB$13,FALSE)</f>
        <v>0.57924684961271344</v>
      </c>
      <c r="P10" s="318">
        <f>-(VLOOKUP(A10,[1]!Avoided_utility_national,4,FALSE)*VLOOKUP(A10,[1]!Avoided_utility_national,5,FALSE))/$C$72</f>
        <v>-4.3467786193790348</v>
      </c>
      <c r="Q10" s="318">
        <f>VLOOKUP('Analysis Inputs'!$H$78,LF_Avoided_Utility_Ratio,2,FALSE)</f>
        <v>7.5875281375367018E-2</v>
      </c>
      <c r="R10" s="321" t="s">
        <v>503</v>
      </c>
      <c r="S10" s="40"/>
    </row>
    <row r="11" spans="1:19" x14ac:dyDescent="0.25">
      <c r="A11" s="89" t="s">
        <v>502</v>
      </c>
      <c r="B11" s="124">
        <f>IF('Analysis Inputs'!$N$86=2,VLOOKUP(A11,[2]!EnergySavings,8,FALSE),VLOOKUP(A11,[2]!EnergySavings,9,FALSE))</f>
        <v>-40.699353438892402</v>
      </c>
      <c r="C11" s="96">
        <f>VLOOKUP(A11,[2]!EnergySavings,12,FALSE)+IF('Analysis Inputs'!$N$166=2,(('Analysis Inputs'!$G$177-'Analysis Inputs'!$F$177)*'Summary Data NRG'!$D$66),0)</f>
        <v>-16.485950938072122</v>
      </c>
      <c r="D11" s="10">
        <f>IF('Analysis Inputs'!$N$96=2,F11,IF('Analysis Inputs'!$N$96=3,E11,IF('Analysis Inputs'!$N$107=1,H11,G11)))</f>
        <v>0.26827304622443826</v>
      </c>
      <c r="E11" s="78">
        <f>VLOOKUP($A11,[2]!EnergySavings,19,FALSE)+IF('Analysis Inputs'!$N$166=2,(('Analysis Inputs'!$G$175-'Analysis Inputs'!$F$175)*$D$66),0)</f>
        <v>5.1977494442774608E-2</v>
      </c>
      <c r="F11" s="11">
        <f>VLOOKUP($A11,[2]!EnergySavings,17,FALSE)+IF('Analysis Inputs'!$N$166=2,(('Analysis Inputs'!$G$175-'Analysis Inputs'!$F$175)*$D$66),0)</f>
        <v>0.26827304622443826</v>
      </c>
      <c r="G11" s="11">
        <f>VLOOKUP($A11,[2]!EnergySavings,17,FALSE)+IF('Analysis Inputs'!$N$166=2,(('Analysis Inputs'!$G$175-'Analysis Inputs'!$F$175)*$D$66),0)</f>
        <v>0.26827304622443826</v>
      </c>
      <c r="H11" s="11">
        <f>(VLOOKUP(A11,[1]!LandfillTypicalNatlAverage,2,FALSE)*O11*(1-[1]Assumptions!$G$15)*(-Q11)*$C$69)+VLOOKUP($A11,[2]!EnergySavings,17,FALSE)+IF('Analysis Inputs'!$N$166=2,(('Analysis Inputs'!$G$175-'Analysis Inputs'!$F$175)*$D$66),0)</f>
        <v>-5.5541163240650782E-2</v>
      </c>
      <c r="I11" s="12">
        <f>VLOOKUP($A11,[2]!EnergySavings,15,FALSE)+P11+IF('Analysis Inputs'!$N$166=2,(('Analysis Inputs'!$G$176-'Analysis Inputs'!$F$176)*'Summary Data NRG'!$D$66),0)</f>
        <v>-6.3039768632588871</v>
      </c>
      <c r="J11" s="391" t="s">
        <v>503</v>
      </c>
      <c r="K11" s="718" t="s">
        <v>503</v>
      </c>
      <c r="L11" s="718" t="s">
        <v>503</v>
      </c>
      <c r="M11" s="718" t="s">
        <v>503</v>
      </c>
      <c r="N11" s="718" t="s">
        <v>503</v>
      </c>
      <c r="O11" s="333">
        <f>VLOOKUP(A11,LF_Collection_Scenario,'Landfill Gas Collection'!$AB$13,FALSE)</f>
        <v>0.59457075505055945</v>
      </c>
      <c r="P11" s="318">
        <f>-(VLOOKUP(A11,[1]!Avoided_utility_national,4,FALSE)*VLOOKUP(A11,[1]!Avoided_utility_national,5,FALSE))/$C$72</f>
        <v>-6.5722499094833253</v>
      </c>
      <c r="Q11" s="318">
        <f>VLOOKUP('Analysis Inputs'!$H$78,LF_Avoided_Utility_Ratio,2,FALSE)</f>
        <v>7.5875281375367018E-2</v>
      </c>
      <c r="R11" s="321" t="s">
        <v>503</v>
      </c>
    </row>
    <row r="12" spans="1:19" x14ac:dyDescent="0.25">
      <c r="A12" s="89" t="s">
        <v>514</v>
      </c>
      <c r="B12" s="124">
        <f>IF('Analysis Inputs'!$N$86=2,VLOOKUP(A12,[2]!EnergySavings,8,FALSE),VLOOKUP(A12,[2]!EnergySavings,9,FALSE))</f>
        <v>-37.290868697497764</v>
      </c>
      <c r="C12" s="96">
        <f>VLOOKUP(A12,[2]!EnergySavings,12,FALSE)+IF('Analysis Inputs'!$N$166=2,(('Analysis Inputs'!$G$177-'Analysis Inputs'!$F$177)*'Summary Data NRG'!$D$66),0)</f>
        <v>-10.081037231692992</v>
      </c>
      <c r="D12" s="10">
        <f>IF('Analysis Inputs'!$N$96=2,F12,IF('Analysis Inputs'!$N$96=3,E12,IF('Analysis Inputs'!$N$107=1,H12,G12)))</f>
        <v>0.26827304622443826</v>
      </c>
      <c r="E12" s="78">
        <f>VLOOKUP($A12,[2]!EnergySavings,19,FALSE)+IF('Analysis Inputs'!$N$166=2,(('Analysis Inputs'!$G$175-'Analysis Inputs'!$F$175)*$D$66),0)</f>
        <v>-0.52582465283557278</v>
      </c>
      <c r="F12" s="11">
        <f>VLOOKUP($A12,[2]!EnergySavings,17,FALSE)+IF('Analysis Inputs'!$N$166=2,(('Analysis Inputs'!$G$175-'Analysis Inputs'!$F$175)*$D$66),0)</f>
        <v>0.26827304622443826</v>
      </c>
      <c r="G12" s="11">
        <f>VLOOKUP($A12,[2]!EnergySavings,17,FALSE)+IF('Analysis Inputs'!$N$166=2,(('Analysis Inputs'!$G$175-'Analysis Inputs'!$F$175)*$D$66),0)</f>
        <v>0.26827304622443826</v>
      </c>
      <c r="H12" s="11">
        <f>(VLOOKUP(A12,[1]!LandfillTypicalNatlAverage,2,FALSE)*O12*(1-[1]Assumptions!$G$15)*(-Q12)*$C$69)+VLOOKUP($A12,[2]!EnergySavings,17,FALSE)+IF('Analysis Inputs'!$N$166=2,(('Analysis Inputs'!$G$175-'Analysis Inputs'!$F$175)*$D$66),0)</f>
        <v>-0.91497074248685273</v>
      </c>
      <c r="I12" s="12">
        <f>VLOOKUP($A12,[2]!EnergySavings,15,FALSE)+P12+IF('Analysis Inputs'!$N$166=2,(('Analysis Inputs'!$G$176-'Analysis Inputs'!$F$176)*'Summary Data NRG'!$D$66),0)</f>
        <v>-5.353274046163814</v>
      </c>
      <c r="J12" s="391" t="s">
        <v>503</v>
      </c>
      <c r="K12" s="718" t="s">
        <v>503</v>
      </c>
      <c r="L12" s="718" t="s">
        <v>503</v>
      </c>
      <c r="M12" s="718" t="s">
        <v>503</v>
      </c>
      <c r="N12" s="718" t="s">
        <v>503</v>
      </c>
      <c r="O12" s="333">
        <f>VLOOKUP(A12,LF_Collection_Scenario,'Landfill Gas Collection'!$AB$13,FALSE)</f>
        <v>0.58546797343619461</v>
      </c>
      <c r="P12" s="318">
        <f>-(VLOOKUP(A12,[1]!Avoided_utility_national,4,FALSE)*VLOOKUP(A12,[1]!Avoided_utility_national,5,FALSE))/$C$72</f>
        <v>-5.6215470923882522</v>
      </c>
      <c r="Q12" s="318">
        <f>VLOOKUP('Analysis Inputs'!$H$78,LF_Avoided_Utility_Ratio,2,FALSE)</f>
        <v>7.5875281375367018E-2</v>
      </c>
      <c r="R12" s="321" t="s">
        <v>503</v>
      </c>
    </row>
    <row r="13" spans="1:19" x14ac:dyDescent="0.25">
      <c r="A13" s="89" t="s">
        <v>383</v>
      </c>
      <c r="B13" s="124">
        <f>IF('Analysis Inputs'!$N$86=2,VLOOKUP(A13,[2]!EnergySavings,8,FALSE),VLOOKUP(A13,[2]!EnergySavings,9,FALSE))</f>
        <v>-40.198908550451655</v>
      </c>
      <c r="C13" s="96">
        <f>VLOOKUP(A13,[2]!EnergySavings,12,FALSE)+IF('Analysis Inputs'!$N$166=2,(('Analysis Inputs'!$G$177-'Analysis Inputs'!$F$177)*'Summary Data NRG'!$D$66),0)</f>
        <v>-11.931006857682895</v>
      </c>
      <c r="D13" s="10">
        <f>IF('Analysis Inputs'!$N$96=2,F13,IF('Analysis Inputs'!$N$96=3,E13,IF('Analysis Inputs'!$N$107=1,H13,G13)))</f>
        <v>0.26827304622443826</v>
      </c>
      <c r="E13" s="78">
        <f>VLOOKUP($A13,[2]!EnergySavings,19,FALSE)+IF('Analysis Inputs'!$N$166=2,(('Analysis Inputs'!$G$175-'Analysis Inputs'!$F$175)*$D$66),0)</f>
        <v>5.1977494442774608E-2</v>
      </c>
      <c r="F13" s="11">
        <f>VLOOKUP($A13,[2]!EnergySavings,17,FALSE)+IF('Analysis Inputs'!$N$166=2,(('Analysis Inputs'!$G$175-'Analysis Inputs'!$F$175)*$D$66),0)</f>
        <v>0.26827304622443826</v>
      </c>
      <c r="G13" s="11">
        <f>VLOOKUP($A13,[2]!EnergySavings,17,FALSE)+IF('Analysis Inputs'!$N$166=2,(('Analysis Inputs'!$G$175-'Analysis Inputs'!$F$175)*$D$66),0)</f>
        <v>0.26827304622443826</v>
      </c>
      <c r="H13" s="11">
        <f>(VLOOKUP(A13,[1]!LandfillTypicalNatlAverage,2,FALSE)*O13*(1-[1]Assumptions!$G$15)*(-Q13)*$C$69)+VLOOKUP($A13,[2]!EnergySavings,17,FALSE)+IF('Analysis Inputs'!$N$166=2,(('Analysis Inputs'!$G$175-'Analysis Inputs'!$F$175)*$D$66),0)</f>
        <v>-5.5541163240650782E-2</v>
      </c>
      <c r="I13" s="12">
        <f>VLOOKUP($A13,[2]!EnergySavings,15,FALSE)+P13+IF('Analysis Inputs'!$N$166=2,(('Analysis Inputs'!$G$176-'Analysis Inputs'!$F$176)*'Summary Data NRG'!$D$66),0)</f>
        <v>-6.3039768632588871</v>
      </c>
      <c r="J13" s="391" t="s">
        <v>503</v>
      </c>
      <c r="K13" s="718" t="s">
        <v>503</v>
      </c>
      <c r="L13" s="718" t="s">
        <v>503</v>
      </c>
      <c r="M13" s="718" t="s">
        <v>503</v>
      </c>
      <c r="N13" s="718" t="s">
        <v>503</v>
      </c>
      <c r="O13" s="333">
        <f>VLOOKUP(A13,LF_Collection_Scenario,'Landfill Gas Collection'!$AB$13,FALSE)</f>
        <v>0.59457075505055945</v>
      </c>
      <c r="P13" s="318">
        <f>-(VLOOKUP(A13,[1]!Avoided_utility_national,4,FALSE)*VLOOKUP(A13,[1]!Avoided_utility_national,5,FALSE))/$C$72</f>
        <v>-6.5722499094833253</v>
      </c>
      <c r="Q13" s="318">
        <f>VLOOKUP('Analysis Inputs'!$H$78,LF_Avoided_Utility_Ratio,2,FALSE)</f>
        <v>7.5875281375367018E-2</v>
      </c>
      <c r="R13" s="321" t="s">
        <v>503</v>
      </c>
    </row>
    <row r="14" spans="1:19" x14ac:dyDescent="0.25">
      <c r="A14" s="89" t="s">
        <v>384</v>
      </c>
      <c r="B14" s="124">
        <f>IF('Analysis Inputs'!$N$86=2,VLOOKUP(A14,[2]!EnergySavings,8,FALSE),VLOOKUP(A14,[2]!EnergySavings,9,FALSE))</f>
        <v>-35.663559250647594</v>
      </c>
      <c r="C14" s="96">
        <f>VLOOKUP(A14,[2]!EnergySavings,12,FALSE)+IF('Analysis Inputs'!$N$166=2,(('Analysis Inputs'!$G$177-'Analysis Inputs'!$F$177)*'Summary Data NRG'!$D$66),0)</f>
        <v>-1.0271952983229131</v>
      </c>
      <c r="D14" s="10">
        <f>IF('Analysis Inputs'!$N$96=2,F14,IF('Analysis Inputs'!$N$96=3,E14,IF('Analysis Inputs'!$N$107=1,H14,G14)))</f>
        <v>0.26827304622443826</v>
      </c>
      <c r="E14" s="78">
        <f>VLOOKUP($A14,[2]!EnergySavings,19,FALSE)+IF('Analysis Inputs'!$N$166=2,(('Analysis Inputs'!$G$175-'Analysis Inputs'!$F$175)*$D$66),0)</f>
        <v>-0.52582465283557278</v>
      </c>
      <c r="F14" s="11">
        <f>VLOOKUP($A14,[2]!EnergySavings,17,FALSE)+IF('Analysis Inputs'!$N$166=2,(('Analysis Inputs'!$G$175-'Analysis Inputs'!$F$175)*$D$66),0)</f>
        <v>0.26827304622443826</v>
      </c>
      <c r="G14" s="11">
        <f>VLOOKUP($A14,[2]!EnergySavings,17,FALSE)+IF('Analysis Inputs'!$N$166=2,(('Analysis Inputs'!$G$175-'Analysis Inputs'!$F$175)*$D$66),0)</f>
        <v>0.26827304622443826</v>
      </c>
      <c r="H14" s="11">
        <f>(VLOOKUP(A14,[1]!LandfillTypicalNatlAverage,2,FALSE)*O14*(1-[1]Assumptions!$G$15)*(-Q14)*$C$69)+VLOOKUP($A14,[2]!EnergySavings,17,FALSE)+IF('Analysis Inputs'!$N$166=2,(('Analysis Inputs'!$G$175-'Analysis Inputs'!$F$175)*$D$66),0)</f>
        <v>-0.91497074248685273</v>
      </c>
      <c r="I14" s="12">
        <f>VLOOKUP($A14,[2]!EnergySavings,15,FALSE)+P14+IF('Analysis Inputs'!$N$166=2,(('Analysis Inputs'!$G$176-'Analysis Inputs'!$F$176)*'Summary Data NRG'!$D$66),0)</f>
        <v>-5.353274046163814</v>
      </c>
      <c r="J14" s="391" t="s">
        <v>503</v>
      </c>
      <c r="K14" s="718" t="s">
        <v>503</v>
      </c>
      <c r="L14" s="718" t="s">
        <v>503</v>
      </c>
      <c r="M14" s="718" t="s">
        <v>503</v>
      </c>
      <c r="N14" s="718" t="s">
        <v>503</v>
      </c>
      <c r="O14" s="333">
        <f>VLOOKUP(A14,LF_Collection_Scenario,'Landfill Gas Collection'!$AB$13,FALSE)</f>
        <v>0.58546797343619461</v>
      </c>
      <c r="P14" s="318">
        <f>-(VLOOKUP(A14,[1]!Avoided_utility_national,4,FALSE)*VLOOKUP(A14,[1]!Avoided_utility_national,5,FALSE))/$C$72</f>
        <v>-5.6215470923882522</v>
      </c>
      <c r="Q14" s="318">
        <f>VLOOKUP('Analysis Inputs'!$H$78,LF_Avoided_Utility_Ratio,2,FALSE)</f>
        <v>7.5875281375367018E-2</v>
      </c>
      <c r="R14" s="321" t="s">
        <v>503</v>
      </c>
    </row>
    <row r="15" spans="1:19" x14ac:dyDescent="0.25">
      <c r="A15" s="89" t="s">
        <v>4</v>
      </c>
      <c r="B15" s="124">
        <f>IF('Analysis Inputs'!$N$86=2,VLOOKUP(A15,[2]!EnergySavings,8,FALSE),VLOOKUP(A15,[2]!EnergySavings,9,FALSE))</f>
        <v>-3.6749756764231494</v>
      </c>
      <c r="C15" s="96">
        <f>VLOOKUP(A15,[2]!EnergySavings,12,FALSE)+IF('Analysis Inputs'!$N$166=2,(('Analysis Inputs'!$G$177-'Analysis Inputs'!$F$177)*'Summary Data NRG'!$D$66),0)</f>
        <v>0.58794120000000016</v>
      </c>
      <c r="D15" s="10">
        <f>IF('Analysis Inputs'!$N$96=2,F15,IF('Analysis Inputs'!$N$96=3,E15,IF('Analysis Inputs'!$N$107=1,H15,G15)))</f>
        <v>0.26827304622443826</v>
      </c>
      <c r="E15" s="78">
        <f>VLOOKUP($A15,[2]!EnergySavings,19,FALSE)+IF('Analysis Inputs'!$N$166=2,(('Analysis Inputs'!$G$175-'Analysis Inputs'!$F$175)*$D$66),0)</f>
        <v>0.23480614912201328</v>
      </c>
      <c r="F15" s="11">
        <f>VLOOKUP($A15,[2]!EnergySavings,17,FALSE)+IF('Analysis Inputs'!$N$166=2,(('Analysis Inputs'!$G$175-'Analysis Inputs'!$F$175)*$D$66),0)</f>
        <v>0.26827304622443826</v>
      </c>
      <c r="G15" s="11">
        <f>VLOOKUP($A15,[2]!EnergySavings,17,FALSE)+IF('Analysis Inputs'!$N$166=2,(('Analysis Inputs'!$G$175-'Analysis Inputs'!$F$175)*$D$66),0)</f>
        <v>0.26827304622443826</v>
      </c>
      <c r="H15" s="11">
        <f>(VLOOKUP(A15,[1]!LandfillTypicalNatlAverage,2,FALSE)*O15*(1-[1]Assumptions!$G$15)*(-Q15)*$C$69)+VLOOKUP($A15,[2]!EnergySavings,17,FALSE)+IF('Analysis Inputs'!$N$166=2,(('Analysis Inputs'!$G$175-'Analysis Inputs'!$F$175)*$D$66),0)</f>
        <v>0.21553817551105953</v>
      </c>
      <c r="I15" s="12">
        <f>VLOOKUP($A15,[2]!EnergySavings,15,FALSE)+P15+IF('Analysis Inputs'!$N$166=2,(('Analysis Inputs'!$G$176-'Analysis Inputs'!$F$176)*'Summary Data NRG'!$D$66),0)</f>
        <v>-6.5933211988965184</v>
      </c>
      <c r="J15" s="392" t="s">
        <v>503</v>
      </c>
      <c r="K15" s="719" t="s">
        <v>503</v>
      </c>
      <c r="L15" s="718" t="s">
        <v>503</v>
      </c>
      <c r="M15" s="718" t="s">
        <v>503</v>
      </c>
      <c r="N15" s="718" t="s">
        <v>503</v>
      </c>
      <c r="O15" s="333">
        <f>VLOOKUP(A15,LF_Collection_Scenario,'Landfill Gas Collection'!$AB$13,FALSE)</f>
        <v>0.60916054001601705</v>
      </c>
      <c r="P15" s="318">
        <f>-(VLOOKUP(A15,[1]!Avoided_utility_national,4,FALSE)*VLOOKUP(A15,[1]!Avoided_utility_national,5,FALSE))/$C$72</f>
        <v>-6.8615942451209566</v>
      </c>
      <c r="Q15" s="318">
        <f>VLOOKUP('Analysis Inputs'!$H$78,LF_Avoided_Utility_Ratio,2,FALSE)</f>
        <v>7.5875281375367018E-2</v>
      </c>
      <c r="R15" s="321" t="s">
        <v>503</v>
      </c>
      <c r="S15" s="9"/>
    </row>
    <row r="16" spans="1:19" x14ac:dyDescent="0.25">
      <c r="A16" s="89" t="s">
        <v>558</v>
      </c>
      <c r="B16" s="124">
        <f>IF('Analysis Inputs'!$N$86=2,VLOOKUP(A16,[2]!EnergySavings,8,FALSE),VLOOKUP(A16,[2]!EnergySavings,9,FALSE))</f>
        <v>-11.920555209697666</v>
      </c>
      <c r="C16" s="96">
        <f>VLOOKUP(A16,[2]!EnergySavings,12,FALSE)+IF('Analysis Inputs'!$N$166=2,(('Analysis Inputs'!$G$177-'Analysis Inputs'!$F$177)*'Summary Data NRG'!$D$66),0)</f>
        <v>0.85831415999999972</v>
      </c>
      <c r="D16" s="10">
        <f>IF('Analysis Inputs'!$N$96=2,F16,IF('Analysis Inputs'!$N$96=3,E16,IF('Analysis Inputs'!$N$107=1,H16,G16)))</f>
        <v>0.26827304622443826</v>
      </c>
      <c r="E16" s="78">
        <f>VLOOKUP($A16,[2]!EnergySavings,19,FALSE)+IF('Analysis Inputs'!$N$166=2,(('Analysis Inputs'!$G$175-'Analysis Inputs'!$F$175)*$D$66),0)</f>
        <v>0.25673279267090809</v>
      </c>
      <c r="F16" s="11">
        <f>VLOOKUP($A16,[2]!EnergySavings,17,FALSE)+IF('Analysis Inputs'!$N$166=2,(('Analysis Inputs'!$G$175-'Analysis Inputs'!$F$175)*$D$66),0)</f>
        <v>0.26827304622443826</v>
      </c>
      <c r="G16" s="11">
        <f>VLOOKUP($A16,[2]!EnergySavings,17,FALSE)+IF('Analysis Inputs'!$N$166=2,(('Analysis Inputs'!$G$175-'Analysis Inputs'!$F$175)*$D$66),0)</f>
        <v>0.26827304622443826</v>
      </c>
      <c r="H16" s="11">
        <f>(VLOOKUP(A16,[1]!LandfillTypicalNatlAverage,2,FALSE)*O16*(1-[1]Assumptions!$G$15)*(-Q16)*$C$69)+VLOOKUP($A16,[2]!EnergySavings,17,FALSE)+IF('Analysis Inputs'!$N$166=2,(('Analysis Inputs'!$G$175-'Analysis Inputs'!$F$175)*$D$66),0)</f>
        <v>0.25034221805471596</v>
      </c>
      <c r="I16" s="12">
        <f>VLOOKUP($A16,[2]!EnergySavings,15,FALSE)+P16+IF('Analysis Inputs'!$N$166=2,(('Analysis Inputs'!$G$176-'Analysis Inputs'!$F$176)*'Summary Data NRG'!$D$66),0)</f>
        <v>-6.5933211988965184</v>
      </c>
      <c r="J16" s="392" t="s">
        <v>503</v>
      </c>
      <c r="K16" s="719" t="s">
        <v>503</v>
      </c>
      <c r="L16" s="718" t="s">
        <v>503</v>
      </c>
      <c r="M16" s="718" t="s">
        <v>503</v>
      </c>
      <c r="N16" s="718" t="s">
        <v>503</v>
      </c>
      <c r="O16" s="333">
        <f>VLOOKUP(A16,LF_Collection_Scenario,'Landfill Gas Collection'!$AB$13,FALSE)</f>
        <v>0.61687470398244726</v>
      </c>
      <c r="P16" s="318">
        <f>-(VLOOKUP(A16,[1]!Avoided_utility_national,4,FALSE)*VLOOKUP(A16,[1]!Avoided_utility_national,5,FALSE))/$C$72</f>
        <v>-6.8615942451209566</v>
      </c>
      <c r="Q16" s="318">
        <f>VLOOKUP('Analysis Inputs'!$H$78,LF_Avoided_Utility_Ratio,2,FALSE)</f>
        <v>7.5875281375367018E-2</v>
      </c>
      <c r="R16" s="321" t="s">
        <v>503</v>
      </c>
      <c r="S16" s="9"/>
    </row>
    <row r="17" spans="1:19" x14ac:dyDescent="0.25">
      <c r="A17" s="89" t="s">
        <v>740</v>
      </c>
      <c r="B17" s="114">
        <f>IF('Analysis Inputs'!$N$86=2,VLOOKUP(A17,[2]!EnergySavings,8,FALSE),VLOOKUP(A17,[2]!EnergySavings,9,FALSE))</f>
        <v>-14.559042837202703</v>
      </c>
      <c r="C17" s="442" t="s">
        <v>503</v>
      </c>
      <c r="D17" s="12">
        <f>IF('Analysis Inputs'!$N$96=2,F17,IF('Analysis Inputs'!$N$96=3,E17,IF('Analysis Inputs'!$N$107=1,H17,G17)))</f>
        <v>0.26827304622443826</v>
      </c>
      <c r="E17" s="78">
        <f>VLOOKUP($A17,[2]!EnergySavings,19,FALSE)+IF('Analysis Inputs'!$N$166=2,(('Analysis Inputs'!$G$175-'Analysis Inputs'!$F$175)*$D$66),0)</f>
        <v>-2.3481946603406301E-2</v>
      </c>
      <c r="F17" s="11">
        <f>VLOOKUP($A17,[2]!EnergySavings,17,FALSE)+IF('Analysis Inputs'!$N$166=2,(('Analysis Inputs'!$G$175-'Analysis Inputs'!$F$175)*$D$66),0)</f>
        <v>0.26827304622443826</v>
      </c>
      <c r="G17" s="11">
        <f>VLOOKUP($A17,[2]!EnergySavings,17,FALSE)+IF('Analysis Inputs'!$N$166=2,(('Analysis Inputs'!$G$175-'Analysis Inputs'!$F$175)*$D$66),0)</f>
        <v>0.26827304622443826</v>
      </c>
      <c r="H17" s="11">
        <f>(VLOOKUP(A17,[1]!LandfillTypicalNatlAverage,2,FALSE)*O17*(1-[1]Assumptions!$G$15)*(-Q17)*$C$69)+VLOOKUP($A17,[2]!EnergySavings,17,FALSE)+IF('Analysis Inputs'!$N$166=2,(('Analysis Inputs'!$G$175-'Analysis Inputs'!$F$175)*$D$66),0)</f>
        <v>-0.20612933291349372</v>
      </c>
      <c r="I17" s="12">
        <f>VLOOKUP($A17,[2]!EnergySavings,15,FALSE)+P17+IF('Analysis Inputs'!$N$166=2,(('Analysis Inputs'!$G$176-'Analysis Inputs'!$F$176)*'Summary Data NRG'!$D$66),0)</f>
        <v>-1.6910014550932322</v>
      </c>
      <c r="J17" s="84">
        <f>'[1]Composting - Net Flux'!$M$5+IF('Analysis Inputs'!$N$166=2,(('Analysis Inputs'!$G$178-'Analysis Inputs'!$F$178)*$D$66),0)</f>
        <v>0.58399999999999996</v>
      </c>
      <c r="K17" s="733">
        <f>VLOOKUP($A17,'[2]Energy Savings by Material'!$B$2:$BC$60,38,FALSE)+IF('Analysis Inputs'!$N$166=2,(('Analysis Inputs'!$G$179-'Analysis Inputs'!$F$179)*'Summary Data NRG'!$D$66),0)+R17</f>
        <v>-1.158378318065886</v>
      </c>
      <c r="L17" s="733">
        <f>VLOOKUP($A17,'[2]Energy Savings by Material'!$B$2:$BC$60,43,FALSE)+IF('Analysis Inputs'!$N$166=2,(('Analysis Inputs'!$G$179-'Analysis Inputs'!$F$179)*'Summary Data NRG'!$D$66),0)+R17</f>
        <v>-1.1800111898935086</v>
      </c>
      <c r="M17" s="733">
        <f>VLOOKUP($A17,'[2]Energy Savings by Material'!$B$2:$BC$60,48,FALSE)+IF('Analysis Inputs'!$N$166=2,(('Analysis Inputs'!$G$179-'Analysis Inputs'!$F$179)*'Summary Data NRG'!$D$66),0)+R17</f>
        <v>-0.99866580054742793</v>
      </c>
      <c r="N17" s="733">
        <f>VLOOKUP($A17,'[2]Energy Savings by Material'!$B$2:$BC$60,53,FALSE)+IF('Analysis Inputs'!$N$166=2,(('Analysis Inputs'!$G$179-'Analysis Inputs'!$F$179)*'Summary Data NRG'!$D$66),0)+R17</f>
        <v>-1.0043000441669099</v>
      </c>
      <c r="O17" s="443">
        <f>VLOOKUP(A17,LF_Collection_Scenario,'Landfill Gas Collection'!$AB$13,FALSE)</f>
        <v>0.56212173246287489</v>
      </c>
      <c r="P17" s="318">
        <f>-(VLOOKUP(A17,[1]!Avoided_utility_national,4,FALSE)*VLOOKUP(A17,[1]!Avoided_utility_national,5,FALSE))/$C$72</f>
        <v>-1.9592745013176704</v>
      </c>
      <c r="Q17" s="318">
        <f>VLOOKUP('Analysis Inputs'!$H$78,LF_Avoided_Utility_Ratio,2,FALSE)</f>
        <v>7.5875281375367018E-2</v>
      </c>
      <c r="R17" s="318">
        <f>((IF(AND('Analysis Inputs'!$N$146=1,'Analysis Inputs'!$N$156=1),VLOOKUP($A17,'Avoided Utility'!$C$94:$G$107,2,FALSE),IF(AND('Analysis Inputs'!$N$146=1,'Analysis Inputs'!$N$156=2),VLOOKUP($A17,'Avoided Utility'!$C$94:$G$107,3,FALSE),IF(AND('Analysis Inputs'!$N$146=2,'Analysis Inputs'!$N$156=1),VLOOKUP($A17,'Avoided Utility'!$C$94:$G$107,4,FALSE),IF(AND('Analysis Inputs'!$N$146=2,'Analysis Inputs'!$N$156=2),VLOOKUP($A17,'Avoided Utility'!$C$94:$G$107,5,FALSE)))))))*btu_kwh/1000000/$C$72</f>
        <v>-1.3015219015274428</v>
      </c>
      <c r="S17" s="9"/>
    </row>
    <row r="18" spans="1:19" x14ac:dyDescent="0.25">
      <c r="A18" s="89" t="s">
        <v>646</v>
      </c>
      <c r="B18" s="114">
        <f>IF('Analysis Inputs'!$N$86=2,VLOOKUP(A18,[2]!EnergySavings,8,FALSE),VLOOKUP(A18,[2]!EnergySavings,9,FALSE))</f>
        <v>-7.201574287141435</v>
      </c>
      <c r="C18" s="442" t="s">
        <v>503</v>
      </c>
      <c r="D18" s="12">
        <f>IF('Analysis Inputs'!$N$96=2,F18,IF('Analysis Inputs'!$N$96=3,E18,IF('Analysis Inputs'!$N$107=1,H18,G18)))</f>
        <v>0.26827304622443826</v>
      </c>
      <c r="E18" s="78">
        <f>VLOOKUP($A18,[2]!EnergySavings,19,FALSE)+IF('Analysis Inputs'!$N$166=2,(('Analysis Inputs'!$G$175-'Analysis Inputs'!$F$175)*$D$66),0)</f>
        <v>-2.3481946603406301E-2</v>
      </c>
      <c r="F18" s="11">
        <f>VLOOKUP($A18,[2]!EnergySavings,17,FALSE)+IF('Analysis Inputs'!$N$166=2,(('Analysis Inputs'!$G$175-'Analysis Inputs'!$F$175)*$D$66),0)</f>
        <v>0.26827304622443826</v>
      </c>
      <c r="G18" s="11">
        <f>VLOOKUP($A18,[2]!EnergySavings,17,FALSE)+IF('Analysis Inputs'!$N$166=2,(('Analysis Inputs'!$G$175-'Analysis Inputs'!$F$175)*$D$66),0)</f>
        <v>0.26827304622443826</v>
      </c>
      <c r="H18" s="11">
        <f>(VLOOKUP(A18,[1]!LandfillTypicalNatlAverage,2,FALSE)*O18*(1-[1]Assumptions!$G$15)*(-Q18)*$C$69)+VLOOKUP($A18,[2]!EnergySavings,17,FALSE)+IF('Analysis Inputs'!$N$166=2,(('Analysis Inputs'!$G$175-'Analysis Inputs'!$F$175)*$D$66),0)</f>
        <v>-0.20612933291349372</v>
      </c>
      <c r="I18" s="12">
        <f>VLOOKUP($A18,[2]!EnergySavings,15,FALSE)+P18+IF('Analysis Inputs'!$N$166=2,(('Analysis Inputs'!$G$176-'Analysis Inputs'!$F$176)*'Summary Data NRG'!$D$66),0)</f>
        <v>-1.6910014550932322</v>
      </c>
      <c r="J18" s="84">
        <f>'[1]Composting - Net Flux'!$M$5+IF('Analysis Inputs'!$N$166=2,(('Analysis Inputs'!$G$178-'Analysis Inputs'!$F$178)*$D$66),0)</f>
        <v>0.58399999999999996</v>
      </c>
      <c r="K18" s="733">
        <f>VLOOKUP($A18,'[2]Energy Savings by Material'!$B$2:$BC$60,38,FALSE)+IF('Analysis Inputs'!$N$166=2,(('Analysis Inputs'!$G$179-'Analysis Inputs'!$F$179)*'Summary Data NRG'!$D$66),0)+R18</f>
        <v>-1.158378318065886</v>
      </c>
      <c r="L18" s="733">
        <f>VLOOKUP($A18,'[2]Energy Savings by Material'!$B$2:$BC$60,43,FALSE)+IF('Analysis Inputs'!$N$166=2,(('Analysis Inputs'!$G$179-'Analysis Inputs'!$F$179)*'Summary Data NRG'!$D$66),0)+R18</f>
        <v>-1.1800111898935086</v>
      </c>
      <c r="M18" s="733">
        <f>VLOOKUP($A18,'[2]Energy Savings by Material'!$B$2:$BC$60,48,FALSE)+IF('Analysis Inputs'!$N$166=2,(('Analysis Inputs'!$G$179-'Analysis Inputs'!$F$179)*'Summary Data NRG'!$D$66),0)+R18</f>
        <v>-0.99866580054742793</v>
      </c>
      <c r="N18" s="733">
        <f>VLOOKUP($A18,'[2]Energy Savings by Material'!$B$2:$BC$60,53,FALSE)+IF('Analysis Inputs'!$N$166=2,(('Analysis Inputs'!$G$179-'Analysis Inputs'!$F$179)*'Summary Data NRG'!$D$66),0)+R18</f>
        <v>-1.0043000441669099</v>
      </c>
      <c r="O18" s="443">
        <f>VLOOKUP(A18,LF_Collection_Scenario,'Landfill Gas Collection'!$AB$13,FALSE)</f>
        <v>0.56212173246287489</v>
      </c>
      <c r="P18" s="318">
        <f>-(VLOOKUP(A18,[1]!Avoided_utility_national,4,FALSE)*VLOOKUP(A18,[1]!Avoided_utility_national,5,FALSE))/$C$72</f>
        <v>-1.9592745013176704</v>
      </c>
      <c r="Q18" s="318">
        <f>VLOOKUP('Analysis Inputs'!$H$78,LF_Avoided_Utility_Ratio,2,FALSE)</f>
        <v>7.5875281375367018E-2</v>
      </c>
      <c r="R18" s="318">
        <f>((IF(AND('Analysis Inputs'!$N$146=1,'Analysis Inputs'!$N$156=1),VLOOKUP($A18,'Avoided Utility'!$C$94:$G$107,2,FALSE),IF(AND('Analysis Inputs'!$N$146=1,'Analysis Inputs'!$N$156=2),VLOOKUP($A18,'Avoided Utility'!$C$94:$G$107,3,FALSE),IF(AND('Analysis Inputs'!$N$146=2,'Analysis Inputs'!$N$156=1),VLOOKUP($A18,'Avoided Utility'!$C$94:$G$107,4,FALSE),IF(AND('Analysis Inputs'!$N$146=2,'Analysis Inputs'!$N$156=2),VLOOKUP($A18,'Avoided Utility'!$C$94:$G$107,5,FALSE)))))))*btu_kwh/1000000/$C$72</f>
        <v>-1.3015219015274428</v>
      </c>
      <c r="S18" s="9"/>
    </row>
    <row r="19" spans="1:19" x14ac:dyDescent="0.25">
      <c r="A19" s="111" t="s">
        <v>744</v>
      </c>
      <c r="B19" s="114">
        <f>IF('Analysis Inputs'!$N$86=2,VLOOKUP(A19,[2]!EnergySavings,8,FALSE),VLOOKUP(A19,[2]!EnergySavings,9,FALSE))</f>
        <v>-43.602496945352172</v>
      </c>
      <c r="C19" s="442" t="s">
        <v>503</v>
      </c>
      <c r="D19" s="12">
        <f>IF('Analysis Inputs'!$N$96=2,F19,IF('Analysis Inputs'!$N$96=3,E19,IF('Analysis Inputs'!$N$107=1,H19,G19)))</f>
        <v>0.26827304622443826</v>
      </c>
      <c r="E19" s="78">
        <f>VLOOKUP($A19,[2]!EnergySavings,19,FALSE)+IF('Analysis Inputs'!$N$166=2,(('Analysis Inputs'!$G$175-'Analysis Inputs'!$F$175)*$D$66),0)</f>
        <v>-2.3481946603406301E-2</v>
      </c>
      <c r="F19" s="11">
        <f>VLOOKUP($A19,[2]!EnergySavings,17,FALSE)+IF('Analysis Inputs'!$N$166=2,(('Analysis Inputs'!$G$175-'Analysis Inputs'!$F$175)*$D$66),0)</f>
        <v>0.26827304622443826</v>
      </c>
      <c r="G19" s="11">
        <f>VLOOKUP($A19,[2]!EnergySavings,17,FALSE)+IF('Analysis Inputs'!$N$166=2,(('Analysis Inputs'!$G$175-'Analysis Inputs'!$F$175)*$D$66),0)</f>
        <v>0.26827304622443826</v>
      </c>
      <c r="H19" s="11">
        <f>(VLOOKUP(A19,[1]!LandfillTypicalNatlAverage,2,FALSE)*O19*(1-[1]Assumptions!$G$15)*(-Q19)*$C$69)+VLOOKUP($A19,[2]!EnergySavings,17,FALSE)+IF('Analysis Inputs'!$N$166=2,(('Analysis Inputs'!$G$175-'Analysis Inputs'!$F$175)*$D$66),0)</f>
        <v>-0.20612933291349372</v>
      </c>
      <c r="I19" s="12">
        <f>VLOOKUP($A19,[2]!EnergySavings,15,FALSE)+P19+IF('Analysis Inputs'!$N$166=2,(('Analysis Inputs'!$G$176-'Analysis Inputs'!$F$176)*'Summary Data NRG'!$D$66),0)</f>
        <v>-1.6910014550932322</v>
      </c>
      <c r="J19" s="84">
        <f>'[1]Composting - Net Flux'!$M$5+IF('Analysis Inputs'!$N$166=2,(('Analysis Inputs'!$G$178-'Analysis Inputs'!$F$178)*$D$66),0)</f>
        <v>0.58399999999999996</v>
      </c>
      <c r="K19" s="733">
        <f>VLOOKUP($A19,'[2]Energy Savings by Material'!$B$2:$BC$60,38,FALSE)+IF('Analysis Inputs'!$N$166=2,(('Analysis Inputs'!$G$179-'Analysis Inputs'!$F$179)*'Summary Data NRG'!$D$66),0)+R19</f>
        <v>-1.158378318065886</v>
      </c>
      <c r="L19" s="733">
        <f>VLOOKUP($A19,'[2]Energy Savings by Material'!$B$2:$BC$60,43,FALSE)+IF('Analysis Inputs'!$N$166=2,(('Analysis Inputs'!$G$179-'Analysis Inputs'!$F$179)*'Summary Data NRG'!$D$66),0)+R19</f>
        <v>-1.1800111898935086</v>
      </c>
      <c r="M19" s="733">
        <f>VLOOKUP($A19,'[2]Energy Savings by Material'!$B$2:$BC$60,48,FALSE)+IF('Analysis Inputs'!$N$166=2,(('Analysis Inputs'!$G$179-'Analysis Inputs'!$F$179)*'Summary Data NRG'!$D$66),0)+R19</f>
        <v>-0.99866580054742793</v>
      </c>
      <c r="N19" s="733">
        <f>VLOOKUP($A19,'[2]Energy Savings by Material'!$B$2:$BC$60,53,FALSE)+IF('Analysis Inputs'!$N$166=2,(('Analysis Inputs'!$G$179-'Analysis Inputs'!$F$179)*'Summary Data NRG'!$D$66),0)+R19</f>
        <v>-1.0043000441669099</v>
      </c>
      <c r="O19" s="443">
        <f>VLOOKUP(A19,LF_Collection_Scenario,'Landfill Gas Collection'!$AB$13,FALSE)</f>
        <v>0.56212173246287489</v>
      </c>
      <c r="P19" s="318">
        <f>-(VLOOKUP(A19,[1]!Avoided_utility_national,4,FALSE)*VLOOKUP(A19,[1]!Avoided_utility_national,5,FALSE))/$C$72</f>
        <v>-1.9592745013176704</v>
      </c>
      <c r="Q19" s="318">
        <f>VLOOKUP('Analysis Inputs'!$H$78,LF_Avoided_Utility_Ratio,2,FALSE)</f>
        <v>7.5875281375367018E-2</v>
      </c>
      <c r="R19" s="318">
        <f>((IF(AND('Analysis Inputs'!$N$146=1,'Analysis Inputs'!$N$156=1),VLOOKUP($A19,'Avoided Utility'!$C$94:$G$107,2,FALSE),IF(AND('Analysis Inputs'!$N$146=1,'Analysis Inputs'!$N$156=2),VLOOKUP($A19,'Avoided Utility'!$C$94:$G$107,3,FALSE),IF(AND('Analysis Inputs'!$N$146=2,'Analysis Inputs'!$N$156=1),VLOOKUP($A19,'Avoided Utility'!$C$94:$G$107,4,FALSE),IF(AND('Analysis Inputs'!$N$146=2,'Analysis Inputs'!$N$156=2),VLOOKUP($A19,'Avoided Utility'!$C$94:$G$107,5,FALSE)))))))*btu_kwh/1000000/$C$72</f>
        <v>-1.3015219015274428</v>
      </c>
      <c r="S19" s="9"/>
    </row>
    <row r="20" spans="1:19" x14ac:dyDescent="0.25">
      <c r="A20" s="111" t="s">
        <v>741</v>
      </c>
      <c r="B20" s="114">
        <f>IF('Analysis Inputs'!$N$86=2,VLOOKUP(A20,[2]!EnergySavings,8,FALSE),VLOOKUP(A20,[2]!EnergySavings,9,FALSE))</f>
        <v>-63.882874067756674</v>
      </c>
      <c r="C20" s="442" t="s">
        <v>503</v>
      </c>
      <c r="D20" s="12">
        <f>IF('Analysis Inputs'!$N$96=2,F20,IF('Analysis Inputs'!$N$96=3,E20,IF('Analysis Inputs'!$N$107=1,H20,G20)))</f>
        <v>0.26827304622443826</v>
      </c>
      <c r="E20" s="78">
        <f>VLOOKUP($A20,[2]!EnergySavings,19,FALSE)+IF('Analysis Inputs'!$N$166=2,(('Analysis Inputs'!$G$175-'Analysis Inputs'!$F$175)*$D$66),0)</f>
        <v>-2.3481946603406301E-2</v>
      </c>
      <c r="F20" s="11">
        <f>VLOOKUP($A20,[2]!EnergySavings,17,FALSE)+IF('Analysis Inputs'!$N$166=2,(('Analysis Inputs'!$G$175-'Analysis Inputs'!$F$175)*$D$66),0)</f>
        <v>0.26827304622443826</v>
      </c>
      <c r="G20" s="11">
        <f>VLOOKUP($A20,[2]!EnergySavings,17,FALSE)+IF('Analysis Inputs'!$N$166=2,(('Analysis Inputs'!$G$175-'Analysis Inputs'!$F$175)*$D$66),0)</f>
        <v>0.26827304622443826</v>
      </c>
      <c r="H20" s="11">
        <f>(VLOOKUP(A20,[1]!LandfillTypicalNatlAverage,2,FALSE)*O20*(1-[1]Assumptions!$G$15)*(-Q20)*$C$69)+VLOOKUP($A20,[2]!EnergySavings,17,FALSE)+IF('Analysis Inputs'!$N$166=2,(('Analysis Inputs'!$G$175-'Analysis Inputs'!$F$175)*$D$66),0)</f>
        <v>-0.20612933291349372</v>
      </c>
      <c r="I20" s="12">
        <f>VLOOKUP($A20,[2]!EnergySavings,15,FALSE)+P20+IF('Analysis Inputs'!$N$166=2,(('Analysis Inputs'!$G$176-'Analysis Inputs'!$F$176)*'Summary Data NRG'!$D$66),0)</f>
        <v>-1.6910014550932322</v>
      </c>
      <c r="J20" s="84">
        <f>'[1]Composting - Net Flux'!$M$5+IF('Analysis Inputs'!$N$166=2,(('Analysis Inputs'!$G$178-'Analysis Inputs'!$F$178)*$D$66),0)</f>
        <v>0.58399999999999996</v>
      </c>
      <c r="K20" s="733">
        <f>VLOOKUP($A20,'[2]Energy Savings by Material'!$B$2:$BC$60,38,FALSE)+IF('Analysis Inputs'!$N$166=2,(('Analysis Inputs'!$G$179-'Analysis Inputs'!$F$179)*'Summary Data NRG'!$D$66),0)+R20</f>
        <v>-1.158378318065886</v>
      </c>
      <c r="L20" s="733">
        <f>VLOOKUP($A20,'[2]Energy Savings by Material'!$B$2:$BC$60,43,FALSE)+IF('Analysis Inputs'!$N$166=2,(('Analysis Inputs'!$G$179-'Analysis Inputs'!$F$179)*'Summary Data NRG'!$D$66),0)+R20</f>
        <v>-1.1800111898935086</v>
      </c>
      <c r="M20" s="733">
        <f>VLOOKUP($A20,'[2]Energy Savings by Material'!$B$2:$BC$60,48,FALSE)+IF('Analysis Inputs'!$N$166=2,(('Analysis Inputs'!$G$179-'Analysis Inputs'!$F$179)*'Summary Data NRG'!$D$66),0)+R20</f>
        <v>-0.99866580054742793</v>
      </c>
      <c r="N20" s="733">
        <f>VLOOKUP($A20,'[2]Energy Savings by Material'!$B$2:$BC$60,53,FALSE)+IF('Analysis Inputs'!$N$166=2,(('Analysis Inputs'!$G$179-'Analysis Inputs'!$F$179)*'Summary Data NRG'!$D$66),0)+R20</f>
        <v>-1.0043000441669099</v>
      </c>
      <c r="O20" s="443">
        <f>VLOOKUP(A20,LF_Collection_Scenario,'Landfill Gas Collection'!$AB$13,FALSE)</f>
        <v>0.56212173246287489</v>
      </c>
      <c r="P20" s="318">
        <f>-(VLOOKUP(A20,[1]!Avoided_utility_national,4,FALSE)*VLOOKUP(A20,[1]!Avoided_utility_national,5,FALSE))/$C$72</f>
        <v>-1.9592745013176704</v>
      </c>
      <c r="Q20" s="318">
        <f>VLOOKUP('Analysis Inputs'!$H$78,LF_Avoided_Utility_Ratio,2,FALSE)</f>
        <v>7.5875281375367018E-2</v>
      </c>
      <c r="R20" s="318">
        <f>((IF(AND('Analysis Inputs'!$N$146=1,'Analysis Inputs'!$N$156=1),VLOOKUP($A20,'Avoided Utility'!$C$94:$G$107,2,FALSE),IF(AND('Analysis Inputs'!$N$146=1,'Analysis Inputs'!$N$156=2),VLOOKUP($A20,'Avoided Utility'!$C$94:$G$107,3,FALSE),IF(AND('Analysis Inputs'!$N$146=2,'Analysis Inputs'!$N$156=1),VLOOKUP($A20,'Avoided Utility'!$C$94:$G$107,4,FALSE),IF(AND('Analysis Inputs'!$N$146=2,'Analysis Inputs'!$N$156=2),VLOOKUP($A20,'Avoided Utility'!$C$94:$G$107,5,FALSE)))))))*btu_kwh/1000000/$C$72</f>
        <v>-1.3015219015274428</v>
      </c>
      <c r="S20" s="9"/>
    </row>
    <row r="21" spans="1:19" x14ac:dyDescent="0.25">
      <c r="A21" s="111" t="s">
        <v>742</v>
      </c>
      <c r="B21" s="114">
        <f>IF('Analysis Inputs'!$N$86=2,VLOOKUP(A21,[2]!EnergySavings,8,FALSE),VLOOKUP(A21,[2]!EnergySavings,9,FALSE))</f>
        <v>-26.480489517117867</v>
      </c>
      <c r="C21" s="442" t="s">
        <v>503</v>
      </c>
      <c r="D21" s="12">
        <f>IF('Analysis Inputs'!$N$96=2,F21,IF('Analysis Inputs'!$N$96=3,E21,IF('Analysis Inputs'!$N$107=1,H21,G21)))</f>
        <v>0.26827304622443826</v>
      </c>
      <c r="E21" s="78">
        <f>VLOOKUP($A21,[2]!EnergySavings,19,FALSE)+IF('Analysis Inputs'!$N$166=2,(('Analysis Inputs'!$G$175-'Analysis Inputs'!$F$175)*$D$66),0)</f>
        <v>-2.3481946603406301E-2</v>
      </c>
      <c r="F21" s="11">
        <f>VLOOKUP($A21,[2]!EnergySavings,17,FALSE)+IF('Analysis Inputs'!$N$166=2,(('Analysis Inputs'!$G$175-'Analysis Inputs'!$F$175)*$D$66),0)</f>
        <v>0.26827304622443826</v>
      </c>
      <c r="G21" s="11">
        <f>VLOOKUP($A21,[2]!EnergySavings,17,FALSE)+IF('Analysis Inputs'!$N$166=2,(('Analysis Inputs'!$G$175-'Analysis Inputs'!$F$175)*$D$66),0)</f>
        <v>0.26827304622443826</v>
      </c>
      <c r="H21" s="11">
        <f>(VLOOKUP(A21,[1]!LandfillTypicalNatlAverage,2,FALSE)*O21*(1-[1]Assumptions!$G$15)*(-Q21)*$C$69)+VLOOKUP($A21,[2]!EnergySavings,17,FALSE)+IF('Analysis Inputs'!$N$166=2,(('Analysis Inputs'!$G$175-'Analysis Inputs'!$F$175)*$D$66),0)</f>
        <v>-0.20612933291349372</v>
      </c>
      <c r="I21" s="12">
        <f>VLOOKUP($A21,[2]!EnergySavings,15,FALSE)+P21+IF('Analysis Inputs'!$N$166=2,(('Analysis Inputs'!$G$176-'Analysis Inputs'!$F$176)*'Summary Data NRG'!$D$66),0)</f>
        <v>-1.6910014550932322</v>
      </c>
      <c r="J21" s="84">
        <f>'[1]Composting - Net Flux'!$M$5+IF('Analysis Inputs'!$N$166=2,(('Analysis Inputs'!$G$178-'Analysis Inputs'!$F$178)*$D$66),0)</f>
        <v>0.58399999999999996</v>
      </c>
      <c r="K21" s="733">
        <f>VLOOKUP($A21,'[2]Energy Savings by Material'!$B$2:$BC$60,38,FALSE)+IF('Analysis Inputs'!$N$166=2,(('Analysis Inputs'!$G$179-'Analysis Inputs'!$F$179)*'Summary Data NRG'!$D$66),0)+R21</f>
        <v>-1.158378318065886</v>
      </c>
      <c r="L21" s="733">
        <f>VLOOKUP($A21,'[2]Energy Savings by Material'!$B$2:$BC$60,43,FALSE)+IF('Analysis Inputs'!$N$166=2,(('Analysis Inputs'!$G$179-'Analysis Inputs'!$F$179)*'Summary Data NRG'!$D$66),0)+R21</f>
        <v>-1.1800111898935086</v>
      </c>
      <c r="M21" s="733">
        <f>VLOOKUP($A21,'[2]Energy Savings by Material'!$B$2:$BC$60,48,FALSE)+IF('Analysis Inputs'!$N$166=2,(('Analysis Inputs'!$G$179-'Analysis Inputs'!$F$179)*'Summary Data NRG'!$D$66),0)+R21</f>
        <v>-0.99866580054742793</v>
      </c>
      <c r="N21" s="733">
        <f>VLOOKUP($A21,'[2]Energy Savings by Material'!$B$2:$BC$60,53,FALSE)+IF('Analysis Inputs'!$N$166=2,(('Analysis Inputs'!$G$179-'Analysis Inputs'!$F$179)*'Summary Data NRG'!$D$66),0)+R21</f>
        <v>-1.0043000441669099</v>
      </c>
      <c r="O21" s="443">
        <f>VLOOKUP(A21,LF_Collection_Scenario,'Landfill Gas Collection'!$AB$13,FALSE)</f>
        <v>0.56212173246287489</v>
      </c>
      <c r="P21" s="318">
        <f>-(VLOOKUP(A21,[1]!Avoided_utility_national,4,FALSE)*VLOOKUP(A21,[1]!Avoided_utility_national,5,FALSE))/$C$72</f>
        <v>-1.9592745013176704</v>
      </c>
      <c r="Q21" s="318">
        <f>VLOOKUP('Analysis Inputs'!$H$78,LF_Avoided_Utility_Ratio,2,FALSE)</f>
        <v>7.5875281375367018E-2</v>
      </c>
      <c r="R21" s="318">
        <f>((IF(AND('Analysis Inputs'!$N$146=1,'Analysis Inputs'!$N$156=1),VLOOKUP($A21,'Avoided Utility'!$C$94:$G$107,2,FALSE),IF(AND('Analysis Inputs'!$N$146=1,'Analysis Inputs'!$N$156=2),VLOOKUP($A21,'Avoided Utility'!$C$94:$G$107,3,FALSE),IF(AND('Analysis Inputs'!$N$146=2,'Analysis Inputs'!$N$156=1),VLOOKUP($A21,'Avoided Utility'!$C$94:$G$107,4,FALSE),IF(AND('Analysis Inputs'!$N$146=2,'Analysis Inputs'!$N$156=2),VLOOKUP($A21,'Avoided Utility'!$C$94:$G$107,5,FALSE)))))))*btu_kwh/1000000/$C$72</f>
        <v>-1.3015219015274428</v>
      </c>
      <c r="S21" s="9"/>
    </row>
    <row r="22" spans="1:19" x14ac:dyDescent="0.25">
      <c r="A22" s="89" t="s">
        <v>649</v>
      </c>
      <c r="B22" s="114">
        <f>IF('Analysis Inputs'!$N$86=2,VLOOKUP(A22,[2]!EnergySavings,8,FALSE),VLOOKUP(A22,[2]!EnergySavings,9,FALSE))</f>
        <v>-5.642138563263372</v>
      </c>
      <c r="C22" s="442" t="s">
        <v>503</v>
      </c>
      <c r="D22" s="12">
        <f>IF('Analysis Inputs'!$N$96=2,F22,IF('Analysis Inputs'!$N$96=3,E22,IF('Analysis Inputs'!$N$107=1,H22,G22)))</f>
        <v>0.26827304622443826</v>
      </c>
      <c r="E22" s="78">
        <f>VLOOKUP($A22,[2]!EnergySavings,19,FALSE)+IF('Analysis Inputs'!$N$166=2,(('Analysis Inputs'!$G$175-'Analysis Inputs'!$F$175)*$D$66),0)</f>
        <v>-2.3481946603406301E-2</v>
      </c>
      <c r="F22" s="11">
        <f>VLOOKUP($A22,[2]!EnergySavings,17,FALSE)+IF('Analysis Inputs'!$N$166=2,(('Analysis Inputs'!$G$175-'Analysis Inputs'!$F$175)*$D$66),0)</f>
        <v>0.26827304622443826</v>
      </c>
      <c r="G22" s="11">
        <f>VLOOKUP($A22,[2]!EnergySavings,17,FALSE)+IF('Analysis Inputs'!$N$166=2,(('Analysis Inputs'!$G$175-'Analysis Inputs'!$F$175)*$D$66),0)</f>
        <v>0.26827304622443826</v>
      </c>
      <c r="H22" s="11">
        <f>(VLOOKUP(A22,[1]!LandfillTypicalNatlAverage,2,FALSE)*O22*(1-[1]Assumptions!$G$15)*(-Q22)*$C$69)+VLOOKUP($A22,[2]!EnergySavings,17,FALSE)+IF('Analysis Inputs'!$N$166=2,(('Analysis Inputs'!$G$175-'Analysis Inputs'!$F$175)*$D$66),0)</f>
        <v>-0.20612933291349372</v>
      </c>
      <c r="I22" s="12">
        <f>VLOOKUP($A22,[2]!EnergySavings,15,FALSE)+P22+IF('Analysis Inputs'!$N$166=2,(('Analysis Inputs'!$G$176-'Analysis Inputs'!$F$176)*'Summary Data NRG'!$D$66),0)</f>
        <v>-1.6910014550932322</v>
      </c>
      <c r="J22" s="84">
        <f>'[1]Composting - Net Flux'!$M$5+IF('Analysis Inputs'!$N$166=2,(('Analysis Inputs'!$G$178-'Analysis Inputs'!$F$178)*$D$66),0)</f>
        <v>0.58399999999999996</v>
      </c>
      <c r="K22" s="733">
        <f>VLOOKUP($A22,'[2]Energy Savings by Material'!$B$2:$BC$60,38,FALSE)+IF('Analysis Inputs'!$N$166=2,(('Analysis Inputs'!$G$179-'Analysis Inputs'!$F$179)*'Summary Data NRG'!$D$66),0)+R22</f>
        <v>-1.158378318065886</v>
      </c>
      <c r="L22" s="733">
        <f>VLOOKUP($A22,'[2]Energy Savings by Material'!$B$2:$BC$60,43,FALSE)+IF('Analysis Inputs'!$N$166=2,(('Analysis Inputs'!$G$179-'Analysis Inputs'!$F$179)*'Summary Data NRG'!$D$66),0)+R22</f>
        <v>-1.1800111898935086</v>
      </c>
      <c r="M22" s="733">
        <f>VLOOKUP($A22,'[2]Energy Savings by Material'!$B$2:$BC$60,48,FALSE)+IF('Analysis Inputs'!$N$166=2,(('Analysis Inputs'!$G$179-'Analysis Inputs'!$F$179)*'Summary Data NRG'!$D$66),0)+R22</f>
        <v>-0.99866580054742793</v>
      </c>
      <c r="N22" s="733">
        <f>VLOOKUP($A22,'[2]Energy Savings by Material'!$B$2:$BC$60,53,FALSE)+IF('Analysis Inputs'!$N$166=2,(('Analysis Inputs'!$G$179-'Analysis Inputs'!$F$179)*'Summary Data NRG'!$D$66),0)+R22</f>
        <v>-1.0043000441669099</v>
      </c>
      <c r="O22" s="443">
        <f>VLOOKUP(A22,LF_Collection_Scenario,'Landfill Gas Collection'!$AB$13,FALSE)</f>
        <v>0.56212173246287489</v>
      </c>
      <c r="P22" s="318">
        <f>-(VLOOKUP(A22,[1]!Avoided_utility_national,4,FALSE)*VLOOKUP(A22,[1]!Avoided_utility_national,5,FALSE))/$C$72</f>
        <v>-1.9592745013176704</v>
      </c>
      <c r="Q22" s="318">
        <f>VLOOKUP('Analysis Inputs'!$H$78,LF_Avoided_Utility_Ratio,2,FALSE)</f>
        <v>7.5875281375367018E-2</v>
      </c>
      <c r="R22" s="318">
        <f>((IF(AND('Analysis Inputs'!$N$146=1,'Analysis Inputs'!$N$156=1),VLOOKUP($A22,'Avoided Utility'!$C$94:$G$107,2,FALSE),IF(AND('Analysis Inputs'!$N$146=1,'Analysis Inputs'!$N$156=2),VLOOKUP($A22,'Avoided Utility'!$C$94:$G$107,3,FALSE),IF(AND('Analysis Inputs'!$N$146=2,'Analysis Inputs'!$N$156=1),VLOOKUP($A22,'Avoided Utility'!$C$94:$G$107,4,FALSE),IF(AND('Analysis Inputs'!$N$146=2,'Analysis Inputs'!$N$156=2),VLOOKUP($A22,'Avoided Utility'!$C$94:$G$107,5,FALSE)))))))*btu_kwh/1000000/$C$72</f>
        <v>-1.3015219015274428</v>
      </c>
      <c r="S22" s="9"/>
    </row>
    <row r="23" spans="1:19" x14ac:dyDescent="0.25">
      <c r="A23" s="89" t="s">
        <v>645</v>
      </c>
      <c r="B23" s="114">
        <f>IF('Analysis Inputs'!$N$86=2,VLOOKUP(A23,[2]!EnergySavings,8,FALSE),VLOOKUP(A23,[2]!EnergySavings,9,FALSE))</f>
        <v>-6.5221665213326432</v>
      </c>
      <c r="C23" s="442" t="s">
        <v>503</v>
      </c>
      <c r="D23" s="12">
        <f>IF('Analysis Inputs'!$N$96=2,F23,IF('Analysis Inputs'!$N$96=3,E23,IF('Analysis Inputs'!$N$107=1,H23,G23)))</f>
        <v>0.26827304622443826</v>
      </c>
      <c r="E23" s="78">
        <f>VLOOKUP($A23,[2]!EnergySavings,19,FALSE)+IF('Analysis Inputs'!$N$166=2,(('Analysis Inputs'!$G$175-'Analysis Inputs'!$F$175)*$D$66),0)</f>
        <v>-2.3481946603406301E-2</v>
      </c>
      <c r="F23" s="11">
        <f>VLOOKUP($A23,[2]!EnergySavings,17,FALSE)+IF('Analysis Inputs'!$N$166=2,(('Analysis Inputs'!$G$175-'Analysis Inputs'!$F$175)*$D$66),0)</f>
        <v>0.26827304622443826</v>
      </c>
      <c r="G23" s="11">
        <f>VLOOKUP($A23,[2]!EnergySavings,17,FALSE)+IF('Analysis Inputs'!$N$166=2,(('Analysis Inputs'!$G$175-'Analysis Inputs'!$F$175)*$D$66),0)</f>
        <v>0.26827304622443826</v>
      </c>
      <c r="H23" s="11">
        <f>(VLOOKUP(A23,[1]!LandfillTypicalNatlAverage,2,FALSE)*O23*(1-[1]Assumptions!$G$15)*(-Q23)*$C$69)+VLOOKUP($A23,[2]!EnergySavings,17,FALSE)+IF('Analysis Inputs'!$N$166=2,(('Analysis Inputs'!$G$175-'Analysis Inputs'!$F$175)*$D$66),0)</f>
        <v>-0.20612933291349372</v>
      </c>
      <c r="I23" s="12">
        <f>VLOOKUP($A23,[2]!EnergySavings,15,FALSE)+P23+IF('Analysis Inputs'!$N$166=2,(('Analysis Inputs'!$G$176-'Analysis Inputs'!$F$176)*'Summary Data NRG'!$D$66),0)</f>
        <v>-1.6910014550932322</v>
      </c>
      <c r="J23" s="84">
        <f>'[1]Composting - Net Flux'!$M$5+IF('Analysis Inputs'!$N$166=2,(('Analysis Inputs'!$G$178-'Analysis Inputs'!$F$178)*$D$66),0)</f>
        <v>0.58399999999999996</v>
      </c>
      <c r="K23" s="733">
        <f>VLOOKUP($A23,'[2]Energy Savings by Material'!$B$2:$BC$60,38,FALSE)+IF('Analysis Inputs'!$N$166=2,(('Analysis Inputs'!$G$179-'Analysis Inputs'!$F$179)*'Summary Data NRG'!$D$66),0)+R23</f>
        <v>-1.158378318065886</v>
      </c>
      <c r="L23" s="733">
        <f>VLOOKUP($A23,'[2]Energy Savings by Material'!$B$2:$BC$60,43,FALSE)+IF('Analysis Inputs'!$N$166=2,(('Analysis Inputs'!$G$179-'Analysis Inputs'!$F$179)*'Summary Data NRG'!$D$66),0)+R23</f>
        <v>-1.1800111898935086</v>
      </c>
      <c r="M23" s="733">
        <f>VLOOKUP($A23,'[2]Energy Savings by Material'!$B$2:$BC$60,48,FALSE)+IF('Analysis Inputs'!$N$166=2,(('Analysis Inputs'!$G$179-'Analysis Inputs'!$F$179)*'Summary Data NRG'!$D$66),0)+R23</f>
        <v>-0.99866580054742793</v>
      </c>
      <c r="N23" s="733">
        <f>VLOOKUP($A23,'[2]Energy Savings by Material'!$B$2:$BC$60,53,FALSE)+IF('Analysis Inputs'!$N$166=2,(('Analysis Inputs'!$G$179-'Analysis Inputs'!$F$179)*'Summary Data NRG'!$D$66),0)+R23</f>
        <v>-1.0043000441669099</v>
      </c>
      <c r="O23" s="443">
        <f>VLOOKUP(A23,LF_Collection_Scenario,'Landfill Gas Collection'!$AB$13,FALSE)</f>
        <v>0.56212173246287489</v>
      </c>
      <c r="P23" s="318">
        <f>-(VLOOKUP(A23,[1]!Avoided_utility_national,4,FALSE)*VLOOKUP(A23,[1]!Avoided_utility_national,5,FALSE))/$C$72</f>
        <v>-1.9592745013176704</v>
      </c>
      <c r="Q23" s="318">
        <f>VLOOKUP('Analysis Inputs'!$H$78,LF_Avoided_Utility_Ratio,2,FALSE)</f>
        <v>7.5875281375367018E-2</v>
      </c>
      <c r="R23" s="318">
        <f>((IF(AND('Analysis Inputs'!$N$146=1,'Analysis Inputs'!$N$156=1),VLOOKUP($A23,'Avoided Utility'!$C$94:$G$107,2,FALSE),IF(AND('Analysis Inputs'!$N$146=1,'Analysis Inputs'!$N$156=2),VLOOKUP($A23,'Avoided Utility'!$C$94:$G$107,3,FALSE),IF(AND('Analysis Inputs'!$N$146=2,'Analysis Inputs'!$N$156=1),VLOOKUP($A23,'Avoided Utility'!$C$94:$G$107,4,FALSE),IF(AND('Analysis Inputs'!$N$146=2,'Analysis Inputs'!$N$156=2),VLOOKUP($A23,'Avoided Utility'!$C$94:$G$107,5,FALSE)))))))*btu_kwh/1000000/$C$72</f>
        <v>-1.3015219015274428</v>
      </c>
      <c r="S23" s="9"/>
    </row>
    <row r="24" spans="1:19" x14ac:dyDescent="0.25">
      <c r="A24" s="89" t="s">
        <v>647</v>
      </c>
      <c r="B24" s="114">
        <f>IF('Analysis Inputs'!$N$86=2,VLOOKUP(A24,[2]!EnergySavings,8,FALSE),VLOOKUP(A24,[2]!EnergySavings,9,FALSE))</f>
        <v>-5.0692234436343391</v>
      </c>
      <c r="C24" s="442" t="s">
        <v>503</v>
      </c>
      <c r="D24" s="12">
        <f>IF('Analysis Inputs'!$N$96=2,F24,IF('Analysis Inputs'!$N$96=3,E24,IF('Analysis Inputs'!$N$107=1,H24,G24)))</f>
        <v>0.26827304622443826</v>
      </c>
      <c r="E24" s="78">
        <f>VLOOKUP($A24,[2]!EnergySavings,19,FALSE)+IF('Analysis Inputs'!$N$166=2,(('Analysis Inputs'!$G$175-'Analysis Inputs'!$F$175)*$D$66),0)</f>
        <v>-2.3481946603406301E-2</v>
      </c>
      <c r="F24" s="11">
        <f>VLOOKUP($A24,[2]!EnergySavings,17,FALSE)+IF('Analysis Inputs'!$N$166=2,(('Analysis Inputs'!$G$175-'Analysis Inputs'!$F$175)*$D$66),0)</f>
        <v>0.26827304622443826</v>
      </c>
      <c r="G24" s="11">
        <f>VLOOKUP($A24,[2]!EnergySavings,17,FALSE)+IF('Analysis Inputs'!$N$166=2,(('Analysis Inputs'!$G$175-'Analysis Inputs'!$F$175)*$D$66),0)</f>
        <v>0.26827304622443826</v>
      </c>
      <c r="H24" s="11">
        <f>(VLOOKUP(A24,[1]!LandfillTypicalNatlAverage,2,FALSE)*O24*(1-[1]Assumptions!$G$15)*(-Q24)*$C$69)+VLOOKUP($A24,[2]!EnergySavings,17,FALSE)+IF('Analysis Inputs'!$N$166=2,(('Analysis Inputs'!$G$175-'Analysis Inputs'!$F$175)*$D$66),0)</f>
        <v>-0.20612933291349372</v>
      </c>
      <c r="I24" s="12">
        <f>VLOOKUP($A24,[2]!EnergySavings,15,FALSE)+P24+IF('Analysis Inputs'!$N$166=2,(('Analysis Inputs'!$G$176-'Analysis Inputs'!$F$176)*'Summary Data NRG'!$D$66),0)</f>
        <v>-1.6910014550932322</v>
      </c>
      <c r="J24" s="84">
        <f>'[1]Composting - Net Flux'!$M$5+IF('Analysis Inputs'!$N$166=2,(('Analysis Inputs'!$G$178-'Analysis Inputs'!$F$178)*$D$66),0)</f>
        <v>0.58399999999999996</v>
      </c>
      <c r="K24" s="733">
        <f>VLOOKUP($A24,'[2]Energy Savings by Material'!$B$2:$BC$60,38,FALSE)+IF('Analysis Inputs'!$N$166=2,(('Analysis Inputs'!$G$179-'Analysis Inputs'!$F$179)*'Summary Data NRG'!$D$66),0)+R24</f>
        <v>-1.158378318065886</v>
      </c>
      <c r="L24" s="733">
        <f>VLOOKUP($A24,'[2]Energy Savings by Material'!$B$2:$BC$60,43,FALSE)+IF('Analysis Inputs'!$N$166=2,(('Analysis Inputs'!$G$179-'Analysis Inputs'!$F$179)*'Summary Data NRG'!$D$66),0)+R24</f>
        <v>-1.1800111898935086</v>
      </c>
      <c r="M24" s="733">
        <f>VLOOKUP($A24,'[2]Energy Savings by Material'!$B$2:$BC$60,48,FALSE)+IF('Analysis Inputs'!$N$166=2,(('Analysis Inputs'!$G$179-'Analysis Inputs'!$F$179)*'Summary Data NRG'!$D$66),0)+R24</f>
        <v>-0.99866580054742793</v>
      </c>
      <c r="N24" s="733">
        <f>VLOOKUP($A24,'[2]Energy Savings by Material'!$B$2:$BC$60,53,FALSE)+IF('Analysis Inputs'!$N$166=2,(('Analysis Inputs'!$G$179-'Analysis Inputs'!$F$179)*'Summary Data NRG'!$D$66),0)+R24</f>
        <v>-1.0043000441669099</v>
      </c>
      <c r="O24" s="443">
        <f>VLOOKUP(A24,LF_Collection_Scenario,'Landfill Gas Collection'!$AB$13,FALSE)</f>
        <v>0.56212173246287489</v>
      </c>
      <c r="P24" s="318">
        <f>-(VLOOKUP(A24,[1]!Avoided_utility_national,4,FALSE)*VLOOKUP(A24,[1]!Avoided_utility_national,5,FALSE))/$C$72</f>
        <v>-1.9592745013176704</v>
      </c>
      <c r="Q24" s="318">
        <f>VLOOKUP('Analysis Inputs'!$H$78,LF_Avoided_Utility_Ratio,2,FALSE)</f>
        <v>7.5875281375367018E-2</v>
      </c>
      <c r="R24" s="318">
        <f>((IF(AND('Analysis Inputs'!$N$146=1,'Analysis Inputs'!$N$156=1),VLOOKUP($A24,'Avoided Utility'!$C$94:$G$107,2,FALSE),IF(AND('Analysis Inputs'!$N$146=1,'Analysis Inputs'!$N$156=2),VLOOKUP($A24,'Avoided Utility'!$C$94:$G$107,3,FALSE),IF(AND('Analysis Inputs'!$N$146=2,'Analysis Inputs'!$N$156=1),VLOOKUP($A24,'Avoided Utility'!$C$94:$G$107,4,FALSE),IF(AND('Analysis Inputs'!$N$146=2,'Analysis Inputs'!$N$156=2),VLOOKUP($A24,'Avoided Utility'!$C$94:$G$107,5,FALSE)))))))*btu_kwh/1000000/$C$72</f>
        <v>-1.3015219015274428</v>
      </c>
      <c r="S24" s="9"/>
    </row>
    <row r="25" spans="1:19" x14ac:dyDescent="0.25">
      <c r="A25" s="89" t="s">
        <v>648</v>
      </c>
      <c r="B25" s="114">
        <f>IF('Analysis Inputs'!$N$86=2,VLOOKUP(A25,[2]!EnergySavings,8,FALSE),VLOOKUP(A25,[2]!EnergySavings,9,FALSE))</f>
        <v>-14.267376488498567</v>
      </c>
      <c r="C25" s="442" t="s">
        <v>503</v>
      </c>
      <c r="D25" s="12">
        <f>IF('Analysis Inputs'!$N$96=2,F25,IF('Analysis Inputs'!$N$96=3,E25,IF('Analysis Inputs'!$N$107=1,H25,G25)))</f>
        <v>0.26827304622443826</v>
      </c>
      <c r="E25" s="78">
        <f>VLOOKUP($A25,[2]!EnergySavings,19,FALSE)+IF('Analysis Inputs'!$N$166=2,(('Analysis Inputs'!$G$175-'Analysis Inputs'!$F$175)*$D$66),0)</f>
        <v>-2.3481946603406301E-2</v>
      </c>
      <c r="F25" s="11">
        <f>VLOOKUP($A25,[2]!EnergySavings,17,FALSE)+IF('Analysis Inputs'!$N$166=2,(('Analysis Inputs'!$G$175-'Analysis Inputs'!$F$175)*$D$66),0)</f>
        <v>0.26827304622443826</v>
      </c>
      <c r="G25" s="11">
        <f>VLOOKUP($A25,[2]!EnergySavings,17,FALSE)+IF('Analysis Inputs'!$N$166=2,(('Analysis Inputs'!$G$175-'Analysis Inputs'!$F$175)*$D$66),0)</f>
        <v>0.26827304622443826</v>
      </c>
      <c r="H25" s="11">
        <f>(VLOOKUP(A25,[1]!LandfillTypicalNatlAverage,2,FALSE)*O25*(1-[1]Assumptions!$G$15)*(-Q25)*$C$69)+VLOOKUP($A25,[2]!EnergySavings,17,FALSE)+IF('Analysis Inputs'!$N$166=2,(('Analysis Inputs'!$G$175-'Analysis Inputs'!$F$175)*$D$66),0)</f>
        <v>-0.20612933291349372</v>
      </c>
      <c r="I25" s="12">
        <f>VLOOKUP($A25,[2]!EnergySavings,15,FALSE)+P25+IF('Analysis Inputs'!$N$166=2,(('Analysis Inputs'!$G$176-'Analysis Inputs'!$F$176)*'Summary Data NRG'!$D$66),0)</f>
        <v>-1.6910014550932322</v>
      </c>
      <c r="J25" s="84">
        <f>'[1]Composting - Net Flux'!$M$5+IF('Analysis Inputs'!$N$166=2,(('Analysis Inputs'!$G$178-'Analysis Inputs'!$F$178)*$D$66),0)</f>
        <v>0.58399999999999996</v>
      </c>
      <c r="K25" s="733">
        <f>VLOOKUP($A25,'[2]Energy Savings by Material'!$B$2:$BC$60,38,FALSE)+IF('Analysis Inputs'!$N$166=2,(('Analysis Inputs'!$G$179-'Analysis Inputs'!$F$179)*'Summary Data NRG'!$D$66),0)+R25</f>
        <v>-1.158378318065886</v>
      </c>
      <c r="L25" s="733">
        <f>VLOOKUP($A25,'[2]Energy Savings by Material'!$B$2:$BC$60,43,FALSE)+IF('Analysis Inputs'!$N$166=2,(('Analysis Inputs'!$G$179-'Analysis Inputs'!$F$179)*'Summary Data NRG'!$D$66),0)+R25</f>
        <v>-1.1800111898935086</v>
      </c>
      <c r="M25" s="733">
        <f>VLOOKUP($A25,'[2]Energy Savings by Material'!$B$2:$BC$60,48,FALSE)+IF('Analysis Inputs'!$N$166=2,(('Analysis Inputs'!$G$179-'Analysis Inputs'!$F$179)*'Summary Data NRG'!$D$66),0)+R25</f>
        <v>-0.99866580054742793</v>
      </c>
      <c r="N25" s="733">
        <f>VLOOKUP($A25,'[2]Energy Savings by Material'!$B$2:$BC$60,53,FALSE)+IF('Analysis Inputs'!$N$166=2,(('Analysis Inputs'!$G$179-'Analysis Inputs'!$F$179)*'Summary Data NRG'!$D$66),0)+R25</f>
        <v>-1.0043000441669099</v>
      </c>
      <c r="O25" s="443">
        <f>VLOOKUP(A25,LF_Collection_Scenario,'Landfill Gas Collection'!$AB$13,FALSE)</f>
        <v>0.56212173246287489</v>
      </c>
      <c r="P25" s="318">
        <f>-(VLOOKUP(A25,[1]!Avoided_utility_national,4,FALSE)*VLOOKUP(A25,[1]!Avoided_utility_national,5,FALSE))/$C$72</f>
        <v>-1.9592745013176704</v>
      </c>
      <c r="Q25" s="318">
        <f>VLOOKUP('Analysis Inputs'!$H$78,LF_Avoided_Utility_Ratio,2,FALSE)</f>
        <v>7.5875281375367018E-2</v>
      </c>
      <c r="R25" s="318">
        <f>((IF(AND('Analysis Inputs'!$N$146=1,'Analysis Inputs'!$N$156=1),VLOOKUP($A25,'Avoided Utility'!$C$94:$G$107,2,FALSE),IF(AND('Analysis Inputs'!$N$146=1,'Analysis Inputs'!$N$156=2),VLOOKUP($A25,'Avoided Utility'!$C$94:$G$107,3,FALSE),IF(AND('Analysis Inputs'!$N$146=2,'Analysis Inputs'!$N$156=1),VLOOKUP($A25,'Avoided Utility'!$C$94:$G$107,4,FALSE),IF(AND('Analysis Inputs'!$N$146=2,'Analysis Inputs'!$N$156=2),VLOOKUP($A25,'Avoided Utility'!$C$94:$G$107,5,FALSE)))))))*btu_kwh/1000000/$C$72</f>
        <v>-1.3015219015274428</v>
      </c>
      <c r="S25" s="9"/>
    </row>
    <row r="26" spans="1:19" x14ac:dyDescent="0.25">
      <c r="A26" s="89" t="s">
        <v>580</v>
      </c>
      <c r="B26" s="124">
        <v>0</v>
      </c>
      <c r="C26" s="127" t="s">
        <v>503</v>
      </c>
      <c r="D26" s="10">
        <f>IF('Analysis Inputs'!$N$96=2,F26,IF('Analysis Inputs'!$N$96=3,E26,IF('Analysis Inputs'!$N$107=1,H26,G26)))</f>
        <v>0.26827304622443826</v>
      </c>
      <c r="E26" s="78">
        <f>VLOOKUP($A26,[2]!EnergySavings,19,FALSE)+IF('Analysis Inputs'!$N$166=2,(('Analysis Inputs'!$G$175-'Analysis Inputs'!$F$175)*$D$66),0)</f>
        <v>0.13685423589273019</v>
      </c>
      <c r="F26" s="11">
        <f>VLOOKUP($A26,[2]!EnergySavings,17,FALSE)+IF('Analysis Inputs'!$N$166=2,(('Analysis Inputs'!$G$175-'Analysis Inputs'!$F$175)*$D$66),0)</f>
        <v>0.26827304622443826</v>
      </c>
      <c r="G26" s="11">
        <f>VLOOKUP($A26,[2]!EnergySavings,17,FALSE)+IF('Analysis Inputs'!$N$166=2,(('Analysis Inputs'!$G$175-'Analysis Inputs'!$F$175)*$D$66),0)</f>
        <v>0.26827304622443826</v>
      </c>
      <c r="H26" s="11">
        <f>(VLOOKUP(A26,[1]!LandfillTypicalNatlAverage,2,FALSE)*O26*(1-[1]Assumptions!$G$15)*(-Q26)*$C$69)+VLOOKUP($A26,[2]!EnergySavings,17,FALSE)+IF('Analysis Inputs'!$N$166=2,(('Analysis Inputs'!$G$175-'Analysis Inputs'!$F$175)*$D$66),0)</f>
        <v>5.4937183249401084E-2</v>
      </c>
      <c r="I26" s="12">
        <f>VLOOKUP($A26,[2]!EnergySavings,15,FALSE)+P26+IF('Analysis Inputs'!$N$166=2,(('Analysis Inputs'!$G$176-'Analysis Inputs'!$F$176)*'Summary Data NRG'!$D$66),0)</f>
        <v>-2.0464816388766067</v>
      </c>
      <c r="J26" s="84">
        <f>'[1]Composting - Net Flux'!$M$5+IF('Analysis Inputs'!$N$166=2,(('Analysis Inputs'!$G$178-'Analysis Inputs'!$F$178)*$D$66),0)</f>
        <v>0.58399999999999996</v>
      </c>
      <c r="K26" s="719" t="s">
        <v>503</v>
      </c>
      <c r="L26" s="719" t="s">
        <v>503</v>
      </c>
      <c r="M26" s="733">
        <f>VLOOKUP($A26,'[2]Energy Savings by Material'!$B$2:$BC$60,48,FALSE)+IF('Analysis Inputs'!$N$166=2,(('Analysis Inputs'!$G$179-'Analysis Inputs'!$F$179)*'Summary Data NRG'!$D$66),0)+R26</f>
        <v>0.31188412222000983</v>
      </c>
      <c r="N26" s="733">
        <f>VLOOKUP($A26,'[2]Energy Savings by Material'!$B$2:$BC$60,53,FALSE)+IF('Analysis Inputs'!$N$166=2,(('Analysis Inputs'!$G$179-'Analysis Inputs'!$F$179)*'Summary Data NRG'!$D$66),0)+R26</f>
        <v>0.31188412222000983</v>
      </c>
      <c r="O26" s="333">
        <f>VLOOKUP(A26,LF_Collection_Scenario,'Landfill Gas Collection'!$AB$13,FALSE)</f>
        <v>0.50620995319531559</v>
      </c>
      <c r="P26" s="318">
        <f>-(VLOOKUP(A26,[1]!Avoided_utility_national,4,FALSE)*VLOOKUP(A26,[1]!Avoided_utility_national,5,FALSE))/$C$72</f>
        <v>-2.314754685101045</v>
      </c>
      <c r="Q26" s="318">
        <f>VLOOKUP('Analysis Inputs'!$H$78,LF_Avoided_Utility_Ratio,2,FALSE)</f>
        <v>7.5875281375367018E-2</v>
      </c>
      <c r="R26" s="318">
        <f>((IF(AND('Analysis Inputs'!$N$146=1,'Analysis Inputs'!$N$156=1),VLOOKUP($A26,'Avoided Utility'!$C$94:$G$107,2,FALSE),IF(AND('Analysis Inputs'!$N$146=1,'Analysis Inputs'!$N$156=2),VLOOKUP($A26,'Avoided Utility'!$C$94:$G$107,3,FALSE),IF(AND('Analysis Inputs'!$N$146=2,'Analysis Inputs'!$N$156=1),VLOOKUP($A26,'Avoided Utility'!$C$94:$G$107,4,FALSE),IF(AND('Analysis Inputs'!$N$146=2,'Analysis Inputs'!$N$156=2),VLOOKUP($A26,'Avoided Utility'!$C$94:$G$107,5,FALSE)))))))*btu_kwh/1000000/$C$72</f>
        <v>0</v>
      </c>
      <c r="S26" s="9"/>
    </row>
    <row r="27" spans="1:19" x14ac:dyDescent="0.25">
      <c r="A27" s="89" t="s">
        <v>521</v>
      </c>
      <c r="B27" s="124">
        <v>0</v>
      </c>
      <c r="C27" s="127" t="s">
        <v>503</v>
      </c>
      <c r="D27" s="10">
        <f>IF('Analysis Inputs'!$N$96=2,F27,IF('Analysis Inputs'!$N$96=3,E27,IF('Analysis Inputs'!$N$107=1,H27,G27)))</f>
        <v>0.26827304622443826</v>
      </c>
      <c r="E27" s="78">
        <f>VLOOKUP($A27,[2]!EnergySavings,19,FALSE)+IF('Analysis Inputs'!$N$166=2,(('Analysis Inputs'!$G$175-'Analysis Inputs'!$F$175)*$D$66),0)</f>
        <v>0.18621245875479675</v>
      </c>
      <c r="F27" s="11">
        <f>VLOOKUP($A27,[2]!EnergySavings,17,FALSE)+IF('Analysis Inputs'!$N$166=2,(('Analysis Inputs'!$G$175-'Analysis Inputs'!$F$175)*$D$66),0)</f>
        <v>0.26827304622443826</v>
      </c>
      <c r="G27" s="11">
        <f>VLOOKUP($A27,[2]!EnergySavings,17,FALSE)+IF('Analysis Inputs'!$N$166=2,(('Analysis Inputs'!$G$175-'Analysis Inputs'!$F$175)*$D$66),0)</f>
        <v>0.26827304622443826</v>
      </c>
      <c r="H27" s="11">
        <f>(VLOOKUP(A27,[1]!LandfillTypicalNatlAverage,2,FALSE)*O27*(1-[1]Assumptions!$G$15)*(-Q27)*$C$69)+VLOOKUP($A27,[2]!EnergySavings,17,FALSE)+IF('Analysis Inputs'!$N$166=2,(('Analysis Inputs'!$G$175-'Analysis Inputs'!$F$175)*$D$66),0)</f>
        <v>0.12856854498734238</v>
      </c>
      <c r="I27" s="12">
        <f>VLOOKUP($A27,[2]!EnergySavings,15,FALSE)+P27+IF('Analysis Inputs'!$N$166=2,(('Analysis Inputs'!$G$176-'Analysis Inputs'!$F$176)*'Summary Data NRG'!$D$66),0)</f>
        <v>-2.0464816388766067</v>
      </c>
      <c r="J27" s="84">
        <f>'[1]Composting - Net Flux'!$M$5+IF('Analysis Inputs'!$N$166=2,(('Analysis Inputs'!$G$178-'Analysis Inputs'!$F$178)*$D$66),0)</f>
        <v>0.58399999999999996</v>
      </c>
      <c r="K27" s="719" t="s">
        <v>503</v>
      </c>
      <c r="L27" s="719" t="s">
        <v>503</v>
      </c>
      <c r="M27" s="733">
        <f>VLOOKUP($A27,'[2]Energy Savings by Material'!$B$2:$BC$60,48,FALSE)+IF('Analysis Inputs'!$N$166=2,(('Analysis Inputs'!$G$179-'Analysis Inputs'!$F$179)*'Summary Data NRG'!$D$66),0)+R27</f>
        <v>0.30003631226547911</v>
      </c>
      <c r="N27" s="733">
        <f>VLOOKUP($A27,'[2]Energy Savings by Material'!$B$2:$BC$60,53,FALSE)+IF('Analysis Inputs'!$N$166=2,(('Analysis Inputs'!$G$179-'Analysis Inputs'!$F$179)*'Summary Data NRG'!$D$66),0)+R27</f>
        <v>0.29589834169129936</v>
      </c>
      <c r="O27" s="333">
        <f>VLOOKUP(A27,LF_Collection_Scenario,'Landfill Gas Collection'!$AB$13,FALSE)</f>
        <v>0.47224844794128357</v>
      </c>
      <c r="P27" s="383">
        <f>P26</f>
        <v>-2.314754685101045</v>
      </c>
      <c r="Q27" s="318">
        <f>VLOOKUP('Analysis Inputs'!$H$78,LF_Avoided_Utility_Ratio,2,FALSE)</f>
        <v>7.5875281375367018E-2</v>
      </c>
      <c r="R27" s="318">
        <f>((IF(AND('Analysis Inputs'!$N$146=1,'Analysis Inputs'!$N$156=1),VLOOKUP($A27,'Avoided Utility'!$C$94:$G$107,2,FALSE),IF(AND('Analysis Inputs'!$N$146=1,'Analysis Inputs'!$N$156=2),VLOOKUP($A27,'Avoided Utility'!$C$94:$G$107,3,FALSE),IF(AND('Analysis Inputs'!$N$146=2,'Analysis Inputs'!$N$156=1),VLOOKUP($A27,'Avoided Utility'!$C$94:$G$107,4,FALSE),IF(AND('Analysis Inputs'!$N$146=2,'Analysis Inputs'!$N$156=2),VLOOKUP($A27,'Avoided Utility'!$C$94:$G$107,5,FALSE)))))))*btu_kwh/1000000/$C$72</f>
        <v>0</v>
      </c>
      <c r="S27" s="9"/>
    </row>
    <row r="28" spans="1:19" x14ac:dyDescent="0.25">
      <c r="A28" s="89" t="s">
        <v>522</v>
      </c>
      <c r="B28" s="124">
        <v>0</v>
      </c>
      <c r="C28" s="127" t="s">
        <v>503</v>
      </c>
      <c r="D28" s="10">
        <f>IF('Analysis Inputs'!$N$96=2,F28,IF('Analysis Inputs'!$N$96=3,E28,IF('Analysis Inputs'!$N$107=1,H28,G28)))</f>
        <v>0.26827304622443826</v>
      </c>
      <c r="E28" s="78">
        <f>VLOOKUP($A28,[2]!EnergySavings,19,FALSE)+IF('Analysis Inputs'!$N$166=2,(('Analysis Inputs'!$G$175-'Analysis Inputs'!$F$175)*$D$66),0)</f>
        <v>0.15593669251161218</v>
      </c>
      <c r="F28" s="11">
        <f>VLOOKUP($A28,[2]!EnergySavings,17,FALSE)+IF('Analysis Inputs'!$N$166=2,(('Analysis Inputs'!$G$175-'Analysis Inputs'!$F$175)*$D$66),0)</f>
        <v>0.26827304622443826</v>
      </c>
      <c r="G28" s="11">
        <f>VLOOKUP($A28,[2]!EnergySavings,17,FALSE)+IF('Analysis Inputs'!$N$166=2,(('Analysis Inputs'!$G$175-'Analysis Inputs'!$F$175)*$D$66),0)</f>
        <v>0.26827304622443826</v>
      </c>
      <c r="H28" s="11">
        <f>(VLOOKUP(A28,[1]!LandfillTypicalNatlAverage,2,FALSE)*O28*(1-[1]Assumptions!$G$15)*(-Q28)*$C$69)+VLOOKUP($A28,[2]!EnergySavings,17,FALSE)+IF('Analysis Inputs'!$N$166=2,(('Analysis Inputs'!$G$175-'Analysis Inputs'!$F$175)*$D$66),0)</f>
        <v>8.3723103357346951E-2</v>
      </c>
      <c r="I28" s="12">
        <f>VLOOKUP($A28,[2]!EnergySavings,15,FALSE)+P28+IF('Analysis Inputs'!$N$166=2,(('Analysis Inputs'!$G$176-'Analysis Inputs'!$F$176)*'Summary Data NRG'!$D$66),0)</f>
        <v>-2.0464816388766067</v>
      </c>
      <c r="J28" s="84">
        <f>'[1]Composting - Net Flux'!$M$5+IF('Analysis Inputs'!$N$166=2,(('Analysis Inputs'!$G$178-'Analysis Inputs'!$F$178)*$D$66),0)</f>
        <v>0.58399999999999996</v>
      </c>
      <c r="K28" s="719" t="s">
        <v>503</v>
      </c>
      <c r="L28" s="719" t="s">
        <v>503</v>
      </c>
      <c r="M28" s="733">
        <f>VLOOKUP($A28,'[2]Energy Savings by Material'!$B$2:$BC$60,48,FALSE)+IF('Analysis Inputs'!$N$166=2,(('Analysis Inputs'!$G$179-'Analysis Inputs'!$F$179)*'Summary Data NRG'!$D$66),0)+R28</f>
        <v>0.3492876820973152</v>
      </c>
      <c r="N28" s="733">
        <f>VLOOKUP($A28,'[2]Energy Savings by Material'!$B$2:$BC$60,53,FALSE)+IF('Analysis Inputs'!$N$166=2,(('Analysis Inputs'!$G$179-'Analysis Inputs'!$F$179)*'Summary Data NRG'!$D$66),0)+R28</f>
        <v>0.32391315136520049</v>
      </c>
      <c r="O28" s="333">
        <f>VLOOKUP(A28,LF_Collection_Scenario,'Landfill Gas Collection'!$AB$13,FALSE)</f>
        <v>0.54250823044109042</v>
      </c>
      <c r="P28" s="383">
        <f>P26</f>
        <v>-2.314754685101045</v>
      </c>
      <c r="Q28" s="318">
        <f>VLOOKUP('Analysis Inputs'!$H$78,LF_Avoided_Utility_Ratio,2,FALSE)</f>
        <v>7.5875281375367018E-2</v>
      </c>
      <c r="R28" s="318">
        <f>((IF(AND('Analysis Inputs'!$N$146=1,'Analysis Inputs'!$N$156=1),VLOOKUP($A28,'Avoided Utility'!$C$94:$G$107,2,FALSE),IF(AND('Analysis Inputs'!$N$146=1,'Analysis Inputs'!$N$156=2),VLOOKUP($A28,'Avoided Utility'!$C$94:$G$107,3,FALSE),IF(AND('Analysis Inputs'!$N$146=2,'Analysis Inputs'!$N$156=1),VLOOKUP($A28,'Avoided Utility'!$C$94:$G$107,4,FALSE),IF(AND('Analysis Inputs'!$N$146=2,'Analysis Inputs'!$N$156=2),VLOOKUP($A28,'Avoided Utility'!$C$94:$G$107,5,FALSE)))))))*btu_kwh/1000000/$C$72</f>
        <v>0</v>
      </c>
      <c r="S28" s="9"/>
    </row>
    <row r="29" spans="1:19" x14ac:dyDescent="0.25">
      <c r="A29" s="89" t="s">
        <v>523</v>
      </c>
      <c r="B29" s="124">
        <v>0</v>
      </c>
      <c r="C29" s="127" t="s">
        <v>503</v>
      </c>
      <c r="D29" s="10">
        <f>IF('Analysis Inputs'!$N$96=2,F29,IF('Analysis Inputs'!$N$96=3,E29,IF('Analysis Inputs'!$N$107=1,H29,G29)))</f>
        <v>0.26827304622443826</v>
      </c>
      <c r="E29" s="78">
        <f>VLOOKUP($A29,[2]!EnergySavings,19,FALSE)+IF('Analysis Inputs'!$N$166=2,(('Analysis Inputs'!$G$175-'Analysis Inputs'!$F$175)*$D$66),0)</f>
        <v>-4.8899192374005085E-3</v>
      </c>
      <c r="F29" s="11">
        <f>VLOOKUP($A29,[2]!EnergySavings,17,FALSE)+IF('Analysis Inputs'!$N$166=2,(('Analysis Inputs'!$G$175-'Analysis Inputs'!$F$175)*$D$66),0)</f>
        <v>0.26827304622443826</v>
      </c>
      <c r="G29" s="11">
        <f>VLOOKUP($A29,[2]!EnergySavings,17,FALSE)+IF('Analysis Inputs'!$N$166=2,(('Analysis Inputs'!$G$175-'Analysis Inputs'!$F$175)*$D$66),0)</f>
        <v>0.26827304622443826</v>
      </c>
      <c r="H29" s="11">
        <f>(VLOOKUP(A29,[1]!LandfillTypicalNatlAverage,2,FALSE)*O29*(1-[1]Assumptions!$G$15)*(-Q29)*$C$69)+VLOOKUP($A29,[2]!EnergySavings,17,FALSE)+IF('Analysis Inputs'!$N$166=2,(('Analysis Inputs'!$G$175-'Analysis Inputs'!$F$175)*$D$66),0)</f>
        <v>-0.13720815412954912</v>
      </c>
      <c r="I29" s="12">
        <f>VLOOKUP($A29,[2]!EnergySavings,15,FALSE)+P29+IF('Analysis Inputs'!$N$166=2,(('Analysis Inputs'!$G$176-'Analysis Inputs'!$F$176)*'Summary Data NRG'!$D$66),0)</f>
        <v>-2.0464816388766067</v>
      </c>
      <c r="J29" s="84">
        <f>'[1]Composting - Net Flux'!$M$5+IF('Analysis Inputs'!$N$166=2,(('Analysis Inputs'!$G$178-'Analysis Inputs'!$F$178)*$D$66),0)</f>
        <v>0.58399999999999996</v>
      </c>
      <c r="K29" s="719" t="s">
        <v>503</v>
      </c>
      <c r="L29" s="719" t="s">
        <v>503</v>
      </c>
      <c r="M29" s="733">
        <f>VLOOKUP($A29,'[2]Energy Savings by Material'!$B$2:$BC$60,48,FALSE)+IF('Analysis Inputs'!$N$166=2,(('Analysis Inputs'!$G$179-'Analysis Inputs'!$F$179)*'Summary Data NRG'!$D$66),0)+R29</f>
        <v>0.36280552315230652</v>
      </c>
      <c r="N29" s="733">
        <f>VLOOKUP($A29,'[2]Energy Savings by Material'!$B$2:$BC$60,53,FALSE)+IF('Analysis Inputs'!$N$166=2,(('Analysis Inputs'!$G$179-'Analysis Inputs'!$F$179)*'Summary Data NRG'!$D$66),0)+R29</f>
        <v>0.33182665413224</v>
      </c>
      <c r="O29" s="333">
        <f>VLOOKUP(A29,LF_Collection_Scenario,'Landfill Gas Collection'!$AB$13,FALSE)</f>
        <v>0.53783468645760479</v>
      </c>
      <c r="P29" s="383">
        <f>P26</f>
        <v>-2.314754685101045</v>
      </c>
      <c r="Q29" s="318">
        <f>VLOOKUP('Analysis Inputs'!$H$78,LF_Avoided_Utility_Ratio,2,FALSE)</f>
        <v>7.5875281375367018E-2</v>
      </c>
      <c r="R29" s="318">
        <f>((IF(AND('Analysis Inputs'!$N$146=1,'Analysis Inputs'!$N$156=1),VLOOKUP($A29,'Avoided Utility'!$C$94:$G$107,2,FALSE),IF(AND('Analysis Inputs'!$N$146=1,'Analysis Inputs'!$N$156=2),VLOOKUP($A29,'Avoided Utility'!$C$94:$G$107,3,FALSE),IF(AND('Analysis Inputs'!$N$146=2,'Analysis Inputs'!$N$156=1),VLOOKUP($A29,'Avoided Utility'!$C$94:$G$107,4,FALSE),IF(AND('Analysis Inputs'!$N$146=2,'Analysis Inputs'!$N$156=2),VLOOKUP($A29,'Avoided Utility'!$C$94:$G$107,5,FALSE)))))))*btu_kwh/1000000/$C$72</f>
        <v>0</v>
      </c>
      <c r="S29" s="9"/>
    </row>
    <row r="30" spans="1:19" x14ac:dyDescent="0.25">
      <c r="A30" s="186" t="s">
        <v>583</v>
      </c>
      <c r="B30" s="124">
        <f>IF('Analysis Inputs'!$N$86=2,VLOOKUP(A30,[2]!EnergySavings,8,FALSE),VLOOKUP(A30,[2]!EnergySavings,9,FALSE))</f>
        <v>-32.931749087804263</v>
      </c>
      <c r="C30" s="96">
        <f>VLOOKUP(A30,[2]!EnergySavings,12,FALSE)+IF('Analysis Inputs'!$N$166=2,(('Analysis Inputs'!$G$177-'Analysis Inputs'!$F$177)*'Summary Data NRG'!$D$66),0)</f>
        <v>-20.451481173499502</v>
      </c>
      <c r="D30" s="10">
        <f>IF('Analysis Inputs'!$N$96=2,F30,IF('Analysis Inputs'!$N$96=3,E30,IF('Analysis Inputs'!$N$107=1,H30,G30)))</f>
        <v>0.26827304622443826</v>
      </c>
      <c r="E30" s="78">
        <f>VLOOKUP($A30,[2]!EnergySavings,19,FALSE)+IF('Analysis Inputs'!$N$166=2,(('Analysis Inputs'!$G$175-'Analysis Inputs'!$F$175)*$D$66),0)</f>
        <v>-0.20697781763451961</v>
      </c>
      <c r="F30" s="11">
        <f>VLOOKUP($A30,[2]!EnergySavings,17,FALSE)+IF('Analysis Inputs'!$N$166=2,(('Analysis Inputs'!$G$175-'Analysis Inputs'!$F$175)*$D$66),0)</f>
        <v>0.26827304622443826</v>
      </c>
      <c r="G30" s="11">
        <f>VLOOKUP($A30,[2]!EnergySavings,17,FALSE)+IF('Analysis Inputs'!$N$166=2,(('Analysis Inputs'!$G$175-'Analysis Inputs'!$F$175)*$D$66),0)</f>
        <v>0.26827304622443826</v>
      </c>
      <c r="H30" s="11">
        <f>(VLOOKUP(A30,[1]!LandfillTypicalNatlAverage,2,FALSE)*O30*(1-[1]Assumptions!$G$15)*(-Q30)*$C$69)+VLOOKUP($A30,[2]!EnergySavings,17,FALSE)+IF('Analysis Inputs'!$N$166=2,(('Analysis Inputs'!$G$175-'Analysis Inputs'!$F$175)*$D$66),0)</f>
        <v>-0.44299931509348978</v>
      </c>
      <c r="I30" s="12">
        <f>VLOOKUP($A30,[2]!EnergySavings,15,FALSE)+P30+IF('Analysis Inputs'!$N$166=2,(('Analysis Inputs'!$G$176-'Analysis Inputs'!$F$176)*'Summary Data NRG'!$D$66),0)</f>
        <v>-5.575887311022389</v>
      </c>
      <c r="J30" s="391" t="s">
        <v>503</v>
      </c>
      <c r="K30" s="719" t="s">
        <v>503</v>
      </c>
      <c r="L30" s="719" t="s">
        <v>503</v>
      </c>
      <c r="M30" s="719" t="s">
        <v>503</v>
      </c>
      <c r="N30" s="719" t="s">
        <v>503</v>
      </c>
      <c r="O30" s="333">
        <f>VLOOKUP(A30,LF_Collection_Scenario,'Landfill Gas Collection'!$AB$13,FALSE)</f>
        <v>0.5738398222702551</v>
      </c>
      <c r="P30" s="318">
        <f>([1]Assumptions!$E$24*$P$11+[1]Assumptions!$E$25*$P$9+[1]Assumptions!$E$26*$P$12+[1]Assumptions!$E$27*$P$10)</f>
        <v>-5.8441603572468273</v>
      </c>
      <c r="Q30" s="318">
        <f>VLOOKUP('Analysis Inputs'!$H$78,LF_Avoided_Utility_Ratio,2,FALSE)</f>
        <v>7.5875281375367018E-2</v>
      </c>
      <c r="R30" s="321" t="s">
        <v>503</v>
      </c>
    </row>
    <row r="31" spans="1:19" x14ac:dyDescent="0.25">
      <c r="A31" s="89" t="s">
        <v>584</v>
      </c>
      <c r="B31" s="124">
        <f>IF('Analysis Inputs'!$N$86=2,VLOOKUP(A31,[2]!EnergySavings,8,FALSE),VLOOKUP(A31,[2]!EnergySavings,9,FALSE))</f>
        <v>-32.311437563331779</v>
      </c>
      <c r="C31" s="96">
        <f>VLOOKUP(A31,[2]!EnergySavings,12,FALSE)+IF('Analysis Inputs'!$N$166=2,(('Analysis Inputs'!$G$177-'Analysis Inputs'!$F$177)*'Summary Data NRG'!$D$66),0)</f>
        <v>-20.451481173499502</v>
      </c>
      <c r="D31" s="10">
        <f>IF('Analysis Inputs'!$N$96=2,F31,IF('Analysis Inputs'!$N$96=3,E31,IF('Analysis Inputs'!$N$107=1,H31,G31)))</f>
        <v>0.26827304622443826</v>
      </c>
      <c r="E31" s="78">
        <f>VLOOKUP($A31,[2]!EnergySavings,19,FALSE)+IF('Analysis Inputs'!$N$166=2,(('Analysis Inputs'!$G$175-'Analysis Inputs'!$F$175)*$D$66),0)</f>
        <v>-0.1874945796202474</v>
      </c>
      <c r="F31" s="11">
        <f>VLOOKUP($A31,[2]!EnergySavings,17,FALSE)+IF('Analysis Inputs'!$N$166=2,(('Analysis Inputs'!$G$175-'Analysis Inputs'!$F$175)*$D$66),0)</f>
        <v>0.26827304622443826</v>
      </c>
      <c r="G31" s="11">
        <f>VLOOKUP($A31,[2]!EnergySavings,17,FALSE)+IF('Analysis Inputs'!$N$166=2,(('Analysis Inputs'!$G$175-'Analysis Inputs'!$F$175)*$D$66),0)</f>
        <v>0.26827304622443826</v>
      </c>
      <c r="H31" s="11">
        <f>(VLOOKUP(A31,[1]!LandfillTypicalNatlAverage,2,FALSE)*O31*(1-[1]Assumptions!$G$15)*(-Q31)*$C$69)+VLOOKUP($A31,[2]!EnergySavings,17,FALSE)+IF('Analysis Inputs'!$N$166=2,(('Analysis Inputs'!$G$175-'Analysis Inputs'!$F$175)*$D$66),0)</f>
        <v>-0.41465309193131061</v>
      </c>
      <c r="I31" s="12">
        <f>VLOOKUP($A31,[2]!EnergySavings,15,FALSE)+P31+IF('Analysis Inputs'!$N$166=2,(('Analysis Inputs'!$G$176-'Analysis Inputs'!$F$176)*'Summary Data NRG'!$D$66),0)</f>
        <v>-5.5509292953283893</v>
      </c>
      <c r="J31" s="391" t="s">
        <v>503</v>
      </c>
      <c r="K31" s="719" t="s">
        <v>503</v>
      </c>
      <c r="L31" s="719" t="s">
        <v>503</v>
      </c>
      <c r="M31" s="719" t="s">
        <v>503</v>
      </c>
      <c r="N31" s="719" t="s">
        <v>503</v>
      </c>
      <c r="O31" s="333">
        <f>VLOOKUP(A31,LF_Collection_Scenario,'Landfill Gas Collection'!$AB$13,FALSE)</f>
        <v>0.5722373793893597</v>
      </c>
      <c r="P31" s="318">
        <f>([1]Assumptions!$F$24*$P$11+[1]Assumptions!$F$25*$P$9+[1]Assumptions!$F$26*$P$12+[1]Assumptions!$F$27*$P$10)</f>
        <v>-5.8192023415528276</v>
      </c>
      <c r="Q31" s="318">
        <f>VLOOKUP('Analysis Inputs'!$H$78,LF_Avoided_Utility_Ratio,2,FALSE)</f>
        <v>7.5875281375367018E-2</v>
      </c>
      <c r="R31" s="321" t="s">
        <v>503</v>
      </c>
      <c r="S31" s="9"/>
    </row>
    <row r="32" spans="1:19" x14ac:dyDescent="0.25">
      <c r="A32" s="89" t="s">
        <v>585</v>
      </c>
      <c r="B32" s="124">
        <f>IF('Analysis Inputs'!$N$86=2,VLOOKUP(A32,[2]!EnergySavings,8,FALSE),VLOOKUP(A32,[2]!EnergySavings,9,FALSE))</f>
        <v>-36.052469782868869</v>
      </c>
      <c r="C32" s="96">
        <f>VLOOKUP(A32,[2]!EnergySavings,12,FALSE)+IF('Analysis Inputs'!$N$166=2,(('Analysis Inputs'!$G$177-'Analysis Inputs'!$F$177)*'Summary Data NRG'!$D$66),0)</f>
        <v>-20.850283999999998</v>
      </c>
      <c r="D32" s="10">
        <f>IF('Analysis Inputs'!$N$96=2,F32,IF('Analysis Inputs'!$N$96=3,E32,IF('Analysis Inputs'!$N$107=1,H32,G32)))</f>
        <v>0.26827304622443826</v>
      </c>
      <c r="E32" s="78">
        <f>VLOOKUP($A32,[2]!EnergySavings,19,FALSE)+IF('Analysis Inputs'!$N$166=2,(('Analysis Inputs'!$G$175-'Analysis Inputs'!$F$175)*$D$66),0)</f>
        <v>-0.17911687124601788</v>
      </c>
      <c r="F32" s="11">
        <f>VLOOKUP($A32,[2]!EnergySavings,17,FALSE)+IF('Analysis Inputs'!$N$166=2,(('Analysis Inputs'!$G$175-'Analysis Inputs'!$F$175)*$D$66),0)</f>
        <v>0.26827304622443826</v>
      </c>
      <c r="G32" s="11">
        <f>VLOOKUP($A32,[2]!EnergySavings,17,FALSE)+IF('Analysis Inputs'!$N$166=2,(('Analysis Inputs'!$G$175-'Analysis Inputs'!$F$175)*$D$66),0)</f>
        <v>0.26827304622443826</v>
      </c>
      <c r="H32" s="11">
        <f>(VLOOKUP(A32,[1]!LandfillTypicalNatlAverage,2,FALSE)*O32*(1-[1]Assumptions!$G$15)*(-Q32)*$C$69)+VLOOKUP($A32,[2]!EnergySavings,17,FALSE)+IF('Analysis Inputs'!$N$166=2,(('Analysis Inputs'!$G$175-'Analysis Inputs'!$F$175)*$D$66),0)</f>
        <v>-0.4171966103661966</v>
      </c>
      <c r="I32" s="12">
        <f>VLOOKUP($A32,[2]!EnergySavings,15,FALSE)+P32+IF('Analysis Inputs'!$N$166=2,(('Analysis Inputs'!$G$176-'Analysis Inputs'!$F$176)*'Summary Data NRG'!$D$66),0)</f>
        <v>-5.1040493694075959</v>
      </c>
      <c r="J32" s="391" t="s">
        <v>503</v>
      </c>
      <c r="K32" s="719" t="s">
        <v>503</v>
      </c>
      <c r="L32" s="719" t="s">
        <v>503</v>
      </c>
      <c r="M32" s="719" t="s">
        <v>503</v>
      </c>
      <c r="N32" s="719" t="s">
        <v>503</v>
      </c>
      <c r="O32" s="333">
        <f>VLOOKUP(A32,LF_Collection_Scenario,'Landfill Gas Collection'!$AB$13,FALSE)</f>
        <v>0.58375296041047586</v>
      </c>
      <c r="P32" s="318">
        <f>([1]Assumptions!$G$24*$P$11+[1]Assumptions!$G$25*$P$9+[1]Assumptions!$G$26*$P$12+[1]Assumptions!$G$27*$P$10)</f>
        <v>-5.3723224156320342</v>
      </c>
      <c r="Q32" s="318">
        <f>VLOOKUP('Analysis Inputs'!$H$78,LF_Avoided_Utility_Ratio,2,FALSE)</f>
        <v>7.5875281375367018E-2</v>
      </c>
      <c r="R32" s="321" t="s">
        <v>503</v>
      </c>
      <c r="S32" s="9"/>
    </row>
    <row r="33" spans="1:19" s="25" customFormat="1" x14ac:dyDescent="0.25">
      <c r="A33" s="111" t="s">
        <v>633</v>
      </c>
      <c r="B33" s="124">
        <f>IF('Analysis Inputs'!$N$86=2,VLOOKUP(A33,[2]!EnergySavings,8,FALSE),VLOOKUP(A33,[2]!EnergySavings,9,FALSE))</f>
        <v>-88.339173603856906</v>
      </c>
      <c r="C33" s="96">
        <f>VLOOKUP(A33,[2]!EnergySavings,12,FALSE)+IF('Analysis Inputs'!$N$166=2,(('Analysis Inputs'!$G$177-'Analysis Inputs'!$F$177)*'Summary Data NRG'!$D$66),0)</f>
        <v>-65.985389887039346</v>
      </c>
      <c r="D33" s="12">
        <f>IF('Analysis Inputs'!$N$96=2,F33,IF('Analysis Inputs'!$N$96=3,E33,IF('Analysis Inputs'!$N$107=1,H33,G33)))</f>
        <v>0.26827304622443826</v>
      </c>
      <c r="E33" s="78">
        <f>VLOOKUP($A33,[2]!EnergySavings,19,FALSE)+IF('Analysis Inputs'!$N$166=2,(('Analysis Inputs'!$G$175-'Analysis Inputs'!$F$175)*$D$66),0)</f>
        <v>0.26827304622443826</v>
      </c>
      <c r="F33" s="11">
        <f>VLOOKUP($A33,[2]!EnergySavings,17,FALSE)+IF('Analysis Inputs'!$N$166=2,(('Analysis Inputs'!$G$175-'Analysis Inputs'!$F$175)*$D$66),0)</f>
        <v>0.26827304622443826</v>
      </c>
      <c r="G33" s="11">
        <f>VLOOKUP($A33,[2]!EnergySavings,17,FALSE)+IF('Analysis Inputs'!$N$166=2,(('Analysis Inputs'!$G$175-'Analysis Inputs'!$F$175)*$D$66),0)</f>
        <v>0.26827304622443826</v>
      </c>
      <c r="H33" s="11">
        <f>+E33</f>
        <v>0.26827304622443826</v>
      </c>
      <c r="I33" s="12">
        <f>SUM(VLOOKUP(A33,[2]!EnergySavings,14,FALSE),VLOOKUP(A33,[2]!EnergySavings,15,FALSE))+P33+IF('Analysis Inputs'!$N$166=2,(('Analysis Inputs'!$G$176-'Analysis Inputs'!$F$176)*'Summary Data NRG'!$D$66),0)</f>
        <v>-11.029958879054311</v>
      </c>
      <c r="J33" s="391" t="s">
        <v>503</v>
      </c>
      <c r="K33" s="719" t="s">
        <v>503</v>
      </c>
      <c r="L33" s="719" t="s">
        <v>503</v>
      </c>
      <c r="M33" s="719" t="s">
        <v>503</v>
      </c>
      <c r="N33" s="719" t="s">
        <v>503</v>
      </c>
      <c r="O33" s="333" t="str">
        <f>VLOOKUP(A33,LF_Collection_Scenario,'Landfill Gas Collection'!$AB$13,FALSE)</f>
        <v>--</v>
      </c>
      <c r="P33" s="318">
        <f>((P2*[1]Assumptions!$D$66)+(P3*[1]Assumptions!$D$67))/[1]Assumptions!$D$84</f>
        <v>0.20941654391198813</v>
      </c>
      <c r="Q33" s="319" t="s">
        <v>503</v>
      </c>
      <c r="R33" s="321" t="s">
        <v>503</v>
      </c>
      <c r="S33" s="12"/>
    </row>
    <row r="34" spans="1:19" x14ac:dyDescent="0.25">
      <c r="A34" s="89" t="s">
        <v>386</v>
      </c>
      <c r="B34" s="124">
        <f>IF('Analysis Inputs'!$N$86=2,VLOOKUP(A34,[2]!EnergySavings,8,FALSE),VLOOKUP(A34,[2]!EnergySavings,9,FALSE))</f>
        <v>-28.980898101849977</v>
      </c>
      <c r="C34" s="96">
        <f>VLOOKUP(A34,[2]!EnergySavings,12,FALSE)+IF('Analysis Inputs'!$N$166=2,(('Analysis Inputs'!$G$177-'Analysis Inputs'!$F$177)*'Summary Data NRG'!$D$66),0)</f>
        <v>-38.837114582766276</v>
      </c>
      <c r="D34" s="10">
        <f>IF('Analysis Inputs'!$N$96=2,F34,IF('Analysis Inputs'!$N$96=3,E34,IF('Analysis Inputs'!$N$107=1,H34,G34)))</f>
        <v>0.26827304622443826</v>
      </c>
      <c r="E34" s="78">
        <f>VLOOKUP($A34,[2]!EnergySavings,19,FALSE)+IF('Analysis Inputs'!$N$166=2,(('Analysis Inputs'!$G$175-'Analysis Inputs'!$F$175)*$D$66),0)</f>
        <v>0.26827304622443826</v>
      </c>
      <c r="F34" s="11">
        <f>VLOOKUP($A34,[2]!EnergySavings,17,FALSE)+IF('Analysis Inputs'!$N$166=2,(('Analysis Inputs'!$G$175-'Analysis Inputs'!$F$175)*$D$66),0)</f>
        <v>0.26827304622443826</v>
      </c>
      <c r="G34" s="11">
        <f>VLOOKUP($A34,[2]!EnergySavings,17,FALSE)+IF('Analysis Inputs'!$N$166=2,(('Analysis Inputs'!$G$175-'Analysis Inputs'!$F$175)*$D$66),0)</f>
        <v>0.26827304622443826</v>
      </c>
      <c r="H34" s="11">
        <f>+E34</f>
        <v>0.26827304622443826</v>
      </c>
      <c r="I34" s="12">
        <f>VLOOKUP($A34,[2]!EnergySavings,15,FALSE)+P34+IF('Analysis Inputs'!$N$166=2,(('Analysis Inputs'!$G$176-'Analysis Inputs'!$F$176)*'Summary Data NRG'!$D$66),0)</f>
        <v>-11.442980273613752</v>
      </c>
      <c r="J34" s="391" t="s">
        <v>503</v>
      </c>
      <c r="K34" s="719" t="s">
        <v>503</v>
      </c>
      <c r="L34" s="719" t="s">
        <v>503</v>
      </c>
      <c r="M34" s="719" t="s">
        <v>503</v>
      </c>
      <c r="N34" s="719" t="s">
        <v>503</v>
      </c>
      <c r="O34" s="333" t="str">
        <f>VLOOKUP(A34,LF_Collection_Scenario,'Landfill Gas Collection'!$AB$13,FALSE)</f>
        <v>--</v>
      </c>
      <c r="P34" s="318">
        <f>((P6*[1]Assumptions!$D$69)+(P8*[1]Assumptions!$D$71))/[1]Assumptions!$D$83</f>
        <v>-11.711253319838191</v>
      </c>
      <c r="Q34" s="319" t="s">
        <v>503</v>
      </c>
      <c r="R34" s="321" t="s">
        <v>503</v>
      </c>
      <c r="S34" s="9"/>
    </row>
    <row r="35" spans="1:19" x14ac:dyDescent="0.25">
      <c r="A35" s="89" t="s">
        <v>272</v>
      </c>
      <c r="B35" s="124" t="str">
        <f>IF('Analysis Inputs'!$N$86=2,VLOOKUP(A35,[2]!EnergySavings,8,FALSE),VLOOKUP(A35,[2]!EnergySavings,9,FALSE))</f>
        <v>NA</v>
      </c>
      <c r="C35" s="96">
        <f>VLOOKUP(A35,[2]!EnergySavings,12,FALSE)+IF('Analysis Inputs'!$N$166=2,(('Analysis Inputs'!$G$177-'Analysis Inputs'!$F$177)*'Summary Data NRG'!$D$66),0)</f>
        <v>-14.824133262566331</v>
      </c>
      <c r="D35" s="10">
        <f>IF('Analysis Inputs'!$N$96=2,F35,IF('Analysis Inputs'!$N$96=3,E35,IF('Analysis Inputs'!$N$107=1,H35,G35)))</f>
        <v>0.26827304622443826</v>
      </c>
      <c r="E35" s="78">
        <f>VLOOKUP($A35,[2]!EnergySavings,19,FALSE)+IF('Analysis Inputs'!$N$166=2,(('Analysis Inputs'!$G$175-'Analysis Inputs'!$F$175)*$D$66),0)</f>
        <v>-6.876094209052519E-2</v>
      </c>
      <c r="F35" s="11">
        <f>VLOOKUP($A35,[2]!EnergySavings,17,FALSE)+IF('Analysis Inputs'!$N$166=2,(('Analysis Inputs'!$G$175-'Analysis Inputs'!$F$175)*$D$66),0)</f>
        <v>0.26827304622443826</v>
      </c>
      <c r="G35" s="11">
        <f>VLOOKUP($A35,[2]!EnergySavings,17,FALSE)+IF('Analysis Inputs'!$N$166=2,(('Analysis Inputs'!$G$175-'Analysis Inputs'!$F$175)*$D$66),0)</f>
        <v>0.26827304622443826</v>
      </c>
      <c r="H35" s="11">
        <f>(VLOOKUP(A35,[1]!LandfillTypicalNatlAverage,2,FALSE)*O35*(1-[1]Assumptions!$G$15)*(-Q35)*$C$69)+VLOOKUP($A35,[2]!EnergySavings,17,FALSE)+IF('Analysis Inputs'!$N$166=2,(('Analysis Inputs'!$G$175-'Analysis Inputs'!$F$175)*$D$66),0)</f>
        <v>-0.23745105970534353</v>
      </c>
      <c r="I35" s="12">
        <f>SUM(VLOOKUP(A35,[2]!EnergySavings,14,FALSE),VLOOKUP(A35,[2]!EnergySavings,15,FALSE))+P35+IF('Analysis Inputs'!$N$166=2,(('Analysis Inputs'!$G$176-'Analysis Inputs'!$F$176)*'Summary Data NRG'!$D$66),0)</f>
        <v>-5.578163115609569</v>
      </c>
      <c r="J35" s="391" t="s">
        <v>503</v>
      </c>
      <c r="K35" s="719" t="s">
        <v>503</v>
      </c>
      <c r="L35" s="719" t="s">
        <v>503</v>
      </c>
      <c r="M35" s="719" t="s">
        <v>503</v>
      </c>
      <c r="N35" s="719" t="s">
        <v>503</v>
      </c>
      <c r="O35" s="333">
        <f>VLOOKUP(A35,LF_Collection_Scenario,'Landfill Gas Collection'!$AB$13,FALSE)</f>
        <v>0.49274433224872805</v>
      </c>
      <c r="P35" s="318">
        <f>(P2*[1]Assumptions!$E$66)+(P3*[1]Assumptions!$E$67)+(P5*[1]Assumptions!$E$68)+(P9*[1]Assumptions!$E$72)+(P10*[1]Assumptions!$E$73)+(P11*[1]Assumptions!$E$74)+(P12*[1]Assumptions!$E$75)+(P13*[1]Assumptions!$E$76)+(P14*[1]Assumptions!$E$77)+(P15*[1]Assumptions!$E$78)+(P16*[1]Assumptions!$E$79)+(P34*SUM([1]Assumptions!$E$69:$E$71))</f>
        <v>-5.3735832344994812</v>
      </c>
      <c r="Q35" s="318">
        <f>VLOOKUP('Analysis Inputs'!$H$78,LF_Avoided_Utility_Ratio,2,FALSE)</f>
        <v>7.5875281375367018E-2</v>
      </c>
      <c r="R35" s="321" t="s">
        <v>503</v>
      </c>
      <c r="S35" s="9"/>
    </row>
    <row r="36" spans="1:19" x14ac:dyDescent="0.25">
      <c r="A36" s="89" t="s">
        <v>385</v>
      </c>
      <c r="B36" s="124" t="str">
        <f>IF('Analysis Inputs'!$N$86=2,VLOOKUP(A36,[2]!EnergySavings,8,FALSE),VLOOKUP(A36,[2]!EnergySavings,9,FALSE))</f>
        <v>NA</v>
      </c>
      <c r="C36" s="96" t="s">
        <v>503</v>
      </c>
      <c r="D36" s="10">
        <f>IF('Analysis Inputs'!$N$96=2,F36,IF('Analysis Inputs'!$N$96=3,E36,IF('Analysis Inputs'!$N$107=1,H36,G36)))</f>
        <v>0.26827304622443826</v>
      </c>
      <c r="E36" s="78">
        <f>VLOOKUP($A36,[2]!EnergySavings,19,FALSE)+IF('Analysis Inputs'!$N$166=2,(('Analysis Inputs'!$G$175-'Analysis Inputs'!$F$175)*$D$66),0)</f>
        <v>5.7040194903087038E-2</v>
      </c>
      <c r="F36" s="11">
        <f>VLOOKUP($A36,[2]!EnergySavings,17,FALSE)+IF('Analysis Inputs'!$N$166=2,(('Analysis Inputs'!$G$175-'Analysis Inputs'!$F$175)*$D$66),0)</f>
        <v>0.26827304622443826</v>
      </c>
      <c r="G36" s="11">
        <f>VLOOKUP($A36,[2]!EnergySavings,17,FALSE)+IF('Analysis Inputs'!$N$166=2,(('Analysis Inputs'!$G$175-'Analysis Inputs'!$F$175)*$D$66),0)</f>
        <v>0.26827304622443826</v>
      </c>
      <c r="H36" s="11">
        <f>(VLOOKUP(A36,[1]!LandfillTypicalNatlAverage,2,FALSE)*O36*(1-[1]Assumptions!$G$15)*(-Q36)*$C$69)+VLOOKUP($A36,[2]!EnergySavings,17,FALSE)+IF('Analysis Inputs'!$N$166=2,(('Analysis Inputs'!$G$175-'Analysis Inputs'!$F$175)*$D$66),0)</f>
        <v>-7.4938653584492199E-2</v>
      </c>
      <c r="I36" s="12">
        <f>VLOOKUP($A36,[2]!EnergySavings,15,FALSE)+P36+IF('Analysis Inputs'!$N$166=2,(('Analysis Inputs'!$G$176-'Analysis Inputs'!$F$176)*'Summary Data NRG'!$D$66),0)</f>
        <v>-1.8616079985312259</v>
      </c>
      <c r="J36" s="84">
        <f>'[1]Composting - Net Flux'!$M$5+IF('Analysis Inputs'!$N$166=2,(('Analysis Inputs'!$G$178-'Analysis Inputs'!$F$178)*$D$66),0)</f>
        <v>0.58399999999999996</v>
      </c>
      <c r="K36" s="719" t="s">
        <v>503</v>
      </c>
      <c r="L36" s="719" t="s">
        <v>503</v>
      </c>
      <c r="M36" s="733">
        <f>VLOOKUP($A36,'[2]Energy Savings by Material'!$B$2:$BC$60,48,FALSE)+IF('Analysis Inputs'!$N$166=2,(('Analysis Inputs'!$G$179-'Analysis Inputs'!$F$179)*'Summary Data NRG'!$D$66),0)+R36</f>
        <v>0.31494337562367825</v>
      </c>
      <c r="N36" s="733">
        <f>VLOOKUP($A36,'[2]Energy Savings by Material'!$B$2:$BC$60,53,FALSE)+IF('Analysis Inputs'!$N$166=2,(('Analysis Inputs'!$G$179-'Analysis Inputs'!$F$179)*'Summary Data NRG'!$D$66),0)+R36</f>
        <v>0.30425875685806458</v>
      </c>
      <c r="O36" s="333">
        <f>VLOOKUP(A36,LF_Collection_Scenario,'Landfill Gas Collection'!$AB$13,FALSE)</f>
        <v>0.53528784457415002</v>
      </c>
      <c r="P36" s="383">
        <f>((P17*[1]Assumptions!$B$92)+(P26*[1]Assumptions!$B$93))/[1]Assumptions!$B$94</f>
        <v>-2.1298810447556642</v>
      </c>
      <c r="Q36" s="318">
        <f>VLOOKUP('Analysis Inputs'!$H$78,LF_Avoided_Utility_Ratio,2,FALSE)</f>
        <v>7.5875281375367018E-2</v>
      </c>
      <c r="R36" s="318">
        <f>((IF(AND('Analysis Inputs'!$N$146=1,'Analysis Inputs'!$N$156=1),VLOOKUP($A36,'Avoided Utility'!$C$94:$G$107,2,FALSE),IF(AND('Analysis Inputs'!$N$146=1,'Analysis Inputs'!$N$156=2),VLOOKUP($A36,'Avoided Utility'!$C$94:$G$107,3,FALSE),IF(AND('Analysis Inputs'!$N$146=2,'Analysis Inputs'!$N$156=1),VLOOKUP($A36,'Avoided Utility'!$C$94:$G$107,4,FALSE),IF(AND('Analysis Inputs'!$N$146=2,'Analysis Inputs'!$N$156=2),VLOOKUP($A36,'Avoided Utility'!$C$94:$G$107,5,FALSE)))))))*btu_kwh/1000000/$C$72</f>
        <v>0</v>
      </c>
      <c r="S36" s="9"/>
    </row>
    <row r="37" spans="1:19" x14ac:dyDescent="0.25">
      <c r="A37" s="89" t="s">
        <v>574</v>
      </c>
      <c r="B37" s="124" t="str">
        <f>IF('Analysis Inputs'!$N$86=2,VLOOKUP(A37,[2]!EnergySavings,8,FALSE),VLOOKUP(A37,[2]!EnergySavings,9,FALSE))</f>
        <v>NA</v>
      </c>
      <c r="C37" s="96" t="s">
        <v>503</v>
      </c>
      <c r="D37" s="10">
        <f>IF('Analysis Inputs'!$N$96=2,F37,IF('Analysis Inputs'!$N$96=3,E37,IF('Analysis Inputs'!$N$107=1,H37,G37)))</f>
        <v>0.26827304622443826</v>
      </c>
      <c r="E37" s="78">
        <f>VLOOKUP($A37,[2]!EnergySavings,19,FALSE)+IF('Analysis Inputs'!$N$166=2,(('Analysis Inputs'!$G$175-'Analysis Inputs'!$F$175)*$D$66),0)</f>
        <v>-6.9800055866369615E-2</v>
      </c>
      <c r="F37" s="11">
        <f>VLOOKUP($A37,[2]!EnergySavings,17,FALSE)+IF('Analysis Inputs'!$N$166=2,(('Analysis Inputs'!$G$175-'Analysis Inputs'!$F$175)*$D$66),0)</f>
        <v>0.26827304622443826</v>
      </c>
      <c r="G37" s="11">
        <f>VLOOKUP($A37,[2]!EnergySavings,17,FALSE)+IF('Analysis Inputs'!$N$166=2,(('Analysis Inputs'!$G$175-'Analysis Inputs'!$F$175)*$D$66),0)</f>
        <v>0.26827304622443826</v>
      </c>
      <c r="H37" s="11">
        <f>(VLOOKUP(A37,[1]!LandfillTypicalNatlAverage,2,FALSE)*O37*(1-[1]Assumptions!$G$15)*(-Q37)*$C$69)+VLOOKUP($A37,[2]!EnergySavings,17,FALSE)+IF('Analysis Inputs'!$N$166=2,(('Analysis Inputs'!$G$175-'Analysis Inputs'!$F$175)*$D$66),0)</f>
        <v>-0.24250354609851354</v>
      </c>
      <c r="I37" s="12">
        <f>VLOOKUP($A37,[2]!EnergySavings,15,FALSE)+P37+IF('Analysis Inputs'!$N$166=2,(('Analysis Inputs'!$G$176-'Analysis Inputs'!$F$176)*'Summary Data NRG'!$D$66),0)</f>
        <v>-3.865217462884571</v>
      </c>
      <c r="J37" s="391" t="s">
        <v>503</v>
      </c>
      <c r="K37" s="719" t="s">
        <v>503</v>
      </c>
      <c r="L37" s="719" t="s">
        <v>503</v>
      </c>
      <c r="M37" s="733" t="s">
        <v>503</v>
      </c>
      <c r="N37" s="719" t="s">
        <v>503</v>
      </c>
      <c r="O37" s="333">
        <f>VLOOKUP(A37,LF_Collection_Scenario,'Landfill Gas Collection'!$AB$13,FALSE)</f>
        <v>0.60624294032463566</v>
      </c>
      <c r="P37" s="318">
        <f>-(VLOOKUP(A37,[1]!Avoided_utility_national,4,FALSE)*VLOOKUP(A37,[1]!Avoided_utility_national,5,FALSE))/$C$72</f>
        <v>-4.1334905091090093</v>
      </c>
      <c r="Q37" s="318">
        <f>VLOOKUP('Analysis Inputs'!$H$78,LF_Avoided_Utility_Ratio,2,FALSE)</f>
        <v>7.5875281375367018E-2</v>
      </c>
      <c r="R37" s="321" t="s">
        <v>503</v>
      </c>
      <c r="S37" s="9"/>
    </row>
    <row r="38" spans="1:19" x14ac:dyDescent="0.25">
      <c r="A38" s="111" t="s">
        <v>573</v>
      </c>
      <c r="B38" s="124">
        <f>IF('Analysis Inputs'!$N$86=2,VLOOKUP(A38,[2]!EnergySavings,8,FALSE),VLOOKUP(A38,[2]!EnergySavings,9,FALSE))</f>
        <v>-91.064720000000023</v>
      </c>
      <c r="C38" s="96">
        <f>VLOOKUP(A38,[2]!EnergySavings,12,FALSE)+IF('Analysis Inputs'!$N$166=2,(('Analysis Inputs'!$G$177-'Analysis Inputs'!$F$177)*'Summary Data NRG'!$D$66),0)</f>
        <v>-21.473523219143274</v>
      </c>
      <c r="D38" s="10">
        <f>IF('Analysis Inputs'!$N$96=2,F38,IF('Analysis Inputs'!$N$96=3,E38,IF('Analysis Inputs'!$N$107=1,H38,G38)))</f>
        <v>0.26827304622443826</v>
      </c>
      <c r="E38" s="78">
        <f>VLOOKUP($A38,[2]!EnergySavings,19,FALSE)+IF('Analysis Inputs'!$N$166=2,(('Analysis Inputs'!$G$175-'Analysis Inputs'!$F$175)*$D$66),0)</f>
        <v>0.26827304622443826</v>
      </c>
      <c r="F38" s="11">
        <f>VLOOKUP($A38,[2]!EnergySavings,17,FALSE)+IF('Analysis Inputs'!$N$166=2,(('Analysis Inputs'!$G$175-'Analysis Inputs'!$F$175)*$D$66),0)</f>
        <v>0.26827304622443826</v>
      </c>
      <c r="G38" s="11">
        <f>VLOOKUP($A38,[2]!EnergySavings,17,FALSE)+IF('Analysis Inputs'!$N$166=2,(('Analysis Inputs'!$G$175-'Analysis Inputs'!$F$175)*$D$66),0)</f>
        <v>0.26827304622443826</v>
      </c>
      <c r="H38" s="11">
        <f t="shared" ref="H38:H43" si="3">E38</f>
        <v>0.26827304622443826</v>
      </c>
      <c r="I38" s="12">
        <f>VLOOKUP($A38,[2]!EnergySavings,15,FALSE)+P38+IF('Analysis Inputs'!$N$166=2,(('Analysis Inputs'!$G$176-'Analysis Inputs'!$F$176)*'Summary Data NRG'!$D$66),0)</f>
        <v>-6.0146325276212558</v>
      </c>
      <c r="J38" s="391" t="s">
        <v>503</v>
      </c>
      <c r="K38" s="718" t="s">
        <v>503</v>
      </c>
      <c r="L38" s="718" t="s">
        <v>503</v>
      </c>
      <c r="M38" s="718" t="s">
        <v>503</v>
      </c>
      <c r="N38" s="718" t="s">
        <v>503</v>
      </c>
      <c r="O38" s="333" t="str">
        <f>VLOOKUP(A38,LF_Collection_Scenario,'Landfill Gas Collection'!$AB$13,FALSE)</f>
        <v>--</v>
      </c>
      <c r="P38" s="318">
        <f>-(VLOOKUP(A38,[1]!Avoided_utility_national,4,FALSE)*VLOOKUP(A38,[1]!Avoided_utility_national,5,FALSE))/$C$72</f>
        <v>-6.282905573845694</v>
      </c>
      <c r="Q38" s="319" t="s">
        <v>503</v>
      </c>
      <c r="R38" s="321" t="s">
        <v>503</v>
      </c>
      <c r="S38" s="9"/>
    </row>
    <row r="39" spans="1:19" s="3" customFormat="1" x14ac:dyDescent="0.25">
      <c r="A39" s="89" t="s">
        <v>423</v>
      </c>
      <c r="B39" s="124">
        <f>IF('Analysis Inputs'!$N$86=2,VLOOKUP(A39,[2]!EnergySavings,8,FALSE),VLOOKUP(A39,[2]!EnergySavings,9,FALSE))</f>
        <v>-956.74208205372872</v>
      </c>
      <c r="C39" s="96">
        <f>VLOOKUP(A39,[2]!EnergySavings,12,FALSE)+IF('Analysis Inputs'!$N$166=2,(('Analysis Inputs'!$G$177-'Analysis Inputs'!$F$177)*'Summary Data NRG'!$D$66),0)</f>
        <v>-29.154004151975091</v>
      </c>
      <c r="D39" s="10">
        <f>IF('Analysis Inputs'!$N$96=2,F39,IF('Analysis Inputs'!$N$96=3,E39,IF('Analysis Inputs'!$N$107=1,H39,G39)))</f>
        <v>0.26827304622443826</v>
      </c>
      <c r="E39" s="78">
        <f>VLOOKUP($A39,[2]!EnergySavings,19,FALSE)+IF('Analysis Inputs'!$N$166=2,(('Analysis Inputs'!$G$175-'Analysis Inputs'!$F$175)*$D$66),0)</f>
        <v>0.26827304622443826</v>
      </c>
      <c r="F39" s="11">
        <f>VLOOKUP($A39,[2]!EnergySavings,17,FALSE)+IF('Analysis Inputs'!$N$166=2,(('Analysis Inputs'!$G$175-'Analysis Inputs'!$F$175)*$D$66),0)</f>
        <v>0.26827304622443826</v>
      </c>
      <c r="G39" s="11">
        <f>VLOOKUP($A39,[2]!EnergySavings,17,FALSE)+IF('Analysis Inputs'!$N$166=2,(('Analysis Inputs'!$G$175-'Analysis Inputs'!$F$175)*$D$66),0)</f>
        <v>0.26827304622443826</v>
      </c>
      <c r="H39" s="11">
        <f t="shared" si="3"/>
        <v>0.26827304622443826</v>
      </c>
      <c r="I39" s="12">
        <f>SUM(VLOOKUP(A39,[2]!EnergySavings,14,FALSE),VLOOKUP(A39,[2]!EnergySavings,15,FALSE))+P39+IF('Analysis Inputs'!$N$166=2,(('Analysis Inputs'!$G$176-'Analysis Inputs'!$F$176)*'Summary Data NRG'!$D$66),0)</f>
        <v>-6.035844856584804</v>
      </c>
      <c r="J39" s="391" t="s">
        <v>503</v>
      </c>
      <c r="K39" s="718" t="s">
        <v>503</v>
      </c>
      <c r="L39" s="718" t="s">
        <v>503</v>
      </c>
      <c r="M39" s="718" t="s">
        <v>503</v>
      </c>
      <c r="N39" s="718" t="s">
        <v>503</v>
      </c>
      <c r="O39" s="333" t="str">
        <f>VLOOKUP(A39,LF_Collection_Scenario,'Landfill Gas Collection'!$AB$13,FALSE)</f>
        <v>--</v>
      </c>
      <c r="P39" s="318">
        <f>-(VLOOKUP(A39,[1]!Avoided_utility_national,4,FALSE)*VLOOKUP(A39,[1]!Avoided_utility_national,5,FALSE))/$C$72</f>
        <v>-1.267603756126763</v>
      </c>
      <c r="Q39" s="319" t="s">
        <v>503</v>
      </c>
      <c r="R39" s="321" t="s">
        <v>503</v>
      </c>
      <c r="S39" s="10"/>
    </row>
    <row r="40" spans="1:19" x14ac:dyDescent="0.25">
      <c r="A40" s="111" t="s">
        <v>455</v>
      </c>
      <c r="B40" s="124">
        <f>IF('Analysis Inputs'!$N$86=2,VLOOKUP(A40,[2]!EnergySavings,8,FALSE),VLOOKUP(A40,[2]!EnergySavings,9,FALSE))</f>
        <v>-5.1314789596929602</v>
      </c>
      <c r="C40" s="96" t="s">
        <v>503</v>
      </c>
      <c r="D40" s="10">
        <f>IF('Analysis Inputs'!$N$96=2,F40,IF('Analysis Inputs'!$N$96=3,E40,IF('Analysis Inputs'!$N$107=1,H40,G40)))</f>
        <v>0.26827304622443826</v>
      </c>
      <c r="E40" s="78">
        <f>VLOOKUP($A40,[2]!EnergySavings,19,FALSE)+IF('Analysis Inputs'!$N$166=2,(('Analysis Inputs'!$G$175-'Analysis Inputs'!$F$175)*$D$66),0)</f>
        <v>0.26827304622443826</v>
      </c>
      <c r="F40" s="11">
        <f>VLOOKUP($A40,[2]!EnergySavings,17,FALSE)+IF('Analysis Inputs'!$N$166=2,(('Analysis Inputs'!$G$175-'Analysis Inputs'!$F$175)*$D$66),0)</f>
        <v>0.26827304622443826</v>
      </c>
      <c r="G40" s="11">
        <f>VLOOKUP($A40,[2]!EnergySavings,17,FALSE)+IF('Analysis Inputs'!$N$166=2,(('Analysis Inputs'!$G$175-'Analysis Inputs'!$F$175)*$D$66),0)</f>
        <v>0.26827304622443826</v>
      </c>
      <c r="H40" s="11">
        <f t="shared" si="3"/>
        <v>0.26827304622443826</v>
      </c>
      <c r="I40" s="71" t="s">
        <v>503</v>
      </c>
      <c r="J40" s="391" t="s">
        <v>503</v>
      </c>
      <c r="K40" s="718" t="s">
        <v>503</v>
      </c>
      <c r="L40" s="718" t="s">
        <v>503</v>
      </c>
      <c r="M40" s="718" t="s">
        <v>503</v>
      </c>
      <c r="N40" s="718" t="s">
        <v>503</v>
      </c>
      <c r="O40" s="333" t="str">
        <f>VLOOKUP(A40,LF_Collection_Scenario,'Landfill Gas Collection'!$AB$13,FALSE)</f>
        <v>--</v>
      </c>
      <c r="P40" s="321" t="s">
        <v>503</v>
      </c>
      <c r="Q40" s="319" t="s">
        <v>503</v>
      </c>
      <c r="R40" s="321" t="s">
        <v>503</v>
      </c>
      <c r="S40" s="9"/>
    </row>
    <row r="41" spans="1:19" x14ac:dyDescent="0.25">
      <c r="A41" s="111" t="s">
        <v>476</v>
      </c>
      <c r="B41" s="124" t="str">
        <f>IF('Analysis Inputs'!$N$86=2,VLOOKUP(A41,[2]!EnergySavings,8,FALSE),VLOOKUP(A41,[2]!EnergySavings,9,FALSE))</f>
        <v>NA</v>
      </c>
      <c r="C41" s="96">
        <f>VLOOKUP(A41,[2]!EnergySavings,12,FALSE)+IF('Analysis Inputs'!$N$166=2,(('Analysis Inputs'!$G$177-'Analysis Inputs'!$F$177)*'Summary Data NRG'!$D$66),0)</f>
        <v>-0.10682211567448255</v>
      </c>
      <c r="D41" s="10">
        <f>IF('Analysis Inputs'!$N$96=2,F41,IF('Analysis Inputs'!$N$96=3,E41,IF('Analysis Inputs'!$N$107=1,H41,G41)))</f>
        <v>0.26827304622443826</v>
      </c>
      <c r="E41" s="78">
        <f>VLOOKUP($A41,[2]!EnergySavings,19,FALSE)+IF('Analysis Inputs'!$N$166=2,(('Analysis Inputs'!$G$175-'Analysis Inputs'!$F$175)*$D$66),0)</f>
        <v>0.26827304622443826</v>
      </c>
      <c r="F41" s="11">
        <f>VLOOKUP($A41,[2]!EnergySavings,17,FALSE)+IF('Analysis Inputs'!$N$166=2,(('Analysis Inputs'!$G$175-'Analysis Inputs'!$F$175)*$D$66),0)</f>
        <v>0.26827304622443826</v>
      </c>
      <c r="G41" s="11">
        <f>VLOOKUP($A41,[2]!EnergySavings,17,FALSE)+IF('Analysis Inputs'!$N$166=2,(('Analysis Inputs'!$G$175-'Analysis Inputs'!$F$175)*$D$66),0)</f>
        <v>0.26827304622443826</v>
      </c>
      <c r="H41" s="11">
        <f t="shared" si="3"/>
        <v>0.26827304622443826</v>
      </c>
      <c r="I41" s="71" t="s">
        <v>503</v>
      </c>
      <c r="J41" s="391" t="s">
        <v>503</v>
      </c>
      <c r="K41" s="718" t="s">
        <v>503</v>
      </c>
      <c r="L41" s="718" t="s">
        <v>503</v>
      </c>
      <c r="M41" s="718" t="s">
        <v>503</v>
      </c>
      <c r="N41" s="718" t="s">
        <v>503</v>
      </c>
      <c r="O41" s="333" t="str">
        <f>VLOOKUP(A41,LF_Collection_Scenario,'Landfill Gas Collection'!$AB$13,FALSE)</f>
        <v>--</v>
      </c>
      <c r="P41" s="321" t="s">
        <v>503</v>
      </c>
      <c r="Q41" s="319" t="s">
        <v>503</v>
      </c>
      <c r="R41" s="321" t="s">
        <v>503</v>
      </c>
      <c r="S41" s="9"/>
    </row>
    <row r="42" spans="1:19" x14ac:dyDescent="0.25">
      <c r="A42" s="111" t="s">
        <v>131</v>
      </c>
      <c r="B42" s="124" t="str">
        <f>IF('Analysis Inputs'!$N$86=2,VLOOKUP(A42,[2]!EnergySavings,8,FALSE),VLOOKUP(A42,[2]!EnergySavings,9,FALSE))</f>
        <v>NA</v>
      </c>
      <c r="C42" s="96">
        <f>VLOOKUP(A42,[2]!EnergySavings,12,FALSE)+IF('Analysis Inputs'!$N$166=2,(('Analysis Inputs'!$G$177-'Analysis Inputs'!$F$177)*'Summary Data NRG'!$D$66),0)</f>
        <v>-4.7666763130925007</v>
      </c>
      <c r="D42" s="10">
        <f>IF('Analysis Inputs'!$N$96=2,F42,IF('Analysis Inputs'!$N$96=3,E42,IF('Analysis Inputs'!$N$107=1,H42,G42)))</f>
        <v>0.26827304622443826</v>
      </c>
      <c r="E42" s="78">
        <f>VLOOKUP($A42,[2]!EnergySavings,19,FALSE)+IF('Analysis Inputs'!$N$166=2,(('Analysis Inputs'!$G$175-'Analysis Inputs'!$F$175)*$D$66),0)</f>
        <v>0.26827304622443826</v>
      </c>
      <c r="F42" s="11">
        <f>VLOOKUP($A42,[2]!EnergySavings,17,FALSE)+IF('Analysis Inputs'!$N$166=2,(('Analysis Inputs'!$G$175-'Analysis Inputs'!$F$175)*$D$66),0)</f>
        <v>0.26827304622443826</v>
      </c>
      <c r="G42" s="11">
        <f>VLOOKUP($A42,[2]!EnergySavings,17,FALSE)+IF('Analysis Inputs'!$N$166=2,(('Analysis Inputs'!$G$175-'Analysis Inputs'!$F$175)*$D$66),0)</f>
        <v>0.26827304622443826</v>
      </c>
      <c r="H42" s="11">
        <f t="shared" si="3"/>
        <v>0.26827304622443826</v>
      </c>
      <c r="I42" s="71" t="s">
        <v>503</v>
      </c>
      <c r="J42" s="391" t="s">
        <v>503</v>
      </c>
      <c r="K42" s="718" t="s">
        <v>503</v>
      </c>
      <c r="L42" s="718" t="s">
        <v>503</v>
      </c>
      <c r="M42" s="718" t="s">
        <v>503</v>
      </c>
      <c r="N42" s="718" t="s">
        <v>503</v>
      </c>
      <c r="O42" s="333" t="str">
        <f>VLOOKUP(A42,LF_Collection_Scenario,'Landfill Gas Collection'!$AB$13,FALSE)</f>
        <v>--</v>
      </c>
      <c r="P42" s="321" t="s">
        <v>503</v>
      </c>
      <c r="Q42" s="319" t="s">
        <v>503</v>
      </c>
      <c r="R42" s="321" t="s">
        <v>503</v>
      </c>
      <c r="S42" s="9"/>
    </row>
    <row r="43" spans="1:19" x14ac:dyDescent="0.25">
      <c r="A43" s="111" t="s">
        <v>444</v>
      </c>
      <c r="B43" s="124">
        <f>IF('Analysis Inputs'!$N$86=2,VLOOKUP(A43,[2]!EnergySavings,8,FALSE),VLOOKUP(A43,[2]!EnergySavings,9,FALSE))</f>
        <v>-74.326977160364933</v>
      </c>
      <c r="C43" s="96">
        <f>VLOOKUP(A43,[2]!EnergySavings,12,FALSE)+IF('Analysis Inputs'!$N$166=2,(('Analysis Inputs'!$G$177-'Analysis Inputs'!$F$177)*'Summary Data NRG'!$D$66),0)</f>
        <v>-3.5602948558483529</v>
      </c>
      <c r="D43" s="10">
        <f>IF('Analysis Inputs'!$N$96=2,F43,IF('Analysis Inputs'!$N$96=3,E43,IF('Analysis Inputs'!$N$107=1,H43,G43)))</f>
        <v>0.26827304622443826</v>
      </c>
      <c r="E43" s="78">
        <f>VLOOKUP($A43,[2]!EnergySavings,19,FALSE)+IF('Analysis Inputs'!$N$166=2,(('Analysis Inputs'!$G$175-'Analysis Inputs'!$F$175)*$D$66),0)</f>
        <v>0.26827304622443826</v>
      </c>
      <c r="F43" s="11">
        <f>VLOOKUP($A43,[2]!EnergySavings,17,FALSE)+IF('Analysis Inputs'!$N$166=2,(('Analysis Inputs'!$G$175-'Analysis Inputs'!$F$175)*$D$66),0)</f>
        <v>0.26827304622443826</v>
      </c>
      <c r="G43" s="11">
        <f>VLOOKUP($A43,[2]!EnergySavings,17,FALSE)+IF('Analysis Inputs'!$N$166=2,(('Analysis Inputs'!$G$175-'Analysis Inputs'!$F$175)*$D$66),0)</f>
        <v>0.26827304622443826</v>
      </c>
      <c r="H43" s="11">
        <f t="shared" si="3"/>
        <v>0.26827304622443826</v>
      </c>
      <c r="I43" s="12">
        <f>SUM(VLOOKUP(A43,[2]!EnergySavings,14,FALSE),VLOOKUP(A43,[2]!EnergySavings,15,FALSE))+P43+IF('Analysis Inputs'!$N$166=2,(('Analysis Inputs'!$G$176-'Analysis Inputs'!$F$176)*'Summary Data NRG'!$D$66),0)</f>
        <v>-28.520246356755237</v>
      </c>
      <c r="J43" s="391" t="s">
        <v>503</v>
      </c>
      <c r="K43" s="718" t="s">
        <v>503</v>
      </c>
      <c r="L43" s="718" t="s">
        <v>503</v>
      </c>
      <c r="M43" s="718" t="s">
        <v>503</v>
      </c>
      <c r="N43" s="718" t="s">
        <v>503</v>
      </c>
      <c r="O43" s="333" t="str">
        <f>VLOOKUP(A43,LF_Collection_Scenario,'Landfill Gas Collection'!$AB$13,FALSE)</f>
        <v>--</v>
      </c>
      <c r="P43" s="383">
        <f>-(VLOOKUP(A43,[1]!Avoided_utility_national,4,FALSE))</f>
        <v>-27.777777777777775</v>
      </c>
      <c r="Q43" s="319" t="s">
        <v>503</v>
      </c>
      <c r="R43" s="321" t="s">
        <v>503</v>
      </c>
    </row>
    <row r="44" spans="1:19" x14ac:dyDescent="0.25">
      <c r="A44" s="346" t="s">
        <v>53</v>
      </c>
      <c r="B44" s="124">
        <f>IF('Analysis Inputs'!$N$86=2,VLOOKUP(A44,[2]!EnergySavings,8,FALSE),VLOOKUP(A44,[2]!EnergySavings,9,FALSE))</f>
        <v>-1.6794485293324295</v>
      </c>
      <c r="C44" s="96">
        <f>VLOOKUP(A44,[2]!EnergySavings,12,FALSE)+IF('Analysis Inputs'!$N$166=2,(('Analysis Inputs'!$G$177-'Analysis Inputs'!$F$177)*'Summary Data NRG'!$D$66),0)</f>
        <v>-1.2205762377670069</v>
      </c>
      <c r="D44" s="10">
        <f>IF('Analysis Inputs'!$N$96=2,F44,IF('Analysis Inputs'!$N$96=3,E44,IF('Analysis Inputs'!$N$107=1,H44,G44)))</f>
        <v>0.26827304622443826</v>
      </c>
      <c r="E44" s="78">
        <f>VLOOKUP($A44,[2]!EnergySavings,19,FALSE)+IF('Analysis Inputs'!$N$166=2,(('Analysis Inputs'!$G$175-'Analysis Inputs'!$F$175)*$D$66),0)</f>
        <v>0.26827304622443826</v>
      </c>
      <c r="F44" s="11">
        <f t="shared" ref="F44:F49" si="4">+E44</f>
        <v>0.26827304622443826</v>
      </c>
      <c r="G44" s="11">
        <f t="shared" ref="G44:G49" si="5">E44</f>
        <v>0.26827304622443826</v>
      </c>
      <c r="H44" s="11">
        <f t="shared" ref="H44:H49" si="6">E44</f>
        <v>0.26827304622443826</v>
      </c>
      <c r="I44" s="359" t="s">
        <v>503</v>
      </c>
      <c r="J44" s="391" t="s">
        <v>503</v>
      </c>
      <c r="K44" s="718" t="s">
        <v>503</v>
      </c>
      <c r="L44" s="718" t="s">
        <v>503</v>
      </c>
      <c r="M44" s="718" t="s">
        <v>503</v>
      </c>
      <c r="N44" s="718" t="s">
        <v>503</v>
      </c>
      <c r="O44" s="333" t="str">
        <f>VLOOKUP(A44,LF_Collection_Scenario,'Landfill Gas Collection'!$AB$13,FALSE)</f>
        <v>--</v>
      </c>
      <c r="P44" s="364" t="s">
        <v>503</v>
      </c>
      <c r="Q44" s="319" t="s">
        <v>503</v>
      </c>
      <c r="R44" s="321" t="s">
        <v>503</v>
      </c>
    </row>
    <row r="45" spans="1:19" x14ac:dyDescent="0.25">
      <c r="A45" s="346" t="s">
        <v>54</v>
      </c>
      <c r="B45" s="124">
        <f>IF('Analysis Inputs'!$N$86=2,VLOOKUP(A45,[2]!EnergySavings,8,FALSE),VLOOKUP(A45,[2]!EnergySavings,9,FALSE))</f>
        <v>-3.1290380094721417</v>
      </c>
      <c r="C45" s="96">
        <f>VLOOKUP(A45,[2]!EnergySavings,12,FALSE)+IF('Analysis Inputs'!$N$166=2,(('Analysis Inputs'!$G$177-'Analysis Inputs'!$F$177)*'Summary Data NRG'!$D$66),0)</f>
        <v>-2.4334558234493109</v>
      </c>
      <c r="D45" s="10">
        <f>IF('Analysis Inputs'!$N$96=2,F45,IF('Analysis Inputs'!$N$96=3,E45,IF('Analysis Inputs'!$N$107=1,H45,G45)))</f>
        <v>0.26827304622443826</v>
      </c>
      <c r="E45" s="78">
        <f>VLOOKUP($A45,[2]!EnergySavings,19,FALSE)+IF('Analysis Inputs'!$N$166=2,(('Analysis Inputs'!$G$175-'Analysis Inputs'!$F$175)*$D$66),0)</f>
        <v>0.26827304622443826</v>
      </c>
      <c r="F45" s="11">
        <f t="shared" si="4"/>
        <v>0.26827304622443826</v>
      </c>
      <c r="G45" s="11">
        <f t="shared" si="5"/>
        <v>0.26827304622443826</v>
      </c>
      <c r="H45" s="11">
        <f t="shared" si="6"/>
        <v>0.26827304622443826</v>
      </c>
      <c r="I45" s="12">
        <f>VLOOKUP(A45,[2]!EnergySavings,15,FALSE)+P45+IF('Analysis Inputs'!$N$166=2,(('Analysis Inputs'!$G$176-'Analysis Inputs'!$F$176)*'Summary Data NRG'!$D$66),0)</f>
        <v>-8.5317269537755607</v>
      </c>
      <c r="J45" s="391" t="s">
        <v>503</v>
      </c>
      <c r="K45" s="718" t="s">
        <v>503</v>
      </c>
      <c r="L45" s="718" t="s">
        <v>503</v>
      </c>
      <c r="M45" s="718" t="s">
        <v>503</v>
      </c>
      <c r="N45" s="718" t="s">
        <v>503</v>
      </c>
      <c r="O45" s="333" t="str">
        <f>VLOOKUP(A45,LF_Collection_Scenario,'Landfill Gas Collection'!$AB$13,FALSE)</f>
        <v>--</v>
      </c>
      <c r="P45" s="383">
        <f>-(VLOOKUP(A45,[1]!Avoided_utility_national,4,FALSE))</f>
        <v>-8.7999999999999989</v>
      </c>
      <c r="Q45" s="319" t="s">
        <v>503</v>
      </c>
      <c r="R45" s="321" t="s">
        <v>503</v>
      </c>
    </row>
    <row r="46" spans="1:19" x14ac:dyDescent="0.25">
      <c r="A46" s="346" t="s">
        <v>55</v>
      </c>
      <c r="B46" s="124">
        <f>IF('Analysis Inputs'!$N$86=2,VLOOKUP(A46,[2]!EnergySavings,8,FALSE),VLOOKUP(A46,[2]!EnergySavings,9,FALSE))</f>
        <v>-3.5601579633859353</v>
      </c>
      <c r="C46" s="96">
        <f>VLOOKUP(A46,[2]!EnergySavings,12,FALSE)+IF('Analysis Inputs'!$N$166=2,(('Analysis Inputs'!$G$177-'Analysis Inputs'!$F$177)*'Summary Data NRG'!$D$66),0)</f>
        <v>-2.6170139135801853</v>
      </c>
      <c r="D46" s="10">
        <f>IF('Analysis Inputs'!$N$96=2,F46,IF('Analysis Inputs'!$N$96=3,E46,IF('Analysis Inputs'!$N$107=1,H46,G46)))</f>
        <v>0.26827304622443826</v>
      </c>
      <c r="E46" s="78">
        <f>VLOOKUP($A46,[2]!EnergySavings,19,FALSE)+IF('Analysis Inputs'!$N$166=2,(('Analysis Inputs'!$G$175-'Analysis Inputs'!$F$175)*$D$66),0)</f>
        <v>0.26827304622443826</v>
      </c>
      <c r="F46" s="11">
        <f t="shared" si="4"/>
        <v>0.26827304622443826</v>
      </c>
      <c r="G46" s="11">
        <f t="shared" si="5"/>
        <v>0.26827304622443826</v>
      </c>
      <c r="H46" s="11">
        <f t="shared" si="6"/>
        <v>0.26827304622443826</v>
      </c>
      <c r="I46" s="359" t="s">
        <v>503</v>
      </c>
      <c r="J46" s="391" t="s">
        <v>503</v>
      </c>
      <c r="K46" s="718" t="s">
        <v>503</v>
      </c>
      <c r="L46" s="718" t="s">
        <v>503</v>
      </c>
      <c r="M46" s="718" t="s">
        <v>503</v>
      </c>
      <c r="N46" s="718" t="s">
        <v>503</v>
      </c>
      <c r="O46" s="333" t="str">
        <f>VLOOKUP(A46,LF_Collection_Scenario,'Landfill Gas Collection'!$AB$13,FALSE)</f>
        <v>--</v>
      </c>
      <c r="P46" s="364" t="s">
        <v>503</v>
      </c>
      <c r="Q46" s="319" t="s">
        <v>503</v>
      </c>
      <c r="R46" s="321" t="s">
        <v>503</v>
      </c>
    </row>
    <row r="47" spans="1:19" x14ac:dyDescent="0.25">
      <c r="A47" s="346" t="s">
        <v>56</v>
      </c>
      <c r="B47" s="124">
        <f>IF('Analysis Inputs'!$N$86=2,VLOOKUP(A47,[2]!EnergySavings,8,FALSE),VLOOKUP(A47,[2]!EnergySavings,9,FALSE))</f>
        <v>-5.5630471655475819</v>
      </c>
      <c r="C47" s="127" t="s">
        <v>503</v>
      </c>
      <c r="D47" s="10">
        <f>IF('Analysis Inputs'!$N$96=2,F47,IF('Analysis Inputs'!$N$96=3,E47,IF('Analysis Inputs'!$N$107=1,H47,G47)))</f>
        <v>0.26827304622443826</v>
      </c>
      <c r="E47" s="78">
        <f>VLOOKUP($A47,[2]!EnergySavings,19,FALSE)+IF('Analysis Inputs'!$N$166=2,(('Analysis Inputs'!$G$175-'Analysis Inputs'!$F$175)*$D$66),0)</f>
        <v>0.26827304622443826</v>
      </c>
      <c r="F47" s="11">
        <f t="shared" si="4"/>
        <v>0.26827304622443826</v>
      </c>
      <c r="G47" s="11">
        <f t="shared" si="5"/>
        <v>0.26827304622443826</v>
      </c>
      <c r="H47" s="11">
        <f t="shared" si="6"/>
        <v>0.26827304622443826</v>
      </c>
      <c r="I47" s="359" t="s">
        <v>503</v>
      </c>
      <c r="J47" s="391" t="s">
        <v>503</v>
      </c>
      <c r="K47" s="718" t="s">
        <v>503</v>
      </c>
      <c r="L47" s="718" t="s">
        <v>503</v>
      </c>
      <c r="M47" s="718" t="s">
        <v>503</v>
      </c>
      <c r="N47" s="718" t="s">
        <v>503</v>
      </c>
      <c r="O47" s="333" t="str">
        <f>VLOOKUP(A47,LF_Collection_Scenario,'Landfill Gas Collection'!$AB$13,FALSE)</f>
        <v>--</v>
      </c>
      <c r="P47" s="364" t="s">
        <v>503</v>
      </c>
      <c r="Q47" s="319" t="s">
        <v>503</v>
      </c>
      <c r="R47" s="321" t="s">
        <v>503</v>
      </c>
    </row>
    <row r="48" spans="1:19" x14ac:dyDescent="0.25">
      <c r="A48" s="346" t="s">
        <v>57</v>
      </c>
      <c r="B48" s="124">
        <f>IF('Analysis Inputs'!$N$86=2,VLOOKUP(A48,[2]!EnergySavings,8,FALSE),VLOOKUP(A48,[2]!EnergySavings,9,FALSE))</f>
        <v>-10.726430452626698</v>
      </c>
      <c r="C48" s="127" t="s">
        <v>503</v>
      </c>
      <c r="D48" s="10">
        <f>IF('Analysis Inputs'!$N$96=2,F48,IF('Analysis Inputs'!$N$96=3,E48,IF('Analysis Inputs'!$N$107=1,H48,G48)))</f>
        <v>0.26827304622443826</v>
      </c>
      <c r="E48" s="78">
        <f>VLOOKUP($A48,[2]!EnergySavings,19,FALSE)+IF('Analysis Inputs'!$N$166=2,(('Analysis Inputs'!$G$175-'Analysis Inputs'!$F$175)*$D$66),0)</f>
        <v>0.26827304622443826</v>
      </c>
      <c r="F48" s="11">
        <f t="shared" si="4"/>
        <v>0.26827304622443826</v>
      </c>
      <c r="G48" s="11">
        <f t="shared" si="5"/>
        <v>0.26827304622443826</v>
      </c>
      <c r="H48" s="11">
        <f t="shared" si="6"/>
        <v>0.26827304622443826</v>
      </c>
      <c r="I48" s="12">
        <f>VLOOKUP(A48,[2]!EnergySavings,15,FALSE)+P48+IF('Analysis Inputs'!$N$166=2,(('Analysis Inputs'!$G$176-'Analysis Inputs'!$F$176)*'Summary Data NRG'!$D$66),0)</f>
        <v>-6.2419745056222515</v>
      </c>
      <c r="J48" s="391" t="s">
        <v>503</v>
      </c>
      <c r="K48" s="718" t="s">
        <v>503</v>
      </c>
      <c r="L48" s="718" t="s">
        <v>503</v>
      </c>
      <c r="M48" s="718" t="s">
        <v>503</v>
      </c>
      <c r="N48" s="718" t="s">
        <v>503</v>
      </c>
      <c r="O48" s="333" t="str">
        <f>VLOOKUP(A48,LF_Collection_Scenario,'Landfill Gas Collection'!$AB$13,FALSE)</f>
        <v>--</v>
      </c>
      <c r="P48" s="381">
        <f>-(VLOOKUP(A48,[1]!Avoided_utility_national,4,FALSE)*VLOOKUP(A48,[1]!Avoided_utility_national,5,FALSE))/$C$72</f>
        <v>-6.5102475518466898</v>
      </c>
      <c r="Q48" s="319" t="s">
        <v>503</v>
      </c>
      <c r="R48" s="321" t="s">
        <v>503</v>
      </c>
    </row>
    <row r="49" spans="1:18" x14ac:dyDescent="0.25">
      <c r="A49" s="346" t="s">
        <v>58</v>
      </c>
      <c r="B49" s="124">
        <f>IF('Analysis Inputs'!$N$86=2,VLOOKUP(A49,[2]!EnergySavings,8,FALSE),VLOOKUP(A49,[2]!EnergySavings,9,FALSE))</f>
        <v>-14.449222251883416</v>
      </c>
      <c r="C49" s="127" t="s">
        <v>503</v>
      </c>
      <c r="D49" s="10">
        <f>IF('Analysis Inputs'!$N$96=2,F49,IF('Analysis Inputs'!$N$96=3,E49,IF('Analysis Inputs'!$N$107=1,H49,G49)))</f>
        <v>0.26827304622443826</v>
      </c>
      <c r="E49" s="78">
        <f>VLOOKUP($A49,[2]!EnergySavings,19,FALSE)+IF('Analysis Inputs'!$N$166=2,(('Analysis Inputs'!$G$175-'Analysis Inputs'!$F$175)*$D$66),0)</f>
        <v>0.26827304622443826</v>
      </c>
      <c r="F49" s="11">
        <f t="shared" si="4"/>
        <v>0.26827304622443826</v>
      </c>
      <c r="G49" s="11">
        <f t="shared" si="5"/>
        <v>0.26827304622443826</v>
      </c>
      <c r="H49" s="11">
        <f t="shared" si="6"/>
        <v>0.26827304622443826</v>
      </c>
      <c r="I49" s="12">
        <f>VLOOKUP(A49,[2]!EnergySavings,15,FALSE)+P49+IF('Analysis Inputs'!$N$166=2,(('Analysis Inputs'!$G$176-'Analysis Inputs'!$F$176)*'Summary Data NRG'!$D$66),0)</f>
        <v>-8.7116644488512716</v>
      </c>
      <c r="J49" s="391" t="s">
        <v>503</v>
      </c>
      <c r="K49" s="718" t="s">
        <v>503</v>
      </c>
      <c r="L49" s="718" t="s">
        <v>503</v>
      </c>
      <c r="M49" s="718" t="s">
        <v>503</v>
      </c>
      <c r="N49" s="718" t="s">
        <v>503</v>
      </c>
      <c r="O49" s="333" t="str">
        <f>VLOOKUP(A49,LF_Collection_Scenario,'Landfill Gas Collection'!$AB$13,FALSE)</f>
        <v>--</v>
      </c>
      <c r="P49" s="381">
        <f>-(VLOOKUP(A49,[1]!Avoided_utility_national,4,FALSE)*VLOOKUP(A49,[1]!Avoided_utility_national,5,FALSE))/$C$72</f>
        <v>-8.9799374950757098</v>
      </c>
      <c r="Q49" s="319" t="s">
        <v>503</v>
      </c>
      <c r="R49" s="321" t="s">
        <v>503</v>
      </c>
    </row>
    <row r="50" spans="1:18" x14ac:dyDescent="0.25">
      <c r="A50" s="346" t="s">
        <v>84</v>
      </c>
      <c r="B50" s="124">
        <f>IF('Analysis Inputs'!$N$86=2,VLOOKUP(A50,[2]!EnergySavings,8,FALSE),VLOOKUP(A50,[2]!EnergySavings,9,FALSE))</f>
        <v>-126.94877293249891</v>
      </c>
      <c r="C50" s="96">
        <f>VLOOKUP(A50,[2]!EnergySavings,12,FALSE)+IF('Analysis Inputs'!$N$166=2,(('Analysis Inputs'!$G$177-'Analysis Inputs'!$F$177)*'Summary Data NRG'!$D$66),0)</f>
        <v>-113.84671667218909</v>
      </c>
      <c r="D50" s="10">
        <f>IF('Analysis Inputs'!$N$96=2,F50,IF('Analysis Inputs'!$N$96=3,E50,IF('Analysis Inputs'!$N$107=1,H50,G50)))</f>
        <v>0.26827304622443826</v>
      </c>
      <c r="E50" s="78">
        <f>VLOOKUP($A50,[2]!EnergySavings,19,FALSE)+IF('Analysis Inputs'!$N$166=2,(('Analysis Inputs'!$G$175-'Analysis Inputs'!$F$175)*$D$66),0)</f>
        <v>0.26827304622443826</v>
      </c>
      <c r="F50" s="11">
        <f t="shared" ref="F50:F55" si="7">+E50</f>
        <v>0.26827304622443826</v>
      </c>
      <c r="G50" s="11">
        <f t="shared" ref="G50:G55" si="8">E50</f>
        <v>0.26827304622443826</v>
      </c>
      <c r="H50" s="11">
        <f t="shared" ref="H50:H55" si="9">E50</f>
        <v>0.26827304622443826</v>
      </c>
      <c r="I50" s="12">
        <f>VLOOKUP(A50,[2]!EnergySavings,15,FALSE)+P50+IF('Analysis Inputs'!$N$166=2,(('Analysis Inputs'!$G$176-'Analysis Inputs'!$F$176)*'Summary Data NRG'!$D$66),0)</f>
        <v>0.54521691033474196</v>
      </c>
      <c r="J50" s="391" t="s">
        <v>503</v>
      </c>
      <c r="K50" s="718" t="s">
        <v>503</v>
      </c>
      <c r="L50" s="718" t="s">
        <v>503</v>
      </c>
      <c r="M50" s="718" t="s">
        <v>503</v>
      </c>
      <c r="N50" s="718" t="s">
        <v>503</v>
      </c>
      <c r="O50" s="333" t="str">
        <f>VLOOKUP(A50,LF_Collection_Scenario,'Landfill Gas Collection'!$AB$13,FALSE)</f>
        <v>--</v>
      </c>
      <c r="P50" s="381">
        <f>-(VLOOKUP(A50,[1]!Avoided_utility_national,4,FALSE)*VLOOKUP(A50,[1]!Avoided_utility_national,5,FALSE))/$C$72</f>
        <v>0.27694386411030364</v>
      </c>
      <c r="Q50" s="319" t="s">
        <v>503</v>
      </c>
      <c r="R50" s="321" t="s">
        <v>503</v>
      </c>
    </row>
    <row r="51" spans="1:18" x14ac:dyDescent="0.25">
      <c r="A51" s="346" t="s">
        <v>85</v>
      </c>
      <c r="B51" s="124">
        <f>IF('Analysis Inputs'!$N$86=2,VLOOKUP(A51,[2]!EnergySavings,8,FALSE),VLOOKUP(A51,[2]!EnergySavings,9,FALSE))</f>
        <v>-30.693159400792101</v>
      </c>
      <c r="C51" s="127" t="s">
        <v>503</v>
      </c>
      <c r="D51" s="10">
        <f>IF('Analysis Inputs'!$N$96=2,F51,IF('Analysis Inputs'!$N$96=3,E51,IF('Analysis Inputs'!$N$107=1,H51,G51)))</f>
        <v>0.26827304622443826</v>
      </c>
      <c r="E51" s="78">
        <f>VLOOKUP($A51,[2]!EnergySavings,19,FALSE)+IF('Analysis Inputs'!$N$166=2,(('Analysis Inputs'!$G$175-'Analysis Inputs'!$F$175)*$D$66),0)</f>
        <v>0.26827304622443826</v>
      </c>
      <c r="F51" s="11">
        <f t="shared" si="7"/>
        <v>0.26827304622443826</v>
      </c>
      <c r="G51" s="11">
        <f t="shared" si="8"/>
        <v>0.26827304622443826</v>
      </c>
      <c r="H51" s="11">
        <f t="shared" si="9"/>
        <v>0.26827304622443826</v>
      </c>
      <c r="I51" s="12">
        <f>VLOOKUP(A51,[2]!EnergySavings,15,FALSE)+P51+IF('Analysis Inputs'!$N$166=2,(('Analysis Inputs'!$G$176-'Analysis Inputs'!$F$176)*'Summary Data NRG'!$D$66),0)</f>
        <v>-6.6495366698204004</v>
      </c>
      <c r="J51" s="84">
        <f>'[1]Composting - Net Flux'!$M$5+IF('Analysis Inputs'!$N$166=2,(('Analysis Inputs'!$G$178-'Analysis Inputs'!$F$178)*$D$66),0)</f>
        <v>0.58399999999999996</v>
      </c>
      <c r="K51" s="718" t="s">
        <v>503</v>
      </c>
      <c r="L51" s="718" t="s">
        <v>503</v>
      </c>
      <c r="M51" s="718" t="s">
        <v>503</v>
      </c>
      <c r="N51" s="718" t="s">
        <v>503</v>
      </c>
      <c r="O51" s="333" t="str">
        <f>VLOOKUP(A51,LF_Collection_Scenario,'Landfill Gas Collection'!$AB$13,FALSE)</f>
        <v>--</v>
      </c>
      <c r="P51" s="381">
        <f>-(VLOOKUP(A51,[1]!Avoided_utility_national,4,FALSE)*VLOOKUP(A51,[1]!Avoided_utility_national,5,FALSE))/$C$72</f>
        <v>-6.9178097160448386</v>
      </c>
      <c r="Q51" s="319" t="s">
        <v>503</v>
      </c>
      <c r="R51" s="321" t="s">
        <v>503</v>
      </c>
    </row>
    <row r="52" spans="1:18" x14ac:dyDescent="0.25">
      <c r="A52" s="346" t="s">
        <v>86</v>
      </c>
      <c r="B52" s="124">
        <f>IF('Analysis Inputs'!$N$86=2,VLOOKUP(A52,[2]!EnergySavings,8,FALSE),VLOOKUP(A52,[2]!EnergySavings,9,FALSE))</f>
        <v>-66.366112170201077</v>
      </c>
      <c r="C52" s="127" t="s">
        <v>503</v>
      </c>
      <c r="D52" s="10">
        <f>IF('Analysis Inputs'!$N$96=2,F52,IF('Analysis Inputs'!$N$96=3,E52,IF('Analysis Inputs'!$N$107=1,H52,G52)))</f>
        <v>0.26827304622443826</v>
      </c>
      <c r="E52" s="78">
        <f>VLOOKUP($A52,[2]!EnergySavings,19,FALSE)+IF('Analysis Inputs'!$N$166=2,(('Analysis Inputs'!$G$175-'Analysis Inputs'!$F$175)*$D$66),0)</f>
        <v>0.26827304622443826</v>
      </c>
      <c r="F52" s="11">
        <f t="shared" si="7"/>
        <v>0.26827304622443826</v>
      </c>
      <c r="G52" s="11">
        <f t="shared" si="8"/>
        <v>0.26827304622443826</v>
      </c>
      <c r="H52" s="11">
        <f t="shared" si="9"/>
        <v>0.26827304622443826</v>
      </c>
      <c r="I52" s="12">
        <f>VLOOKUP(A52,[2]!EnergySavings,15,FALSE)+P52+IF('Analysis Inputs'!$N$166=2,(('Analysis Inputs'!$G$176-'Analysis Inputs'!$F$176)*'Summary Data NRG'!$D$66),0)</f>
        <v>-16.221047292713223</v>
      </c>
      <c r="J52" s="391" t="s">
        <v>503</v>
      </c>
      <c r="K52" s="718" t="s">
        <v>503</v>
      </c>
      <c r="L52" s="718" t="s">
        <v>503</v>
      </c>
      <c r="M52" s="718" t="s">
        <v>503</v>
      </c>
      <c r="N52" s="718" t="s">
        <v>503</v>
      </c>
      <c r="O52" s="333" t="str">
        <f>VLOOKUP(A52,LF_Collection_Scenario,'Landfill Gas Collection'!$AB$13,FALSE)</f>
        <v>--</v>
      </c>
      <c r="P52" s="381">
        <f>-(VLOOKUP(A52,[1]!Avoided_utility_national,4,FALSE)*VLOOKUP(A52,[1]!Avoided_utility_national,5,FALSE))/$C$72</f>
        <v>-16.489320338937663</v>
      </c>
      <c r="Q52" s="319" t="s">
        <v>503</v>
      </c>
      <c r="R52" s="321" t="s">
        <v>503</v>
      </c>
    </row>
    <row r="53" spans="1:18" x14ac:dyDescent="0.25">
      <c r="A53" s="346" t="s">
        <v>87</v>
      </c>
      <c r="B53" s="124">
        <f>IF('Analysis Inputs'!$N$86=2,VLOOKUP(A53,[2]!EnergySavings,8,FALSE),VLOOKUP(A53,[2]!EnergySavings,9,FALSE))</f>
        <v>-66.589347135656709</v>
      </c>
      <c r="C53" s="127" t="s">
        <v>503</v>
      </c>
      <c r="D53" s="10">
        <f>IF('Analysis Inputs'!$N$96=2,F53,IF('Analysis Inputs'!$N$96=3,E53,IF('Analysis Inputs'!$N$107=1,H53,G53)))</f>
        <v>0.26827304622443826</v>
      </c>
      <c r="E53" s="78">
        <f>VLOOKUP($A53,[2]!EnergySavings,19,FALSE)+IF('Analysis Inputs'!$N$166=2,(('Analysis Inputs'!$G$175-'Analysis Inputs'!$F$175)*$D$66),0)</f>
        <v>0.26827304622443826</v>
      </c>
      <c r="F53" s="11">
        <f t="shared" si="7"/>
        <v>0.26827304622443826</v>
      </c>
      <c r="G53" s="11">
        <f t="shared" si="8"/>
        <v>0.26827304622443826</v>
      </c>
      <c r="H53" s="11">
        <f t="shared" si="9"/>
        <v>0.26827304622443826</v>
      </c>
      <c r="I53" s="12">
        <f>VLOOKUP(A53,[2]!EnergySavings,15,FALSE)+P53+IF('Analysis Inputs'!$N$166=2,(('Analysis Inputs'!$G$176-'Analysis Inputs'!$F$176)*'Summary Data NRG'!$D$66),0)</f>
        <v>-16.222700688916866</v>
      </c>
      <c r="J53" s="392" t="s">
        <v>503</v>
      </c>
      <c r="K53" s="718" t="s">
        <v>503</v>
      </c>
      <c r="L53" s="718" t="s">
        <v>503</v>
      </c>
      <c r="M53" s="718" t="s">
        <v>503</v>
      </c>
      <c r="N53" s="718" t="s">
        <v>503</v>
      </c>
      <c r="O53" s="333" t="str">
        <f>VLOOKUP(A53,LF_Collection_Scenario,'Landfill Gas Collection'!$AB$13,FALSE)</f>
        <v>--</v>
      </c>
      <c r="P53" s="381">
        <f>-(VLOOKUP(A53,[1]!Avoided_utility_national,4,FALSE)*VLOOKUP(A53,[1]!Avoided_utility_national,5,FALSE))/$C$72</f>
        <v>-16.490973735141303</v>
      </c>
      <c r="Q53" s="319" t="s">
        <v>503</v>
      </c>
      <c r="R53" s="321" t="s">
        <v>503</v>
      </c>
    </row>
    <row r="54" spans="1:18" x14ac:dyDescent="0.25">
      <c r="A54" s="346" t="s">
        <v>88</v>
      </c>
      <c r="B54" s="124">
        <f>IF('Analysis Inputs'!$N$86=2,VLOOKUP(A54,[2]!EnergySavings,8,FALSE),VLOOKUP(A54,[2]!EnergySavings,9,FALSE))</f>
        <v>-74.988253481395404</v>
      </c>
      <c r="C54" s="127" t="s">
        <v>503</v>
      </c>
      <c r="D54" s="10">
        <f>IF('Analysis Inputs'!$N$96=2,F54,IF('Analysis Inputs'!$N$96=3,E54,IF('Analysis Inputs'!$N$107=1,H54,G54)))</f>
        <v>0.26827304622443826</v>
      </c>
      <c r="E54" s="78">
        <f>VLOOKUP($A54,[2]!EnergySavings,19,FALSE)+IF('Analysis Inputs'!$N$166=2,(('Analysis Inputs'!$G$175-'Analysis Inputs'!$F$175)*$D$66),0)</f>
        <v>0.26827304622443826</v>
      </c>
      <c r="F54" s="11">
        <f t="shared" si="7"/>
        <v>0.26827304622443826</v>
      </c>
      <c r="G54" s="11">
        <f t="shared" si="8"/>
        <v>0.26827304622443826</v>
      </c>
      <c r="H54" s="11">
        <f t="shared" si="9"/>
        <v>0.26827304622443826</v>
      </c>
      <c r="I54" s="12">
        <f>VLOOKUP(A54,[2]!EnergySavings,15,FALSE)+P54+IF('Analysis Inputs'!$N$166=2,(('Analysis Inputs'!$G$176-'Analysis Inputs'!$F$176)*'Summary Data NRG'!$D$66),0)</f>
        <v>-14.612292786567995</v>
      </c>
      <c r="J54" s="392" t="s">
        <v>503</v>
      </c>
      <c r="K54" s="718" t="s">
        <v>503</v>
      </c>
      <c r="L54" s="718" t="s">
        <v>503</v>
      </c>
      <c r="M54" s="718" t="s">
        <v>503</v>
      </c>
      <c r="N54" s="718" t="s">
        <v>503</v>
      </c>
      <c r="O54" s="333" t="str">
        <f>VLOOKUP(A54,LF_Collection_Scenario,'Landfill Gas Collection'!$AB$13,FALSE)</f>
        <v>--</v>
      </c>
      <c r="P54" s="381">
        <f>-(VLOOKUP(A54,[1]!Avoided_utility_national,4,FALSE)*VLOOKUP(A54,[1]!Avoided_utility_national,5,FALSE))/$C$72</f>
        <v>-14.880565832792433</v>
      </c>
      <c r="Q54" s="319" t="s">
        <v>503</v>
      </c>
      <c r="R54" s="321" t="s">
        <v>503</v>
      </c>
    </row>
    <row r="55" spans="1:18" ht="13" thickBot="1" x14ac:dyDescent="0.3">
      <c r="A55" s="347" t="s">
        <v>89</v>
      </c>
      <c r="B55" s="142">
        <f>IF('Analysis Inputs'!$N$86=2,VLOOKUP(A55,[2]!EnergySavings,8,FALSE),VLOOKUP(A55,[2]!EnergySavings,9,FALSE))</f>
        <v>-48.339669074902645</v>
      </c>
      <c r="C55" s="358" t="s">
        <v>503</v>
      </c>
      <c r="D55" s="91">
        <f>IF('Analysis Inputs'!$N$96=2,F55,IF('Analysis Inputs'!$N$96=3,E55,IF('Analysis Inputs'!$N$107=1,H55,G55)))</f>
        <v>0.26827304622443826</v>
      </c>
      <c r="E55" s="93">
        <f>VLOOKUP($A55,[2]!EnergySavings,19,FALSE)+IF('Analysis Inputs'!$N$166=2,(('Analysis Inputs'!$G$175-'Analysis Inputs'!$F$175)*$D$66),0)</f>
        <v>0.26827304622443826</v>
      </c>
      <c r="F55" s="94">
        <f t="shared" si="7"/>
        <v>0.26827304622443826</v>
      </c>
      <c r="G55" s="94">
        <f t="shared" si="8"/>
        <v>0.26827304622443826</v>
      </c>
      <c r="H55" s="94">
        <f t="shared" si="9"/>
        <v>0.26827304622443826</v>
      </c>
      <c r="I55" s="92">
        <f>VLOOKUP(A55,[2]!EnergySavings,15,FALSE)+P55+IF('Analysis Inputs'!$N$166=2,(('Analysis Inputs'!$G$176-'Analysis Inputs'!$F$176)*'Summary Data NRG'!$D$66),0)</f>
        <v>-6.2419745056222515</v>
      </c>
      <c r="J55" s="393" t="s">
        <v>503</v>
      </c>
      <c r="K55" s="718" t="s">
        <v>503</v>
      </c>
      <c r="L55" s="718" t="s">
        <v>503</v>
      </c>
      <c r="M55" s="718" t="s">
        <v>503</v>
      </c>
      <c r="N55" s="718" t="s">
        <v>503</v>
      </c>
      <c r="O55" s="360" t="str">
        <f>VLOOKUP(A55,LF_Collection_Scenario,'Landfill Gas Collection'!$AB$13,FALSE)</f>
        <v>--</v>
      </c>
      <c r="P55" s="382">
        <f>-(VLOOKUP(A55,[1]!Avoided_utility_national,4,FALSE)*VLOOKUP(A55,[1]!Avoided_utility_national,5,FALSE))/$C$72</f>
        <v>-6.5102475518466898</v>
      </c>
      <c r="Q55" s="365" t="s">
        <v>503</v>
      </c>
      <c r="R55" s="321" t="s">
        <v>503</v>
      </c>
    </row>
    <row r="56" spans="1:18" ht="14" x14ac:dyDescent="0.3">
      <c r="A56" s="73" t="s">
        <v>472</v>
      </c>
      <c r="H56" s="22"/>
      <c r="O56" s="22"/>
    </row>
    <row r="57" spans="1:18" ht="13" x14ac:dyDescent="0.3">
      <c r="A57" s="8"/>
      <c r="B57" s="80" t="s">
        <v>394</v>
      </c>
      <c r="C57" s="8"/>
      <c r="D57" s="8"/>
      <c r="E57" s="80" t="s">
        <v>393</v>
      </c>
      <c r="F57" s="8"/>
      <c r="G57" s="8"/>
      <c r="H57" s="479" t="s">
        <v>395</v>
      </c>
      <c r="I57" s="8"/>
      <c r="J57"/>
      <c r="K57"/>
      <c r="L57"/>
      <c r="M57"/>
      <c r="N57"/>
    </row>
    <row r="58" spans="1:18" ht="62.5" x14ac:dyDescent="0.25">
      <c r="A58" s="8"/>
      <c r="B58" s="480"/>
      <c r="C58" s="369" t="s">
        <v>420</v>
      </c>
      <c r="D58" s="107"/>
      <c r="E58" s="369" t="s">
        <v>422</v>
      </c>
      <c r="F58" s="481"/>
      <c r="G58" s="482"/>
      <c r="H58" s="369" t="s">
        <v>422</v>
      </c>
      <c r="J58" s="79"/>
      <c r="K58" s="79"/>
      <c r="L58" s="79"/>
      <c r="M58" s="79"/>
      <c r="N58" s="79"/>
    </row>
    <row r="59" spans="1:18" x14ac:dyDescent="0.25">
      <c r="A59" s="8"/>
      <c r="B59" s="483" t="s">
        <v>224</v>
      </c>
      <c r="C59" s="437">
        <f>([1]Assumptions!$E$24*[1]Landfilling!$B$55)+([1]Assumptions!$E$25*[1]Landfilling!$B$53)+([1]Assumptions!$E$26*[1]Landfilling!$B$56)+([1]Assumptions!$E$27*[1]Landfilling!$B$54)</f>
        <v>2.3832448707931113</v>
      </c>
      <c r="D59" s="8"/>
      <c r="E59" s="437">
        <f>([1]Landfilling!$B$53*[1]Assumptions!$E$72)+([1]Landfilling!$B$54*[1]Assumptions!$E$73)+([1]Landfilling!$B$55*[1]Assumptions!$E$74)+([1]Landfilling!$B$56*[1]Assumptions!$E$75)+([1]Landfilling!$B$57*[1]Assumptions!$E$76)+([1]Landfilling!$B$58*[1]Assumptions!$E$77)</f>
        <v>1.9650381721274721</v>
      </c>
      <c r="F59" s="484"/>
      <c r="G59" s="25"/>
      <c r="H59" s="437">
        <f>([1]Landfilling!$B$61*[1]Assumptions!$C$92)+([1]Landfilling!$B$62*[1]Assumptions!$C$93)</f>
        <v>1.622706214625282</v>
      </c>
      <c r="J59" s="126"/>
      <c r="K59" s="126"/>
      <c r="L59" s="126"/>
      <c r="M59" s="126"/>
      <c r="N59" s="126"/>
    </row>
    <row r="60" spans="1:18" ht="13" x14ac:dyDescent="0.3">
      <c r="A60" s="8"/>
      <c r="B60" s="480" t="s">
        <v>225</v>
      </c>
      <c r="C60" s="370">
        <f>([1]Assumptions!$F$24*[1]Landfilling!$B$55)+([1]Assumptions!$F$25*[1]Landfilling!$B$53)+([1]Assumptions!$F$26*[1]Landfilling!$B$56)+([1]Assumptions!$F$27*[1]Landfilling!$B$54)</f>
        <v>2.2946736526735392</v>
      </c>
      <c r="D60" s="8"/>
      <c r="E60" s="485" t="s">
        <v>62</v>
      </c>
      <c r="F60" s="8"/>
      <c r="G60" s="8"/>
      <c r="H60" s="485" t="s">
        <v>62</v>
      </c>
      <c r="J60"/>
      <c r="K60"/>
      <c r="L60"/>
      <c r="M60"/>
      <c r="N60"/>
    </row>
    <row r="61" spans="1:18" x14ac:dyDescent="0.25">
      <c r="A61" s="8"/>
      <c r="B61" s="483" t="s">
        <v>226</v>
      </c>
      <c r="C61" s="437">
        <f>([1]Assumptions!$G$24*[1]Landfilling!$B$55)+([1]Assumptions!$G$25*[1]Landfilling!$B$53)+([1]Assumptions!$G$26*[1]Landfilling!$B$56)+([1]Assumptions!$G$27*[1]Landfilling!$B$54)</f>
        <v>2.2577848571899501</v>
      </c>
      <c r="D61" s="8"/>
      <c r="E61" s="8"/>
      <c r="F61" s="8"/>
      <c r="G61" s="8"/>
      <c r="H61" s="8"/>
      <c r="J61"/>
      <c r="K61"/>
      <c r="L61"/>
      <c r="M61"/>
      <c r="N61"/>
    </row>
    <row r="62" spans="1:18" ht="13" x14ac:dyDescent="0.3">
      <c r="A62" s="8"/>
      <c r="B62" s="8"/>
      <c r="C62" s="485" t="s">
        <v>62</v>
      </c>
      <c r="D62" s="8"/>
      <c r="E62" s="8"/>
      <c r="F62" s="8"/>
      <c r="G62" s="8"/>
      <c r="H62" s="8"/>
    </row>
    <row r="63" spans="1:18" x14ac:dyDescent="0.25">
      <c r="A63" s="8"/>
      <c r="B63" s="8"/>
      <c r="C63" s="8"/>
      <c r="D63" s="8"/>
      <c r="E63" s="8"/>
      <c r="F63" s="8"/>
      <c r="G63" s="8"/>
      <c r="H63" s="8"/>
    </row>
    <row r="64" spans="1:18" ht="13" x14ac:dyDescent="0.3">
      <c r="B64" s="40" t="s">
        <v>415</v>
      </c>
      <c r="C64" s="40"/>
      <c r="F64" s="25"/>
      <c r="G64" s="25"/>
      <c r="H64" s="77"/>
    </row>
    <row r="65" spans="2:14" ht="25" x14ac:dyDescent="0.25">
      <c r="B65" s="72" t="s">
        <v>90</v>
      </c>
      <c r="C65" s="370" t="s">
        <v>417</v>
      </c>
      <c r="D65" s="38" t="s">
        <v>439</v>
      </c>
      <c r="F65" s="25"/>
      <c r="G65" s="25"/>
      <c r="H65" s="25"/>
    </row>
    <row r="66" spans="2:14" x14ac:dyDescent="0.25">
      <c r="B66" s="76">
        <f>'Summary Data'!B66</f>
        <v>1.6420435872873713E-4</v>
      </c>
      <c r="C66" s="437">
        <f>B66/[1]Assumptions!$C$57</f>
        <v>6.0208264867203621E-4</v>
      </c>
      <c r="D66" s="325">
        <f>B66/'[1]Carbon Coefficients'!$B$9</f>
        <v>2.2331998424750667E-3</v>
      </c>
      <c r="F66" s="25"/>
      <c r="G66" s="25"/>
      <c r="H66" s="25"/>
    </row>
    <row r="67" spans="2:14" ht="13" x14ac:dyDescent="0.3">
      <c r="C67" s="380" t="s">
        <v>62</v>
      </c>
    </row>
    <row r="69" spans="2:14" ht="51.75" customHeight="1" x14ac:dyDescent="0.25">
      <c r="B69" s="125" t="s">
        <v>93</v>
      </c>
      <c r="C69" s="324">
        <f>1/(VLOOKUP('Analysis Inputs'!$H$78,Grid_Mix_EF,3,FALSE)/1000)/[1]!CE_CO2E</f>
        <v>7.066502776944418</v>
      </c>
      <c r="I69" s="8"/>
      <c r="J69"/>
      <c r="K69"/>
      <c r="L69"/>
      <c r="M69"/>
      <c r="N69"/>
    </row>
    <row r="70" spans="2:14" x14ac:dyDescent="0.25">
      <c r="B70" s="120"/>
      <c r="C70" s="122"/>
      <c r="I70" s="8"/>
      <c r="J70"/>
      <c r="K70"/>
      <c r="L70"/>
      <c r="M70"/>
      <c r="N70"/>
    </row>
    <row r="71" spans="2:14" x14ac:dyDescent="0.25">
      <c r="B71" s="120"/>
      <c r="C71" s="122"/>
      <c r="I71" s="8"/>
      <c r="J71"/>
      <c r="K71"/>
      <c r="L71"/>
      <c r="M71"/>
      <c r="N71"/>
    </row>
    <row r="72" spans="2:14" ht="37.5" x14ac:dyDescent="0.25">
      <c r="B72" s="322" t="s">
        <v>363</v>
      </c>
      <c r="C72" s="323">
        <f>3412/VLOOKUP('Analysis Inputs'!$H$78,Grid_Mix_EF,4,FALSE)</f>
        <v>0.43129892183647073</v>
      </c>
      <c r="E72" s="119"/>
      <c r="I72" s="8"/>
      <c r="J72"/>
      <c r="K72"/>
      <c r="L72"/>
      <c r="M72"/>
      <c r="N72"/>
    </row>
    <row r="74" spans="2:14" ht="13" x14ac:dyDescent="0.3">
      <c r="B74" s="39"/>
      <c r="C74" s="120"/>
      <c r="D74" s="120"/>
      <c r="E74" s="3"/>
    </row>
    <row r="75" spans="2:14" ht="55.5" customHeight="1" x14ac:dyDescent="0.3">
      <c r="B75" s="28" t="s">
        <v>840</v>
      </c>
      <c r="C75" s="740">
        <f>[1]Assumptions!$F$144</f>
        <v>6.427604871447902E-2</v>
      </c>
      <c r="D75" s="121"/>
      <c r="E75" s="3"/>
      <c r="G75" s="83"/>
    </row>
    <row r="76" spans="2:14" x14ac:dyDescent="0.25">
      <c r="D76" s="123"/>
      <c r="E76" s="3"/>
    </row>
    <row r="77" spans="2:14" x14ac:dyDescent="0.25">
      <c r="D77" s="123"/>
      <c r="E77" s="3"/>
    </row>
    <row r="78" spans="2:14" x14ac:dyDescent="0.25">
      <c r="D78" s="123"/>
      <c r="E78" s="3"/>
    </row>
    <row r="79" spans="2:14" x14ac:dyDescent="0.25">
      <c r="B79" s="120"/>
      <c r="C79" s="122"/>
      <c r="D79" s="123"/>
      <c r="E79" s="3"/>
    </row>
    <row r="80" spans="2:14" x14ac:dyDescent="0.25">
      <c r="B80" s="120"/>
      <c r="C80" s="122"/>
      <c r="D80" s="123"/>
      <c r="E80" s="3"/>
    </row>
    <row r="81" spans="2:5" x14ac:dyDescent="0.25">
      <c r="B81" s="3"/>
      <c r="C81" s="3"/>
      <c r="D81" s="3"/>
      <c r="E81" s="3"/>
    </row>
  </sheetData>
  <sheetProtection password="CDE6" sheet="1" selectLockedCells="1" selectUnlockedCells="1"/>
  <phoneticPr fontId="14" type="noConversion"/>
  <printOptions horizontalCentered="1" gridLines="1" gridLinesSet="0"/>
  <pageMargins left="0.75" right="0.75" top="1" bottom="1" header="0.5" footer="0.5"/>
  <pageSetup scale="95" orientation="landscape" horizontalDpi="4294967292" verticalDpi="300" r:id="rId1"/>
  <headerFooter alignWithMargins="0"/>
  <rowBreaks count="1" manualBreakCount="1">
    <brk id="28" max="14"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B1:V130"/>
  <sheetViews>
    <sheetView showRowColHeaders="0" topLeftCell="A7" zoomScaleNormal="100" zoomScaleSheetLayoutView="75" workbookViewId="0">
      <selection activeCell="J28" sqref="J28"/>
    </sheetView>
  </sheetViews>
  <sheetFormatPr defaultColWidth="9.1796875" defaultRowHeight="12.5" x14ac:dyDescent="0.25"/>
  <cols>
    <col min="1" max="1" width="2.453125" style="6" customWidth="1"/>
    <col min="2" max="2" width="3.26953125" style="6" customWidth="1"/>
    <col min="3" max="3" width="9.453125" style="6" hidden="1" customWidth="1"/>
    <col min="4" max="4" width="25.7265625" style="6" customWidth="1"/>
    <col min="5" max="5" width="9.26953125" style="6" bestFit="1" customWidth="1"/>
    <col min="6" max="6" width="12.453125" style="6" customWidth="1"/>
    <col min="7" max="7" width="13.453125" style="6" customWidth="1"/>
    <col min="8" max="8" width="12.26953125" style="6" customWidth="1"/>
    <col min="9" max="9" width="14.7265625" style="6" customWidth="1"/>
    <col min="10" max="10" width="15.26953125" style="6" customWidth="1"/>
    <col min="11" max="11" width="13.81640625" style="6" customWidth="1"/>
    <col min="12" max="12" width="26" style="6" customWidth="1"/>
    <col min="13" max="13" width="11.1796875" style="6" customWidth="1"/>
    <col min="14" max="14" width="13.453125" style="6" customWidth="1"/>
    <col min="15" max="15" width="14" style="6" customWidth="1"/>
    <col min="16" max="16" width="12.54296875" style="6" customWidth="1"/>
    <col min="17" max="17" width="14.26953125" style="6" customWidth="1"/>
    <col min="18" max="18" width="14.54296875" style="6" customWidth="1"/>
    <col min="19" max="19" width="14.453125" style="6" customWidth="1"/>
    <col min="20" max="20" width="3.26953125" style="6" customWidth="1"/>
    <col min="21" max="21" width="14.54296875" style="6" customWidth="1"/>
    <col min="22" max="16384" width="9.1796875" style="6"/>
  </cols>
  <sheetData>
    <row r="1" spans="2:22" ht="13" thickBot="1" x14ac:dyDescent="0.3"/>
    <row r="2" spans="2:22" x14ac:dyDescent="0.25">
      <c r="B2" s="167"/>
      <c r="C2" s="160"/>
      <c r="D2" s="160"/>
      <c r="E2" s="160"/>
      <c r="F2" s="160"/>
      <c r="G2" s="160"/>
      <c r="H2" s="160"/>
      <c r="I2" s="160"/>
      <c r="J2" s="160"/>
      <c r="K2" s="168"/>
    </row>
    <row r="3" spans="2:22" s="213" customFormat="1" ht="18" x14ac:dyDescent="0.4">
      <c r="B3" s="240"/>
      <c r="C3" s="241"/>
      <c r="D3" s="242" t="s">
        <v>134</v>
      </c>
      <c r="E3" s="241"/>
      <c r="F3" s="241"/>
      <c r="G3" s="241"/>
      <c r="H3" s="241"/>
      <c r="I3" s="241"/>
      <c r="J3" s="241"/>
      <c r="K3" s="243"/>
    </row>
    <row r="4" spans="2:22" x14ac:dyDescent="0.25">
      <c r="B4" s="169"/>
      <c r="C4" s="152"/>
      <c r="D4" s="423" t="str">
        <f>'Analysis Inputs'!B2</f>
        <v>Version 14</v>
      </c>
      <c r="E4" s="152"/>
      <c r="F4" s="152"/>
      <c r="G4" s="152"/>
      <c r="H4" s="152"/>
      <c r="I4" s="152"/>
      <c r="J4" s="152"/>
      <c r="K4" s="174"/>
    </row>
    <row r="5" spans="2:22" ht="13" x14ac:dyDescent="0.3">
      <c r="B5" s="169"/>
      <c r="C5" s="152"/>
      <c r="D5" s="170" t="str">
        <f>"GHG Emissions Waste Management Analysis for "&amp;'Analysis Inputs'!G184</f>
        <v xml:space="preserve">GHG Emissions Waste Management Analysis for </v>
      </c>
      <c r="E5" s="245"/>
      <c r="F5" s="245"/>
      <c r="G5" s="152"/>
      <c r="H5" s="152"/>
      <c r="I5" s="152"/>
      <c r="J5" s="152"/>
      <c r="K5" s="174"/>
    </row>
    <row r="6" spans="2:22" ht="13" x14ac:dyDescent="0.3">
      <c r="B6" s="169"/>
      <c r="C6" s="152"/>
      <c r="D6" s="170" t="str">
        <f>"Prepared by:  "&amp;'Analysis Inputs'!G183</f>
        <v xml:space="preserve">Prepared by:  </v>
      </c>
      <c r="E6" s="246"/>
      <c r="F6" s="245"/>
      <c r="G6" s="245"/>
      <c r="H6" s="152"/>
      <c r="I6" s="152"/>
      <c r="J6" s="152"/>
      <c r="K6" s="174"/>
    </row>
    <row r="7" spans="2:22" ht="13" x14ac:dyDescent="0.3">
      <c r="B7" s="169"/>
      <c r="C7" s="152"/>
      <c r="D7" s="247" t="str">
        <f>"Project Period for this Analysis:  "&amp;TEXT('Analysis Inputs'!G186,"mm/dd/yy")&amp;" to "&amp;TEXT('Analysis Inputs'!I186,"mm/dd/yy")</f>
        <v>Project Period for this Analysis:  01/00/00 to 01/00/00</v>
      </c>
      <c r="E7" s="245"/>
      <c r="F7" s="152"/>
      <c r="G7" s="248"/>
      <c r="H7" s="249"/>
      <c r="I7" s="248"/>
      <c r="J7" s="152"/>
      <c r="K7" s="174"/>
    </row>
    <row r="8" spans="2:22" x14ac:dyDescent="0.25">
      <c r="B8" s="169"/>
      <c r="C8" s="152"/>
      <c r="D8" s="239" t="s">
        <v>147</v>
      </c>
      <c r="E8" s="152"/>
      <c r="F8" s="152"/>
      <c r="G8" s="152"/>
      <c r="H8" s="152"/>
      <c r="I8" s="152"/>
      <c r="J8" s="152"/>
      <c r="K8" s="174"/>
    </row>
    <row r="9" spans="2:22" x14ac:dyDescent="0.25">
      <c r="B9" s="169"/>
      <c r="C9" s="152"/>
      <c r="D9" s="239" t="s">
        <v>146</v>
      </c>
      <c r="E9" s="152"/>
      <c r="F9" s="152"/>
      <c r="G9" s="152"/>
      <c r="H9" s="152"/>
      <c r="I9" s="152"/>
      <c r="J9" s="152"/>
      <c r="K9" s="174"/>
    </row>
    <row r="10" spans="2:22" ht="13.5" thickBot="1" x14ac:dyDescent="0.35">
      <c r="B10" s="171"/>
      <c r="C10" s="162"/>
      <c r="D10" s="250"/>
      <c r="E10" s="251"/>
      <c r="F10" s="162"/>
      <c r="G10" s="252"/>
      <c r="H10" s="253"/>
      <c r="I10" s="252"/>
      <c r="J10" s="162"/>
      <c r="K10" s="196"/>
    </row>
    <row r="11" spans="2:22" ht="13.5" thickBot="1" x14ac:dyDescent="0.35">
      <c r="D11" s="166"/>
      <c r="E11" s="214"/>
    </row>
    <row r="12" spans="2:22" x14ac:dyDescent="0.25">
      <c r="B12" s="167"/>
      <c r="C12" s="160"/>
      <c r="D12" s="160"/>
      <c r="E12" s="160"/>
      <c r="F12" s="160"/>
      <c r="G12" s="160"/>
      <c r="H12" s="160"/>
      <c r="I12" s="160"/>
      <c r="J12" s="160"/>
      <c r="K12" s="160"/>
      <c r="L12" s="160"/>
      <c r="M12" s="160"/>
      <c r="N12" s="160"/>
      <c r="O12" s="160"/>
      <c r="P12" s="160"/>
      <c r="Q12" s="160"/>
      <c r="R12" s="160"/>
      <c r="S12" s="160"/>
      <c r="T12" s="160"/>
      <c r="U12" s="160"/>
      <c r="V12" s="168"/>
    </row>
    <row r="13" spans="2:22" ht="15" x14ac:dyDescent="0.4">
      <c r="B13" s="169"/>
      <c r="C13" s="152"/>
      <c r="D13" s="170" t="s">
        <v>445</v>
      </c>
      <c r="E13" s="157"/>
      <c r="F13" s="157"/>
      <c r="G13" s="157"/>
      <c r="H13" s="157"/>
      <c r="I13" s="157"/>
      <c r="J13" s="738">
        <f>'Analysis Results (MTCO2E)'!L4</f>
        <v>94703.127458270814</v>
      </c>
      <c r="K13" s="152"/>
      <c r="L13" s="170" t="s">
        <v>446</v>
      </c>
      <c r="M13" s="157"/>
      <c r="N13" s="157"/>
      <c r="O13" s="157"/>
      <c r="P13" s="157"/>
      <c r="Q13" s="152"/>
      <c r="R13" s="152"/>
      <c r="S13" s="739">
        <f>'Analysis Results (MTCO2E)'!L5</f>
        <v>94703.127458270814</v>
      </c>
      <c r="T13" s="152"/>
      <c r="U13" s="152"/>
      <c r="V13" s="174"/>
    </row>
    <row r="14" spans="2:22" ht="13.5" thickBot="1" x14ac:dyDescent="0.35">
      <c r="B14" s="169"/>
      <c r="C14" s="152"/>
      <c r="D14" s="170"/>
      <c r="E14" s="157"/>
      <c r="F14" s="157"/>
      <c r="G14" s="157"/>
      <c r="H14" s="157"/>
      <c r="I14" s="678"/>
      <c r="J14" s="220"/>
      <c r="K14" s="152"/>
      <c r="L14" s="170"/>
      <c r="M14" s="157"/>
      <c r="N14" s="157"/>
      <c r="O14" s="157"/>
      <c r="P14" s="157"/>
      <c r="Q14" s="157"/>
      <c r="R14" s="157"/>
      <c r="S14" s="678"/>
      <c r="T14" s="152"/>
      <c r="U14" s="152"/>
      <c r="V14" s="174"/>
    </row>
    <row r="15" spans="2:22" ht="23.5" thickBot="1" x14ac:dyDescent="0.4">
      <c r="B15" s="169"/>
      <c r="C15" s="152"/>
      <c r="D15" s="641" t="s">
        <v>496</v>
      </c>
      <c r="E15" s="222" t="s">
        <v>148</v>
      </c>
      <c r="F15" s="222" t="s">
        <v>541</v>
      </c>
      <c r="G15" s="222" t="s">
        <v>542</v>
      </c>
      <c r="H15" s="222" t="s">
        <v>543</v>
      </c>
      <c r="I15" s="670" t="s">
        <v>761</v>
      </c>
      <c r="J15" s="224" t="s">
        <v>481</v>
      </c>
      <c r="K15" s="152"/>
      <c r="L15" s="641" t="s">
        <v>496</v>
      </c>
      <c r="M15" s="223" t="s">
        <v>555</v>
      </c>
      <c r="N15" s="222" t="s">
        <v>540</v>
      </c>
      <c r="O15" s="222" t="s">
        <v>541</v>
      </c>
      <c r="P15" s="222" t="s">
        <v>542</v>
      </c>
      <c r="Q15" s="222" t="s">
        <v>543</v>
      </c>
      <c r="R15" s="670" t="s">
        <v>761</v>
      </c>
      <c r="S15" s="224" t="s">
        <v>481</v>
      </c>
      <c r="T15" s="152"/>
      <c r="U15" s="431" t="s">
        <v>180</v>
      </c>
      <c r="V15" s="174"/>
    </row>
    <row r="16" spans="2:22" x14ac:dyDescent="0.25">
      <c r="B16" s="169"/>
      <c r="C16" s="185">
        <v>1</v>
      </c>
      <c r="D16" s="225" t="str">
        <f>IF(ISERROR(VLOOKUP($C16,GHGBaseline_MTCO2E,2,FALSE)),"",VLOOKUP($C16,GHGBaseline_MTCO2E,2,FALSE))</f>
        <v>Aluminum Cans</v>
      </c>
      <c r="E16" s="256">
        <f>IF(ISERROR(VLOOKUP($C16,GHGBaseline_MTCO2E,4,FALSE)),"",VLOOKUP($C16,GHGBaseline_MTCO2E,4,FALSE))</f>
        <v>0</v>
      </c>
      <c r="F16" s="256">
        <f t="shared" ref="F16:F69" si="0">IF(ISERROR(VLOOKUP($C16,GHGBaseline_MTCO2E,6,FALSE)),"",VLOOKUP($C16,GHGBaseline_MTCO2E,6,FALSE))</f>
        <v>2581.9310711278504</v>
      </c>
      <c r="G16" s="256">
        <f t="shared" ref="G16:G69" si="1">IF(ISERROR(VLOOKUP($C16,GHGBaseline_MTCO2E,8,FALSE)),"",VLOOKUP($C16,GHGBaseline_MTCO2E,8,FALSE))</f>
        <v>0</v>
      </c>
      <c r="H16" s="256" t="str">
        <f>IF(ISERROR(VLOOKUP($C16,GHGBaseline_MTCO2E,10,FALSE)),"",VLOOKUP($C16,GHGBaseline_MTCO2E,10,FALSE))</f>
        <v>NA</v>
      </c>
      <c r="I16" s="671" t="str">
        <f t="shared" ref="I16:I47" si="2">IF(ISERROR(VLOOKUP($C16,GHGBaseline_MTCO2E,12,FALSE)),"",VLOOKUP($C16,GHGBaseline_MTCO2E,12,FALSE))</f>
        <v>NA</v>
      </c>
      <c r="J16" s="388">
        <f t="shared" ref="J16:J47" si="3">IF(ISERROR(VLOOKUP($C16,GHGBaseline_MTCO2E,14,FALSE)),"0",VLOOKUP($C16,GHGBaseline_MTCO2E,14,FALSE))</f>
        <v>52.295772301407858</v>
      </c>
      <c r="K16" s="152"/>
      <c r="L16" s="226" t="str">
        <f t="shared" ref="L16:L47" si="4">IF(ISERROR(VLOOKUP($C77,GHGAlternative_MTCO2E,2,FALSE)),"",VLOOKUP($C77,GHGAlternative_MTCO2E,2,FALSE))</f>
        <v>Aluminum Cans</v>
      </c>
      <c r="M16" s="256">
        <f t="shared" ref="M16:M47" si="5">IF(ISERROR(VLOOKUP($C77,GHGAlternative_MTCO2E,4,FALSE)),"",VLOOKUP($C77,GHGAlternative_MTCO2E,4,FALSE))</f>
        <v>0</v>
      </c>
      <c r="N16" s="256">
        <f t="shared" ref="N16:N47" si="6">IF(ISERROR(VLOOKUP($C77,GHGAlternative_MTCO2E,6,FALSE)),"",VLOOKUP($C77,GHGAlternative_MTCO2E,6,FALSE))</f>
        <v>0</v>
      </c>
      <c r="O16" s="256">
        <f t="shared" ref="O16:O47" si="7">IF(ISERROR(VLOOKUP($C77,GHGAlternative_MTCO2E,8,FALSE)),"",VLOOKUP($C77,GHGAlternative_MTCO2E,8,FALSE))</f>
        <v>2581.9310711278504</v>
      </c>
      <c r="P16" s="256">
        <f t="shared" ref="P16:P47" si="8">IF(ISERROR(VLOOKUP($C77,GHGAlternative_MTCO2E,10,FALSE)),"",VLOOKUP($C77,GHGAlternative_MTCO2E,10,FALSE))</f>
        <v>0</v>
      </c>
      <c r="Q16" s="256" t="str">
        <f t="shared" ref="Q16:Q47" si="9">IF(ISERROR(VLOOKUP($C77,GHGAlternative_MTCO2E,12,FALSE)),"",VLOOKUP($C77,GHGAlternative_MTCO2E,12,FALSE))</f>
        <v>NA</v>
      </c>
      <c r="R16" s="671" t="str">
        <f t="shared" ref="R16:R47" si="10">IF(ISERROR(VLOOKUP($C77,GHGAlternative_MTCO2E,14,FALSE)),"",VLOOKUP($C77,GHGAlternative_MTCO2E,14,FALSE))</f>
        <v>NA</v>
      </c>
      <c r="S16" s="388">
        <f t="shared" ref="S16:S69" si="11">IF(ISERROR(VLOOKUP($C77,GHGAlternative_MTCO2E,16,FALSE)),"0",VLOOKUP($C77,GHGAlternative_MTCO2E,16,FALSE))</f>
        <v>52.295772301407858</v>
      </c>
      <c r="T16" s="257"/>
      <c r="U16" s="389">
        <f>IF(SUM(E16:I16)&lt;&gt;SUM(M16:R16),"INPUT ERROR",IF(AND('Analysis Inputs'!$N$148=2,S16="INPUT ERROR"),"INPUT ERROR",S16-J16))</f>
        <v>0</v>
      </c>
      <c r="V16" s="174"/>
    </row>
    <row r="17" spans="2:22" x14ac:dyDescent="0.25">
      <c r="B17" s="169"/>
      <c r="C17" s="185">
        <v>2</v>
      </c>
      <c r="D17" s="225" t="str">
        <f t="shared" ref="D17:D69" si="12">IF(ISERROR(VLOOKUP($C17,GHGBaseline_MTCO2E,2,FALSE)),"",VLOOKUP($C17,GHGBaseline_MTCO2E,2,FALSE))</f>
        <v>Aluminum Ingot</v>
      </c>
      <c r="E17" s="256">
        <f t="shared" ref="E17:E69" si="13">IF(ISERROR(VLOOKUP($C17,GHGBaseline_MTCO2E,4,FALSE)),"",VLOOKUP($C17,GHGBaseline_MTCO2E,4,FALSE))</f>
        <v>0</v>
      </c>
      <c r="F17" s="256">
        <f t="shared" si="0"/>
        <v>1647.4287121844873</v>
      </c>
      <c r="G17" s="256">
        <f t="shared" si="1"/>
        <v>0</v>
      </c>
      <c r="H17" s="256" t="str">
        <f>IF(ISERROR(VLOOKUP($C17,GHGBaseline_MTCO2E,10,FALSE)),"",VLOOKUP($C17,GHGBaseline_MTCO2E,10,FALSE))</f>
        <v>NA</v>
      </c>
      <c r="I17" s="671" t="str">
        <f t="shared" si="2"/>
        <v>NA</v>
      </c>
      <c r="J17" s="388">
        <f t="shared" si="3"/>
        <v>33.36787638469665</v>
      </c>
      <c r="K17" s="152"/>
      <c r="L17" s="226" t="str">
        <f t="shared" si="4"/>
        <v>Aluminum Ingot</v>
      </c>
      <c r="M17" s="256">
        <f t="shared" si="5"/>
        <v>0</v>
      </c>
      <c r="N17" s="256">
        <f t="shared" si="6"/>
        <v>0</v>
      </c>
      <c r="O17" s="256">
        <f t="shared" si="7"/>
        <v>1647.4287121844873</v>
      </c>
      <c r="P17" s="256">
        <f t="shared" si="8"/>
        <v>0</v>
      </c>
      <c r="Q17" s="256" t="str">
        <f t="shared" si="9"/>
        <v>NA</v>
      </c>
      <c r="R17" s="671" t="str">
        <f t="shared" si="10"/>
        <v>NA</v>
      </c>
      <c r="S17" s="388">
        <f t="shared" si="11"/>
        <v>33.36787638469665</v>
      </c>
      <c r="T17" s="257"/>
      <c r="U17" s="389">
        <f>IF(SUM(E17:I17)&lt;&gt;SUM(M17:R17),"INPUT ERROR",IF(AND('Analysis Inputs'!$N$148=2,S17="INPUT ERROR"),"INPUT ERROR",S17-J17))</f>
        <v>0</v>
      </c>
      <c r="V17" s="174"/>
    </row>
    <row r="18" spans="2:22" x14ac:dyDescent="0.25">
      <c r="B18" s="169"/>
      <c r="C18" s="185">
        <v>3</v>
      </c>
      <c r="D18" s="225" t="str">
        <f t="shared" si="12"/>
        <v>Steel Cans</v>
      </c>
      <c r="E18" s="256">
        <f t="shared" si="13"/>
        <v>0</v>
      </c>
      <c r="F18" s="256">
        <f t="shared" si="0"/>
        <v>4001.7125772610179</v>
      </c>
      <c r="G18" s="256">
        <f t="shared" si="1"/>
        <v>0</v>
      </c>
      <c r="H18" s="256" t="str">
        <f t="shared" ref="H18:H69" si="14">IF(ISERROR(VLOOKUP($C18,GHGBaseline_MTCO2E,10,FALSE)),"",VLOOKUP($C18,GHGBaseline_MTCO2E,10,FALSE))</f>
        <v>NA</v>
      </c>
      <c r="I18" s="671" t="str">
        <f t="shared" si="2"/>
        <v>NA</v>
      </c>
      <c r="J18" s="388">
        <f t="shared" si="3"/>
        <v>81.05276399369825</v>
      </c>
      <c r="K18" s="152"/>
      <c r="L18" s="226" t="str">
        <f t="shared" si="4"/>
        <v>Steel Cans</v>
      </c>
      <c r="M18" s="256">
        <f t="shared" si="5"/>
        <v>0</v>
      </c>
      <c r="N18" s="256">
        <f t="shared" si="6"/>
        <v>0</v>
      </c>
      <c r="O18" s="256">
        <f t="shared" si="7"/>
        <v>4001.7125772610179</v>
      </c>
      <c r="P18" s="256">
        <f t="shared" si="8"/>
        <v>0</v>
      </c>
      <c r="Q18" s="256" t="str">
        <f t="shared" si="9"/>
        <v>NA</v>
      </c>
      <c r="R18" s="671" t="str">
        <f t="shared" si="10"/>
        <v>NA</v>
      </c>
      <c r="S18" s="388">
        <f t="shared" si="11"/>
        <v>81.05276399369825</v>
      </c>
      <c r="T18" s="257"/>
      <c r="U18" s="389">
        <f>IF(SUM(E18:I18)&lt;&gt;SUM(M18:R18),"INPUT ERROR",IF(AND('Analysis Inputs'!$N$148=2,S18="INPUT ERROR"),"INPUT ERROR",S18-J18))</f>
        <v>0</v>
      </c>
      <c r="V18" s="174"/>
    </row>
    <row r="19" spans="2:22" x14ac:dyDescent="0.25">
      <c r="B19" s="169"/>
      <c r="C19" s="185">
        <v>4</v>
      </c>
      <c r="D19" s="225" t="str">
        <f t="shared" si="12"/>
        <v>Glass</v>
      </c>
      <c r="E19" s="256">
        <f t="shared" si="13"/>
        <v>0</v>
      </c>
      <c r="F19" s="256">
        <f t="shared" si="0"/>
        <v>22379.467981121063</v>
      </c>
      <c r="G19" s="256">
        <f t="shared" si="1"/>
        <v>0</v>
      </c>
      <c r="H19" s="256" t="str">
        <f t="shared" si="14"/>
        <v>NA</v>
      </c>
      <c r="I19" s="671" t="str">
        <f t="shared" si="2"/>
        <v>NA</v>
      </c>
      <c r="J19" s="388">
        <f t="shared" si="3"/>
        <v>453.28536259340063</v>
      </c>
      <c r="K19" s="152"/>
      <c r="L19" s="226" t="str">
        <f t="shared" si="4"/>
        <v>Glass</v>
      </c>
      <c r="M19" s="256">
        <f t="shared" si="5"/>
        <v>0</v>
      </c>
      <c r="N19" s="256">
        <f t="shared" si="6"/>
        <v>0</v>
      </c>
      <c r="O19" s="256">
        <f t="shared" si="7"/>
        <v>22379.467981121063</v>
      </c>
      <c r="P19" s="256">
        <f t="shared" si="8"/>
        <v>0</v>
      </c>
      <c r="Q19" s="256" t="str">
        <f t="shared" si="9"/>
        <v>NA</v>
      </c>
      <c r="R19" s="671" t="str">
        <f t="shared" si="10"/>
        <v>NA</v>
      </c>
      <c r="S19" s="388">
        <f t="shared" si="11"/>
        <v>453.28536259340063</v>
      </c>
      <c r="T19" s="257"/>
      <c r="U19" s="389">
        <f>IF(SUM(E19:I19)&lt;&gt;SUM(M19:R19),"INPUT ERROR",IF(AND('Analysis Inputs'!$N$148=2,S19="INPUT ERROR"),"INPUT ERROR",S19-J19))</f>
        <v>0</v>
      </c>
      <c r="V19" s="174"/>
    </row>
    <row r="20" spans="2:22" x14ac:dyDescent="0.25">
      <c r="B20" s="169"/>
      <c r="C20" s="185">
        <v>5</v>
      </c>
      <c r="D20" s="225" t="str">
        <f t="shared" si="12"/>
        <v>HDPE</v>
      </c>
      <c r="E20" s="256">
        <f t="shared" si="13"/>
        <v>0</v>
      </c>
      <c r="F20" s="256">
        <f t="shared" si="0"/>
        <v>4378.1563584420928</v>
      </c>
      <c r="G20" s="256">
        <f t="shared" si="1"/>
        <v>0</v>
      </c>
      <c r="H20" s="256" t="str">
        <f t="shared" si="14"/>
        <v>NA</v>
      </c>
      <c r="I20" s="671" t="str">
        <f t="shared" si="2"/>
        <v>NA</v>
      </c>
      <c r="J20" s="388">
        <f t="shared" si="3"/>
        <v>88.677451765214542</v>
      </c>
      <c r="K20" s="152"/>
      <c r="L20" s="226" t="str">
        <f t="shared" si="4"/>
        <v>HDPE</v>
      </c>
      <c r="M20" s="256">
        <f t="shared" si="5"/>
        <v>0</v>
      </c>
      <c r="N20" s="256">
        <f t="shared" si="6"/>
        <v>0</v>
      </c>
      <c r="O20" s="256">
        <f t="shared" si="7"/>
        <v>4378.1563584420928</v>
      </c>
      <c r="P20" s="256">
        <f t="shared" si="8"/>
        <v>0</v>
      </c>
      <c r="Q20" s="256" t="str">
        <f t="shared" si="9"/>
        <v>NA</v>
      </c>
      <c r="R20" s="671" t="str">
        <f t="shared" si="10"/>
        <v>NA</v>
      </c>
      <c r="S20" s="388">
        <f t="shared" si="11"/>
        <v>88.677451765214542</v>
      </c>
      <c r="T20" s="257"/>
      <c r="U20" s="389">
        <f>IF(SUM(E20:I20)&lt;&gt;SUM(M20:R20),"INPUT ERROR",IF(AND('Analysis Inputs'!$N$148=2,S20="INPUT ERROR"),"INPUT ERROR",S20-J20))</f>
        <v>0</v>
      </c>
      <c r="V20" s="174"/>
    </row>
    <row r="21" spans="2:22" x14ac:dyDescent="0.25">
      <c r="B21" s="169"/>
      <c r="C21" s="185">
        <v>6</v>
      </c>
      <c r="D21" s="225" t="str">
        <f t="shared" si="12"/>
        <v>LDPE</v>
      </c>
      <c r="E21" s="256" t="str">
        <f t="shared" si="13"/>
        <v>NA</v>
      </c>
      <c r="F21" s="256">
        <f t="shared" si="0"/>
        <v>4168.741080644736</v>
      </c>
      <c r="G21" s="256">
        <f t="shared" si="1"/>
        <v>0</v>
      </c>
      <c r="H21" s="256" t="str">
        <f t="shared" si="14"/>
        <v>NA</v>
      </c>
      <c r="I21" s="671" t="str">
        <f t="shared" si="2"/>
        <v>NA</v>
      </c>
      <c r="J21" s="388">
        <f t="shared" si="3"/>
        <v>84.435846012609105</v>
      </c>
      <c r="K21" s="152"/>
      <c r="L21" s="226" t="str">
        <f t="shared" si="4"/>
        <v>LDPE</v>
      </c>
      <c r="M21" s="256">
        <f t="shared" si="5"/>
        <v>0</v>
      </c>
      <c r="N21" s="256" t="str">
        <f t="shared" si="6"/>
        <v>NA</v>
      </c>
      <c r="O21" s="256">
        <f t="shared" si="7"/>
        <v>4168.741080644736</v>
      </c>
      <c r="P21" s="256">
        <f t="shared" si="8"/>
        <v>0</v>
      </c>
      <c r="Q21" s="256" t="str">
        <f t="shared" si="9"/>
        <v>NA</v>
      </c>
      <c r="R21" s="671" t="str">
        <f t="shared" si="10"/>
        <v>NA</v>
      </c>
      <c r="S21" s="388">
        <f t="shared" si="11"/>
        <v>84.435846012609105</v>
      </c>
      <c r="T21" s="257"/>
      <c r="U21" s="389">
        <f>IF(SUM(E21:I21)&lt;&gt;SUM(M21:R21),"INPUT ERROR",IF(AND('Analysis Inputs'!$N$148=2,S21="INPUT ERROR"),"INPUT ERROR",S21-J21))</f>
        <v>0</v>
      </c>
      <c r="V21" s="174"/>
    </row>
    <row r="22" spans="2:22" x14ac:dyDescent="0.25">
      <c r="B22" s="169"/>
      <c r="C22" s="185">
        <v>7</v>
      </c>
      <c r="D22" s="225" t="str">
        <f t="shared" si="12"/>
        <v>PET</v>
      </c>
      <c r="E22" s="256">
        <f t="shared" si="13"/>
        <v>0</v>
      </c>
      <c r="F22" s="256">
        <f t="shared" si="0"/>
        <v>7088.1162615431676</v>
      </c>
      <c r="G22" s="256">
        <f t="shared" si="1"/>
        <v>0</v>
      </c>
      <c r="H22" s="256" t="str">
        <f t="shared" si="14"/>
        <v>NA</v>
      </c>
      <c r="I22" s="671" t="str">
        <f t="shared" si="2"/>
        <v>NA</v>
      </c>
      <c r="J22" s="388">
        <f t="shared" si="3"/>
        <v>143.56638649444906</v>
      </c>
      <c r="K22" s="152"/>
      <c r="L22" s="226" t="str">
        <f t="shared" si="4"/>
        <v>PET</v>
      </c>
      <c r="M22" s="256">
        <f t="shared" si="5"/>
        <v>0</v>
      </c>
      <c r="N22" s="256">
        <f t="shared" si="6"/>
        <v>0</v>
      </c>
      <c r="O22" s="256">
        <f t="shared" si="7"/>
        <v>7088.1162615431676</v>
      </c>
      <c r="P22" s="256">
        <f t="shared" si="8"/>
        <v>0</v>
      </c>
      <c r="Q22" s="256" t="str">
        <f t="shared" si="9"/>
        <v>NA</v>
      </c>
      <c r="R22" s="671" t="str">
        <f t="shared" si="10"/>
        <v>NA</v>
      </c>
      <c r="S22" s="388">
        <f t="shared" si="11"/>
        <v>143.56638649444906</v>
      </c>
      <c r="T22" s="257"/>
      <c r="U22" s="389">
        <f>IF(SUM(E22:I22)&lt;&gt;SUM(M22:R22),"INPUT ERROR",IF(AND('Analysis Inputs'!$N$148=2,S22="INPUT ERROR"),"INPUT ERROR",S22-J22))</f>
        <v>0</v>
      </c>
      <c r="V22" s="174"/>
    </row>
    <row r="23" spans="2:22" x14ac:dyDescent="0.25">
      <c r="B23" s="169"/>
      <c r="C23" s="185">
        <v>8</v>
      </c>
      <c r="D23" s="225" t="str">
        <f t="shared" si="12"/>
        <v>LLDPE</v>
      </c>
      <c r="E23" s="256" t="str">
        <f t="shared" si="13"/>
        <v>NA</v>
      </c>
      <c r="F23" s="256">
        <f t="shared" si="0"/>
        <v>12601.65494719689</v>
      </c>
      <c r="G23" s="256">
        <f t="shared" si="1"/>
        <v>0</v>
      </c>
      <c r="H23" s="256" t="str">
        <f t="shared" si="14"/>
        <v>NA</v>
      </c>
      <c r="I23" s="671" t="str">
        <f t="shared" si="2"/>
        <v>NA</v>
      </c>
      <c r="J23" s="388">
        <f t="shared" si="3"/>
        <v>255.24046133874725</v>
      </c>
      <c r="K23" s="152"/>
      <c r="L23" s="226" t="str">
        <f t="shared" si="4"/>
        <v>LLDPE</v>
      </c>
      <c r="M23" s="256">
        <f t="shared" si="5"/>
        <v>0</v>
      </c>
      <c r="N23" s="256" t="str">
        <f t="shared" si="6"/>
        <v>NA</v>
      </c>
      <c r="O23" s="256">
        <f t="shared" si="7"/>
        <v>12601.65494719689</v>
      </c>
      <c r="P23" s="256">
        <f t="shared" si="8"/>
        <v>0</v>
      </c>
      <c r="Q23" s="256" t="str">
        <f t="shared" si="9"/>
        <v>NA</v>
      </c>
      <c r="R23" s="671" t="str">
        <f t="shared" si="10"/>
        <v>NA</v>
      </c>
      <c r="S23" s="388">
        <f t="shared" si="11"/>
        <v>255.24046133874725</v>
      </c>
      <c r="T23" s="257"/>
      <c r="U23" s="389">
        <f>IF(SUM(E23:I23)&lt;&gt;SUM(M23:R23),"INPUT ERROR",IF(AND('Analysis Inputs'!$N$148=2,S23="INPUT ERROR"),"INPUT ERROR",S23-J23))</f>
        <v>0</v>
      </c>
      <c r="V23" s="174"/>
    </row>
    <row r="24" spans="2:22" x14ac:dyDescent="0.25">
      <c r="B24" s="169"/>
      <c r="C24" s="185">
        <v>9</v>
      </c>
      <c r="D24" s="225" t="str">
        <f t="shared" si="12"/>
        <v>PS</v>
      </c>
      <c r="E24" s="256" t="str">
        <f t="shared" si="13"/>
        <v>NA</v>
      </c>
      <c r="F24" s="256">
        <f t="shared" si="0"/>
        <v>5327.0221948308408</v>
      </c>
      <c r="G24" s="256">
        <f t="shared" si="1"/>
        <v>0</v>
      </c>
      <c r="H24" s="256" t="str">
        <f t="shared" si="14"/>
        <v>NA</v>
      </c>
      <c r="I24" s="671" t="str">
        <f t="shared" si="2"/>
        <v>NA</v>
      </c>
      <c r="J24" s="388">
        <f t="shared" si="3"/>
        <v>107.89627301077743</v>
      </c>
      <c r="K24" s="152"/>
      <c r="L24" s="226" t="str">
        <f t="shared" si="4"/>
        <v>PS</v>
      </c>
      <c r="M24" s="256">
        <f t="shared" si="5"/>
        <v>0</v>
      </c>
      <c r="N24" s="256" t="str">
        <f t="shared" si="6"/>
        <v>NA</v>
      </c>
      <c r="O24" s="256">
        <f t="shared" si="7"/>
        <v>5327.0221948308408</v>
      </c>
      <c r="P24" s="256">
        <f t="shared" si="8"/>
        <v>0</v>
      </c>
      <c r="Q24" s="256" t="str">
        <f t="shared" si="9"/>
        <v>NA</v>
      </c>
      <c r="R24" s="671" t="str">
        <f t="shared" si="10"/>
        <v>NA</v>
      </c>
      <c r="S24" s="388">
        <f t="shared" si="11"/>
        <v>107.89627301077743</v>
      </c>
      <c r="T24" s="257"/>
      <c r="U24" s="389">
        <f>IF(SUM(E24:I24)&lt;&gt;SUM(M24:R24),"INPUT ERROR",IF(AND('Analysis Inputs'!$N$148=2,S24="INPUT ERROR"),"INPUT ERROR",S24-J24))</f>
        <v>0</v>
      </c>
      <c r="V24" s="174"/>
    </row>
    <row r="25" spans="2:22" x14ac:dyDescent="0.25">
      <c r="B25" s="169"/>
      <c r="C25" s="185">
        <v>10</v>
      </c>
      <c r="D25" s="225" t="str">
        <f t="shared" si="12"/>
        <v>Corrugated Containers</v>
      </c>
      <c r="E25" s="256">
        <f t="shared" si="13"/>
        <v>0</v>
      </c>
      <c r="F25" s="256">
        <f t="shared" si="0"/>
        <v>27908.476920644473</v>
      </c>
      <c r="G25" s="256">
        <f t="shared" si="1"/>
        <v>0</v>
      </c>
      <c r="H25" s="256" t="str">
        <f t="shared" si="14"/>
        <v>NA</v>
      </c>
      <c r="I25" s="671" t="str">
        <f t="shared" si="2"/>
        <v>NA</v>
      </c>
      <c r="J25" s="388">
        <f t="shared" si="3"/>
        <v>12416.570178497514</v>
      </c>
      <c r="K25" s="152"/>
      <c r="L25" s="226" t="str">
        <f t="shared" si="4"/>
        <v>Corrugated Containers</v>
      </c>
      <c r="M25" s="256">
        <f t="shared" si="5"/>
        <v>0</v>
      </c>
      <c r="N25" s="256">
        <f t="shared" si="6"/>
        <v>0</v>
      </c>
      <c r="O25" s="256">
        <f t="shared" si="7"/>
        <v>27908.476920644473</v>
      </c>
      <c r="P25" s="256">
        <f t="shared" si="8"/>
        <v>0</v>
      </c>
      <c r="Q25" s="256" t="str">
        <f t="shared" si="9"/>
        <v>NA</v>
      </c>
      <c r="R25" s="671" t="str">
        <f t="shared" si="10"/>
        <v>NA</v>
      </c>
      <c r="S25" s="388">
        <f t="shared" si="11"/>
        <v>12416.570178497514</v>
      </c>
      <c r="T25" s="257"/>
      <c r="U25" s="389">
        <f>IF(SUM(E25:I25)&lt;&gt;SUM(M25:R25),"INPUT ERROR",IF(AND('Analysis Inputs'!$N$148=2,S25="INPUT ERROR"),"INPUT ERROR",S25-J25))</f>
        <v>0</v>
      </c>
      <c r="V25" s="174"/>
    </row>
    <row r="26" spans="2:22" x14ac:dyDescent="0.25">
      <c r="B26" s="169"/>
      <c r="C26" s="185">
        <v>11</v>
      </c>
      <c r="D26" s="225" t="str">
        <f t="shared" si="12"/>
        <v>Newspaper</v>
      </c>
      <c r="E26" s="256">
        <f t="shared" si="13"/>
        <v>0</v>
      </c>
      <c r="F26" s="256">
        <f t="shared" si="0"/>
        <v>12962.300300440122</v>
      </c>
      <c r="G26" s="256">
        <f t="shared" si="1"/>
        <v>0</v>
      </c>
      <c r="H26" s="256" t="str">
        <f t="shared" si="14"/>
        <v>NA</v>
      </c>
      <c r="I26" s="671" t="str">
        <f t="shared" si="2"/>
        <v>NA</v>
      </c>
      <c r="J26" s="388">
        <f t="shared" si="3"/>
        <v>-9749.3877335967572</v>
      </c>
      <c r="K26" s="152"/>
      <c r="L26" s="226" t="str">
        <f t="shared" si="4"/>
        <v>Newspaper</v>
      </c>
      <c r="M26" s="256">
        <f t="shared" si="5"/>
        <v>0</v>
      </c>
      <c r="N26" s="256">
        <f t="shared" si="6"/>
        <v>0</v>
      </c>
      <c r="O26" s="256">
        <f t="shared" si="7"/>
        <v>12962.300300440122</v>
      </c>
      <c r="P26" s="256">
        <f t="shared" si="8"/>
        <v>0</v>
      </c>
      <c r="Q26" s="256" t="str">
        <f t="shared" si="9"/>
        <v>NA</v>
      </c>
      <c r="R26" s="671" t="str">
        <f t="shared" si="10"/>
        <v>NA</v>
      </c>
      <c r="S26" s="388">
        <f t="shared" si="11"/>
        <v>-9749.3877335967572</v>
      </c>
      <c r="T26" s="257"/>
      <c r="U26" s="389">
        <f>IF(SUM(E26:I26)&lt;&gt;SUM(M26:R26),"INPUT ERROR",IF(AND('Analysis Inputs'!$N$148=2,S26="INPUT ERROR"),"INPUT ERROR",S26-J26))</f>
        <v>0</v>
      </c>
      <c r="V26" s="174"/>
    </row>
    <row r="27" spans="2:22" x14ac:dyDescent="0.25">
      <c r="B27" s="169"/>
      <c r="C27" s="185">
        <v>12</v>
      </c>
      <c r="D27" s="225" t="str">
        <f t="shared" si="12"/>
        <v>Office Paper</v>
      </c>
      <c r="E27" s="256">
        <f t="shared" si="13"/>
        <v>0</v>
      </c>
      <c r="F27" s="256">
        <f t="shared" si="0"/>
        <v>6726.271332146167</v>
      </c>
      <c r="G27" s="256">
        <f t="shared" si="1"/>
        <v>0</v>
      </c>
      <c r="H27" s="256" t="str">
        <f t="shared" si="14"/>
        <v>NA</v>
      </c>
      <c r="I27" s="671" t="str">
        <f t="shared" si="2"/>
        <v>NA</v>
      </c>
      <c r="J27" s="388">
        <f t="shared" si="3"/>
        <v>10083.923900399697</v>
      </c>
      <c r="K27" s="152"/>
      <c r="L27" s="226" t="str">
        <f t="shared" si="4"/>
        <v>Office Paper</v>
      </c>
      <c r="M27" s="256">
        <f t="shared" si="5"/>
        <v>0</v>
      </c>
      <c r="N27" s="256">
        <f t="shared" si="6"/>
        <v>0</v>
      </c>
      <c r="O27" s="256">
        <f t="shared" si="7"/>
        <v>6726.271332146167</v>
      </c>
      <c r="P27" s="256">
        <f t="shared" si="8"/>
        <v>0</v>
      </c>
      <c r="Q27" s="256" t="str">
        <f t="shared" si="9"/>
        <v>NA</v>
      </c>
      <c r="R27" s="671" t="str">
        <f t="shared" si="10"/>
        <v>NA</v>
      </c>
      <c r="S27" s="388">
        <f t="shared" si="11"/>
        <v>10083.923900399697</v>
      </c>
      <c r="T27" s="257"/>
      <c r="U27" s="389">
        <f>IF(SUM(E27:I27)&lt;&gt;SUM(M27:R27),"INPUT ERROR",IF(AND('Analysis Inputs'!$N$148=2,S27="INPUT ERROR"),"INPUT ERROR",S27-J27))</f>
        <v>0</v>
      </c>
      <c r="V27" s="174"/>
    </row>
    <row r="28" spans="2:22" x14ac:dyDescent="0.25">
      <c r="B28" s="169"/>
      <c r="C28" s="185">
        <v>13</v>
      </c>
      <c r="D28" s="225" t="str">
        <f t="shared" si="12"/>
        <v>Dimensional Lumber</v>
      </c>
      <c r="E28" s="256">
        <f t="shared" si="13"/>
        <v>0</v>
      </c>
      <c r="F28" s="256">
        <f t="shared" si="0"/>
        <v>103846.1137708187</v>
      </c>
      <c r="G28" s="256">
        <f t="shared" si="1"/>
        <v>0</v>
      </c>
      <c r="H28" s="256" t="str">
        <f t="shared" si="14"/>
        <v>NA</v>
      </c>
      <c r="I28" s="671" t="str">
        <f t="shared" si="2"/>
        <v>NA</v>
      </c>
      <c r="J28" s="388">
        <f t="shared" si="3"/>
        <v>-105068.89959648224</v>
      </c>
      <c r="K28" s="152"/>
      <c r="L28" s="226" t="str">
        <f t="shared" si="4"/>
        <v>Dimensional Lumber</v>
      </c>
      <c r="M28" s="256">
        <f t="shared" si="5"/>
        <v>0</v>
      </c>
      <c r="N28" s="256">
        <f t="shared" si="6"/>
        <v>0</v>
      </c>
      <c r="O28" s="256">
        <f t="shared" si="7"/>
        <v>103846.1137708187</v>
      </c>
      <c r="P28" s="256">
        <f t="shared" si="8"/>
        <v>0</v>
      </c>
      <c r="Q28" s="256" t="str">
        <f t="shared" si="9"/>
        <v>NA</v>
      </c>
      <c r="R28" s="671" t="str">
        <f t="shared" si="10"/>
        <v>NA</v>
      </c>
      <c r="S28" s="388">
        <f t="shared" si="11"/>
        <v>-105068.89959648224</v>
      </c>
      <c r="T28" s="257"/>
      <c r="U28" s="389">
        <f>IF(SUM(E28:I28)&lt;&gt;SUM(M28:R28),"INPUT ERROR",IF(AND('Analysis Inputs'!$N$148=2,S28="INPUT ERROR"),"INPUT ERROR",S28-J28))</f>
        <v>0</v>
      </c>
      <c r="V28" s="174"/>
    </row>
    <row r="29" spans="2:22" x14ac:dyDescent="0.25">
      <c r="B29" s="169"/>
      <c r="C29" s="185">
        <v>14</v>
      </c>
      <c r="D29" s="225" t="str">
        <f t="shared" si="12"/>
        <v>Food Waste (non-meat)</v>
      </c>
      <c r="E29" s="256" t="str">
        <f t="shared" si="13"/>
        <v>NA</v>
      </c>
      <c r="F29" s="256">
        <f t="shared" si="0"/>
        <v>107960.23499957993</v>
      </c>
      <c r="G29" s="256">
        <f t="shared" si="1"/>
        <v>0</v>
      </c>
      <c r="H29" s="256">
        <f t="shared" si="14"/>
        <v>0</v>
      </c>
      <c r="I29" s="671">
        <f t="shared" si="2"/>
        <v>0</v>
      </c>
      <c r="J29" s="388">
        <f t="shared" si="3"/>
        <v>51965.725480051471</v>
      </c>
      <c r="K29" s="152"/>
      <c r="L29" s="226" t="str">
        <f t="shared" si="4"/>
        <v>Food Waste (non-meat)</v>
      </c>
      <c r="M29" s="256">
        <f t="shared" si="5"/>
        <v>0</v>
      </c>
      <c r="N29" s="256" t="str">
        <f t="shared" si="6"/>
        <v>NA</v>
      </c>
      <c r="O29" s="256">
        <f t="shared" si="7"/>
        <v>107960.23499957993</v>
      </c>
      <c r="P29" s="256">
        <f t="shared" si="8"/>
        <v>0</v>
      </c>
      <c r="Q29" s="256">
        <f t="shared" si="9"/>
        <v>0</v>
      </c>
      <c r="R29" s="671">
        <f t="shared" si="10"/>
        <v>0</v>
      </c>
      <c r="S29" s="388">
        <f t="shared" si="11"/>
        <v>51965.725480051471</v>
      </c>
      <c r="T29" s="257"/>
      <c r="U29" s="389">
        <f>IF(SUM(E29:I29)&lt;&gt;SUM(M29:R29),"INPUT ERROR",IF(AND('Analysis Inputs'!$N$148=2,S29="INPUT ERROR"),"INPUT ERROR",S29-J29))</f>
        <v>0</v>
      </c>
      <c r="V29" s="174"/>
    </row>
    <row r="30" spans="2:22" x14ac:dyDescent="0.25">
      <c r="B30" s="169"/>
      <c r="C30" s="185">
        <v>15</v>
      </c>
      <c r="D30" s="225" t="str">
        <f t="shared" si="12"/>
        <v>Food Waste (meat only)</v>
      </c>
      <c r="E30" s="256" t="str">
        <f t="shared" si="13"/>
        <v>NA</v>
      </c>
      <c r="F30" s="256">
        <f t="shared" si="0"/>
        <v>65275.449706659572</v>
      </c>
      <c r="G30" s="256">
        <f t="shared" si="1"/>
        <v>0</v>
      </c>
      <c r="H30" s="256">
        <f t="shared" si="14"/>
        <v>0</v>
      </c>
      <c r="I30" s="671">
        <f t="shared" si="2"/>
        <v>0</v>
      </c>
      <c r="J30" s="388">
        <f t="shared" si="3"/>
        <v>31419.773216095502</v>
      </c>
      <c r="K30" s="152"/>
      <c r="L30" s="226" t="str">
        <f t="shared" si="4"/>
        <v>Food Waste (meat only)</v>
      </c>
      <c r="M30" s="256">
        <f t="shared" si="5"/>
        <v>0</v>
      </c>
      <c r="N30" s="256" t="str">
        <f t="shared" si="6"/>
        <v>NA</v>
      </c>
      <c r="O30" s="256">
        <f t="shared" si="7"/>
        <v>65275.449706659572</v>
      </c>
      <c r="P30" s="256">
        <f t="shared" si="8"/>
        <v>0</v>
      </c>
      <c r="Q30" s="256">
        <f t="shared" si="9"/>
        <v>0</v>
      </c>
      <c r="R30" s="671">
        <f t="shared" si="10"/>
        <v>0</v>
      </c>
      <c r="S30" s="388">
        <f t="shared" si="11"/>
        <v>31419.773216095502</v>
      </c>
      <c r="T30" s="257"/>
      <c r="U30" s="389">
        <f>IF(SUM(E30:I30)&lt;&gt;SUM(M30:R30),"INPUT ERROR",IF(AND('Analysis Inputs'!$N$148=2,S30="INPUT ERROR"),"INPUT ERROR",S30-J30))</f>
        <v>0</v>
      </c>
      <c r="V30" s="174"/>
    </row>
    <row r="31" spans="2:22" x14ac:dyDescent="0.25">
      <c r="B31" s="169"/>
      <c r="C31" s="185">
        <v>16</v>
      </c>
      <c r="D31" s="225" t="str">
        <f t="shared" si="12"/>
        <v>Yard Trimmings</v>
      </c>
      <c r="E31" s="256" t="str">
        <f t="shared" si="13"/>
        <v>NA</v>
      </c>
      <c r="F31" s="256">
        <f t="shared" si="0"/>
        <v>34800.561320441149</v>
      </c>
      <c r="G31" s="256">
        <f t="shared" si="1"/>
        <v>0</v>
      </c>
      <c r="H31" s="256">
        <f t="shared" si="14"/>
        <v>0</v>
      </c>
      <c r="I31" s="671">
        <f t="shared" si="2"/>
        <v>0</v>
      </c>
      <c r="J31" s="388">
        <f t="shared" si="3"/>
        <v>-7158.6497694633435</v>
      </c>
      <c r="K31" s="152"/>
      <c r="L31" s="226" t="str">
        <f t="shared" si="4"/>
        <v>Yard Trimmings</v>
      </c>
      <c r="M31" s="256" t="str">
        <f t="shared" si="5"/>
        <v>NA</v>
      </c>
      <c r="N31" s="256" t="str">
        <f t="shared" si="6"/>
        <v>NA</v>
      </c>
      <c r="O31" s="256">
        <f t="shared" si="7"/>
        <v>34800.561320441149</v>
      </c>
      <c r="P31" s="256">
        <f t="shared" si="8"/>
        <v>0</v>
      </c>
      <c r="Q31" s="256">
        <f t="shared" si="9"/>
        <v>0</v>
      </c>
      <c r="R31" s="671">
        <f t="shared" si="10"/>
        <v>0</v>
      </c>
      <c r="S31" s="388">
        <f t="shared" si="11"/>
        <v>-7158.6497694633435</v>
      </c>
      <c r="T31" s="257"/>
      <c r="U31" s="389">
        <f>IF(SUM(E31:I31)&lt;&gt;SUM(M31:R31),"INPUT ERROR",IF(AND('Analysis Inputs'!$N$148=2,S31="INPUT ERROR"),"INPUT ERROR",S31-J31))</f>
        <v>0</v>
      </c>
      <c r="V31" s="174"/>
    </row>
    <row r="32" spans="2:22" x14ac:dyDescent="0.25">
      <c r="B32" s="169"/>
      <c r="C32" s="185">
        <v>17</v>
      </c>
      <c r="D32" s="225" t="str">
        <f t="shared" si="12"/>
        <v>Branches</v>
      </c>
      <c r="E32" s="256" t="str">
        <f t="shared" si="13"/>
        <v>NA</v>
      </c>
      <c r="F32" s="256">
        <f t="shared" si="0"/>
        <v>2781.912059757693</v>
      </c>
      <c r="G32" s="256">
        <f t="shared" si="1"/>
        <v>0</v>
      </c>
      <c r="H32" s="256">
        <f t="shared" si="14"/>
        <v>0</v>
      </c>
      <c r="I32" s="671">
        <f t="shared" si="2"/>
        <v>0</v>
      </c>
      <c r="J32" s="388">
        <f t="shared" si="3"/>
        <v>-1084.3822031246116</v>
      </c>
      <c r="K32" s="152"/>
      <c r="L32" s="226" t="str">
        <f t="shared" si="4"/>
        <v>Branches</v>
      </c>
      <c r="M32" s="256" t="str">
        <f t="shared" si="5"/>
        <v>NA</v>
      </c>
      <c r="N32" s="256" t="str">
        <f t="shared" si="6"/>
        <v>NA</v>
      </c>
      <c r="O32" s="256">
        <f t="shared" si="7"/>
        <v>2781.912059757693</v>
      </c>
      <c r="P32" s="256">
        <f t="shared" si="8"/>
        <v>0</v>
      </c>
      <c r="Q32" s="256">
        <f t="shared" si="9"/>
        <v>0</v>
      </c>
      <c r="R32" s="671">
        <f t="shared" si="10"/>
        <v>0</v>
      </c>
      <c r="S32" s="388">
        <f t="shared" si="11"/>
        <v>-1084.3822031246116</v>
      </c>
      <c r="T32" s="257"/>
      <c r="U32" s="389">
        <f>IF(SUM(E32:I32)&lt;&gt;SUM(M32:R32),"INPUT ERROR",IF(AND('Analysis Inputs'!$N$148=2,S32="INPUT ERROR"),"INPUT ERROR",S32-J32))</f>
        <v>0</v>
      </c>
      <c r="V32" s="174"/>
    </row>
    <row r="33" spans="2:22" x14ac:dyDescent="0.25">
      <c r="B33" s="169"/>
      <c r="C33" s="185">
        <v>18</v>
      </c>
      <c r="D33" s="225" t="str">
        <f t="shared" si="12"/>
        <v>Mixed Paper (general)</v>
      </c>
      <c r="E33" s="256">
        <f t="shared" si="13"/>
        <v>0</v>
      </c>
      <c r="F33" s="256">
        <f t="shared" si="0"/>
        <v>93768.529977279337</v>
      </c>
      <c r="G33" s="256">
        <f t="shared" si="1"/>
        <v>0</v>
      </c>
      <c r="H33" s="256" t="str">
        <f t="shared" si="14"/>
        <v>NA</v>
      </c>
      <c r="I33" s="671" t="str">
        <f t="shared" si="2"/>
        <v>NA</v>
      </c>
      <c r="J33" s="388">
        <f t="shared" si="3"/>
        <v>26824.568902585113</v>
      </c>
      <c r="K33" s="152"/>
      <c r="L33" s="226" t="str">
        <f t="shared" si="4"/>
        <v>Mixed Paper (general)</v>
      </c>
      <c r="M33" s="256">
        <f t="shared" si="5"/>
        <v>0</v>
      </c>
      <c r="N33" s="256">
        <f t="shared" si="6"/>
        <v>0</v>
      </c>
      <c r="O33" s="256">
        <f t="shared" si="7"/>
        <v>93768.529977279337</v>
      </c>
      <c r="P33" s="256">
        <f t="shared" si="8"/>
        <v>0</v>
      </c>
      <c r="Q33" s="256" t="str">
        <f t="shared" si="9"/>
        <v>NA</v>
      </c>
      <c r="R33" s="671" t="str">
        <f t="shared" si="10"/>
        <v>NA</v>
      </c>
      <c r="S33" s="388">
        <f t="shared" si="11"/>
        <v>26824.568902585113</v>
      </c>
      <c r="T33" s="257"/>
      <c r="U33" s="389">
        <f>IF(SUM(E33:I33)&lt;&gt;SUM(M33:R33),"INPUT ERROR",IF(AND('Analysis Inputs'!$N$148=2,S33="INPUT ERROR"),"INPUT ERROR",S33-J33))</f>
        <v>0</v>
      </c>
      <c r="V33" s="174"/>
    </row>
    <row r="34" spans="2:22" x14ac:dyDescent="0.25">
      <c r="B34" s="169"/>
      <c r="C34" s="185">
        <v>19</v>
      </c>
      <c r="D34" s="225" t="str">
        <f t="shared" si="12"/>
        <v>Mixed Metals</v>
      </c>
      <c r="E34" s="256">
        <f t="shared" si="13"/>
        <v>0</v>
      </c>
      <c r="F34" s="256">
        <f t="shared" si="0"/>
        <v>31048.613761431894</v>
      </c>
      <c r="G34" s="256">
        <f t="shared" si="1"/>
        <v>0</v>
      </c>
      <c r="H34" s="256" t="str">
        <f t="shared" si="14"/>
        <v>NA</v>
      </c>
      <c r="I34" s="671" t="str">
        <f t="shared" si="2"/>
        <v>NA</v>
      </c>
      <c r="J34" s="388">
        <f t="shared" si="3"/>
        <v>628.87474173852524</v>
      </c>
      <c r="K34" s="152"/>
      <c r="L34" s="226" t="str">
        <f t="shared" si="4"/>
        <v>Mixed Metals</v>
      </c>
      <c r="M34" s="256">
        <f t="shared" si="5"/>
        <v>0</v>
      </c>
      <c r="N34" s="256">
        <f t="shared" si="6"/>
        <v>0</v>
      </c>
      <c r="O34" s="256">
        <f t="shared" si="7"/>
        <v>31048.613761431894</v>
      </c>
      <c r="P34" s="256">
        <f t="shared" si="8"/>
        <v>0</v>
      </c>
      <c r="Q34" s="256" t="str">
        <f t="shared" si="9"/>
        <v>NA</v>
      </c>
      <c r="R34" s="671" t="str">
        <f t="shared" si="10"/>
        <v>NA</v>
      </c>
      <c r="S34" s="388">
        <f t="shared" si="11"/>
        <v>628.87474173852524</v>
      </c>
      <c r="T34" s="257"/>
      <c r="U34" s="389">
        <f>IF(SUM(E34:I34)&lt;&gt;SUM(M34:R34),"INPUT ERROR",IF(AND('Analysis Inputs'!$N$148=2,S34="INPUT ERROR"),"INPUT ERROR",S34-J34))</f>
        <v>0</v>
      </c>
      <c r="V34" s="174"/>
    </row>
    <row r="35" spans="2:22" x14ac:dyDescent="0.25">
      <c r="B35" s="169"/>
      <c r="C35" s="185">
        <v>20</v>
      </c>
      <c r="D35" s="225" t="str">
        <f t="shared" si="12"/>
        <v>Mixed Plastics</v>
      </c>
      <c r="E35" s="256">
        <f t="shared" si="13"/>
        <v>0</v>
      </c>
      <c r="F35" s="256">
        <f t="shared" si="0"/>
        <v>65431.449481739066</v>
      </c>
      <c r="G35" s="256">
        <f t="shared" si="1"/>
        <v>0</v>
      </c>
      <c r="H35" s="256" t="str">
        <f t="shared" si="14"/>
        <v>NA</v>
      </c>
      <c r="I35" s="671" t="str">
        <f t="shared" si="2"/>
        <v>NA</v>
      </c>
      <c r="J35" s="388">
        <f t="shared" si="3"/>
        <v>1325.282545964086</v>
      </c>
      <c r="K35" s="152"/>
      <c r="L35" s="226" t="str">
        <f t="shared" si="4"/>
        <v>Mixed Plastics</v>
      </c>
      <c r="M35" s="256">
        <f t="shared" si="5"/>
        <v>0</v>
      </c>
      <c r="N35" s="256">
        <f t="shared" si="6"/>
        <v>0</v>
      </c>
      <c r="O35" s="256">
        <f t="shared" si="7"/>
        <v>65431.449481739066</v>
      </c>
      <c r="P35" s="256">
        <f t="shared" si="8"/>
        <v>0</v>
      </c>
      <c r="Q35" s="256" t="str">
        <f t="shared" si="9"/>
        <v>NA</v>
      </c>
      <c r="R35" s="671" t="str">
        <f t="shared" si="10"/>
        <v>NA</v>
      </c>
      <c r="S35" s="388">
        <f t="shared" si="11"/>
        <v>1325.282545964086</v>
      </c>
      <c r="T35" s="257"/>
      <c r="U35" s="389">
        <f>IF(SUM(E35:I35)&lt;&gt;SUM(M35:R35),"INPUT ERROR",IF(AND('Analysis Inputs'!$N$148=2,S35="INPUT ERROR"),"INPUT ERROR",S35-J35))</f>
        <v>0</v>
      </c>
      <c r="V35" s="174"/>
    </row>
    <row r="36" spans="2:22" x14ac:dyDescent="0.25">
      <c r="B36" s="169"/>
      <c r="C36" s="185">
        <v>21</v>
      </c>
      <c r="D36" s="225" t="str">
        <f t="shared" si="12"/>
        <v>Mixed MSW</v>
      </c>
      <c r="E36" s="256" t="str">
        <f t="shared" si="13"/>
        <v>NA</v>
      </c>
      <c r="F36" s="256">
        <f t="shared" si="0"/>
        <v>186408.24273021927</v>
      </c>
      <c r="G36" s="256">
        <f t="shared" si="1"/>
        <v>0</v>
      </c>
      <c r="H36" s="256" t="str">
        <f t="shared" si="14"/>
        <v>NA</v>
      </c>
      <c r="I36" s="671" t="str">
        <f t="shared" si="2"/>
        <v>NA</v>
      </c>
      <c r="J36" s="388">
        <f t="shared" si="3"/>
        <v>82195.520819316167</v>
      </c>
      <c r="K36" s="152"/>
      <c r="L36" s="226" t="str">
        <f t="shared" si="4"/>
        <v>Mixed MSW</v>
      </c>
      <c r="M36" s="256" t="str">
        <f t="shared" si="5"/>
        <v>NA</v>
      </c>
      <c r="N36" s="256" t="str">
        <f t="shared" si="6"/>
        <v>NA</v>
      </c>
      <c r="O36" s="256">
        <f t="shared" si="7"/>
        <v>186408.24273021927</v>
      </c>
      <c r="P36" s="256">
        <f t="shared" si="8"/>
        <v>0</v>
      </c>
      <c r="Q36" s="256" t="str">
        <f t="shared" si="9"/>
        <v>NA</v>
      </c>
      <c r="R36" s="671" t="str">
        <f t="shared" si="10"/>
        <v>NA</v>
      </c>
      <c r="S36" s="388">
        <f t="shared" si="11"/>
        <v>82195.520819316167</v>
      </c>
      <c r="T36" s="257"/>
      <c r="U36" s="389">
        <f>IF(SUM(E36:I36)&lt;&gt;SUM(M36:R36),"INPUT ERROR",IF(AND('Analysis Inputs'!$N$148=2,S36="INPUT ERROR"),"INPUT ERROR",S36-J36))</f>
        <v>0</v>
      </c>
      <c r="V36" s="174"/>
    </row>
    <row r="37" spans="2:22" x14ac:dyDescent="0.25">
      <c r="B37" s="169"/>
      <c r="C37" s="185">
        <v>22</v>
      </c>
      <c r="D37" s="225" t="str">
        <f t="shared" si="12"/>
        <v>Carpet</v>
      </c>
      <c r="E37" s="256">
        <f t="shared" si="13"/>
        <v>0</v>
      </c>
      <c r="F37" s="256">
        <f t="shared" si="0"/>
        <v>17777.945134258178</v>
      </c>
      <c r="G37" s="256">
        <f t="shared" si="1"/>
        <v>0</v>
      </c>
      <c r="H37" s="256" t="str">
        <f t="shared" si="14"/>
        <v>NA</v>
      </c>
      <c r="I37" s="671" t="str">
        <f t="shared" si="2"/>
        <v>NA</v>
      </c>
      <c r="J37" s="388">
        <f t="shared" si="3"/>
        <v>360.08373001296536</v>
      </c>
      <c r="K37" s="152"/>
      <c r="L37" s="226" t="str">
        <f t="shared" si="4"/>
        <v>Carpet</v>
      </c>
      <c r="M37" s="256">
        <f t="shared" si="5"/>
        <v>0</v>
      </c>
      <c r="N37" s="256">
        <f t="shared" si="6"/>
        <v>0</v>
      </c>
      <c r="O37" s="256">
        <f t="shared" si="7"/>
        <v>17777.945134258178</v>
      </c>
      <c r="P37" s="256">
        <f t="shared" si="8"/>
        <v>0</v>
      </c>
      <c r="Q37" s="256" t="str">
        <f t="shared" si="9"/>
        <v>NA</v>
      </c>
      <c r="R37" s="671" t="str">
        <f t="shared" si="10"/>
        <v>NA</v>
      </c>
      <c r="S37" s="388">
        <f t="shared" si="11"/>
        <v>360.08373001296536</v>
      </c>
      <c r="T37" s="257"/>
      <c r="U37" s="389">
        <f>IF(SUM(E37:I37)&lt;&gt;SUM(M37:R37),"INPUT ERROR",IF(AND('Analysis Inputs'!$N$148=2,S37="INPUT ERROR"),"INPUT ERROR",S37-J37))</f>
        <v>0</v>
      </c>
      <c r="V37" s="174"/>
    </row>
    <row r="38" spans="2:22" x14ac:dyDescent="0.25">
      <c r="B38" s="169"/>
      <c r="C38" s="185">
        <v>23</v>
      </c>
      <c r="D38" s="225" t="str">
        <f t="shared" si="12"/>
        <v>Personal Computers</v>
      </c>
      <c r="E38" s="256">
        <f t="shared" si="13"/>
        <v>0</v>
      </c>
      <c r="F38" s="256">
        <f t="shared" si="0"/>
        <v>3566.6261698317612</v>
      </c>
      <c r="G38" s="256">
        <f t="shared" si="1"/>
        <v>0</v>
      </c>
      <c r="H38" s="256" t="str">
        <f t="shared" si="14"/>
        <v>NA</v>
      </c>
      <c r="I38" s="671" t="str">
        <f t="shared" si="2"/>
        <v>NA</v>
      </c>
      <c r="J38" s="388">
        <f t="shared" si="3"/>
        <v>72.240298026348142</v>
      </c>
      <c r="K38" s="152"/>
      <c r="L38" s="226" t="str">
        <f t="shared" si="4"/>
        <v>Personal Computers</v>
      </c>
      <c r="M38" s="256">
        <f t="shared" si="5"/>
        <v>0</v>
      </c>
      <c r="N38" s="256">
        <f t="shared" si="6"/>
        <v>0</v>
      </c>
      <c r="O38" s="256">
        <f t="shared" si="7"/>
        <v>3566.6261698317612</v>
      </c>
      <c r="P38" s="256">
        <f t="shared" si="8"/>
        <v>0</v>
      </c>
      <c r="Q38" s="256" t="str">
        <f t="shared" si="9"/>
        <v>NA</v>
      </c>
      <c r="R38" s="671" t="str">
        <f t="shared" si="10"/>
        <v>NA</v>
      </c>
      <c r="S38" s="388">
        <f t="shared" si="11"/>
        <v>72.240298026348142</v>
      </c>
      <c r="T38" s="257"/>
      <c r="U38" s="389">
        <f>IF(SUM(E38:I38)&lt;&gt;SUM(M38:R38),"INPUT ERROR",IF(AND('Analysis Inputs'!$N$148=2,S38="INPUT ERROR"),"INPUT ERROR",S38-J38))</f>
        <v>0</v>
      </c>
      <c r="V38" s="174"/>
    </row>
    <row r="39" spans="2:22" x14ac:dyDescent="0.25">
      <c r="B39" s="169"/>
      <c r="C39" s="185">
        <v>24</v>
      </c>
      <c r="D39" s="225" t="str">
        <f t="shared" si="12"/>
        <v>Fly Ash</v>
      </c>
      <c r="E39" s="256">
        <f t="shared" si="13"/>
        <v>0</v>
      </c>
      <c r="F39" s="256">
        <f t="shared" si="0"/>
        <v>48.934699796860542</v>
      </c>
      <c r="G39" s="256" t="str">
        <f t="shared" si="1"/>
        <v>NA</v>
      </c>
      <c r="H39" s="256" t="str">
        <f t="shared" si="14"/>
        <v>NA</v>
      </c>
      <c r="I39" s="671" t="str">
        <f t="shared" si="2"/>
        <v>NA</v>
      </c>
      <c r="J39" s="388">
        <f t="shared" si="3"/>
        <v>0.99114881370419416</v>
      </c>
      <c r="K39" s="152"/>
      <c r="L39" s="226" t="str">
        <f t="shared" si="4"/>
        <v>Fly Ash</v>
      </c>
      <c r="M39" s="256" t="str">
        <f t="shared" si="5"/>
        <v>NA</v>
      </c>
      <c r="N39" s="256">
        <f t="shared" si="6"/>
        <v>0</v>
      </c>
      <c r="O39" s="256">
        <f t="shared" si="7"/>
        <v>48.934699796860542</v>
      </c>
      <c r="P39" s="256" t="str">
        <f t="shared" si="8"/>
        <v>NA</v>
      </c>
      <c r="Q39" s="256" t="str">
        <f t="shared" si="9"/>
        <v>NA</v>
      </c>
      <c r="R39" s="671" t="str">
        <f t="shared" si="10"/>
        <v>NA</v>
      </c>
      <c r="S39" s="388">
        <f t="shared" si="11"/>
        <v>0.99114881370419416</v>
      </c>
      <c r="T39" s="257"/>
      <c r="U39" s="389">
        <f>IF(SUM(E39:I39)&lt;&gt;SUM(M39:R39),"INPUT ERROR",IF(AND('Analysis Inputs'!$N$148=2,S39="INPUT ERROR"),"INPUT ERROR",S39-J39))</f>
        <v>0</v>
      </c>
      <c r="V39" s="174"/>
    </row>
    <row r="40" spans="2:22" x14ac:dyDescent="0.25">
      <c r="B40" s="169"/>
      <c r="C40" s="185">
        <v>25</v>
      </c>
      <c r="D40" s="225" t="str">
        <f t="shared" si="12"/>
        <v>Tires</v>
      </c>
      <c r="E40" s="256">
        <f t="shared" si="13"/>
        <v>0</v>
      </c>
      <c r="F40" s="256">
        <f t="shared" si="0"/>
        <v>667.21647161788258</v>
      </c>
      <c r="G40" s="256">
        <f t="shared" si="1"/>
        <v>0</v>
      </c>
      <c r="H40" s="256" t="str">
        <f t="shared" si="14"/>
        <v>NA</v>
      </c>
      <c r="I40" s="671" t="str">
        <f t="shared" si="2"/>
        <v>NA</v>
      </c>
      <c r="J40" s="388">
        <f t="shared" si="3"/>
        <v>13.514148795705692</v>
      </c>
      <c r="K40" s="152"/>
      <c r="L40" s="226" t="str">
        <f t="shared" si="4"/>
        <v>Tires</v>
      </c>
      <c r="M40" s="256">
        <f t="shared" si="5"/>
        <v>0</v>
      </c>
      <c r="N40" s="256">
        <f t="shared" si="6"/>
        <v>0</v>
      </c>
      <c r="O40" s="256">
        <f t="shared" si="7"/>
        <v>667.21647161788258</v>
      </c>
      <c r="P40" s="256">
        <f t="shared" si="8"/>
        <v>0</v>
      </c>
      <c r="Q40" s="256" t="str">
        <f t="shared" si="9"/>
        <v>NA</v>
      </c>
      <c r="R40" s="671" t="str">
        <f t="shared" si="10"/>
        <v>NA</v>
      </c>
      <c r="S40" s="388">
        <f t="shared" si="11"/>
        <v>13.514148795705692</v>
      </c>
      <c r="T40" s="257"/>
      <c r="U40" s="389">
        <f>IF(SUM(E40:I40)&lt;&gt;SUM(M40:R40),"INPUT ERROR",IF(AND('Analysis Inputs'!$N$148=2,S40="INPUT ERROR"),"INPUT ERROR",S40-J40))</f>
        <v>0</v>
      </c>
      <c r="V40" s="174"/>
    </row>
    <row r="41" spans="2:22" x14ac:dyDescent="0.25">
      <c r="B41" s="169"/>
      <c r="C41" s="185">
        <v>26</v>
      </c>
      <c r="D41" s="225" t="str">
        <f t="shared" si="12"/>
        <v>Asphalt Shingles</v>
      </c>
      <c r="E41" s="256">
        <f t="shared" si="13"/>
        <v>0</v>
      </c>
      <c r="F41" s="256">
        <f t="shared" si="0"/>
        <v>3002.42668852621</v>
      </c>
      <c r="G41" s="256">
        <f t="shared" si="1"/>
        <v>0</v>
      </c>
      <c r="H41" s="256" t="str">
        <f t="shared" si="14"/>
        <v>NA</v>
      </c>
      <c r="I41" s="671" t="str">
        <f t="shared" si="2"/>
        <v>NA</v>
      </c>
      <c r="J41" s="388">
        <f t="shared" si="3"/>
        <v>60.812708832791984</v>
      </c>
      <c r="K41" s="152"/>
      <c r="L41" s="226" t="str">
        <f t="shared" si="4"/>
        <v>Asphalt Shingles</v>
      </c>
      <c r="M41" s="256">
        <f t="shared" si="5"/>
        <v>0</v>
      </c>
      <c r="N41" s="256">
        <f t="shared" si="6"/>
        <v>0</v>
      </c>
      <c r="O41" s="256">
        <f t="shared" si="7"/>
        <v>3002.42668852621</v>
      </c>
      <c r="P41" s="256">
        <f t="shared" si="8"/>
        <v>0</v>
      </c>
      <c r="Q41" s="256" t="str">
        <f t="shared" si="9"/>
        <v>NA</v>
      </c>
      <c r="R41" s="671" t="str">
        <f t="shared" si="10"/>
        <v>NA</v>
      </c>
      <c r="S41" s="388">
        <f t="shared" si="11"/>
        <v>60.812708832791984</v>
      </c>
      <c r="T41" s="257"/>
      <c r="U41" s="389">
        <f>IF(SUM(E41:I41)&lt;&gt;SUM(M41:R41),"INPUT ERROR",IF(AND('Analysis Inputs'!$N$148=2,S41="INPUT ERROR"),"INPUT ERROR",S41-J41))</f>
        <v>0</v>
      </c>
      <c r="V41" s="174"/>
    </row>
    <row r="42" spans="2:22" x14ac:dyDescent="0.25">
      <c r="B42" s="169"/>
      <c r="C42" s="185">
        <v>27</v>
      </c>
      <c r="D42" s="225" t="str">
        <f t="shared" si="12"/>
        <v>Drywall</v>
      </c>
      <c r="E42" s="256">
        <f t="shared" si="13"/>
        <v>0</v>
      </c>
      <c r="F42" s="256">
        <f t="shared" si="0"/>
        <v>14797.404669376238</v>
      </c>
      <c r="G42" s="256" t="str">
        <f t="shared" si="1"/>
        <v>NA</v>
      </c>
      <c r="H42" s="256" t="str">
        <f t="shared" si="14"/>
        <v>NA</v>
      </c>
      <c r="I42" s="671" t="str">
        <f t="shared" si="2"/>
        <v>NA</v>
      </c>
      <c r="J42" s="388">
        <f t="shared" si="3"/>
        <v>-903.25325208679044</v>
      </c>
      <c r="K42" s="152"/>
      <c r="L42" s="226" t="str">
        <f t="shared" si="4"/>
        <v>Drywall</v>
      </c>
      <c r="M42" s="256">
        <f t="shared" si="5"/>
        <v>0</v>
      </c>
      <c r="N42" s="256">
        <f t="shared" si="6"/>
        <v>0</v>
      </c>
      <c r="O42" s="256">
        <f t="shared" si="7"/>
        <v>14797.404669376238</v>
      </c>
      <c r="P42" s="256" t="str">
        <f t="shared" si="8"/>
        <v>NA</v>
      </c>
      <c r="Q42" s="256" t="str">
        <f t="shared" si="9"/>
        <v>NA</v>
      </c>
      <c r="R42" s="671" t="str">
        <f t="shared" si="10"/>
        <v>NA</v>
      </c>
      <c r="S42" s="388">
        <f t="shared" si="11"/>
        <v>-903.25325208679044</v>
      </c>
      <c r="T42" s="257"/>
      <c r="U42" s="389">
        <f>IF(SUM(E42:I42)&lt;&gt;SUM(M42:R42),"INPUT ERROR",IF(AND('Analysis Inputs'!$N$148=2,S42="INPUT ERROR"),"INPUT ERROR",S42-J42))</f>
        <v>0</v>
      </c>
      <c r="V42" s="174"/>
    </row>
    <row r="43" spans="2:22" x14ac:dyDescent="0.25">
      <c r="B43" s="169"/>
      <c r="C43" s="185">
        <v>28</v>
      </c>
      <c r="D43" s="225" t="str">
        <f t="shared" si="12"/>
        <v/>
      </c>
      <c r="E43" s="256" t="str">
        <f t="shared" si="13"/>
        <v/>
      </c>
      <c r="F43" s="256" t="str">
        <f t="shared" si="0"/>
        <v/>
      </c>
      <c r="G43" s="256" t="str">
        <f t="shared" si="1"/>
        <v/>
      </c>
      <c r="H43" s="256" t="str">
        <f t="shared" si="14"/>
        <v/>
      </c>
      <c r="I43" s="671" t="str">
        <f t="shared" si="2"/>
        <v/>
      </c>
      <c r="J43" s="388" t="str">
        <f t="shared" si="3"/>
        <v>0</v>
      </c>
      <c r="K43" s="152"/>
      <c r="L43" s="226" t="str">
        <f t="shared" si="4"/>
        <v/>
      </c>
      <c r="M43" s="256" t="str">
        <f t="shared" si="5"/>
        <v/>
      </c>
      <c r="N43" s="256" t="str">
        <f t="shared" si="6"/>
        <v/>
      </c>
      <c r="O43" s="256" t="str">
        <f t="shared" si="7"/>
        <v/>
      </c>
      <c r="P43" s="256" t="str">
        <f t="shared" si="8"/>
        <v/>
      </c>
      <c r="Q43" s="256" t="str">
        <f t="shared" si="9"/>
        <v/>
      </c>
      <c r="R43" s="671" t="str">
        <f t="shared" si="10"/>
        <v/>
      </c>
      <c r="S43" s="388" t="str">
        <f t="shared" si="11"/>
        <v>0</v>
      </c>
      <c r="T43" s="257"/>
      <c r="U43" s="389">
        <f>IF(SUM(E43:I43)&lt;&gt;SUM(M43:R43),"INPUT ERROR",IF(AND('Analysis Inputs'!$N$148=2,S43="INPUT ERROR"),"INPUT ERROR",S43-J43))</f>
        <v>0</v>
      </c>
      <c r="V43" s="174"/>
    </row>
    <row r="44" spans="2:22" x14ac:dyDescent="0.25">
      <c r="B44" s="169"/>
      <c r="C44" s="185">
        <v>29</v>
      </c>
      <c r="D44" s="225" t="str">
        <f t="shared" si="12"/>
        <v/>
      </c>
      <c r="E44" s="256" t="str">
        <f t="shared" si="13"/>
        <v/>
      </c>
      <c r="F44" s="256" t="str">
        <f t="shared" si="0"/>
        <v/>
      </c>
      <c r="G44" s="256" t="str">
        <f t="shared" si="1"/>
        <v/>
      </c>
      <c r="H44" s="256" t="str">
        <f t="shared" si="14"/>
        <v/>
      </c>
      <c r="I44" s="671" t="str">
        <f t="shared" si="2"/>
        <v/>
      </c>
      <c r="J44" s="388" t="str">
        <f t="shared" si="3"/>
        <v>0</v>
      </c>
      <c r="K44" s="152"/>
      <c r="L44" s="226" t="str">
        <f t="shared" si="4"/>
        <v/>
      </c>
      <c r="M44" s="256" t="str">
        <f t="shared" si="5"/>
        <v/>
      </c>
      <c r="N44" s="256" t="str">
        <f t="shared" si="6"/>
        <v/>
      </c>
      <c r="O44" s="256" t="str">
        <f t="shared" si="7"/>
        <v/>
      </c>
      <c r="P44" s="256" t="str">
        <f t="shared" si="8"/>
        <v/>
      </c>
      <c r="Q44" s="256" t="str">
        <f t="shared" si="9"/>
        <v/>
      </c>
      <c r="R44" s="671" t="str">
        <f t="shared" si="10"/>
        <v/>
      </c>
      <c r="S44" s="388" t="str">
        <f t="shared" si="11"/>
        <v>0</v>
      </c>
      <c r="T44" s="257"/>
      <c r="U44" s="389">
        <f>IF(SUM(E44:I44)&lt;&gt;SUM(M44:R44),"INPUT ERROR",IF(AND('Analysis Inputs'!$N$148=2,S44="INPUT ERROR"),"INPUT ERROR",S44-J44))</f>
        <v>0</v>
      </c>
      <c r="V44" s="174"/>
    </row>
    <row r="45" spans="2:22" x14ac:dyDescent="0.25">
      <c r="B45" s="169"/>
      <c r="C45" s="185">
        <v>30</v>
      </c>
      <c r="D45" s="225" t="str">
        <f t="shared" si="12"/>
        <v/>
      </c>
      <c r="E45" s="256" t="str">
        <f t="shared" si="13"/>
        <v/>
      </c>
      <c r="F45" s="256" t="str">
        <f t="shared" si="0"/>
        <v/>
      </c>
      <c r="G45" s="256" t="str">
        <f t="shared" si="1"/>
        <v/>
      </c>
      <c r="H45" s="256" t="str">
        <f t="shared" si="14"/>
        <v/>
      </c>
      <c r="I45" s="671" t="str">
        <f t="shared" si="2"/>
        <v/>
      </c>
      <c r="J45" s="388" t="str">
        <f t="shared" si="3"/>
        <v>0</v>
      </c>
      <c r="K45" s="152"/>
      <c r="L45" s="226" t="str">
        <f t="shared" si="4"/>
        <v/>
      </c>
      <c r="M45" s="256" t="str">
        <f t="shared" si="5"/>
        <v/>
      </c>
      <c r="N45" s="256" t="str">
        <f t="shared" si="6"/>
        <v/>
      </c>
      <c r="O45" s="256" t="str">
        <f t="shared" si="7"/>
        <v/>
      </c>
      <c r="P45" s="256" t="str">
        <f t="shared" si="8"/>
        <v/>
      </c>
      <c r="Q45" s="256" t="str">
        <f t="shared" si="9"/>
        <v/>
      </c>
      <c r="R45" s="671" t="str">
        <f t="shared" si="10"/>
        <v/>
      </c>
      <c r="S45" s="388" t="str">
        <f t="shared" si="11"/>
        <v>0</v>
      </c>
      <c r="T45" s="257"/>
      <c r="U45" s="389">
        <f>IF(SUM(E45:I45)&lt;&gt;SUM(M45:R45),"INPUT ERROR",IF(AND('Analysis Inputs'!$N$148=2,S45="INPUT ERROR"),"INPUT ERROR",S45-J45))</f>
        <v>0</v>
      </c>
      <c r="V45" s="174"/>
    </row>
    <row r="46" spans="2:22" x14ac:dyDescent="0.25">
      <c r="B46" s="169"/>
      <c r="C46" s="185">
        <v>31</v>
      </c>
      <c r="D46" s="225" t="str">
        <f t="shared" si="12"/>
        <v/>
      </c>
      <c r="E46" s="256" t="str">
        <f t="shared" si="13"/>
        <v/>
      </c>
      <c r="F46" s="256" t="str">
        <f t="shared" si="0"/>
        <v/>
      </c>
      <c r="G46" s="256" t="str">
        <f t="shared" si="1"/>
        <v/>
      </c>
      <c r="H46" s="256" t="str">
        <f t="shared" si="14"/>
        <v/>
      </c>
      <c r="I46" s="671" t="str">
        <f t="shared" si="2"/>
        <v/>
      </c>
      <c r="J46" s="388" t="str">
        <f t="shared" si="3"/>
        <v>0</v>
      </c>
      <c r="K46" s="152"/>
      <c r="L46" s="226" t="str">
        <f t="shared" si="4"/>
        <v/>
      </c>
      <c r="M46" s="256" t="str">
        <f t="shared" si="5"/>
        <v/>
      </c>
      <c r="N46" s="256" t="str">
        <f t="shared" si="6"/>
        <v/>
      </c>
      <c r="O46" s="256" t="str">
        <f t="shared" si="7"/>
        <v/>
      </c>
      <c r="P46" s="256" t="str">
        <f t="shared" si="8"/>
        <v/>
      </c>
      <c r="Q46" s="256" t="str">
        <f t="shared" si="9"/>
        <v/>
      </c>
      <c r="R46" s="671" t="str">
        <f t="shared" si="10"/>
        <v/>
      </c>
      <c r="S46" s="388" t="str">
        <f t="shared" si="11"/>
        <v>0</v>
      </c>
      <c r="T46" s="257"/>
      <c r="U46" s="389">
        <f>IF(SUM(E46:I46)&lt;&gt;SUM(M46:R46),"INPUT ERROR",IF(AND('Analysis Inputs'!$N$148=2,S46="INPUT ERROR"),"INPUT ERROR",S46-J46))</f>
        <v>0</v>
      </c>
      <c r="V46" s="174"/>
    </row>
    <row r="47" spans="2:22" x14ac:dyDescent="0.25">
      <c r="B47" s="169"/>
      <c r="C47" s="185">
        <v>32</v>
      </c>
      <c r="D47" s="225" t="str">
        <f t="shared" si="12"/>
        <v/>
      </c>
      <c r="E47" s="256" t="str">
        <f t="shared" si="13"/>
        <v/>
      </c>
      <c r="F47" s="256" t="str">
        <f t="shared" si="0"/>
        <v/>
      </c>
      <c r="G47" s="256" t="str">
        <f t="shared" si="1"/>
        <v/>
      </c>
      <c r="H47" s="256" t="str">
        <f t="shared" si="14"/>
        <v/>
      </c>
      <c r="I47" s="671" t="str">
        <f t="shared" si="2"/>
        <v/>
      </c>
      <c r="J47" s="388" t="str">
        <f t="shared" si="3"/>
        <v>0</v>
      </c>
      <c r="K47" s="152"/>
      <c r="L47" s="226" t="str">
        <f t="shared" si="4"/>
        <v/>
      </c>
      <c r="M47" s="256" t="str">
        <f t="shared" si="5"/>
        <v/>
      </c>
      <c r="N47" s="256" t="str">
        <f t="shared" si="6"/>
        <v/>
      </c>
      <c r="O47" s="256" t="str">
        <f t="shared" si="7"/>
        <v/>
      </c>
      <c r="P47" s="256" t="str">
        <f t="shared" si="8"/>
        <v/>
      </c>
      <c r="Q47" s="256" t="str">
        <f t="shared" si="9"/>
        <v/>
      </c>
      <c r="R47" s="671" t="str">
        <f t="shared" si="10"/>
        <v/>
      </c>
      <c r="S47" s="388" t="str">
        <f t="shared" si="11"/>
        <v>0</v>
      </c>
      <c r="T47" s="257"/>
      <c r="U47" s="389">
        <f>IF(SUM(E47:I47)&lt;&gt;SUM(M47:R47),"INPUT ERROR",IF(AND('Analysis Inputs'!$N$148=2,S47="INPUT ERROR"),"INPUT ERROR",S47-J47))</f>
        <v>0</v>
      </c>
      <c r="V47" s="174"/>
    </row>
    <row r="48" spans="2:22" x14ac:dyDescent="0.25">
      <c r="B48" s="169"/>
      <c r="C48" s="185">
        <v>33</v>
      </c>
      <c r="D48" s="225" t="str">
        <f t="shared" si="12"/>
        <v/>
      </c>
      <c r="E48" s="256" t="str">
        <f>IF(ISERROR(VLOOKUP($C48,GHGBaseline_MTCO2E,4,FALSE)),"",VLOOKUP($C48,GHGBaseline_MTCO2E,4,FALSE))</f>
        <v/>
      </c>
      <c r="F48" s="256" t="str">
        <f t="shared" si="0"/>
        <v/>
      </c>
      <c r="G48" s="256" t="str">
        <f t="shared" si="1"/>
        <v/>
      </c>
      <c r="H48" s="256" t="str">
        <f t="shared" si="14"/>
        <v/>
      </c>
      <c r="I48" s="671" t="str">
        <f t="shared" ref="I48:I69" si="15">IF(ISERROR(VLOOKUP($C48,GHGBaseline_MTCO2E,12,FALSE)),"",VLOOKUP($C48,GHGBaseline_MTCO2E,12,FALSE))</f>
        <v/>
      </c>
      <c r="J48" s="388" t="str">
        <f t="shared" ref="J48:J69" si="16">IF(ISERROR(VLOOKUP($C48,GHGBaseline_MTCO2E,14,FALSE)),"0",VLOOKUP($C48,GHGBaseline_MTCO2E,14,FALSE))</f>
        <v>0</v>
      </c>
      <c r="K48" s="152"/>
      <c r="L48" s="226" t="str">
        <f t="shared" ref="L48:L69" si="17">IF(ISERROR(VLOOKUP($C109,GHGAlternative_MTCO2E,2,FALSE)),"",VLOOKUP($C109,GHGAlternative_MTCO2E,2,FALSE))</f>
        <v/>
      </c>
      <c r="M48" s="256" t="str">
        <f t="shared" ref="M48:M69" si="18">IF(ISERROR(VLOOKUP($C109,GHGAlternative_MTCO2E,4,FALSE)),"",VLOOKUP($C109,GHGAlternative_MTCO2E,4,FALSE))</f>
        <v/>
      </c>
      <c r="N48" s="256" t="str">
        <f t="shared" ref="N48:N69" si="19">IF(ISERROR(VLOOKUP($C109,GHGAlternative_MTCO2E,6,FALSE)),"",VLOOKUP($C109,GHGAlternative_MTCO2E,6,FALSE))</f>
        <v/>
      </c>
      <c r="O48" s="256" t="str">
        <f t="shared" ref="O48:O69" si="20">IF(ISERROR(VLOOKUP($C109,GHGAlternative_MTCO2E,8,FALSE)),"",VLOOKUP($C109,GHGAlternative_MTCO2E,8,FALSE))</f>
        <v/>
      </c>
      <c r="P48" s="256" t="str">
        <f t="shared" ref="P48:P69" si="21">IF(ISERROR(VLOOKUP($C109,GHGAlternative_MTCO2E,10,FALSE)),"",VLOOKUP($C109,GHGAlternative_MTCO2E,10,FALSE))</f>
        <v/>
      </c>
      <c r="Q48" s="256" t="str">
        <f t="shared" ref="Q48:Q69" si="22">IF(ISERROR(VLOOKUP($C109,GHGAlternative_MTCO2E,12,FALSE)),"",VLOOKUP($C109,GHGAlternative_MTCO2E,12,FALSE))</f>
        <v/>
      </c>
      <c r="R48" s="671" t="str">
        <f t="shared" ref="R48:R69" si="23">IF(ISERROR(VLOOKUP($C109,GHGAlternative_MTCO2E,14,FALSE)),"",VLOOKUP($C109,GHGAlternative_MTCO2E,14,FALSE))</f>
        <v/>
      </c>
      <c r="S48" s="388" t="str">
        <f t="shared" si="11"/>
        <v>0</v>
      </c>
      <c r="T48" s="257"/>
      <c r="U48" s="389">
        <f>IF(SUM(E48:I48)&lt;&gt;SUM(M48:R48),"INPUT ERROR",IF(AND('Analysis Inputs'!$N$148=2,S48="INPUT ERROR"),"INPUT ERROR",S48-J48))</f>
        <v>0</v>
      </c>
      <c r="V48" s="174"/>
    </row>
    <row r="49" spans="2:22" x14ac:dyDescent="0.25">
      <c r="B49" s="169"/>
      <c r="C49" s="185">
        <v>34</v>
      </c>
      <c r="D49" s="225" t="str">
        <f t="shared" si="12"/>
        <v/>
      </c>
      <c r="E49" s="256" t="str">
        <f t="shared" si="13"/>
        <v/>
      </c>
      <c r="F49" s="256" t="str">
        <f t="shared" si="0"/>
        <v/>
      </c>
      <c r="G49" s="256" t="str">
        <f t="shared" si="1"/>
        <v/>
      </c>
      <c r="H49" s="256" t="str">
        <f t="shared" si="14"/>
        <v/>
      </c>
      <c r="I49" s="671" t="str">
        <f t="shared" si="15"/>
        <v/>
      </c>
      <c r="J49" s="388" t="str">
        <f t="shared" si="16"/>
        <v>0</v>
      </c>
      <c r="K49" s="152"/>
      <c r="L49" s="226" t="str">
        <f t="shared" si="17"/>
        <v/>
      </c>
      <c r="M49" s="256" t="str">
        <f t="shared" si="18"/>
        <v/>
      </c>
      <c r="N49" s="256" t="str">
        <f t="shared" si="19"/>
        <v/>
      </c>
      <c r="O49" s="256" t="str">
        <f t="shared" si="20"/>
        <v/>
      </c>
      <c r="P49" s="256" t="str">
        <f t="shared" si="21"/>
        <v/>
      </c>
      <c r="Q49" s="256" t="str">
        <f t="shared" si="22"/>
        <v/>
      </c>
      <c r="R49" s="671" t="str">
        <f t="shared" si="23"/>
        <v/>
      </c>
      <c r="S49" s="388" t="str">
        <f t="shared" si="11"/>
        <v>0</v>
      </c>
      <c r="T49" s="257"/>
      <c r="U49" s="389">
        <f>IF(SUM(E49:I49)&lt;&gt;SUM(M49:R49),"INPUT ERROR",IF(AND('Analysis Inputs'!$N$148=2,S49="INPUT ERROR"),"INPUT ERROR",S49-J49))</f>
        <v>0</v>
      </c>
      <c r="V49" s="174"/>
    </row>
    <row r="50" spans="2:22" x14ac:dyDescent="0.25">
      <c r="B50" s="169"/>
      <c r="C50" s="185">
        <v>35</v>
      </c>
      <c r="D50" s="225" t="str">
        <f t="shared" si="12"/>
        <v/>
      </c>
      <c r="E50" s="256" t="str">
        <f t="shared" si="13"/>
        <v/>
      </c>
      <c r="F50" s="256" t="str">
        <f t="shared" si="0"/>
        <v/>
      </c>
      <c r="G50" s="256" t="str">
        <f t="shared" si="1"/>
        <v/>
      </c>
      <c r="H50" s="256" t="str">
        <f t="shared" si="14"/>
        <v/>
      </c>
      <c r="I50" s="671" t="str">
        <f t="shared" si="15"/>
        <v/>
      </c>
      <c r="J50" s="388" t="str">
        <f t="shared" si="16"/>
        <v>0</v>
      </c>
      <c r="K50" s="152"/>
      <c r="L50" s="226" t="str">
        <f t="shared" si="17"/>
        <v/>
      </c>
      <c r="M50" s="256" t="str">
        <f t="shared" si="18"/>
        <v/>
      </c>
      <c r="N50" s="256" t="str">
        <f t="shared" si="19"/>
        <v/>
      </c>
      <c r="O50" s="256" t="str">
        <f t="shared" si="20"/>
        <v/>
      </c>
      <c r="P50" s="256" t="str">
        <f t="shared" si="21"/>
        <v/>
      </c>
      <c r="Q50" s="256" t="str">
        <f t="shared" si="22"/>
        <v/>
      </c>
      <c r="R50" s="671" t="str">
        <f t="shared" si="23"/>
        <v/>
      </c>
      <c r="S50" s="388" t="str">
        <f t="shared" si="11"/>
        <v>0</v>
      </c>
      <c r="T50" s="257"/>
      <c r="U50" s="389">
        <f>IF(SUM(E50:I50)&lt;&gt;SUM(M50:R50),"INPUT ERROR",IF(AND('Analysis Inputs'!$N$148=2,S50="INPUT ERROR"),"INPUT ERROR",S50-J50))</f>
        <v>0</v>
      </c>
      <c r="V50" s="174"/>
    </row>
    <row r="51" spans="2:22" x14ac:dyDescent="0.25">
      <c r="B51" s="169"/>
      <c r="C51" s="185">
        <v>36</v>
      </c>
      <c r="D51" s="225" t="str">
        <f t="shared" si="12"/>
        <v/>
      </c>
      <c r="E51" s="256" t="str">
        <f t="shared" si="13"/>
        <v/>
      </c>
      <c r="F51" s="256" t="str">
        <f t="shared" si="0"/>
        <v/>
      </c>
      <c r="G51" s="256" t="str">
        <f t="shared" si="1"/>
        <v/>
      </c>
      <c r="H51" s="256" t="str">
        <f t="shared" si="14"/>
        <v/>
      </c>
      <c r="I51" s="671" t="str">
        <f t="shared" si="15"/>
        <v/>
      </c>
      <c r="J51" s="388" t="str">
        <f t="shared" si="16"/>
        <v>0</v>
      </c>
      <c r="K51" s="152"/>
      <c r="L51" s="226" t="str">
        <f t="shared" si="17"/>
        <v/>
      </c>
      <c r="M51" s="256" t="str">
        <f t="shared" si="18"/>
        <v/>
      </c>
      <c r="N51" s="256" t="str">
        <f t="shared" si="19"/>
        <v/>
      </c>
      <c r="O51" s="256" t="str">
        <f t="shared" si="20"/>
        <v/>
      </c>
      <c r="P51" s="256" t="str">
        <f t="shared" si="21"/>
        <v/>
      </c>
      <c r="Q51" s="256" t="str">
        <f t="shared" si="22"/>
        <v/>
      </c>
      <c r="R51" s="671" t="str">
        <f t="shared" si="23"/>
        <v/>
      </c>
      <c r="S51" s="388" t="str">
        <f t="shared" si="11"/>
        <v>0</v>
      </c>
      <c r="T51" s="257"/>
      <c r="U51" s="389">
        <f>IF(SUM(E51:I51)&lt;&gt;SUM(M51:R51),"INPUT ERROR",IF(AND('Analysis Inputs'!$N$148=2,S51="INPUT ERROR"),"INPUT ERROR",S51-J51))</f>
        <v>0</v>
      </c>
      <c r="V51" s="174"/>
    </row>
    <row r="52" spans="2:22" x14ac:dyDescent="0.25">
      <c r="B52" s="169"/>
      <c r="C52" s="185">
        <v>37</v>
      </c>
      <c r="D52" s="225" t="str">
        <f t="shared" si="12"/>
        <v/>
      </c>
      <c r="E52" s="256" t="str">
        <f t="shared" si="13"/>
        <v/>
      </c>
      <c r="F52" s="256" t="str">
        <f t="shared" si="0"/>
        <v/>
      </c>
      <c r="G52" s="256" t="str">
        <f t="shared" si="1"/>
        <v/>
      </c>
      <c r="H52" s="256" t="str">
        <f t="shared" si="14"/>
        <v/>
      </c>
      <c r="I52" s="671" t="str">
        <f t="shared" si="15"/>
        <v/>
      </c>
      <c r="J52" s="388" t="str">
        <f t="shared" si="16"/>
        <v>0</v>
      </c>
      <c r="K52" s="152"/>
      <c r="L52" s="226" t="str">
        <f t="shared" si="17"/>
        <v/>
      </c>
      <c r="M52" s="256" t="str">
        <f t="shared" si="18"/>
        <v/>
      </c>
      <c r="N52" s="256" t="str">
        <f t="shared" si="19"/>
        <v/>
      </c>
      <c r="O52" s="256" t="str">
        <f t="shared" si="20"/>
        <v/>
      </c>
      <c r="P52" s="256" t="str">
        <f t="shared" si="21"/>
        <v/>
      </c>
      <c r="Q52" s="256" t="str">
        <f t="shared" si="22"/>
        <v/>
      </c>
      <c r="R52" s="671" t="str">
        <f t="shared" si="23"/>
        <v/>
      </c>
      <c r="S52" s="388" t="str">
        <f t="shared" si="11"/>
        <v>0</v>
      </c>
      <c r="T52" s="257"/>
      <c r="U52" s="389">
        <f>IF(SUM(E52:I52)&lt;&gt;SUM(M52:R52),"INPUT ERROR",IF(AND('Analysis Inputs'!$N$148=2,S52="INPUT ERROR"),"INPUT ERROR",S52-J52))</f>
        <v>0</v>
      </c>
      <c r="V52" s="174"/>
    </row>
    <row r="53" spans="2:22" x14ac:dyDescent="0.25">
      <c r="B53" s="169"/>
      <c r="C53" s="185">
        <v>38</v>
      </c>
      <c r="D53" s="351" t="str">
        <f t="shared" si="12"/>
        <v/>
      </c>
      <c r="E53" s="350" t="str">
        <f t="shared" si="13"/>
        <v/>
      </c>
      <c r="F53" s="350" t="str">
        <f t="shared" si="0"/>
        <v/>
      </c>
      <c r="G53" s="350" t="str">
        <f t="shared" si="1"/>
        <v/>
      </c>
      <c r="H53" s="350" t="str">
        <f t="shared" si="14"/>
        <v/>
      </c>
      <c r="I53" s="671" t="str">
        <f t="shared" si="15"/>
        <v/>
      </c>
      <c r="J53" s="388" t="str">
        <f t="shared" si="16"/>
        <v>0</v>
      </c>
      <c r="K53" s="152"/>
      <c r="L53" s="226" t="str">
        <f t="shared" si="17"/>
        <v/>
      </c>
      <c r="M53" s="256" t="str">
        <f t="shared" si="18"/>
        <v/>
      </c>
      <c r="N53" s="256" t="str">
        <f t="shared" si="19"/>
        <v/>
      </c>
      <c r="O53" s="256" t="str">
        <f t="shared" si="20"/>
        <v/>
      </c>
      <c r="P53" s="256" t="str">
        <f t="shared" si="21"/>
        <v/>
      </c>
      <c r="Q53" s="256" t="str">
        <f t="shared" si="22"/>
        <v/>
      </c>
      <c r="R53" s="671" t="str">
        <f t="shared" si="23"/>
        <v/>
      </c>
      <c r="S53" s="388" t="str">
        <f t="shared" si="11"/>
        <v>0</v>
      </c>
      <c r="T53" s="257"/>
      <c r="U53" s="389">
        <f>IF(SUM(E53:I53)&lt;&gt;SUM(M53:R53),"INPUT ERROR",IF(AND('Analysis Inputs'!$N$148=2,S53="INPUT ERROR"),"INPUT ERROR",S53-J53))</f>
        <v>0</v>
      </c>
      <c r="V53" s="174"/>
    </row>
    <row r="54" spans="2:22" x14ac:dyDescent="0.25">
      <c r="B54" s="169"/>
      <c r="C54" s="185">
        <v>39</v>
      </c>
      <c r="D54" s="225" t="str">
        <f t="shared" si="12"/>
        <v/>
      </c>
      <c r="E54" s="256" t="str">
        <f t="shared" si="13"/>
        <v/>
      </c>
      <c r="F54" s="256" t="str">
        <f t="shared" si="0"/>
        <v/>
      </c>
      <c r="G54" s="256" t="str">
        <f t="shared" si="1"/>
        <v/>
      </c>
      <c r="H54" s="256" t="str">
        <f t="shared" si="14"/>
        <v/>
      </c>
      <c r="I54" s="671" t="str">
        <f t="shared" si="15"/>
        <v/>
      </c>
      <c r="J54" s="388" t="str">
        <f t="shared" si="16"/>
        <v>0</v>
      </c>
      <c r="K54" s="152"/>
      <c r="L54" s="227" t="str">
        <f t="shared" si="17"/>
        <v/>
      </c>
      <c r="M54" s="256" t="str">
        <f t="shared" si="18"/>
        <v/>
      </c>
      <c r="N54" s="256" t="str">
        <f t="shared" si="19"/>
        <v/>
      </c>
      <c r="O54" s="256" t="str">
        <f t="shared" si="20"/>
        <v/>
      </c>
      <c r="P54" s="256" t="str">
        <f t="shared" si="21"/>
        <v/>
      </c>
      <c r="Q54" s="256" t="str">
        <f t="shared" si="22"/>
        <v/>
      </c>
      <c r="R54" s="671" t="str">
        <f t="shared" si="23"/>
        <v/>
      </c>
      <c r="S54" s="388" t="str">
        <f t="shared" si="11"/>
        <v>0</v>
      </c>
      <c r="T54" s="257"/>
      <c r="U54" s="389">
        <f>IF(SUM(E54:I54)&lt;&gt;SUM(M54:R54),"INPUT ERROR",IF(AND('Analysis Inputs'!$N$148=2,S54="INPUT ERROR"),"INPUT ERROR",S54-J54))</f>
        <v>0</v>
      </c>
      <c r="V54" s="174"/>
    </row>
    <row r="55" spans="2:22" x14ac:dyDescent="0.25">
      <c r="B55" s="169"/>
      <c r="C55" s="185">
        <v>40</v>
      </c>
      <c r="D55" s="225" t="str">
        <f t="shared" si="12"/>
        <v/>
      </c>
      <c r="E55" s="256" t="str">
        <f t="shared" si="13"/>
        <v/>
      </c>
      <c r="F55" s="256" t="str">
        <f t="shared" si="0"/>
        <v/>
      </c>
      <c r="G55" s="256" t="str">
        <f t="shared" si="1"/>
        <v/>
      </c>
      <c r="H55" s="256" t="str">
        <f t="shared" si="14"/>
        <v/>
      </c>
      <c r="I55" s="671" t="str">
        <f t="shared" si="15"/>
        <v/>
      </c>
      <c r="J55" s="388" t="str">
        <f t="shared" si="16"/>
        <v>0</v>
      </c>
      <c r="K55" s="152"/>
      <c r="L55" s="227" t="str">
        <f t="shared" si="17"/>
        <v/>
      </c>
      <c r="M55" s="256" t="str">
        <f t="shared" si="18"/>
        <v/>
      </c>
      <c r="N55" s="256" t="str">
        <f t="shared" si="19"/>
        <v/>
      </c>
      <c r="O55" s="256" t="str">
        <f t="shared" si="20"/>
        <v/>
      </c>
      <c r="P55" s="256" t="str">
        <f t="shared" si="21"/>
        <v/>
      </c>
      <c r="Q55" s="256" t="str">
        <f t="shared" si="22"/>
        <v/>
      </c>
      <c r="R55" s="671" t="str">
        <f t="shared" si="23"/>
        <v/>
      </c>
      <c r="S55" s="388" t="str">
        <f t="shared" si="11"/>
        <v>0</v>
      </c>
      <c r="T55" s="257"/>
      <c r="U55" s="389">
        <f>IF(SUM(E55:I55)&lt;&gt;SUM(M55:R55),"INPUT ERROR",IF(AND('Analysis Inputs'!$N$148=2,S55="INPUT ERROR"),"INPUT ERROR",S55-J55))</f>
        <v>0</v>
      </c>
      <c r="V55" s="174"/>
    </row>
    <row r="56" spans="2:22" x14ac:dyDescent="0.25">
      <c r="B56" s="169"/>
      <c r="C56" s="185">
        <v>41</v>
      </c>
      <c r="D56" s="225" t="str">
        <f t="shared" si="12"/>
        <v/>
      </c>
      <c r="E56" s="256" t="str">
        <f t="shared" si="13"/>
        <v/>
      </c>
      <c r="F56" s="256" t="str">
        <f t="shared" si="0"/>
        <v/>
      </c>
      <c r="G56" s="256" t="str">
        <f t="shared" si="1"/>
        <v/>
      </c>
      <c r="H56" s="256" t="str">
        <f t="shared" si="14"/>
        <v/>
      </c>
      <c r="I56" s="671" t="str">
        <f t="shared" si="15"/>
        <v/>
      </c>
      <c r="J56" s="388" t="str">
        <f t="shared" si="16"/>
        <v>0</v>
      </c>
      <c r="K56" s="152"/>
      <c r="L56" s="227" t="str">
        <f t="shared" si="17"/>
        <v/>
      </c>
      <c r="M56" s="256" t="str">
        <f t="shared" si="18"/>
        <v/>
      </c>
      <c r="N56" s="256" t="str">
        <f t="shared" si="19"/>
        <v/>
      </c>
      <c r="O56" s="256" t="str">
        <f t="shared" si="20"/>
        <v/>
      </c>
      <c r="P56" s="256" t="str">
        <f t="shared" si="21"/>
        <v/>
      </c>
      <c r="Q56" s="256" t="str">
        <f t="shared" si="22"/>
        <v/>
      </c>
      <c r="R56" s="671" t="str">
        <f t="shared" si="23"/>
        <v/>
      </c>
      <c r="S56" s="388" t="str">
        <f t="shared" si="11"/>
        <v>0</v>
      </c>
      <c r="T56" s="257"/>
      <c r="U56" s="389">
        <f>IF(SUM(E56:I56)&lt;&gt;SUM(M56:R56),"INPUT ERROR",IF(AND('Analysis Inputs'!$N$148=2,S56="INPUT ERROR"),"INPUT ERROR",S56-J56))</f>
        <v>0</v>
      </c>
      <c r="V56" s="174"/>
    </row>
    <row r="57" spans="2:22" x14ac:dyDescent="0.25">
      <c r="B57" s="169"/>
      <c r="C57" s="185">
        <v>42</v>
      </c>
      <c r="D57" s="225" t="str">
        <f t="shared" si="12"/>
        <v/>
      </c>
      <c r="E57" s="256" t="str">
        <f t="shared" si="13"/>
        <v/>
      </c>
      <c r="F57" s="256" t="str">
        <f t="shared" si="0"/>
        <v/>
      </c>
      <c r="G57" s="256" t="str">
        <f t="shared" si="1"/>
        <v/>
      </c>
      <c r="H57" s="256" t="str">
        <f t="shared" si="14"/>
        <v/>
      </c>
      <c r="I57" s="671" t="str">
        <f t="shared" si="15"/>
        <v/>
      </c>
      <c r="J57" s="388" t="str">
        <f t="shared" si="16"/>
        <v>0</v>
      </c>
      <c r="K57" s="152"/>
      <c r="L57" s="227" t="str">
        <f t="shared" si="17"/>
        <v/>
      </c>
      <c r="M57" s="256" t="str">
        <f t="shared" si="18"/>
        <v/>
      </c>
      <c r="N57" s="256" t="str">
        <f t="shared" si="19"/>
        <v/>
      </c>
      <c r="O57" s="256" t="str">
        <f t="shared" si="20"/>
        <v/>
      </c>
      <c r="P57" s="256" t="str">
        <f t="shared" si="21"/>
        <v/>
      </c>
      <c r="Q57" s="256" t="str">
        <f t="shared" si="22"/>
        <v/>
      </c>
      <c r="R57" s="671" t="str">
        <f t="shared" si="23"/>
        <v/>
      </c>
      <c r="S57" s="388" t="str">
        <f t="shared" si="11"/>
        <v>0</v>
      </c>
      <c r="T57" s="257"/>
      <c r="U57" s="389">
        <f>IF(SUM(E57:I57)&lt;&gt;SUM(M57:R57),"INPUT ERROR",IF(AND('Analysis Inputs'!$N$148=2,S57="INPUT ERROR"),"INPUT ERROR",S57-J57))</f>
        <v>0</v>
      </c>
      <c r="V57" s="174"/>
    </row>
    <row r="58" spans="2:22" x14ac:dyDescent="0.25">
      <c r="B58" s="169"/>
      <c r="C58" s="185">
        <v>43</v>
      </c>
      <c r="D58" s="225" t="str">
        <f t="shared" si="12"/>
        <v/>
      </c>
      <c r="E58" s="256" t="str">
        <f t="shared" si="13"/>
        <v/>
      </c>
      <c r="F58" s="256" t="str">
        <f t="shared" si="0"/>
        <v/>
      </c>
      <c r="G58" s="256" t="str">
        <f t="shared" si="1"/>
        <v/>
      </c>
      <c r="H58" s="256" t="str">
        <f t="shared" si="14"/>
        <v/>
      </c>
      <c r="I58" s="671" t="str">
        <f t="shared" si="15"/>
        <v/>
      </c>
      <c r="J58" s="388" t="str">
        <f t="shared" si="16"/>
        <v>0</v>
      </c>
      <c r="K58" s="152"/>
      <c r="L58" s="227" t="str">
        <f t="shared" si="17"/>
        <v/>
      </c>
      <c r="M58" s="256" t="str">
        <f t="shared" si="18"/>
        <v/>
      </c>
      <c r="N58" s="256" t="str">
        <f t="shared" si="19"/>
        <v/>
      </c>
      <c r="O58" s="256" t="str">
        <f t="shared" si="20"/>
        <v/>
      </c>
      <c r="P58" s="256" t="str">
        <f t="shared" si="21"/>
        <v/>
      </c>
      <c r="Q58" s="256" t="str">
        <f t="shared" si="22"/>
        <v/>
      </c>
      <c r="R58" s="671" t="str">
        <f t="shared" si="23"/>
        <v/>
      </c>
      <c r="S58" s="388" t="str">
        <f t="shared" si="11"/>
        <v>0</v>
      </c>
      <c r="T58" s="257"/>
      <c r="U58" s="389">
        <f>IF(SUM(E58:I58)&lt;&gt;SUM(M58:R58),"INPUT ERROR",IF(AND('Analysis Inputs'!$N$148=2,S58="INPUT ERROR"),"INPUT ERROR",S58-J58))</f>
        <v>0</v>
      </c>
      <c r="V58" s="174"/>
    </row>
    <row r="59" spans="2:22" x14ac:dyDescent="0.25">
      <c r="B59" s="169"/>
      <c r="C59" s="185">
        <v>44</v>
      </c>
      <c r="D59" s="225" t="str">
        <f t="shared" si="12"/>
        <v/>
      </c>
      <c r="E59" s="256" t="str">
        <f t="shared" si="13"/>
        <v/>
      </c>
      <c r="F59" s="256" t="str">
        <f t="shared" si="0"/>
        <v/>
      </c>
      <c r="G59" s="256" t="str">
        <f t="shared" si="1"/>
        <v/>
      </c>
      <c r="H59" s="256" t="str">
        <f t="shared" si="14"/>
        <v/>
      </c>
      <c r="I59" s="671" t="str">
        <f t="shared" si="15"/>
        <v/>
      </c>
      <c r="J59" s="388" t="str">
        <f t="shared" si="16"/>
        <v>0</v>
      </c>
      <c r="K59" s="152"/>
      <c r="L59" s="227" t="str">
        <f t="shared" si="17"/>
        <v/>
      </c>
      <c r="M59" s="256" t="str">
        <f t="shared" si="18"/>
        <v/>
      </c>
      <c r="N59" s="256" t="str">
        <f t="shared" si="19"/>
        <v/>
      </c>
      <c r="O59" s="256" t="str">
        <f t="shared" si="20"/>
        <v/>
      </c>
      <c r="P59" s="256" t="str">
        <f t="shared" si="21"/>
        <v/>
      </c>
      <c r="Q59" s="256" t="str">
        <f t="shared" si="22"/>
        <v/>
      </c>
      <c r="R59" s="671" t="str">
        <f t="shared" si="23"/>
        <v/>
      </c>
      <c r="S59" s="388" t="str">
        <f t="shared" si="11"/>
        <v>0</v>
      </c>
      <c r="T59" s="257"/>
      <c r="U59" s="389">
        <f>IF(SUM(E59:I59)&lt;&gt;SUM(M59:R59),"INPUT ERROR",IF(AND('Analysis Inputs'!$N$148=2,S59="INPUT ERROR"),"INPUT ERROR",S59-J59))</f>
        <v>0</v>
      </c>
      <c r="V59" s="174"/>
    </row>
    <row r="60" spans="2:22" x14ac:dyDescent="0.25">
      <c r="B60" s="169"/>
      <c r="C60" s="185">
        <v>45</v>
      </c>
      <c r="D60" s="225" t="str">
        <f t="shared" si="12"/>
        <v/>
      </c>
      <c r="E60" s="256" t="str">
        <f t="shared" si="13"/>
        <v/>
      </c>
      <c r="F60" s="256" t="str">
        <f t="shared" si="0"/>
        <v/>
      </c>
      <c r="G60" s="256" t="str">
        <f t="shared" si="1"/>
        <v/>
      </c>
      <c r="H60" s="256" t="str">
        <f t="shared" si="14"/>
        <v/>
      </c>
      <c r="I60" s="671" t="str">
        <f t="shared" si="15"/>
        <v/>
      </c>
      <c r="J60" s="388" t="str">
        <f t="shared" si="16"/>
        <v>0</v>
      </c>
      <c r="K60" s="152"/>
      <c r="L60" s="227" t="str">
        <f t="shared" si="17"/>
        <v/>
      </c>
      <c r="M60" s="256" t="str">
        <f t="shared" si="18"/>
        <v/>
      </c>
      <c r="N60" s="256" t="str">
        <f t="shared" si="19"/>
        <v/>
      </c>
      <c r="O60" s="256" t="str">
        <f t="shared" si="20"/>
        <v/>
      </c>
      <c r="P60" s="256" t="str">
        <f t="shared" si="21"/>
        <v/>
      </c>
      <c r="Q60" s="256" t="str">
        <f t="shared" si="22"/>
        <v/>
      </c>
      <c r="R60" s="671" t="str">
        <f t="shared" si="23"/>
        <v/>
      </c>
      <c r="S60" s="388" t="str">
        <f t="shared" si="11"/>
        <v>0</v>
      </c>
      <c r="T60" s="257"/>
      <c r="U60" s="389">
        <f>IF(SUM(E60:I60)&lt;&gt;SUM(M60:R60),"INPUT ERROR",IF(AND('Analysis Inputs'!$N$148=2,S60="INPUT ERROR"),"INPUT ERROR",S60-J60))</f>
        <v>0</v>
      </c>
      <c r="V60" s="174"/>
    </row>
    <row r="61" spans="2:22" x14ac:dyDescent="0.25">
      <c r="B61" s="169"/>
      <c r="C61" s="185">
        <v>46</v>
      </c>
      <c r="D61" s="225" t="str">
        <f t="shared" si="12"/>
        <v/>
      </c>
      <c r="E61" s="256" t="str">
        <f t="shared" si="13"/>
        <v/>
      </c>
      <c r="F61" s="256" t="str">
        <f t="shared" si="0"/>
        <v/>
      </c>
      <c r="G61" s="256" t="str">
        <f t="shared" si="1"/>
        <v/>
      </c>
      <c r="H61" s="256" t="str">
        <f t="shared" si="14"/>
        <v/>
      </c>
      <c r="I61" s="671" t="str">
        <f t="shared" si="15"/>
        <v/>
      </c>
      <c r="J61" s="388" t="str">
        <f t="shared" si="16"/>
        <v>0</v>
      </c>
      <c r="K61" s="152"/>
      <c r="L61" s="227" t="str">
        <f t="shared" si="17"/>
        <v/>
      </c>
      <c r="M61" s="256" t="str">
        <f t="shared" si="18"/>
        <v/>
      </c>
      <c r="N61" s="256" t="str">
        <f t="shared" si="19"/>
        <v/>
      </c>
      <c r="O61" s="256" t="str">
        <f t="shared" si="20"/>
        <v/>
      </c>
      <c r="P61" s="256" t="str">
        <f t="shared" si="21"/>
        <v/>
      </c>
      <c r="Q61" s="256" t="str">
        <f t="shared" si="22"/>
        <v/>
      </c>
      <c r="R61" s="671" t="str">
        <f t="shared" si="23"/>
        <v/>
      </c>
      <c r="S61" s="388" t="str">
        <f t="shared" si="11"/>
        <v>0</v>
      </c>
      <c r="T61" s="257"/>
      <c r="U61" s="389">
        <f>IF(SUM(E61:I61)&lt;&gt;SUM(M61:R61),"INPUT ERROR",IF(AND('Analysis Inputs'!$N$148=2,S61="INPUT ERROR"),"INPUT ERROR",S61-J61))</f>
        <v>0</v>
      </c>
      <c r="V61" s="174"/>
    </row>
    <row r="62" spans="2:22" x14ac:dyDescent="0.25">
      <c r="B62" s="169"/>
      <c r="C62" s="185">
        <v>47</v>
      </c>
      <c r="D62" s="225" t="str">
        <f t="shared" si="12"/>
        <v/>
      </c>
      <c r="E62" s="256" t="str">
        <f t="shared" si="13"/>
        <v/>
      </c>
      <c r="F62" s="256" t="str">
        <f t="shared" si="0"/>
        <v/>
      </c>
      <c r="G62" s="256" t="str">
        <f t="shared" si="1"/>
        <v/>
      </c>
      <c r="H62" s="256" t="str">
        <f t="shared" si="14"/>
        <v/>
      </c>
      <c r="I62" s="671" t="str">
        <f t="shared" si="15"/>
        <v/>
      </c>
      <c r="J62" s="388" t="str">
        <f t="shared" si="16"/>
        <v>0</v>
      </c>
      <c r="K62" s="152"/>
      <c r="L62" s="227" t="str">
        <f t="shared" si="17"/>
        <v/>
      </c>
      <c r="M62" s="256" t="str">
        <f t="shared" si="18"/>
        <v/>
      </c>
      <c r="N62" s="256" t="str">
        <f t="shared" si="19"/>
        <v/>
      </c>
      <c r="O62" s="256" t="str">
        <f t="shared" si="20"/>
        <v/>
      </c>
      <c r="P62" s="256" t="str">
        <f t="shared" si="21"/>
        <v/>
      </c>
      <c r="Q62" s="256" t="str">
        <f t="shared" si="22"/>
        <v/>
      </c>
      <c r="R62" s="671" t="str">
        <f t="shared" si="23"/>
        <v/>
      </c>
      <c r="S62" s="388" t="str">
        <f t="shared" si="11"/>
        <v>0</v>
      </c>
      <c r="T62" s="257"/>
      <c r="U62" s="389">
        <f>IF(SUM(E62:I62)&lt;&gt;SUM(M62:R62),"INPUT ERROR",IF(AND('Analysis Inputs'!$N$148=2,S62="INPUT ERROR"),"INPUT ERROR",S62-J62))</f>
        <v>0</v>
      </c>
      <c r="V62" s="174"/>
    </row>
    <row r="63" spans="2:22" x14ac:dyDescent="0.25">
      <c r="B63" s="169"/>
      <c r="C63" s="185">
        <v>48</v>
      </c>
      <c r="D63" s="225" t="str">
        <f t="shared" si="12"/>
        <v/>
      </c>
      <c r="E63" s="256" t="str">
        <f t="shared" si="13"/>
        <v/>
      </c>
      <c r="F63" s="256" t="str">
        <f t="shared" si="0"/>
        <v/>
      </c>
      <c r="G63" s="256" t="str">
        <f t="shared" si="1"/>
        <v/>
      </c>
      <c r="H63" s="256" t="str">
        <f t="shared" si="14"/>
        <v/>
      </c>
      <c r="I63" s="671" t="str">
        <f t="shared" si="15"/>
        <v/>
      </c>
      <c r="J63" s="388" t="str">
        <f t="shared" si="16"/>
        <v>0</v>
      </c>
      <c r="K63" s="152"/>
      <c r="L63" s="227" t="str">
        <f t="shared" si="17"/>
        <v/>
      </c>
      <c r="M63" s="256" t="str">
        <f t="shared" si="18"/>
        <v/>
      </c>
      <c r="N63" s="256" t="str">
        <f t="shared" si="19"/>
        <v/>
      </c>
      <c r="O63" s="256" t="str">
        <f t="shared" si="20"/>
        <v/>
      </c>
      <c r="P63" s="256" t="str">
        <f t="shared" si="21"/>
        <v/>
      </c>
      <c r="Q63" s="256" t="str">
        <f t="shared" si="22"/>
        <v/>
      </c>
      <c r="R63" s="671" t="str">
        <f t="shared" si="23"/>
        <v/>
      </c>
      <c r="S63" s="388" t="str">
        <f t="shared" si="11"/>
        <v>0</v>
      </c>
      <c r="T63" s="257"/>
      <c r="U63" s="389">
        <f>IF(SUM(E63:I63)&lt;&gt;SUM(M63:R63),"INPUT ERROR",IF(AND('Analysis Inputs'!$N$148=2,S63="INPUT ERROR"),"INPUT ERROR",S63-J63))</f>
        <v>0</v>
      </c>
      <c r="V63" s="174"/>
    </row>
    <row r="64" spans="2:22" x14ac:dyDescent="0.25">
      <c r="B64" s="169"/>
      <c r="C64" s="185">
        <v>49</v>
      </c>
      <c r="D64" s="225" t="str">
        <f t="shared" si="12"/>
        <v/>
      </c>
      <c r="E64" s="256" t="str">
        <f t="shared" si="13"/>
        <v/>
      </c>
      <c r="F64" s="256" t="str">
        <f t="shared" si="0"/>
        <v/>
      </c>
      <c r="G64" s="256" t="str">
        <f t="shared" si="1"/>
        <v/>
      </c>
      <c r="H64" s="256" t="str">
        <f t="shared" si="14"/>
        <v/>
      </c>
      <c r="I64" s="671" t="str">
        <f t="shared" si="15"/>
        <v/>
      </c>
      <c r="J64" s="388" t="str">
        <f t="shared" si="16"/>
        <v>0</v>
      </c>
      <c r="K64" s="152"/>
      <c r="L64" s="227" t="str">
        <f t="shared" si="17"/>
        <v/>
      </c>
      <c r="M64" s="256" t="str">
        <f t="shared" si="18"/>
        <v/>
      </c>
      <c r="N64" s="256" t="str">
        <f t="shared" si="19"/>
        <v/>
      </c>
      <c r="O64" s="256" t="str">
        <f t="shared" si="20"/>
        <v/>
      </c>
      <c r="P64" s="256" t="str">
        <f t="shared" si="21"/>
        <v/>
      </c>
      <c r="Q64" s="256" t="str">
        <f t="shared" si="22"/>
        <v/>
      </c>
      <c r="R64" s="671" t="str">
        <f t="shared" si="23"/>
        <v/>
      </c>
      <c r="S64" s="388" t="str">
        <f t="shared" si="11"/>
        <v>0</v>
      </c>
      <c r="T64" s="257"/>
      <c r="U64" s="389">
        <f>IF(SUM(E64:I64)&lt;&gt;SUM(M64:R64),"INPUT ERROR",IF(AND('Analysis Inputs'!$N$148=2,S64="INPUT ERROR"),"INPUT ERROR",S64-J64))</f>
        <v>0</v>
      </c>
      <c r="V64" s="174"/>
    </row>
    <row r="65" spans="2:22" x14ac:dyDescent="0.25">
      <c r="B65" s="169"/>
      <c r="C65" s="185">
        <v>50</v>
      </c>
      <c r="D65" s="225" t="str">
        <f t="shared" si="12"/>
        <v/>
      </c>
      <c r="E65" s="256" t="str">
        <f t="shared" si="13"/>
        <v/>
      </c>
      <c r="F65" s="256" t="str">
        <f t="shared" si="0"/>
        <v/>
      </c>
      <c r="G65" s="256" t="str">
        <f t="shared" si="1"/>
        <v/>
      </c>
      <c r="H65" s="256" t="str">
        <f t="shared" si="14"/>
        <v/>
      </c>
      <c r="I65" s="671" t="str">
        <f t="shared" si="15"/>
        <v/>
      </c>
      <c r="J65" s="388" t="str">
        <f t="shared" si="16"/>
        <v>0</v>
      </c>
      <c r="K65" s="152"/>
      <c r="L65" s="227" t="str">
        <f t="shared" si="17"/>
        <v/>
      </c>
      <c r="M65" s="256" t="str">
        <f t="shared" si="18"/>
        <v/>
      </c>
      <c r="N65" s="256" t="str">
        <f t="shared" si="19"/>
        <v/>
      </c>
      <c r="O65" s="256" t="str">
        <f t="shared" si="20"/>
        <v/>
      </c>
      <c r="P65" s="256" t="str">
        <f t="shared" si="21"/>
        <v/>
      </c>
      <c r="Q65" s="256" t="str">
        <f t="shared" si="22"/>
        <v/>
      </c>
      <c r="R65" s="671" t="str">
        <f t="shared" si="23"/>
        <v/>
      </c>
      <c r="S65" s="388" t="str">
        <f t="shared" si="11"/>
        <v>0</v>
      </c>
      <c r="T65" s="257"/>
      <c r="U65" s="389">
        <f>IF(SUM(E65:I65)&lt;&gt;SUM(M65:R65),"INPUT ERROR",IF(AND('Analysis Inputs'!$N$148=2,S65="INPUT ERROR"),"INPUT ERROR",S65-J65))</f>
        <v>0</v>
      </c>
      <c r="V65" s="174"/>
    </row>
    <row r="66" spans="2:22" x14ac:dyDescent="0.25">
      <c r="B66" s="169"/>
      <c r="C66" s="185">
        <v>51</v>
      </c>
      <c r="D66" s="225" t="str">
        <f t="shared" si="12"/>
        <v/>
      </c>
      <c r="E66" s="256" t="str">
        <f t="shared" si="13"/>
        <v/>
      </c>
      <c r="F66" s="256" t="str">
        <f t="shared" si="0"/>
        <v/>
      </c>
      <c r="G66" s="256" t="str">
        <f t="shared" si="1"/>
        <v/>
      </c>
      <c r="H66" s="256" t="str">
        <f t="shared" si="14"/>
        <v/>
      </c>
      <c r="I66" s="671" t="str">
        <f t="shared" si="15"/>
        <v/>
      </c>
      <c r="J66" s="388" t="str">
        <f t="shared" si="16"/>
        <v>0</v>
      </c>
      <c r="K66" s="152"/>
      <c r="L66" s="227" t="str">
        <f t="shared" si="17"/>
        <v/>
      </c>
      <c r="M66" s="256" t="str">
        <f t="shared" si="18"/>
        <v/>
      </c>
      <c r="N66" s="256" t="str">
        <f t="shared" si="19"/>
        <v/>
      </c>
      <c r="O66" s="256" t="str">
        <f t="shared" si="20"/>
        <v/>
      </c>
      <c r="P66" s="256" t="str">
        <f t="shared" si="21"/>
        <v/>
      </c>
      <c r="Q66" s="256" t="str">
        <f t="shared" si="22"/>
        <v/>
      </c>
      <c r="R66" s="671" t="str">
        <f t="shared" si="23"/>
        <v/>
      </c>
      <c r="S66" s="388" t="str">
        <f t="shared" si="11"/>
        <v>0</v>
      </c>
      <c r="T66" s="257"/>
      <c r="U66" s="389">
        <f>IF(SUM(E66:I66)&lt;&gt;SUM(M66:R66),"INPUT ERROR",IF(AND('Analysis Inputs'!$N$148=2,S66="INPUT ERROR"),"INPUT ERROR",S66-J66))</f>
        <v>0</v>
      </c>
      <c r="V66" s="174"/>
    </row>
    <row r="67" spans="2:22" ht="12.75" customHeight="1" x14ac:dyDescent="0.25">
      <c r="B67" s="169"/>
      <c r="C67" s="185">
        <v>52</v>
      </c>
      <c r="D67" s="225" t="str">
        <f t="shared" si="12"/>
        <v/>
      </c>
      <c r="E67" s="256" t="str">
        <f t="shared" si="13"/>
        <v/>
      </c>
      <c r="F67" s="256" t="str">
        <f t="shared" si="0"/>
        <v/>
      </c>
      <c r="G67" s="256" t="str">
        <f t="shared" si="1"/>
        <v/>
      </c>
      <c r="H67" s="256" t="str">
        <f t="shared" si="14"/>
        <v/>
      </c>
      <c r="I67" s="671" t="str">
        <f t="shared" si="15"/>
        <v/>
      </c>
      <c r="J67" s="388" t="str">
        <f t="shared" si="16"/>
        <v>0</v>
      </c>
      <c r="K67" s="152"/>
      <c r="L67" s="227" t="str">
        <f t="shared" si="17"/>
        <v/>
      </c>
      <c r="M67" s="256" t="str">
        <f t="shared" si="18"/>
        <v/>
      </c>
      <c r="N67" s="256" t="str">
        <f t="shared" si="19"/>
        <v/>
      </c>
      <c r="O67" s="256" t="str">
        <f t="shared" si="20"/>
        <v/>
      </c>
      <c r="P67" s="256" t="str">
        <f t="shared" si="21"/>
        <v/>
      </c>
      <c r="Q67" s="256" t="str">
        <f t="shared" si="22"/>
        <v/>
      </c>
      <c r="R67" s="671" t="str">
        <f t="shared" si="23"/>
        <v/>
      </c>
      <c r="S67" s="388" t="str">
        <f t="shared" si="11"/>
        <v>0</v>
      </c>
      <c r="T67" s="257"/>
      <c r="U67" s="389">
        <f>IF(SUM(E67:I67)&lt;&gt;SUM(M67:R67),"INPUT ERROR",IF(AND('Analysis Inputs'!$N$148=2,S67="INPUT ERROR"),"INPUT ERROR",S67-J67))</f>
        <v>0</v>
      </c>
      <c r="V67" s="174"/>
    </row>
    <row r="68" spans="2:22" ht="12.75" customHeight="1" x14ac:dyDescent="0.25">
      <c r="B68" s="169"/>
      <c r="C68" s="185">
        <v>53</v>
      </c>
      <c r="D68" s="225" t="str">
        <f t="shared" si="12"/>
        <v/>
      </c>
      <c r="E68" s="256" t="str">
        <f t="shared" si="13"/>
        <v/>
      </c>
      <c r="F68" s="256" t="str">
        <f t="shared" si="0"/>
        <v/>
      </c>
      <c r="G68" s="256" t="str">
        <f t="shared" si="1"/>
        <v/>
      </c>
      <c r="H68" s="256" t="str">
        <f t="shared" si="14"/>
        <v/>
      </c>
      <c r="I68" s="671" t="str">
        <f t="shared" si="15"/>
        <v/>
      </c>
      <c r="J68" s="388" t="str">
        <f t="shared" si="16"/>
        <v>0</v>
      </c>
      <c r="K68" s="152"/>
      <c r="L68" s="227" t="str">
        <f t="shared" si="17"/>
        <v/>
      </c>
      <c r="M68" s="256" t="str">
        <f t="shared" si="18"/>
        <v/>
      </c>
      <c r="N68" s="256" t="str">
        <f t="shared" si="19"/>
        <v/>
      </c>
      <c r="O68" s="256" t="str">
        <f t="shared" si="20"/>
        <v/>
      </c>
      <c r="P68" s="256" t="str">
        <f t="shared" si="21"/>
        <v/>
      </c>
      <c r="Q68" s="256" t="str">
        <f t="shared" si="22"/>
        <v/>
      </c>
      <c r="R68" s="671" t="str">
        <f t="shared" si="23"/>
        <v/>
      </c>
      <c r="S68" s="388" t="str">
        <f t="shared" si="11"/>
        <v>0</v>
      </c>
      <c r="T68" s="257"/>
      <c r="U68" s="389">
        <f>IF(SUM(E68:I68)&lt;&gt;SUM(M68:R68),"INPUT ERROR",IF(AND('Analysis Inputs'!$N$148=2,S68="INPUT ERROR"),"INPUT ERROR",S68-J68))</f>
        <v>0</v>
      </c>
      <c r="V68" s="174"/>
    </row>
    <row r="69" spans="2:22" ht="12.75" customHeight="1" thickBot="1" x14ac:dyDescent="0.3">
      <c r="B69" s="169"/>
      <c r="C69" s="185">
        <v>54</v>
      </c>
      <c r="D69" s="348" t="str">
        <f t="shared" si="12"/>
        <v/>
      </c>
      <c r="E69" s="349" t="str">
        <f t="shared" si="13"/>
        <v/>
      </c>
      <c r="F69" s="349" t="str">
        <f t="shared" si="0"/>
        <v/>
      </c>
      <c r="G69" s="349" t="str">
        <f t="shared" si="1"/>
        <v/>
      </c>
      <c r="H69" s="349" t="str">
        <f t="shared" si="14"/>
        <v/>
      </c>
      <c r="I69" s="258" t="str">
        <f t="shared" si="15"/>
        <v/>
      </c>
      <c r="J69" s="736" t="str">
        <f t="shared" si="16"/>
        <v>0</v>
      </c>
      <c r="K69" s="152"/>
      <c r="L69" s="627" t="str">
        <f t="shared" si="17"/>
        <v/>
      </c>
      <c r="M69" s="349" t="str">
        <f t="shared" si="18"/>
        <v/>
      </c>
      <c r="N69" s="349" t="str">
        <f t="shared" si="19"/>
        <v/>
      </c>
      <c r="O69" s="349" t="str">
        <f t="shared" si="20"/>
        <v/>
      </c>
      <c r="P69" s="349" t="str">
        <f t="shared" si="21"/>
        <v/>
      </c>
      <c r="Q69" s="349" t="str">
        <f t="shared" si="22"/>
        <v/>
      </c>
      <c r="R69" s="687" t="str">
        <f t="shared" si="23"/>
        <v/>
      </c>
      <c r="S69" s="736" t="str">
        <f t="shared" si="11"/>
        <v>0</v>
      </c>
      <c r="T69" s="257"/>
      <c r="U69" s="737">
        <f>IF(SUM(E69:I69)&lt;&gt;SUM(M69:R69),"INPUT ERROR",IF(AND('Analysis Inputs'!$N$148=2,S69="INPUT ERROR"),"INPUT ERROR",S69-J69))</f>
        <v>0</v>
      </c>
      <c r="V69" s="174"/>
    </row>
    <row r="70" spans="2:22" ht="27.75" customHeight="1" x14ac:dyDescent="0.45">
      <c r="B70" s="169"/>
      <c r="C70" s="152"/>
      <c r="D70" s="229"/>
      <c r="E70" s="230"/>
      <c r="F70" s="230"/>
      <c r="G70" s="230"/>
      <c r="H70" s="230"/>
      <c r="I70" s="230"/>
      <c r="J70" s="230"/>
      <c r="K70" s="152"/>
      <c r="L70" s="232" t="s">
        <v>51</v>
      </c>
      <c r="M70" s="152"/>
      <c r="N70" s="152"/>
      <c r="O70" s="152"/>
      <c r="P70" s="277">
        <f>'Analysis Results (MTCO2E)'!L6</f>
        <v>0</v>
      </c>
      <c r="Q70" s="152"/>
      <c r="R70" s="152"/>
      <c r="S70" s="152"/>
      <c r="T70" s="152"/>
      <c r="U70" s="220"/>
      <c r="V70" s="174"/>
    </row>
    <row r="71" spans="2:22" ht="13.5" customHeight="1" thickBot="1" x14ac:dyDescent="0.4">
      <c r="B71" s="169"/>
      <c r="C71" s="152"/>
      <c r="D71" s="920" t="s">
        <v>145</v>
      </c>
      <c r="E71" s="920"/>
      <c r="F71" s="920"/>
      <c r="G71" s="920"/>
      <c r="H71" s="920"/>
      <c r="I71" s="920"/>
      <c r="J71" s="152"/>
      <c r="K71" s="232"/>
      <c r="L71" s="152"/>
      <c r="M71" s="152"/>
      <c r="N71" s="233"/>
      <c r="O71" s="233"/>
      <c r="P71" s="152"/>
      <c r="Q71" s="152"/>
      <c r="R71" s="152"/>
      <c r="S71" s="152"/>
      <c r="T71" s="152"/>
      <c r="U71" s="152"/>
      <c r="V71" s="174"/>
    </row>
    <row r="72" spans="2:22" ht="27.75" customHeight="1" x14ac:dyDescent="0.35">
      <c r="B72" s="169"/>
      <c r="C72" s="185"/>
      <c r="D72" s="234"/>
      <c r="E72" s="152"/>
      <c r="F72" s="152"/>
      <c r="G72" s="152"/>
      <c r="H72" s="152"/>
      <c r="I72" s="152"/>
      <c r="J72" s="152"/>
      <c r="K72" s="235" t="s">
        <v>127</v>
      </c>
      <c r="L72" s="160"/>
      <c r="M72" s="160"/>
      <c r="N72" s="271"/>
      <c r="O72" s="281"/>
      <c r="P72" s="168"/>
      <c r="Q72" s="152"/>
      <c r="R72" s="152"/>
      <c r="S72" s="152"/>
      <c r="T72" s="152"/>
      <c r="U72" s="152"/>
      <c r="V72" s="174"/>
    </row>
    <row r="73" spans="2:22" ht="27.75" customHeight="1" x14ac:dyDescent="0.3">
      <c r="B73" s="169"/>
      <c r="C73" s="185"/>
      <c r="D73" s="478" t="s">
        <v>714</v>
      </c>
      <c r="E73" s="152"/>
      <c r="F73" s="152"/>
      <c r="G73" s="152"/>
      <c r="H73" s="152"/>
      <c r="I73" s="152"/>
      <c r="J73" s="152"/>
      <c r="K73" s="387" t="str">
        <f>IF($P$70&lt;=0,"Removing annual emissions from","Adding annual emissions from")</f>
        <v>Removing annual emissions from</v>
      </c>
      <c r="L73" s="812">
        <f>IF(LEFT($P$70,5)="INPUT","INPUT ERROR",ABS(P70/Equivalencies!$B$6))</f>
        <v>0</v>
      </c>
      <c r="M73" s="914" t="str">
        <f>IF($P$70&lt;=0,"Passenger Vehicles","Passenger Vehicles")</f>
        <v>Passenger Vehicles</v>
      </c>
      <c r="N73" s="914"/>
      <c r="O73" s="914"/>
      <c r="P73" s="174"/>
      <c r="Q73" s="152"/>
      <c r="R73" s="152"/>
      <c r="S73" s="152"/>
      <c r="T73" s="152"/>
      <c r="U73" s="152"/>
      <c r="V73" s="174"/>
    </row>
    <row r="74" spans="2:22" ht="27.75" customHeight="1" x14ac:dyDescent="0.3">
      <c r="B74" s="169"/>
      <c r="C74" s="185"/>
      <c r="D74" s="921" t="s">
        <v>712</v>
      </c>
      <c r="E74" s="921"/>
      <c r="F74" s="921"/>
      <c r="G74" s="921"/>
      <c r="H74" s="921"/>
      <c r="I74" s="921"/>
      <c r="J74" s="152"/>
      <c r="K74" s="169" t="str">
        <f>IF($P$70&lt;=0,"Conserving","Consuming")</f>
        <v>Conserving</v>
      </c>
      <c r="L74" s="812">
        <f>IF(LEFT($P$70,5)="INPUT","INPUT ERROR",ABS(P70/Equivalencies!$B$26))</f>
        <v>0</v>
      </c>
      <c r="M74" s="914" t="s">
        <v>126</v>
      </c>
      <c r="N74" s="914"/>
      <c r="O74" s="914"/>
      <c r="P74" s="174"/>
      <c r="Q74" s="152"/>
      <c r="R74" s="152"/>
      <c r="S74" s="152"/>
      <c r="T74" s="152"/>
      <c r="U74" s="152"/>
      <c r="V74" s="174"/>
    </row>
    <row r="75" spans="2:22" ht="27.75" customHeight="1" x14ac:dyDescent="0.3">
      <c r="B75" s="628"/>
      <c r="C75" s="629"/>
      <c r="D75" s="922" t="s">
        <v>713</v>
      </c>
      <c r="E75" s="923"/>
      <c r="F75" s="923"/>
      <c r="G75" s="923"/>
      <c r="H75" s="923"/>
      <c r="I75" s="923"/>
      <c r="J75" s="630"/>
      <c r="K75" s="628" t="str">
        <f>IF($P$70&lt;=0,"Conserving","Consuming")</f>
        <v>Conserving</v>
      </c>
      <c r="L75" s="813">
        <f>IF(LEFT($P$70,5)="INPUT","INPUT ERROR",ABS(P70/Equivalencies!$B$30))</f>
        <v>0</v>
      </c>
      <c r="M75" s="914" t="s">
        <v>121</v>
      </c>
      <c r="N75" s="914"/>
      <c r="O75" s="914"/>
      <c r="P75" s="631"/>
      <c r="Q75" s="630"/>
      <c r="R75" s="630"/>
      <c r="S75" s="152"/>
      <c r="T75" s="152"/>
      <c r="U75" s="152"/>
      <c r="V75" s="174"/>
    </row>
    <row r="76" spans="2:22" ht="27.75" customHeight="1" thickBot="1" x14ac:dyDescent="0.35">
      <c r="B76" s="628"/>
      <c r="C76" s="633"/>
      <c r="D76" s="916" t="s">
        <v>435</v>
      </c>
      <c r="E76" s="916"/>
      <c r="F76" s="916"/>
      <c r="G76" s="916"/>
      <c r="H76" s="916"/>
      <c r="I76" s="916"/>
      <c r="J76" s="630"/>
      <c r="K76" s="628" t="str">
        <f>IF($P$70&lt;=0,"Conserving","Consuming")</f>
        <v>Conserving</v>
      </c>
      <c r="L76" s="813">
        <f>IF(LEFT($P$70,5)="INPUT","INPUT ERROR",ABS(P70/Equivalencies!$B$34))</f>
        <v>0</v>
      </c>
      <c r="M76" s="914" t="s">
        <v>122</v>
      </c>
      <c r="N76" s="914"/>
      <c r="O76" s="914"/>
      <c r="P76" s="631"/>
      <c r="Q76" s="630"/>
      <c r="R76" s="630"/>
      <c r="S76" s="152"/>
      <c r="T76" s="152"/>
      <c r="U76" s="152"/>
      <c r="V76" s="174"/>
    </row>
    <row r="77" spans="2:22" ht="27.75" customHeight="1" x14ac:dyDescent="0.3">
      <c r="B77" s="628"/>
      <c r="C77" s="629">
        <v>1</v>
      </c>
      <c r="D77" s="916" t="s">
        <v>80</v>
      </c>
      <c r="E77" s="916"/>
      <c r="F77" s="916"/>
      <c r="G77" s="916"/>
      <c r="H77" s="916"/>
      <c r="I77" s="916"/>
      <c r="J77" s="630"/>
      <c r="K77" s="628"/>
      <c r="L77" s="814">
        <f>IF(LEFT($P$70,5)="INPUT","INPUT ERROR",ABS(P70/Equivalencies!D41))</f>
        <v>0</v>
      </c>
      <c r="M77" s="914" t="s">
        <v>221</v>
      </c>
      <c r="N77" s="914"/>
      <c r="O77" s="914"/>
      <c r="P77" s="915"/>
      <c r="Q77" s="630"/>
      <c r="R77" s="630"/>
      <c r="S77" s="152"/>
      <c r="T77" s="152"/>
      <c r="U77" s="152"/>
      <c r="V77" s="174"/>
    </row>
    <row r="78" spans="2:22" ht="27.75" customHeight="1" thickBot="1" x14ac:dyDescent="0.35">
      <c r="B78" s="628"/>
      <c r="C78" s="629">
        <v>2</v>
      </c>
      <c r="D78" s="916"/>
      <c r="E78" s="916"/>
      <c r="F78" s="916"/>
      <c r="G78" s="916"/>
      <c r="H78" s="916"/>
      <c r="I78" s="916"/>
      <c r="J78" s="630"/>
      <c r="K78" s="632"/>
      <c r="L78" s="815">
        <f>IF(LEFT($P$70,5)="INPUT","INPUT ERROR",ABS(P70/Equivalencies!D43))</f>
        <v>0</v>
      </c>
      <c r="M78" s="917" t="s">
        <v>434</v>
      </c>
      <c r="N78" s="918"/>
      <c r="O78" s="918"/>
      <c r="P78" s="919"/>
      <c r="Q78" s="630"/>
      <c r="R78" s="630"/>
      <c r="S78" s="152"/>
      <c r="T78" s="152"/>
      <c r="U78" s="152"/>
      <c r="V78" s="174"/>
    </row>
    <row r="79" spans="2:22" ht="42.75" customHeight="1" x14ac:dyDescent="0.25">
      <c r="B79" s="628"/>
      <c r="C79" s="629">
        <v>3</v>
      </c>
      <c r="D79" s="916"/>
      <c r="E79" s="916"/>
      <c r="F79" s="916"/>
      <c r="G79" s="916"/>
      <c r="H79" s="916"/>
      <c r="I79" s="916"/>
      <c r="J79" s="630"/>
      <c r="K79" s="630"/>
      <c r="L79" s="630"/>
      <c r="M79" s="630"/>
      <c r="N79" s="630"/>
      <c r="O79" s="630"/>
      <c r="P79" s="630"/>
      <c r="Q79" s="630"/>
      <c r="R79" s="630"/>
      <c r="S79" s="152"/>
      <c r="T79" s="152"/>
      <c r="U79" s="152"/>
      <c r="V79" s="174"/>
    </row>
    <row r="80" spans="2:22" ht="42.75" customHeight="1" thickBot="1" x14ac:dyDescent="0.3">
      <c r="B80" s="632"/>
      <c r="C80" s="633">
        <v>4</v>
      </c>
      <c r="D80" s="634"/>
      <c r="E80" s="635"/>
      <c r="F80" s="635"/>
      <c r="G80" s="635"/>
      <c r="H80" s="635"/>
      <c r="I80" s="635"/>
      <c r="J80" s="635"/>
      <c r="K80" s="635"/>
      <c r="L80" s="635"/>
      <c r="M80" s="635"/>
      <c r="N80" s="635"/>
      <c r="O80" s="635"/>
      <c r="P80" s="635"/>
      <c r="Q80" s="635"/>
      <c r="R80" s="635"/>
      <c r="S80" s="162"/>
      <c r="T80" s="162"/>
      <c r="U80" s="162"/>
      <c r="V80" s="196"/>
    </row>
    <row r="81" spans="3:4" ht="10" customHeight="1" x14ac:dyDescent="0.25">
      <c r="C81" s="215">
        <v>5</v>
      </c>
      <c r="D81" s="216"/>
    </row>
    <row r="82" spans="3:4" ht="10" customHeight="1" x14ac:dyDescent="0.25">
      <c r="C82" s="215">
        <v>6</v>
      </c>
      <c r="D82" s="217"/>
    </row>
    <row r="83" spans="3:4" ht="10" customHeight="1" x14ac:dyDescent="0.25">
      <c r="C83" s="215">
        <v>7</v>
      </c>
    </row>
    <row r="84" spans="3:4" ht="10" customHeight="1" x14ac:dyDescent="0.25">
      <c r="C84" s="215">
        <v>8</v>
      </c>
      <c r="D84" s="218"/>
    </row>
    <row r="85" spans="3:4" ht="10" customHeight="1" x14ac:dyDescent="0.25">
      <c r="C85" s="215">
        <v>9</v>
      </c>
      <c r="D85" s="218"/>
    </row>
    <row r="86" spans="3:4" ht="10" customHeight="1" x14ac:dyDescent="0.25">
      <c r="C86" s="215">
        <v>10</v>
      </c>
    </row>
    <row r="87" spans="3:4" ht="10" customHeight="1" x14ac:dyDescent="0.25">
      <c r="C87" s="215">
        <v>11</v>
      </c>
    </row>
    <row r="88" spans="3:4" ht="10" customHeight="1" x14ac:dyDescent="0.25">
      <c r="C88" s="215">
        <v>12</v>
      </c>
    </row>
    <row r="89" spans="3:4" ht="10" customHeight="1" x14ac:dyDescent="0.25">
      <c r="C89" s="215">
        <v>13</v>
      </c>
    </row>
    <row r="90" spans="3:4" ht="10" customHeight="1" x14ac:dyDescent="0.25">
      <c r="C90" s="215">
        <v>14</v>
      </c>
    </row>
    <row r="91" spans="3:4" ht="10" customHeight="1" x14ac:dyDescent="0.25">
      <c r="C91" s="215">
        <v>15</v>
      </c>
    </row>
    <row r="92" spans="3:4" ht="10" customHeight="1" x14ac:dyDescent="0.25">
      <c r="C92" s="215">
        <v>16</v>
      </c>
    </row>
    <row r="93" spans="3:4" ht="10" customHeight="1" x14ac:dyDescent="0.25">
      <c r="C93" s="215">
        <v>17</v>
      </c>
    </row>
    <row r="94" spans="3:4" ht="10" customHeight="1" x14ac:dyDescent="0.25">
      <c r="C94" s="215">
        <v>18</v>
      </c>
    </row>
    <row r="95" spans="3:4" ht="10" customHeight="1" x14ac:dyDescent="0.25">
      <c r="C95" s="215">
        <v>19</v>
      </c>
    </row>
    <row r="96" spans="3:4" ht="10" customHeight="1" x14ac:dyDescent="0.25">
      <c r="C96" s="215">
        <v>20</v>
      </c>
    </row>
    <row r="97" spans="3:3" ht="12.75" customHeight="1" x14ac:dyDescent="0.25">
      <c r="C97" s="215">
        <v>21</v>
      </c>
    </row>
    <row r="98" spans="3:3" ht="12.75" customHeight="1" x14ac:dyDescent="0.25">
      <c r="C98" s="215">
        <v>22</v>
      </c>
    </row>
    <row r="99" spans="3:3" ht="12.75" customHeight="1" x14ac:dyDescent="0.25">
      <c r="C99" s="215">
        <v>23</v>
      </c>
    </row>
    <row r="100" spans="3:3" ht="12.75" customHeight="1" x14ac:dyDescent="0.25">
      <c r="C100" s="215">
        <v>24</v>
      </c>
    </row>
    <row r="101" spans="3:3" ht="12.75" customHeight="1" x14ac:dyDescent="0.25">
      <c r="C101" s="215">
        <v>25</v>
      </c>
    </row>
    <row r="102" spans="3:3" ht="12.75" customHeight="1" x14ac:dyDescent="0.25">
      <c r="C102" s="215">
        <v>26</v>
      </c>
    </row>
    <row r="103" spans="3:3" ht="12.75" customHeight="1" x14ac:dyDescent="0.25">
      <c r="C103" s="215">
        <v>27</v>
      </c>
    </row>
    <row r="104" spans="3:3" ht="12.75" customHeight="1" x14ac:dyDescent="0.25">
      <c r="C104" s="215">
        <v>28</v>
      </c>
    </row>
    <row r="105" spans="3:3" ht="12.75" customHeight="1" x14ac:dyDescent="0.25">
      <c r="C105" s="215">
        <v>29</v>
      </c>
    </row>
    <row r="106" spans="3:3" ht="12.75" customHeight="1" x14ac:dyDescent="0.25">
      <c r="C106" s="215">
        <v>30</v>
      </c>
    </row>
    <row r="107" spans="3:3" x14ac:dyDescent="0.25">
      <c r="C107" s="215">
        <v>31</v>
      </c>
    </row>
    <row r="108" spans="3:3" x14ac:dyDescent="0.25">
      <c r="C108" s="215">
        <v>32</v>
      </c>
    </row>
    <row r="109" spans="3:3" x14ac:dyDescent="0.25">
      <c r="C109" s="215">
        <v>33</v>
      </c>
    </row>
    <row r="110" spans="3:3" x14ac:dyDescent="0.25">
      <c r="C110" s="215">
        <v>34</v>
      </c>
    </row>
    <row r="111" spans="3:3" x14ac:dyDescent="0.25">
      <c r="C111" s="215">
        <v>35</v>
      </c>
    </row>
    <row r="112" spans="3:3" x14ac:dyDescent="0.25">
      <c r="C112" s="215">
        <v>36</v>
      </c>
    </row>
    <row r="113" spans="3:11" ht="15.5" x14ac:dyDescent="0.35">
      <c r="C113" s="215">
        <v>37</v>
      </c>
      <c r="K113" s="219"/>
    </row>
    <row r="114" spans="3:11" ht="15.5" x14ac:dyDescent="0.35">
      <c r="C114" s="215">
        <v>38</v>
      </c>
      <c r="K114" s="219"/>
    </row>
    <row r="115" spans="3:11" ht="15.5" x14ac:dyDescent="0.35">
      <c r="C115" s="215">
        <v>39</v>
      </c>
      <c r="K115" s="219"/>
    </row>
    <row r="116" spans="3:11" ht="15.5" x14ac:dyDescent="0.35">
      <c r="C116" s="215">
        <v>40</v>
      </c>
      <c r="K116" s="219"/>
    </row>
    <row r="117" spans="3:11" ht="15.5" x14ac:dyDescent="0.35">
      <c r="C117" s="215">
        <v>41</v>
      </c>
      <c r="K117" s="219"/>
    </row>
    <row r="118" spans="3:11" ht="15.5" x14ac:dyDescent="0.35">
      <c r="C118" s="215">
        <v>42</v>
      </c>
      <c r="K118" s="219"/>
    </row>
    <row r="119" spans="3:11" x14ac:dyDescent="0.25">
      <c r="C119" s="215">
        <v>43</v>
      </c>
    </row>
    <row r="120" spans="3:11" x14ac:dyDescent="0.25">
      <c r="C120" s="215">
        <v>44</v>
      </c>
    </row>
    <row r="121" spans="3:11" x14ac:dyDescent="0.25">
      <c r="C121" s="215">
        <v>45</v>
      </c>
    </row>
    <row r="122" spans="3:11" x14ac:dyDescent="0.25">
      <c r="C122" s="215">
        <v>46</v>
      </c>
    </row>
    <row r="123" spans="3:11" x14ac:dyDescent="0.25">
      <c r="C123" s="215">
        <v>47</v>
      </c>
    </row>
    <row r="124" spans="3:11" x14ac:dyDescent="0.25">
      <c r="C124" s="215">
        <v>48</v>
      </c>
    </row>
    <row r="125" spans="3:11" x14ac:dyDescent="0.25">
      <c r="C125" s="215">
        <v>49</v>
      </c>
    </row>
    <row r="126" spans="3:11" x14ac:dyDescent="0.25">
      <c r="C126" s="215">
        <v>50</v>
      </c>
    </row>
    <row r="127" spans="3:11" x14ac:dyDescent="0.25">
      <c r="C127" s="215">
        <v>51</v>
      </c>
    </row>
    <row r="128" spans="3:11" x14ac:dyDescent="0.25">
      <c r="C128" s="215">
        <v>52</v>
      </c>
    </row>
    <row r="129" spans="3:3" x14ac:dyDescent="0.25">
      <c r="C129" s="215">
        <v>53</v>
      </c>
    </row>
    <row r="130" spans="3:3" x14ac:dyDescent="0.25">
      <c r="C130" s="215">
        <v>54</v>
      </c>
    </row>
  </sheetData>
  <sheetProtection password="CDE6" sheet="1"/>
  <mergeCells count="11">
    <mergeCell ref="D71:I71"/>
    <mergeCell ref="D74:I74"/>
    <mergeCell ref="D75:I75"/>
    <mergeCell ref="M73:O73"/>
    <mergeCell ref="M74:O74"/>
    <mergeCell ref="M75:O75"/>
    <mergeCell ref="M76:O76"/>
    <mergeCell ref="M77:P77"/>
    <mergeCell ref="D77:I79"/>
    <mergeCell ref="M78:P78"/>
    <mergeCell ref="D76:I76"/>
  </mergeCells>
  <phoneticPr fontId="14" type="noConversion"/>
  <conditionalFormatting sqref="P70 L73:L78 S13 S16:S69">
    <cfRule type="containsText" dxfId="15" priority="19" stopIfTrue="1" operator="containsText" text="INPUT ERROR">
      <formula>NOT(ISERROR(SEARCH("INPUT ERROR",L13)))</formula>
    </cfRule>
  </conditionalFormatting>
  <conditionalFormatting sqref="U16:U69 J16:J69 J13">
    <cfRule type="containsText" dxfId="14" priority="16" stopIfTrue="1" operator="containsText" text="INPUT ERROR">
      <formula>NOT(ISERROR(SEARCH("INPUT ERROR",J13)))</formula>
    </cfRule>
  </conditionalFormatting>
  <printOptions horizontalCentered="1" verticalCentered="1"/>
  <pageMargins left="0.75" right="0.75" top="1" bottom="1" header="0.5" footer="0.5"/>
  <pageSetup scale="38" orientation="portrait" r:id="rId1"/>
  <headerFooter alignWithMargins="0"/>
  <rowBreaks count="1" manualBreakCount="1">
    <brk id="125" min="3" max="11"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W250"/>
  <sheetViews>
    <sheetView topLeftCell="A19" zoomScaleNormal="100" zoomScaleSheetLayoutView="75" workbookViewId="0">
      <selection activeCell="H12" sqref="H12:H65"/>
    </sheetView>
  </sheetViews>
  <sheetFormatPr defaultRowHeight="12.5" x14ac:dyDescent="0.25"/>
  <cols>
    <col min="1" max="1" width="3.7265625" customWidth="1"/>
    <col min="2" max="4" width="9.453125" hidden="1" customWidth="1"/>
    <col min="5" max="5" width="22.54296875" customWidth="1"/>
    <col min="6" max="7" width="11" customWidth="1"/>
    <col min="8" max="20" width="12.1796875" customWidth="1"/>
    <col min="21" max="21" width="12.26953125" customWidth="1"/>
    <col min="23" max="23" width="13.453125" customWidth="1"/>
  </cols>
  <sheetData>
    <row r="1" spans="5:14" ht="18" x14ac:dyDescent="0.4">
      <c r="E1" s="105" t="s">
        <v>82</v>
      </c>
      <c r="F1" s="29"/>
      <c r="G1" s="29"/>
      <c r="H1" s="29"/>
      <c r="I1" s="29"/>
      <c r="J1" s="29"/>
      <c r="K1" s="29"/>
      <c r="L1" s="29"/>
      <c r="M1" s="29"/>
      <c r="N1" s="29"/>
    </row>
    <row r="2" spans="5:14" s="41" customFormat="1" ht="15" customHeight="1" x14ac:dyDescent="0.35">
      <c r="E2" s="43"/>
      <c r="F2" s="43"/>
      <c r="G2" s="43"/>
      <c r="H2" s="43"/>
      <c r="I2" s="44"/>
      <c r="J2" s="43"/>
      <c r="K2" s="42"/>
      <c r="L2" s="42"/>
      <c r="M2" s="42"/>
      <c r="N2" s="42"/>
    </row>
    <row r="3" spans="5:14" ht="14.25" customHeight="1" x14ac:dyDescent="0.4">
      <c r="E3" s="29"/>
      <c r="F3" s="29"/>
      <c r="G3" s="29"/>
      <c r="H3" s="29"/>
      <c r="I3" s="29"/>
      <c r="J3" s="29"/>
      <c r="K3" s="29"/>
      <c r="L3" s="29"/>
      <c r="M3" s="29"/>
      <c r="N3" s="29"/>
    </row>
    <row r="4" spans="5:14" ht="15" x14ac:dyDescent="0.4">
      <c r="E4" s="50" t="s">
        <v>468</v>
      </c>
      <c r="F4" s="51"/>
      <c r="G4" s="51"/>
      <c r="H4" s="51"/>
      <c r="I4" s="51"/>
      <c r="J4" s="51"/>
      <c r="K4" s="52"/>
      <c r="L4" s="279">
        <f>+Q123</f>
        <v>94703.127458270814</v>
      </c>
    </row>
    <row r="5" spans="5:14" ht="15" x14ac:dyDescent="0.4">
      <c r="E5" s="53" t="s">
        <v>469</v>
      </c>
      <c r="F5" s="54"/>
      <c r="G5" s="54"/>
      <c r="H5" s="54"/>
      <c r="I5" s="54"/>
      <c r="J5" s="54"/>
      <c r="K5" s="55"/>
      <c r="L5" s="280">
        <f>+S181</f>
        <v>94703.127458270814</v>
      </c>
    </row>
    <row r="6" spans="5:14" ht="15" x14ac:dyDescent="0.4">
      <c r="E6" s="53" t="s">
        <v>470</v>
      </c>
      <c r="F6" s="54"/>
      <c r="G6" s="54"/>
      <c r="H6" s="54"/>
      <c r="I6" s="54"/>
      <c r="J6" s="54"/>
      <c r="K6" s="55"/>
      <c r="L6" s="280">
        <f>+R239</f>
        <v>0</v>
      </c>
    </row>
    <row r="7" spans="5:14" ht="15" x14ac:dyDescent="0.4">
      <c r="E7" s="56" t="s">
        <v>471</v>
      </c>
      <c r="F7" s="41"/>
      <c r="G7" s="41"/>
      <c r="H7" s="41"/>
      <c r="I7" s="41"/>
      <c r="J7" s="41"/>
      <c r="K7" s="41"/>
    </row>
    <row r="8" spans="5:14" x14ac:dyDescent="0.25">
      <c r="M8" s="47"/>
    </row>
    <row r="10" spans="5:14" ht="13.5" thickBot="1" x14ac:dyDescent="0.35">
      <c r="E10" s="57" t="s">
        <v>790</v>
      </c>
      <c r="F10" s="20"/>
      <c r="G10" s="20"/>
      <c r="H10" s="20"/>
      <c r="I10" s="20"/>
      <c r="J10" s="20"/>
      <c r="L10" s="654"/>
    </row>
    <row r="11" spans="5:14" ht="36.5" x14ac:dyDescent="0.25">
      <c r="E11" s="58" t="s">
        <v>496</v>
      </c>
      <c r="F11" s="59" t="s">
        <v>482</v>
      </c>
      <c r="G11" s="61" t="s">
        <v>483</v>
      </c>
      <c r="H11" s="61" t="s">
        <v>484</v>
      </c>
      <c r="I11" s="61" t="s">
        <v>485</v>
      </c>
      <c r="J11" s="61" t="s">
        <v>486</v>
      </c>
      <c r="K11" s="735" t="s">
        <v>855</v>
      </c>
    </row>
    <row r="12" spans="5:14" ht="12.75" customHeight="1" x14ac:dyDescent="0.25">
      <c r="E12" s="7" t="s">
        <v>515</v>
      </c>
      <c r="F12" s="18">
        <f>+VLOOKUP($E12,'Summary Data'!$A$2:$Q$55,2,FALSE)</f>
        <v>-11.08553302325919</v>
      </c>
      <c r="G12" s="18">
        <f>+VLOOKUP($E12,'Summary Data'!$A$2:$Q$55,3,FALSE)</f>
        <v>-9.107799577537099</v>
      </c>
      <c r="H12" s="18">
        <f>+VLOOKUP($E12,'Summary Data'!$A$2:$Q$55,4,FALSE)</f>
        <v>2.0254519141196047E-2</v>
      </c>
      <c r="I12" s="26">
        <f>+VLOOKUP($E12,'Summary Data'!$A$2:$Q$55,9,FALSE)</f>
        <v>2.7063572539042055E-2</v>
      </c>
      <c r="J12" s="26" t="str">
        <f>+VLOOKUP($E12,'Summary Data'!$A$2:$Q$55,10,FALSE)</f>
        <v>NA</v>
      </c>
      <c r="K12" s="101" t="s">
        <v>503</v>
      </c>
    </row>
    <row r="13" spans="5:14" ht="12.75" customHeight="1" x14ac:dyDescent="0.25">
      <c r="E13" s="7" t="s">
        <v>84</v>
      </c>
      <c r="F13" s="26">
        <f>+VLOOKUP($E13,'Summary Data'!$A$2:$Q$55,2,FALSE)</f>
        <v>-7.4742174216693584</v>
      </c>
      <c r="G13" s="18">
        <f>+VLOOKUP($E13,'Summary Data'!$A$2:$Q$55,3,FALSE)</f>
        <v>-7.1885223815767212</v>
      </c>
      <c r="H13" s="18">
        <f>+VLOOKUP($E13,'Summary Data'!$A$2:$Q$55,4,FALSE)</f>
        <v>2.0254519141196047E-2</v>
      </c>
      <c r="I13" s="26">
        <f>+VLOOKUP($E13,'Summary Data'!$A$2:$Q$55,9,FALSE)</f>
        <v>2.7063572539042055E-2</v>
      </c>
      <c r="J13" s="26" t="str">
        <f>+VLOOKUP($E13,'Summary Data'!$A$2:$Q$55,10,FALSE)</f>
        <v>NA</v>
      </c>
      <c r="K13" s="101" t="s">
        <v>503</v>
      </c>
    </row>
    <row r="14" spans="5:14" ht="12.75" customHeight="1" x14ac:dyDescent="0.25">
      <c r="E14" s="7" t="s">
        <v>516</v>
      </c>
      <c r="F14" s="18">
        <f>+VLOOKUP($E14,'Summary Data'!$A$2:$Q$55,2,FALSE)</f>
        <v>-3.6665929423863797</v>
      </c>
      <c r="G14" s="18">
        <f>+VLOOKUP($E14,'Summary Data'!$A$2:$Q$55,3,FALSE)</f>
        <v>-1.8122705074770458</v>
      </c>
      <c r="H14" s="18">
        <f>+VLOOKUP($E14,'Summary Data'!$A$2:$Q$55,4,FALSE)</f>
        <v>2.0254519141196047E-2</v>
      </c>
      <c r="I14" s="26">
        <f>+VLOOKUP($E14,'Summary Data'!$A$2:$Q$55,9,FALSE)</f>
        <v>-1.5780993743307059</v>
      </c>
      <c r="J14" s="26" t="str">
        <f>+VLOOKUP($E14,'Summary Data'!$A$2:$Q$55,10,FALSE)</f>
        <v>NA</v>
      </c>
      <c r="K14" s="101" t="s">
        <v>503</v>
      </c>
    </row>
    <row r="15" spans="5:14" ht="12.75" customHeight="1" x14ac:dyDescent="0.25">
      <c r="E15" s="7" t="s">
        <v>438</v>
      </c>
      <c r="F15" s="18">
        <f>+VLOOKUP($E15,'Summary Data'!$A$2:$Q$55,2,FALSE)</f>
        <v>-7.0760377212807279</v>
      </c>
      <c r="G15" s="18">
        <f>+VLOOKUP($E15,'Summary Data'!$A$2:$Q$55,3,FALSE)</f>
        <v>-4.7071546723673707</v>
      </c>
      <c r="H15" s="18">
        <f>+VLOOKUP($E15,'Summary Data'!$A$2:$Q$55,4,FALSE)</f>
        <v>2.0254519141196047E-2</v>
      </c>
      <c r="I15" s="26">
        <f>+VLOOKUP($E15,'Summary Data'!$A$2:$Q$55,9,FALSE)</f>
        <v>2.3693392901545235E-2</v>
      </c>
      <c r="J15" s="26" t="str">
        <f>+VLOOKUP($E15,'Summary Data'!$A$2:$Q$55,10,FALSE)</f>
        <v>NA</v>
      </c>
      <c r="K15" s="101" t="s">
        <v>503</v>
      </c>
    </row>
    <row r="16" spans="5:14" ht="12.75" customHeight="1" x14ac:dyDescent="0.25">
      <c r="E16" s="7" t="s">
        <v>517</v>
      </c>
      <c r="F16" s="18">
        <f>+VLOOKUP($E16,'Summary Data'!$A$2:$Q$55,2,FALSE)</f>
        <v>-0.5983195221800004</v>
      </c>
      <c r="G16" s="18">
        <f>+VLOOKUP($E16,'Summary Data'!$A$2:$Q$55,3,FALSE)</f>
        <v>-0.27652247316904294</v>
      </c>
      <c r="H16" s="18">
        <f>+VLOOKUP($E16,'Summary Data'!$A$2:$Q$55,4,FALSE)</f>
        <v>2.0254519141196047E-2</v>
      </c>
      <c r="I16" s="26">
        <f>+VLOOKUP($E16,'Summary Data'!$A$2:$Q$55,9,FALSE)</f>
        <v>2.1671285119047139E-2</v>
      </c>
      <c r="J16" s="26" t="str">
        <f>+VLOOKUP($E16,'Summary Data'!$A$2:$Q$55,10,FALSE)</f>
        <v>NA</v>
      </c>
      <c r="K16" s="101" t="s">
        <v>503</v>
      </c>
    </row>
    <row r="17" spans="5:11" ht="12.75" customHeight="1" x14ac:dyDescent="0.25">
      <c r="E17" s="7" t="s">
        <v>518</v>
      </c>
      <c r="F17" s="18">
        <f>+VLOOKUP($E17,'Summary Data'!$A$2:$Q$55,2,FALSE)</f>
        <v>-1.5707799286813973</v>
      </c>
      <c r="G17" s="18">
        <f>+VLOOKUP($E17,'Summary Data'!$A$2:$Q$55,3,FALSE)</f>
        <v>-0.86868705060174922</v>
      </c>
      <c r="H17" s="18">
        <f>+VLOOKUP($E17,'Summary Data'!$A$2:$Q$55,4,FALSE)</f>
        <v>2.0254519141196047E-2</v>
      </c>
      <c r="I17" s="26">
        <f>+VLOOKUP($E17,'Summary Data'!$A$2:$Q$55,9,FALSE)</f>
        <v>1.7255084391217581</v>
      </c>
      <c r="J17" s="26" t="str">
        <f>+VLOOKUP($E17,'Summary Data'!$A$2:$Q$55,10,FALSE)</f>
        <v>NA</v>
      </c>
      <c r="K17" s="101" t="s">
        <v>503</v>
      </c>
    </row>
    <row r="18" spans="5:11" ht="12.75" customHeight="1" x14ac:dyDescent="0.25">
      <c r="E18" s="7" t="s">
        <v>519</v>
      </c>
      <c r="F18" s="18">
        <f>+VLOOKUP($E18,'Summary Data'!$A$2:$Q$55,2,FALSE)</f>
        <v>-1.7987541239290445</v>
      </c>
      <c r="G18" s="26" t="str">
        <f>+VLOOKUP($E18,'Summary Data'!$A$2:$Q$55,3,FALSE)</f>
        <v>NA</v>
      </c>
      <c r="H18" s="18">
        <f>+VLOOKUP($E18,'Summary Data'!$A$2:$Q$55,4,FALSE)</f>
        <v>2.0254519141196047E-2</v>
      </c>
      <c r="I18" s="26">
        <f>+VLOOKUP($E18,'Summary Data'!$A$2:$Q$55,9,FALSE)</f>
        <v>1.7313321095353524</v>
      </c>
      <c r="J18" s="26" t="str">
        <f>+VLOOKUP($E18,'Summary Data'!$A$2:$Q$55,10,FALSE)</f>
        <v>NA</v>
      </c>
      <c r="K18" s="101" t="s">
        <v>503</v>
      </c>
    </row>
    <row r="19" spans="5:11" ht="12.75" customHeight="1" x14ac:dyDescent="0.25">
      <c r="E19" s="7" t="s">
        <v>520</v>
      </c>
      <c r="F19" s="18">
        <f>+VLOOKUP($E19,'Summary Data'!$A$2:$Q$55,2,FALSE)</f>
        <v>-2.2386394694979734</v>
      </c>
      <c r="G19" s="18">
        <f>+VLOOKUP($E19,'Summary Data'!$A$2:$Q$55,3,FALSE)</f>
        <v>-1.1173153833954395</v>
      </c>
      <c r="H19" s="18">
        <f>+VLOOKUP($E19,'Summary Data'!$A$2:$Q$55,4,FALSE)</f>
        <v>2.0254519141196047E-2</v>
      </c>
      <c r="I19" s="26">
        <f>+VLOOKUP($E19,'Summary Data'!$A$2:$Q$55,9,FALSE)</f>
        <v>1.4748235777750751</v>
      </c>
      <c r="J19" s="26" t="str">
        <f>+VLOOKUP($E19,'Summary Data'!$A$2:$Q$55,10,FALSE)</f>
        <v>NA</v>
      </c>
      <c r="K19" s="101" t="s">
        <v>503</v>
      </c>
    </row>
    <row r="20" spans="5:11" ht="12.75" customHeight="1" x14ac:dyDescent="0.25">
      <c r="E20" s="7" t="s">
        <v>86</v>
      </c>
      <c r="F20" s="26">
        <f>+VLOOKUP($E20,'Summary Data'!$A$2:$Q$55,2,FALSE)</f>
        <v>-1.5817379577845374</v>
      </c>
      <c r="G20" s="26" t="str">
        <f>+VLOOKUP($E20,'Summary Data'!$A$2:$Q$55,3,FALSE)</f>
        <v>NA</v>
      </c>
      <c r="H20" s="18">
        <f>+VLOOKUP($E20,'Summary Data'!$A$2:$Q$55,4,FALSE)</f>
        <v>2.0254519141196047E-2</v>
      </c>
      <c r="I20" s="26">
        <f>+VLOOKUP($E20,'Summary Data'!$A$2:$Q$55,9,FALSE)</f>
        <v>1.7276114312155559</v>
      </c>
      <c r="J20" s="26" t="str">
        <f>+VLOOKUP($E20,'Summary Data'!$A$2:$Q$55,10,FALSE)</f>
        <v>NA</v>
      </c>
      <c r="K20" s="101" t="s">
        <v>503</v>
      </c>
    </row>
    <row r="21" spans="5:11" ht="12.75" customHeight="1" x14ac:dyDescent="0.25">
      <c r="E21" s="7" t="s">
        <v>87</v>
      </c>
      <c r="F21" s="26">
        <f>+VLOOKUP($E21,'Summary Data'!$A$2:$Q$55,2,FALSE)</f>
        <v>-1.5496211386143399</v>
      </c>
      <c r="G21" s="26" t="str">
        <f>+VLOOKUP($E21,'Summary Data'!$A$2:$Q$55,3,FALSE)</f>
        <v>NA</v>
      </c>
      <c r="H21" s="18">
        <f>+VLOOKUP($E21,'Summary Data'!$A$2:$Q$55,4,FALSE)</f>
        <v>2.0254519141196047E-2</v>
      </c>
      <c r="I21" s="26">
        <f>+VLOOKUP($E21,'Summary Data'!$A$2:$Q$55,9,FALSE)</f>
        <v>1.7275035854671561</v>
      </c>
      <c r="J21" s="26" t="str">
        <f>+VLOOKUP($E21,'Summary Data'!$A$2:$Q$55,10,FALSE)</f>
        <v>NA</v>
      </c>
      <c r="K21" s="101" t="s">
        <v>503</v>
      </c>
    </row>
    <row r="22" spans="5:11" ht="12.75" customHeight="1" x14ac:dyDescent="0.25">
      <c r="E22" s="7" t="s">
        <v>88</v>
      </c>
      <c r="F22" s="26">
        <f>+VLOOKUP($E22,'Summary Data'!$A$2:$Q$55,2,FALSE)</f>
        <v>-2.4982570975155576</v>
      </c>
      <c r="G22" s="26" t="str">
        <f>+VLOOKUP($E22,'Summary Data'!$A$2:$Q$55,3,FALSE)</f>
        <v>NA</v>
      </c>
      <c r="H22" s="18">
        <f>+VLOOKUP($E22,'Summary Data'!$A$2:$Q$55,4,FALSE)</f>
        <v>2.0254519141196047E-2</v>
      </c>
      <c r="I22" s="26">
        <f>+VLOOKUP($E22,'Summary Data'!$A$2:$Q$55,9,FALSE)</f>
        <v>2.0474805498183253</v>
      </c>
      <c r="J22" s="26" t="str">
        <f>+VLOOKUP($E22,'Summary Data'!$A$2:$Q$55,10,FALSE)</f>
        <v>NA</v>
      </c>
      <c r="K22" s="101" t="s">
        <v>503</v>
      </c>
    </row>
    <row r="23" spans="5:11" ht="12.75" customHeight="1" x14ac:dyDescent="0.25">
      <c r="E23" s="7" t="s">
        <v>89</v>
      </c>
      <c r="F23" s="26">
        <f>+VLOOKUP($E23,'Summary Data'!$A$2:$Q$55,2,FALSE)</f>
        <v>-1.9488924030618728</v>
      </c>
      <c r="G23" s="26" t="str">
        <f>+VLOOKUP($E23,'Summary Data'!$A$2:$Q$55,3,FALSE)</f>
        <v>NA</v>
      </c>
      <c r="H23" s="18">
        <f>+VLOOKUP($E23,'Summary Data'!$A$2:$Q$55,4,FALSE)</f>
        <v>2.0254519141196047E-2</v>
      </c>
      <c r="I23" s="26">
        <f>+VLOOKUP($E23,'Summary Data'!$A$2:$Q$55,9,FALSE)</f>
        <v>0.83708146062668787</v>
      </c>
      <c r="J23" s="26" t="str">
        <f>+VLOOKUP($E23,'Summary Data'!$A$2:$Q$55,10,FALSE)</f>
        <v>NA</v>
      </c>
      <c r="K23" s="101" t="s">
        <v>503</v>
      </c>
    </row>
    <row r="24" spans="5:11" ht="12.75" customHeight="1" x14ac:dyDescent="0.25">
      <c r="E24" s="7" t="s">
        <v>85</v>
      </c>
      <c r="F24" s="26">
        <f>+VLOOKUP($E24,'Summary Data'!$A$2:$Q$55,2,FALSE)</f>
        <v>-2.0877983213682918</v>
      </c>
      <c r="G24" s="26" t="str">
        <f>+VLOOKUP($E24,'Summary Data'!$A$2:$Q$55,3,FALSE)</f>
        <v>NA</v>
      </c>
      <c r="H24" s="18">
        <f>+VLOOKUP($E24,'Summary Data'!$A$2:$Q$55,4,FALSE)</f>
        <v>-1.6426151092788039</v>
      </c>
      <c r="I24" s="26">
        <f>+VLOOKUP($E24,'Summary Data'!$A$2:$Q$55,9,FALSE)</f>
        <v>-0.75923074797665513</v>
      </c>
      <c r="J24" s="26">
        <f>+VLOOKUP($E24,'Summary Data'!$A$2:$Q$55,10,FALSE)</f>
        <v>-0.1487348044061565</v>
      </c>
      <c r="K24" s="101" t="s">
        <v>503</v>
      </c>
    </row>
    <row r="25" spans="5:11" ht="12.75" customHeight="1" x14ac:dyDescent="0.25">
      <c r="E25" s="7" t="s">
        <v>59</v>
      </c>
      <c r="F25" s="18">
        <f>+VLOOKUP($E25,'Summary Data'!$A$2:$Q$55,2,FALSE)</f>
        <v>-8.1031341810822894</v>
      </c>
      <c r="G25" s="18">
        <f>+VLOOKUP($E25,'Summary Data'!$A$2:$Q$55,3,FALSE)</f>
        <v>-3.120666284103407</v>
      </c>
      <c r="H25" s="902">
        <f>+VLOOKUP($E25,'Summary Data'!$A$2:$Q$55,4,FALSE)</f>
        <v>0.44490318170364651</v>
      </c>
      <c r="I25" s="26">
        <f>+VLOOKUP($E25,'Summary Data'!$A$2:$Q$55,9,FALSE)</f>
        <v>-0.33411272664151603</v>
      </c>
      <c r="J25" s="26" t="str">
        <f>+VLOOKUP($E25,'Summary Data'!$A$2:$Q$55,10,FALSE)</f>
        <v>NA</v>
      </c>
      <c r="K25" s="101" t="s">
        <v>503</v>
      </c>
    </row>
    <row r="26" spans="5:11" ht="12.75" customHeight="1" x14ac:dyDescent="0.25">
      <c r="E26" s="74" t="s">
        <v>290</v>
      </c>
      <c r="F26" s="18">
        <f>+VLOOKUP($E26,'Summary Data'!$A$2:$Q$55,2,FALSE)</f>
        <v>-8.8993191138523571</v>
      </c>
      <c r="G26" s="18">
        <f>+VLOOKUP($E26,'Summary Data'!$A$2:$Q$55,3,FALSE)</f>
        <v>-3.069996609697593</v>
      </c>
      <c r="H26" s="18">
        <f>+VLOOKUP($E26,'Summary Data'!$A$2:$Q$55,4,FALSE)</f>
        <v>-0.42430723670909465</v>
      </c>
      <c r="I26" s="26">
        <f>+VLOOKUP($E26,'Summary Data'!$A$2:$Q$55,9,FALSE)</f>
        <v>-0.2378603961946068</v>
      </c>
      <c r="J26" s="26" t="str">
        <f>+VLOOKUP($E26,'Summary Data'!$A$2:$Q$55,10,FALSE)</f>
        <v>NA</v>
      </c>
      <c r="K26" s="101" t="s">
        <v>503</v>
      </c>
    </row>
    <row r="27" spans="5:11" ht="12.75" customHeight="1" x14ac:dyDescent="0.25">
      <c r="E27" s="4" t="s">
        <v>502</v>
      </c>
      <c r="F27" s="18">
        <f>+VLOOKUP($E27,'Summary Data'!$A$2:$Q$55,2,FALSE)</f>
        <v>-5.838762216163337</v>
      </c>
      <c r="G27" s="18">
        <f>+VLOOKUP($E27,'Summary Data'!$A$2:$Q$55,3,FALSE)</f>
        <v>-2.7478990031843069</v>
      </c>
      <c r="H27" s="18">
        <f>+VLOOKUP($E27,'Summary Data'!$A$2:$Q$55,4,FALSE)</f>
        <v>-0.75213407401661003</v>
      </c>
      <c r="I27" s="26">
        <f>+VLOOKUP($E27,'Summary Data'!$A$2:$Q$55,9,FALSE)</f>
        <v>-0.38302077354086989</v>
      </c>
      <c r="J27" s="26" t="str">
        <f>+VLOOKUP($E27,'Summary Data'!$A$2:$Q$55,10,FALSE)</f>
        <v>NA</v>
      </c>
      <c r="K27" s="101" t="s">
        <v>503</v>
      </c>
    </row>
    <row r="28" spans="5:11" ht="12.75" customHeight="1" x14ac:dyDescent="0.25">
      <c r="E28" s="4" t="s">
        <v>514</v>
      </c>
      <c r="F28" s="18">
        <f>+VLOOKUP($E28,'Summary Data'!$A$2:$Q$55,2,FALSE)</f>
        <v>-8.2536211815316562</v>
      </c>
      <c r="G28" s="18">
        <f>+VLOOKUP($E28,'Summary Data'!$A$2:$Q$55,3,FALSE)</f>
        <v>-2.8591915764677114</v>
      </c>
      <c r="H28" s="18">
        <f>+VLOOKUP($E28,'Summary Data'!$A$2:$Q$55,4,FALSE)</f>
        <v>1.4991848235747869</v>
      </c>
      <c r="I28" s="26">
        <f>+VLOOKUP($E28,'Summary Data'!$A$2:$Q$55,9,FALSE)</f>
        <v>-0.32100946821092835</v>
      </c>
      <c r="J28" s="26" t="str">
        <f>+VLOOKUP($E28,'Summary Data'!$A$2:$Q$55,10,FALSE)</f>
        <v>NA</v>
      </c>
      <c r="K28" s="101" t="s">
        <v>503</v>
      </c>
    </row>
    <row r="29" spans="5:11" ht="12.75" customHeight="1" x14ac:dyDescent="0.25">
      <c r="E29" s="4" t="s">
        <v>383</v>
      </c>
      <c r="F29" s="18">
        <f>+VLOOKUP($E29,'Summary Data'!$A$2:$Q$55,2,FALSE)</f>
        <v>-6.2151324433540438</v>
      </c>
      <c r="G29" s="18">
        <f>+VLOOKUP($E29,'Summary Data'!$A$2:$Q$55,3,FALSE)</f>
        <v>-2.6355265343583718</v>
      </c>
      <c r="H29" s="18">
        <f>+VLOOKUP($E29,'Summary Data'!$A$2:$Q$55,4,FALSE)</f>
        <v>-0.75213407401661003</v>
      </c>
      <c r="I29" s="26">
        <f>+VLOOKUP($E29,'Summary Data'!$A$2:$Q$55,9,FALSE)</f>
        <v>-0.38302077354086989</v>
      </c>
      <c r="J29" s="26" t="str">
        <f>+VLOOKUP($E29,'Summary Data'!$A$2:$Q$55,10,FALSE)</f>
        <v>NA</v>
      </c>
      <c r="K29" s="101" t="s">
        <v>503</v>
      </c>
    </row>
    <row r="30" spans="5:11" ht="12.75" customHeight="1" x14ac:dyDescent="0.25">
      <c r="E30" s="4" t="s">
        <v>384</v>
      </c>
      <c r="F30" s="18">
        <f>+VLOOKUP($E30,'Summary Data'!$A$2:$Q$55,2,FALSE)</f>
        <v>-9.3685734098595148</v>
      </c>
      <c r="G30" s="18">
        <f>+VLOOKUP($E30,'Summary Data'!$A$2:$Q$55,3,FALSE)</f>
        <v>-3.1059997534212043</v>
      </c>
      <c r="H30" s="18">
        <f>+VLOOKUP($E30,'Summary Data'!$A$2:$Q$55,4,FALSE)</f>
        <v>1.4991848235747869</v>
      </c>
      <c r="I30" s="26">
        <f>+VLOOKUP($E30,'Summary Data'!$A$2:$Q$55,9,FALSE)</f>
        <v>-0.32100946821092835</v>
      </c>
      <c r="J30" s="26" t="str">
        <f>+VLOOKUP($E30,'Summary Data'!$A$2:$Q$55,10,FALSE)</f>
        <v>NA</v>
      </c>
      <c r="K30" s="101" t="s">
        <v>503</v>
      </c>
    </row>
    <row r="31" spans="5:11" ht="12.75" customHeight="1" x14ac:dyDescent="0.25">
      <c r="E31" s="7" t="s">
        <v>4</v>
      </c>
      <c r="F31" s="18">
        <f>+VLOOKUP($E31,'Summary Data'!$A$2:$Q$55,2,FALSE)</f>
        <v>-2.026026091003577</v>
      </c>
      <c r="G31" s="18">
        <f>+VLOOKUP($E31,'Summary Data'!$A$2:$Q$55,3,FALSE)</f>
        <v>-2.4616116917341553</v>
      </c>
      <c r="H31" s="18">
        <f>+VLOOKUP($E31,'Summary Data'!$A$2:$Q$55,4,FALSE)</f>
        <v>-1.0117749791615904</v>
      </c>
      <c r="I31" s="26">
        <f>+VLOOKUP($E31,'Summary Data'!$A$2:$Q$55,9,FALSE)</f>
        <v>-0.40189377951085209</v>
      </c>
      <c r="J31" s="26" t="str">
        <f>+VLOOKUP($E31,'Summary Data'!$A$2:$Q$55,10,FALSE)</f>
        <v>NA</v>
      </c>
      <c r="K31" s="101" t="s">
        <v>503</v>
      </c>
    </row>
    <row r="32" spans="5:11" ht="12.75" customHeight="1" x14ac:dyDescent="0.25">
      <c r="E32" s="7" t="s">
        <v>558</v>
      </c>
      <c r="F32" s="26">
        <f>+VLOOKUP($E32,'Summary Data'!$A$2:$Q$55,2,FALSE)</f>
        <v>-2.2336449635394291</v>
      </c>
      <c r="G32" s="18">
        <f>+VLOOKUP($E32,'Summary Data'!$A$2:$Q$55,3,FALSE)</f>
        <v>-2.4706339028973177</v>
      </c>
      <c r="H32" s="18">
        <f>+VLOOKUP($E32,'Summary Data'!$A$2:$Q$55,4,FALSE)</f>
        <v>-0.88292198354341211</v>
      </c>
      <c r="I32" s="26">
        <f>+VLOOKUP($E32,'Summary Data'!$A$2:$Q$55,9,FALSE)</f>
        <v>-0.40189377951085209</v>
      </c>
      <c r="J32" s="26" t="str">
        <f>+VLOOKUP($E32,'Summary Data'!$A$2:$Q$55,10,FALSE)</f>
        <v>NA</v>
      </c>
      <c r="K32" s="101" t="s">
        <v>503</v>
      </c>
    </row>
    <row r="33" spans="5:11" ht="12.75" customHeight="1" x14ac:dyDescent="0.25">
      <c r="E33" s="7" t="s">
        <v>646</v>
      </c>
      <c r="F33" s="26">
        <f>+VLOOKUP($E33,'Summary Data'!$A$2:$Q$55,2,FALSE)</f>
        <v>-0.75780310692084685</v>
      </c>
      <c r="G33" s="26" t="str">
        <f>+VLOOKUP($E33,'Summary Data'!$A$2:$Q$55,3,FALSE)</f>
        <v>NA</v>
      </c>
      <c r="H33" s="18">
        <f>+VLOOKUP($E33,'Summary Data'!$A$2:$Q$55,4,FALSE)</f>
        <v>0.48134135202886202</v>
      </c>
      <c r="I33" s="26">
        <f>+VLOOKUP($E33,'Summary Data'!$A$2:$Q$55,9,FALSE)</f>
        <v>-8.2131135505153705E-2</v>
      </c>
      <c r="J33" s="26">
        <f>+VLOOKUP($E33,'Summary Data'!$A$2:$Q$55,10,FALSE)</f>
        <v>-0.17601201959602991</v>
      </c>
      <c r="K33" s="101">
        <f>(IF(AND('Analysis Inputs'!$N$146=1,'Analysis Inputs'!$N$156=1),VLOOKUP($E33,'Summary Data'!$A$1:$Q$55,11,FALSE), IF(AND('Analysis Inputs'!$N$146=1,'Analysis Inputs'!$N$156=2),VLOOKUP($E33,'Summary Data'!$A$1:$Q$55,12, FALSE), IF(AND('Analysis Inputs'!$N$146=2,'Analysis Inputs'!$N$156=1),VLOOKUP($E33,'Summary Data'!$A$1:$Q$55,13,FALSE), IF(AND('Analysis Inputs'!$N$146=2,'Analysis Inputs'!$N$156=2),VLOOKUP($E33,'Summary Data'!$A$1:$Q$55,14,FALSE), 0)))))</f>
        <v>-2.4514132058813747E-2</v>
      </c>
    </row>
    <row r="34" spans="5:11" ht="12.75" customHeight="1" x14ac:dyDescent="0.25">
      <c r="E34" s="7" t="s">
        <v>744</v>
      </c>
      <c r="F34" s="26">
        <f>+VLOOKUP($E34,'Summary Data'!$A$2:$Q$55,2,FALSE)</f>
        <v>-15.098113839071496</v>
      </c>
      <c r="G34" s="26" t="str">
        <f>+VLOOKUP($E34,'Summary Data'!$A$2:$Q$55,3,FALSE)</f>
        <v>NA</v>
      </c>
      <c r="H34" s="18">
        <f>+VLOOKUP($E34,'Summary Data'!$A$2:$Q$55,4,FALSE)</f>
        <v>0.48134135202886202</v>
      </c>
      <c r="I34" s="26">
        <f>+VLOOKUP($E34,'Summary Data'!$A$2:$Q$55,9,FALSE)</f>
        <v>-8.2131135505153705E-2</v>
      </c>
      <c r="J34" s="26">
        <f>+VLOOKUP($E34,'Summary Data'!$A$2:$Q$55,10,FALSE)</f>
        <v>-0.17601201959602991</v>
      </c>
      <c r="K34" s="101">
        <f>(IF(AND('Analysis Inputs'!$N$146=1,'Analysis Inputs'!$N$156=1),VLOOKUP($E34,'Summary Data'!$A$1:$Q$55,11,FALSE), IF(AND('Analysis Inputs'!$N$146=1,'Analysis Inputs'!$N$156=2),VLOOKUP($E34,'Summary Data'!$A$1:$Q$55,12, FALSE), IF(AND('Analysis Inputs'!$N$146=2,'Analysis Inputs'!$N$156=1),VLOOKUP($E34,'Summary Data'!$A$1:$Q$55,13,FALSE), IF(AND('Analysis Inputs'!$N$146=2,'Analysis Inputs'!$N$156=2),VLOOKUP($E34,'Summary Data'!$A$1:$Q$55,14,FALSE), 0)))))</f>
        <v>-2.4514132058813747E-2</v>
      </c>
    </row>
    <row r="35" spans="5:11" ht="12.75" customHeight="1" x14ac:dyDescent="0.25">
      <c r="E35" s="7" t="s">
        <v>741</v>
      </c>
      <c r="F35" s="26">
        <f>+VLOOKUP($E35,'Summary Data'!$A$2:$Q$55,2,FALSE)</f>
        <v>-30.052031630109216</v>
      </c>
      <c r="G35" s="26" t="str">
        <f>+VLOOKUP($E35,'Summary Data'!$A$2:$Q$55,3,FALSE)</f>
        <v>NA</v>
      </c>
      <c r="H35" s="18">
        <f>+VLOOKUP($E35,'Summary Data'!$A$2:$Q$55,4,FALSE)</f>
        <v>0.48134135202886202</v>
      </c>
      <c r="I35" s="26">
        <f>+VLOOKUP($E35,'Summary Data'!$A$2:$Q$55,9,FALSE)</f>
        <v>-8.2131135505153705E-2</v>
      </c>
      <c r="J35" s="26">
        <f>+VLOOKUP($E35,'Summary Data'!$A$2:$Q$55,10,FALSE)</f>
        <v>-0.17601201959602991</v>
      </c>
      <c r="K35" s="101">
        <f>(IF(AND('Analysis Inputs'!$N$146=1,'Analysis Inputs'!$N$156=1),VLOOKUP($E35,'Summary Data'!$A$1:$Q$55,11,FALSE), IF(AND('Analysis Inputs'!$N$146=1,'Analysis Inputs'!$N$156=2),VLOOKUP($E35,'Summary Data'!$A$1:$Q$55,12, FALSE), IF(AND('Analysis Inputs'!$N$146=2,'Analysis Inputs'!$N$156=1),VLOOKUP($E35,'Summary Data'!$A$1:$Q$55,13,FALSE), IF(AND('Analysis Inputs'!$N$146=2,'Analysis Inputs'!$N$156=2),VLOOKUP($E35,'Summary Data'!$A$1:$Q$55,14,FALSE), 0)))))</f>
        <v>-2.4514132058813747E-2</v>
      </c>
    </row>
    <row r="36" spans="5:11" ht="12.75" customHeight="1" x14ac:dyDescent="0.25">
      <c r="E36" s="7" t="s">
        <v>742</v>
      </c>
      <c r="F36" s="26">
        <f>+VLOOKUP($E36,'Summary Data'!$A$2:$Q$55,2,FALSE)</f>
        <v>-2.4730482422145905</v>
      </c>
      <c r="G36" s="26" t="str">
        <f>+VLOOKUP($E36,'Summary Data'!$A$2:$Q$55,3,FALSE)</f>
        <v>NA</v>
      </c>
      <c r="H36" s="18">
        <f>+VLOOKUP($E36,'Summary Data'!$A$2:$Q$55,4,FALSE)</f>
        <v>0.48134135202886202</v>
      </c>
      <c r="I36" s="26">
        <f>+VLOOKUP($E36,'Summary Data'!$A$2:$Q$55,9,FALSE)</f>
        <v>-8.2131135505153705E-2</v>
      </c>
      <c r="J36" s="26">
        <f>+VLOOKUP($E36,'Summary Data'!$A$2:$Q$55,10,FALSE)</f>
        <v>-0.17601201959602991</v>
      </c>
      <c r="K36" s="101">
        <f>(IF(AND('Analysis Inputs'!$N$146=1,'Analysis Inputs'!$N$156=1),VLOOKUP($E36,'Summary Data'!$A$1:$Q$55,11,FALSE), IF(AND('Analysis Inputs'!$N$146=1,'Analysis Inputs'!$N$156=2),VLOOKUP($E36,'Summary Data'!$A$1:$Q$55,12, FALSE), IF(AND('Analysis Inputs'!$N$146=2,'Analysis Inputs'!$N$156=1),VLOOKUP($E36,'Summary Data'!$A$1:$Q$55,13,FALSE), IF(AND('Analysis Inputs'!$N$146=2,'Analysis Inputs'!$N$156=2),VLOOKUP($E36,'Summary Data'!$A$1:$Q$55,14,FALSE), 0)))))</f>
        <v>-2.4514132058813747E-2</v>
      </c>
    </row>
    <row r="37" spans="5:11" ht="12.75" customHeight="1" x14ac:dyDescent="0.25">
      <c r="E37" s="7" t="s">
        <v>649</v>
      </c>
      <c r="F37" s="26">
        <f>+VLOOKUP($E37,'Summary Data'!$A$2:$Q$55,2,FALSE)</f>
        <v>-0.61825309510684989</v>
      </c>
      <c r="G37" s="26" t="str">
        <f>+VLOOKUP($E37,'Summary Data'!$A$2:$Q$55,3,FALSE)</f>
        <v>NA</v>
      </c>
      <c r="H37" s="18">
        <f>+VLOOKUP($E37,'Summary Data'!$A$2:$Q$55,4,FALSE)</f>
        <v>0.48134135202886202</v>
      </c>
      <c r="I37" s="26">
        <f>+VLOOKUP($E37,'Summary Data'!$A$2:$Q$55,9,FALSE)</f>
        <v>-8.2131135505153705E-2</v>
      </c>
      <c r="J37" s="26">
        <f>+VLOOKUP($E37,'Summary Data'!$A$2:$Q$55,10,FALSE)</f>
        <v>-0.17601201959602991</v>
      </c>
      <c r="K37" s="101">
        <f>(IF(AND('Analysis Inputs'!$N$146=1,'Analysis Inputs'!$N$156=1),VLOOKUP($E37,'Summary Data'!$A$1:$Q$55,11,FALSE), IF(AND('Analysis Inputs'!$N$146=1,'Analysis Inputs'!$N$156=2),VLOOKUP($E37,'Summary Data'!$A$1:$Q$55,12, FALSE), IF(AND('Analysis Inputs'!$N$146=2,'Analysis Inputs'!$N$156=1),VLOOKUP($E37,'Summary Data'!$A$1:$Q$55,13,FALSE), IF(AND('Analysis Inputs'!$N$146=2,'Analysis Inputs'!$N$156=2),VLOOKUP($E37,'Summary Data'!$A$1:$Q$55,14,FALSE), 0)))))</f>
        <v>-2.4514132058813747E-2</v>
      </c>
    </row>
    <row r="38" spans="5:11" ht="12.75" customHeight="1" x14ac:dyDescent="0.25">
      <c r="E38" s="7" t="s">
        <v>645</v>
      </c>
      <c r="F38" s="26">
        <f>+VLOOKUP($E38,'Summary Data'!$A$2:$Q$55,2,FALSE)</f>
        <v>-0.66885741730676163</v>
      </c>
      <c r="G38" s="26" t="str">
        <f>+VLOOKUP($E38,'Summary Data'!$A$2:$Q$55,3,FALSE)</f>
        <v>NA</v>
      </c>
      <c r="H38" s="18">
        <f>+VLOOKUP($E38,'Summary Data'!$A$2:$Q$55,4,FALSE)</f>
        <v>0.48134135202886202</v>
      </c>
      <c r="I38" s="26">
        <f>+VLOOKUP($E38,'Summary Data'!$A$2:$Q$55,9,FALSE)</f>
        <v>-8.2131135505153705E-2</v>
      </c>
      <c r="J38" s="26">
        <f>+VLOOKUP($E38,'Summary Data'!$A$2:$Q$55,10,FALSE)</f>
        <v>-0.17601201959602991</v>
      </c>
      <c r="K38" s="101">
        <f>(IF(AND('Analysis Inputs'!$N$146=1,'Analysis Inputs'!$N$156=1),VLOOKUP($E38,'Summary Data'!$A$1:$Q$55,11,FALSE), IF(AND('Analysis Inputs'!$N$146=1,'Analysis Inputs'!$N$156=2),VLOOKUP($E38,'Summary Data'!$A$1:$Q$55,12, FALSE), IF(AND('Analysis Inputs'!$N$146=2,'Analysis Inputs'!$N$156=1),VLOOKUP($E38,'Summary Data'!$A$1:$Q$55,13,FALSE), IF(AND('Analysis Inputs'!$N$146=2,'Analysis Inputs'!$N$156=2),VLOOKUP($E38,'Summary Data'!$A$1:$Q$55,14,FALSE), 0)))))</f>
        <v>-2.4514132058813747E-2</v>
      </c>
    </row>
    <row r="39" spans="5:11" ht="12.75" customHeight="1" x14ac:dyDescent="0.25">
      <c r="E39" s="7" t="s">
        <v>647</v>
      </c>
      <c r="F39" s="26">
        <f>+VLOOKUP($E39,'Summary Data'!$A$2:$Q$55,2,FALSE)</f>
        <v>-0.43975723056728044</v>
      </c>
      <c r="G39" s="26" t="str">
        <f>+VLOOKUP($E39,'Summary Data'!$A$2:$Q$55,3,FALSE)</f>
        <v>NA</v>
      </c>
      <c r="H39" s="18">
        <f>+VLOOKUP($E39,'Summary Data'!$A$2:$Q$55,4,FALSE)</f>
        <v>0.48134135202886202</v>
      </c>
      <c r="I39" s="26">
        <f>+VLOOKUP($E39,'Summary Data'!$A$2:$Q$55,9,FALSE)</f>
        <v>-8.2131135505153705E-2</v>
      </c>
      <c r="J39" s="26">
        <f>+VLOOKUP($E39,'Summary Data'!$A$2:$Q$55,10,FALSE)</f>
        <v>-0.17601201959602991</v>
      </c>
      <c r="K39" s="101">
        <f>(IF(AND('Analysis Inputs'!$N$146=1,'Analysis Inputs'!$N$156=1),VLOOKUP($E39,'Summary Data'!$A$1:$Q$55,11,FALSE), IF(AND('Analysis Inputs'!$N$146=1,'Analysis Inputs'!$N$156=2),VLOOKUP($E39,'Summary Data'!$A$1:$Q$55,12, FALSE), IF(AND('Analysis Inputs'!$N$146=2,'Analysis Inputs'!$N$156=1),VLOOKUP($E39,'Summary Data'!$A$1:$Q$55,13,FALSE), IF(AND('Analysis Inputs'!$N$146=2,'Analysis Inputs'!$N$156=2),VLOOKUP($E39,'Summary Data'!$A$1:$Q$55,14,FALSE), 0)))))</f>
        <v>-2.4514132058813747E-2</v>
      </c>
    </row>
    <row r="40" spans="5:11" ht="12.75" customHeight="1" x14ac:dyDescent="0.25">
      <c r="E40" s="7" t="s">
        <v>648</v>
      </c>
      <c r="F40" s="26">
        <f>+VLOOKUP($E40,'Summary Data'!$A$2:$Q$55,2,FALSE)</f>
        <v>-1.7430171884907069</v>
      </c>
      <c r="G40" s="26" t="str">
        <f>+VLOOKUP($E40,'Summary Data'!$A$2:$Q$55,3,FALSE)</f>
        <v>NA</v>
      </c>
      <c r="H40" s="18">
        <f>+VLOOKUP($E40,'Summary Data'!$A$2:$Q$55,4,FALSE)</f>
        <v>0.48134135202886202</v>
      </c>
      <c r="I40" s="26">
        <f>+VLOOKUP($E40,'Summary Data'!$A$2:$Q$55,9,FALSE)</f>
        <v>-8.2131135505153705E-2</v>
      </c>
      <c r="J40" s="26">
        <f>+VLOOKUP($E40,'Summary Data'!$A$2:$Q$55,10,FALSE)</f>
        <v>-0.17601201959602991</v>
      </c>
      <c r="K40" s="101">
        <f>(IF(AND('Analysis Inputs'!$N$146=1,'Analysis Inputs'!$N$156=1),VLOOKUP($E40,'Summary Data'!$A$1:$Q$55,11,FALSE), IF(AND('Analysis Inputs'!$N$146=1,'Analysis Inputs'!$N$156=2),VLOOKUP($E40,'Summary Data'!$A$1:$Q$55,12, FALSE), IF(AND('Analysis Inputs'!$N$146=2,'Analysis Inputs'!$N$156=1),VLOOKUP($E40,'Summary Data'!$A$1:$Q$55,13,FALSE), IF(AND('Analysis Inputs'!$N$146=2,'Analysis Inputs'!$N$156=2),VLOOKUP($E40,'Summary Data'!$A$1:$Q$55,14,FALSE), 0)))))</f>
        <v>-2.4514132058813747E-2</v>
      </c>
    </row>
    <row r="41" spans="5:11" ht="12.75" customHeight="1" x14ac:dyDescent="0.25">
      <c r="E41" s="7" t="s">
        <v>580</v>
      </c>
      <c r="F41" s="26" t="str">
        <f>+VLOOKUP($E41,'Summary Data'!$A$2:$Q$55,2,FALSE)</f>
        <v>NA</v>
      </c>
      <c r="G41" s="26" t="str">
        <f>+VLOOKUP($E41,'Summary Data'!$A$2:$Q$55,3,FALSE)</f>
        <v>NA</v>
      </c>
      <c r="H41" s="18">
        <f>+VLOOKUP($E41,'Summary Data'!$A$2:$Q$55,4,FALSE)</f>
        <v>-0.20570500870796291</v>
      </c>
      <c r="I41" s="26">
        <f>+VLOOKUP($E41,'Summary Data'!$A$2:$Q$55,9,FALSE)</f>
        <v>-0.10531797141113179</v>
      </c>
      <c r="J41" s="26">
        <f>+VLOOKUP($E41,'Summary Data'!$A$2:$Q$55,10,FALSE)</f>
        <v>-0.14631201959602991</v>
      </c>
      <c r="K41" s="101" t="str">
        <f>(IF(AND('Analysis Inputs'!$N$146=2,'Analysis Inputs'!$N$156=1),VLOOKUP($E41,'Summary Data'!$A$1:$Q$55,13,FALSE), IF(AND('Analysis Inputs'!$N$146=2,'Analysis Inputs'!$N$156=2),VLOOKUP($E41,'Summary Data'!$A$1:$Q$55,14, FALSE),"NA")))</f>
        <v>NA</v>
      </c>
    </row>
    <row r="42" spans="5:11" ht="12.75" customHeight="1" x14ac:dyDescent="0.25">
      <c r="E42" s="7" t="s">
        <v>521</v>
      </c>
      <c r="F42" s="26" t="str">
        <f>+VLOOKUP($E42,'Summary Data'!$A$2:$Q$55,2,FALSE)</f>
        <v>NA</v>
      </c>
      <c r="G42" s="26" t="str">
        <f>+VLOOKUP($E42,'Summary Data'!$A$2:$Q$55,3,FALSE)</f>
        <v>NA</v>
      </c>
      <c r="H42" s="18">
        <f>+VLOOKUP($E42,'Summary Data'!$A$2:$Q$55,4,FALSE)</f>
        <v>8.5958948169235744E-2</v>
      </c>
      <c r="I42" s="26">
        <f>+VLOOKUP($E42,'Summary Data'!$A$2:$Q$55,9,FALSE)</f>
        <v>-0.10531797141113179</v>
      </c>
      <c r="J42" s="26">
        <f>+VLOOKUP($E42,'Summary Data'!$A$2:$Q$55,10,FALSE)</f>
        <v>-0.14631201959602991</v>
      </c>
      <c r="K42" s="101" t="str">
        <f>(IF(AND('Analysis Inputs'!$N$146=2,'Analysis Inputs'!$N$156=1),VLOOKUP($E42,'Summary Data'!$A$1:$Q$55,13,FALSE), IF(AND('Analysis Inputs'!$N$146=2,'Analysis Inputs'!$N$156=2),VLOOKUP($E42,'Summary Data'!$A$1:$Q$55,14, FALSE),"NA")))</f>
        <v>NA</v>
      </c>
    </row>
    <row r="43" spans="5:11" ht="12.75" customHeight="1" x14ac:dyDescent="0.25">
      <c r="E43" s="7" t="s">
        <v>522</v>
      </c>
      <c r="F43" s="26" t="str">
        <f>+VLOOKUP($E43,'Summary Data'!$A$2:$Q$55,2,FALSE)</f>
        <v>NA</v>
      </c>
      <c r="G43" s="26" t="str">
        <f>+VLOOKUP($E43,'Summary Data'!$A$2:$Q$55,3,FALSE)</f>
        <v>NA</v>
      </c>
      <c r="H43" s="18">
        <f>+VLOOKUP($E43,'Summary Data'!$A$2:$Q$55,4,FALSE)</f>
        <v>-0.54809044035460408</v>
      </c>
      <c r="I43" s="26">
        <f>+VLOOKUP($E43,'Summary Data'!$A$2:$Q$55,9,FALSE)</f>
        <v>-0.10531797141113179</v>
      </c>
      <c r="J43" s="26">
        <f>+VLOOKUP($E43,'Summary Data'!$A$2:$Q$55,10,FALSE)</f>
        <v>-0.14631201959602991</v>
      </c>
      <c r="K43" s="101" t="str">
        <f>(IF(AND('Analysis Inputs'!$N$146=2,'Analysis Inputs'!$N$156=1),VLOOKUP($E43,'Summary Data'!$A$1:$Q$55,13,FALSE), IF(AND('Analysis Inputs'!$N$146=2,'Analysis Inputs'!$N$156=2),VLOOKUP($E43,'Summary Data'!$A$1:$Q$55,14, FALSE),"NA")))</f>
        <v>NA</v>
      </c>
    </row>
    <row r="44" spans="5:11" ht="12.75" customHeight="1" x14ac:dyDescent="0.25">
      <c r="E44" s="7" t="s">
        <v>523</v>
      </c>
      <c r="F44" s="26" t="str">
        <f>+VLOOKUP($E44,'Summary Data'!$A$2:$Q$55,2,FALSE)</f>
        <v>NA</v>
      </c>
      <c r="G44" s="26" t="str">
        <f>+VLOOKUP($E44,'Summary Data'!$A$2:$Q$55,3,FALSE)</f>
        <v>NA</v>
      </c>
      <c r="H44" s="18">
        <f>+VLOOKUP($E44,'Summary Data'!$A$2:$Q$55,4,FALSE)</f>
        <v>-0.38979744141123651</v>
      </c>
      <c r="I44" s="26">
        <f>+VLOOKUP($E44,'Summary Data'!$A$2:$Q$55,9,FALSE)</f>
        <v>-0.10531797141113179</v>
      </c>
      <c r="J44" s="26">
        <f>+VLOOKUP($E44,'Summary Data'!$A$2:$Q$55,10,FALSE)</f>
        <v>-0.14631201959602991</v>
      </c>
      <c r="K44" s="101" t="str">
        <f>(IF(AND('Analysis Inputs'!$N$146=2,'Analysis Inputs'!$N$156=1),VLOOKUP($E44,'Summary Data'!$A$1:$Q$55,13,FALSE), IF(AND('Analysis Inputs'!$N$146=2,'Analysis Inputs'!$N$156=2),VLOOKUP($E44,'Summary Data'!$A$1:$Q$55,14, FALSE),"NA")))</f>
        <v>NA</v>
      </c>
    </row>
    <row r="45" spans="5:11" ht="12.75" customHeight="1" x14ac:dyDescent="0.25">
      <c r="E45" s="7" t="s">
        <v>583</v>
      </c>
      <c r="F45" s="26">
        <f>+VLOOKUP($E45,'Summary Data'!$A$2:$Q$55,2,FALSE)</f>
        <v>-8.4761820657228313</v>
      </c>
      <c r="G45" s="18">
        <f>+VLOOKUP($E45,'Summary Data'!$A$2:$Q$55,3,FALSE)</f>
        <v>-3.5307977250746987</v>
      </c>
      <c r="H45" s="18">
        <f>+VLOOKUP($E45,'Summary Data'!$A$2:$Q$55,4,FALSE)</f>
        <v>0.28607219190793398</v>
      </c>
      <c r="I45" s="26">
        <f>+VLOOKUP($E45,'Summary Data'!$A$2:$Q$55,9,FALSE)</f>
        <v>-0.33552981977549068</v>
      </c>
      <c r="J45" s="26" t="str">
        <f>+VLOOKUP($E45,'Summary Data'!$A$2:$Q$55,10,FALSE)</f>
        <v>NA</v>
      </c>
      <c r="K45" s="101" t="s">
        <v>503</v>
      </c>
    </row>
    <row r="46" spans="5:11" ht="12.75" customHeight="1" x14ac:dyDescent="0.25">
      <c r="E46" s="7" t="s">
        <v>584</v>
      </c>
      <c r="F46" s="26">
        <f>+VLOOKUP($E46,'Summary Data'!$A$2:$Q$55,2,FALSE)</f>
        <v>-8.4714408906042262</v>
      </c>
      <c r="G46" s="18">
        <f>+VLOOKUP($E46,'Summary Data'!$A$2:$Q$55,3,FALSE)</f>
        <v>-3.5307977250746987</v>
      </c>
      <c r="H46" s="18">
        <f>+VLOOKUP($E46,'Summary Data'!$A$2:$Q$55,4,FALSE)</f>
        <v>0.21518459471038068</v>
      </c>
      <c r="I46" s="26">
        <f>+VLOOKUP($E46,'Summary Data'!$A$2:$Q$55,9,FALSE)</f>
        <v>-0.33390188820339428</v>
      </c>
      <c r="J46" s="26" t="str">
        <f>+VLOOKUP($E46,'Summary Data'!$A$2:$Q$55,10,FALSE)</f>
        <v>NA</v>
      </c>
      <c r="K46" s="101" t="s">
        <v>503</v>
      </c>
    </row>
    <row r="47" spans="5:11" ht="12.75" customHeight="1" x14ac:dyDescent="0.25">
      <c r="E47" s="7" t="s">
        <v>585</v>
      </c>
      <c r="F47" s="26">
        <f>+VLOOKUP($E47,'Summary Data'!$A$2:$Q$55,2,FALSE)</f>
        <v>-8.6912945457382023</v>
      </c>
      <c r="G47" s="18">
        <f>+VLOOKUP($E47,'Summary Data'!$A$2:$Q$55,3,FALSE)</f>
        <v>-3.5860541665104888</v>
      </c>
      <c r="H47" s="18">
        <f>+VLOOKUP($E47,'Summary Data'!$A$2:$Q$55,4,FALSE)</f>
        <v>0.24986169779637749</v>
      </c>
      <c r="I47" s="26">
        <f>+VLOOKUP($E47,'Summary Data'!$A$2:$Q$55,9,FALSE)</f>
        <v>-0.30475333932586968</v>
      </c>
      <c r="J47" s="26" t="str">
        <f>+VLOOKUP($E47,'Summary Data'!$A$2:$Q$55,10,FALSE)</f>
        <v>NA</v>
      </c>
      <c r="K47" s="101" t="s">
        <v>503</v>
      </c>
    </row>
    <row r="48" spans="5:11" ht="12.75" customHeight="1" x14ac:dyDescent="0.25">
      <c r="E48" s="7" t="s">
        <v>633</v>
      </c>
      <c r="F48" s="26">
        <f>+VLOOKUP($E48,'Summary Data'!$A$2:$Q$55,2,FALSE)</f>
        <v>-6.2375127723918089</v>
      </c>
      <c r="G48" s="18">
        <f>+VLOOKUP($E48,'Summary Data'!$A$2:$Q$55,3,FALSE)</f>
        <v>-4.3404241456166677</v>
      </c>
      <c r="H48" s="18">
        <f>+VLOOKUP($E48,'Summary Data'!$A$2:$Q$55,4,FALSE)</f>
        <v>2.0254519141196047E-2</v>
      </c>
      <c r="I48" s="26">
        <f>+VLOOKUP($E48,'Summary Data'!$A$2:$Q$55,9,FALSE)</f>
        <v>-1.0218547887817835</v>
      </c>
      <c r="J48" s="26" t="str">
        <f>+VLOOKUP($E48,'Summary Data'!$A$2:$Q$55,10,FALSE)</f>
        <v>NA</v>
      </c>
      <c r="K48" s="101" t="s">
        <v>503</v>
      </c>
    </row>
    <row r="49" spans="5:17" ht="12.75" customHeight="1" x14ac:dyDescent="0.25">
      <c r="E49" s="7" t="s">
        <v>386</v>
      </c>
      <c r="F49" s="26">
        <f>+VLOOKUP($E49,'Summary Data'!$A$2:$Q$55,2,FALSE)</f>
        <v>-1.9848528439876745</v>
      </c>
      <c r="G49" s="18">
        <f>+VLOOKUP($E49,'Summary Data'!$A$2:$Q$55,3,FALSE)</f>
        <v>-1.0228366169338372</v>
      </c>
      <c r="H49" s="18">
        <f>+VLOOKUP($E49,'Summary Data'!$A$2:$Q$55,4,FALSE)</f>
        <v>2.0254519141196047E-2</v>
      </c>
      <c r="I49" s="26">
        <f>+VLOOKUP($E49,'Summary Data'!$A$2:$Q$55,9,FALSE)</f>
        <v>1.5700838250868143</v>
      </c>
      <c r="J49" s="26" t="str">
        <f>+VLOOKUP($E49,'Summary Data'!$A$2:$Q$55,10,FALSE)</f>
        <v>NA</v>
      </c>
      <c r="K49" s="101" t="s">
        <v>503</v>
      </c>
    </row>
    <row r="50" spans="5:17" ht="12.75" customHeight="1" x14ac:dyDescent="0.25">
      <c r="E50" s="7" t="s">
        <v>272</v>
      </c>
      <c r="F50" s="26" t="str">
        <f>+VLOOKUP($E50,'Summary Data'!$A$2:$Q$55,2,FALSE)</f>
        <v>NA</v>
      </c>
      <c r="G50" s="18">
        <f>+VLOOKUP($E50,'Summary Data'!$A$2:$Q$55,3,FALSE)</f>
        <v>-2.8249690881239036</v>
      </c>
      <c r="H50" s="18">
        <f>+VLOOKUP($E50,'Summary Data'!$A$2:$Q$55,4,FALSE)</f>
        <v>0.34703889380912989</v>
      </c>
      <c r="I50" s="26">
        <f>+VLOOKUP($E50,'Summary Data'!$A$2:$Q$55,9,FALSE)</f>
        <v>-0.28178892350597995</v>
      </c>
      <c r="J50" s="26" t="str">
        <f>+VLOOKUP($E50,'Summary Data'!$A$2:$Q$55,10,FALSE)</f>
        <v>NA</v>
      </c>
      <c r="K50" s="101" t="s">
        <v>503</v>
      </c>
    </row>
    <row r="51" spans="5:17" ht="12.75" customHeight="1" x14ac:dyDescent="0.25">
      <c r="E51" s="7" t="s">
        <v>740</v>
      </c>
      <c r="F51" s="26">
        <f>+VLOOKUP($E51,'Summary Data'!$A$2:$Q$55,2,FALSE)</f>
        <v>-3.6563116475032813</v>
      </c>
      <c r="G51" s="202" t="str">
        <f>+VLOOKUP($E51,'Summary Data'!$A$2:$Q$55,3,FALSE)</f>
        <v>NA</v>
      </c>
      <c r="H51" s="18">
        <f>+VLOOKUP($E51,'Summary Data'!$A$2:$Q$55,4,FALSE)</f>
        <v>0.48134135202886202</v>
      </c>
      <c r="I51" s="26">
        <f>+VLOOKUP($E51,'Summary Data'!$A$2:$Q$55,9,FALSE)</f>
        <v>-8.2131135505153705E-2</v>
      </c>
      <c r="J51" s="26">
        <f>+VLOOKUP($E51,'Summary Data'!$A$2:$Q$55,10,FALSE)</f>
        <v>-0.17601201959602991</v>
      </c>
      <c r="K51" s="101">
        <f>(IF(AND('Analysis Inputs'!$N$146=1,'Analysis Inputs'!$N$156=1),VLOOKUP($E51,'Summary Data'!$A$1:$Q$55,11,FALSE), IF(AND('Analysis Inputs'!$N$146=1,'Analysis Inputs'!$N$156=2),VLOOKUP($E51,'Summary Data'!$A$1:$Q$55,12, FALSE), IF(AND('Analysis Inputs'!$N$146=2,'Analysis Inputs'!$N$156=1),VLOOKUP($E51,'Summary Data'!$A$1:$Q$55,13,FALSE), IF(AND('Analysis Inputs'!$N$146=2,'Analysis Inputs'!$N$156=2),VLOOKUP($E51,'Summary Data'!$A$1:$Q$55,14,FALSE), 0)))))</f>
        <v>-2.4514132058813747E-2</v>
      </c>
    </row>
    <row r="52" spans="5:17" ht="12.75" customHeight="1" x14ac:dyDescent="0.25">
      <c r="E52" s="7" t="s">
        <v>385</v>
      </c>
      <c r="F52" s="26" t="str">
        <f>+VLOOKUP($E52,'Summary Data'!$A$2:$Q$55,2,FALSE)</f>
        <v>NA</v>
      </c>
      <c r="G52" s="26" t="str">
        <f>+VLOOKUP($E52,'Summary Data'!$A$2:$Q$55,3,FALSE)</f>
        <v>NA</v>
      </c>
      <c r="H52" s="18">
        <f>+VLOOKUP($E52,'Summary Data'!$A$2:$Q$55,4,FALSE)</f>
        <v>0.16058590859857633</v>
      </c>
      <c r="I52" s="26">
        <f>+VLOOKUP($E52,'Summary Data'!$A$2:$Q$55,9,FALSE)</f>
        <v>-9.3259254898704805E-2</v>
      </c>
      <c r="J52" s="26">
        <f>+VLOOKUP($E52,'Summary Data'!$A$2:$Q$55,10,FALSE)</f>
        <v>-0.16175802015735463</v>
      </c>
      <c r="K52" s="101" t="str">
        <f>(IF(AND('Analysis Inputs'!$N$146=2,'Analysis Inputs'!$N$156=1),VLOOKUP($E52,'Summary Data'!$A$1:$Q$55,13,FALSE), IF(AND('Analysis Inputs'!$N$146=2,'Analysis Inputs'!$N$156=2),VLOOKUP($E52,'Summary Data'!$A$1:$Q$55,14, FALSE),"NA")))</f>
        <v>NA</v>
      </c>
    </row>
    <row r="53" spans="5:17" ht="12.75" customHeight="1" x14ac:dyDescent="0.25">
      <c r="E53" s="7" t="s">
        <v>574</v>
      </c>
      <c r="F53" s="26" t="str">
        <f>+VLOOKUP($E53,'Summary Data'!$A$2:$Q$55,2,FALSE)</f>
        <v>NA</v>
      </c>
      <c r="G53" s="26" t="str">
        <f>+VLOOKUP($E53,'Summary Data'!$A$2:$Q$55,3,FALSE)</f>
        <v>NA</v>
      </c>
      <c r="H53" s="18">
        <f>+VLOOKUP($E53,'Summary Data'!$A$2:$Q$55,4,FALSE)</f>
        <v>0.44094359570930697</v>
      </c>
      <c r="I53" s="26">
        <f>+VLOOKUP($E53,'Summary Data'!$A$2:$Q$55,9,FALSE)</f>
        <v>5.8935066329127761E-2</v>
      </c>
      <c r="J53" s="26" t="str">
        <f>+VLOOKUP($E53,'Summary Data'!$A$2:$Q$55,10,FALSE)</f>
        <v>NA</v>
      </c>
      <c r="K53" s="101" t="s">
        <v>503</v>
      </c>
    </row>
    <row r="54" spans="5:17" ht="12.75" customHeight="1" x14ac:dyDescent="0.25">
      <c r="E54" s="117" t="s">
        <v>573</v>
      </c>
      <c r="F54" s="104">
        <f>+VLOOKUP($E54,'Summary Data'!$A$2:$Q$55,2,FALSE)</f>
        <v>-3.8185992981347638</v>
      </c>
      <c r="G54" s="104">
        <f>+VLOOKUP($E54,'Summary Data'!$A$2:$Q$55,3,FALSE)</f>
        <v>-2.3580317140332059</v>
      </c>
      <c r="H54" s="104">
        <f>+VLOOKUP($E54,'Summary Data'!$A$2:$Q$55,4,FALSE)</f>
        <v>2.0254519141196047E-2</v>
      </c>
      <c r="I54" s="26">
        <f>+VLOOKUP($E54,'Summary Data'!$A$2:$Q$55,9,FALSE)</f>
        <v>1.2652365379720676</v>
      </c>
      <c r="J54" s="26" t="str">
        <f>+VLOOKUP($E54,'Summary Data'!$A$2:$Q$55,10,FALSE)</f>
        <v>NA</v>
      </c>
      <c r="K54" s="101" t="s">
        <v>503</v>
      </c>
    </row>
    <row r="55" spans="5:17" ht="12.75" customHeight="1" x14ac:dyDescent="0.25">
      <c r="E55" s="117" t="s">
        <v>423</v>
      </c>
      <c r="F55" s="18">
        <f>+VLOOKUP($E55,'Summary Data'!$A$2:$Q$55,2,FALSE)</f>
        <v>-50.486963654668344</v>
      </c>
      <c r="G55" s="18">
        <f>+VLOOKUP($E55,'Summary Data'!$A$2:$Q$55,3,FALSE)</f>
        <v>-2.5041000762874193</v>
      </c>
      <c r="H55" s="18">
        <f>+VLOOKUP($E55,'Summary Data'!$A$2:$Q$55,4,FALSE)</f>
        <v>2.0254519141196047E-2</v>
      </c>
      <c r="I55" s="26">
        <f>+VLOOKUP($E55,'Summary Data'!$A$2:$Q$55,9,FALSE)</f>
        <v>-0.14962700605543652</v>
      </c>
      <c r="J55" s="26" t="str">
        <f>+VLOOKUP($E55,'Summary Data'!$A$2:$Q$55,10,FALSE)</f>
        <v>NA</v>
      </c>
      <c r="K55" s="101" t="s">
        <v>503</v>
      </c>
    </row>
    <row r="56" spans="5:17" ht="12.75" customHeight="1" x14ac:dyDescent="0.25">
      <c r="E56" s="117" t="s">
        <v>455</v>
      </c>
      <c r="F56" s="18">
        <f>+VLOOKUP($E56,'Summary Data'!$A$2:$Q$55,2,FALSE)</f>
        <v>-0.27330976660243145</v>
      </c>
      <c r="G56" s="26" t="str">
        <f>+VLOOKUP($E56,'Summary Data'!$A$2:$Q$55,3,FALSE)</f>
        <v>NA</v>
      </c>
      <c r="H56" s="18">
        <f>+VLOOKUP($E56,'Summary Data'!$A$2:$Q$55,4,FALSE)</f>
        <v>2.0254519141196047E-2</v>
      </c>
      <c r="I56" s="26" t="str">
        <f>+VLOOKUP($E56,'Summary Data'!$A$2:$Q$55,9,FALSE)</f>
        <v>NA</v>
      </c>
      <c r="J56" s="26" t="str">
        <f>+VLOOKUP($E56,'Summary Data'!$A$2:$Q$55,10,FALSE)</f>
        <v>NA</v>
      </c>
      <c r="K56" s="101" t="s">
        <v>503</v>
      </c>
    </row>
    <row r="57" spans="5:17" ht="12.75" customHeight="1" x14ac:dyDescent="0.25">
      <c r="E57" s="117" t="s">
        <v>476</v>
      </c>
      <c r="F57" s="118" t="str">
        <f>+VLOOKUP($E57,'Summary Data'!$A$2:$Q$55,2,FALSE)</f>
        <v>NA</v>
      </c>
      <c r="G57" s="18">
        <f>+VLOOKUP($E57,'Summary Data'!$A$2:$Q$55,3,FALSE)</f>
        <v>-7.9565158594323455E-3</v>
      </c>
      <c r="H57" s="18">
        <f>+VLOOKUP($E57,'Summary Data'!$A$2:$Q$55,4,FALSE)</f>
        <v>2.0254519141196047E-2</v>
      </c>
      <c r="I57" s="26" t="str">
        <f>+VLOOKUP($E57,'Summary Data'!$A$2:$Q$55,9,FALSE)</f>
        <v>NA</v>
      </c>
      <c r="J57" s="26" t="str">
        <f>+VLOOKUP($E57,'Summary Data'!$A$2:$Q$55,10,FALSE)</f>
        <v>NA</v>
      </c>
      <c r="K57" s="101" t="s">
        <v>503</v>
      </c>
    </row>
    <row r="58" spans="5:17" ht="12.75" customHeight="1" x14ac:dyDescent="0.25">
      <c r="E58" s="117" t="s">
        <v>131</v>
      </c>
      <c r="F58" s="118" t="str">
        <f>+VLOOKUP($E58,'Summary Data'!$A$2:$Q$55,2,FALSE)</f>
        <v>NA</v>
      </c>
      <c r="G58" s="18">
        <f>+VLOOKUP($E58,'Summary Data'!$A$2:$Q$55,3,FALSE)</f>
        <v>-0.86757417398485015</v>
      </c>
      <c r="H58" s="18">
        <f>+VLOOKUP($E58,'Summary Data'!$A$2:$Q$55,4,FALSE)</f>
        <v>2.0254519141196047E-2</v>
      </c>
      <c r="I58" s="26" t="str">
        <f>+VLOOKUP($E58,'Summary Data'!$A$2:$Q$55,9,FALSE)</f>
        <v>NA</v>
      </c>
      <c r="J58" s="26" t="str">
        <f>+VLOOKUP($E58,'Summary Data'!$A$2:$Q$55,10,FALSE)</f>
        <v>NA</v>
      </c>
      <c r="K58" s="101" t="s">
        <v>503</v>
      </c>
      <c r="L58" s="654"/>
      <c r="M58" s="654"/>
      <c r="N58" s="654"/>
      <c r="O58" s="654"/>
      <c r="P58" s="654"/>
    </row>
    <row r="59" spans="5:17" ht="12.75" customHeight="1" x14ac:dyDescent="0.25">
      <c r="E59" s="7" t="s">
        <v>444</v>
      </c>
      <c r="F59" s="26">
        <f>+VLOOKUP($E59,'Summary Data'!$A$2:$Q$55,2,FALSE)</f>
        <v>-4.4378419265320286</v>
      </c>
      <c r="G59" s="26">
        <f>+VLOOKUP($E59,'Summary Data'!$A$2:$Q$55,3,FALSE)</f>
        <v>-0.37616048668732771</v>
      </c>
      <c r="H59" s="26">
        <f>+VLOOKUP($E59,'Summary Data'!$A$2:$Q$55,4,FALSE)</f>
        <v>2.0254519141196047E-2</v>
      </c>
      <c r="I59" s="26">
        <f>+VLOOKUP($E59,'Summary Data'!$A$2:$Q$55,9,FALSE)</f>
        <v>0.50582472314229987</v>
      </c>
      <c r="J59" s="26" t="str">
        <f>+VLOOKUP($E59,'Summary Data'!$A$2:$Q$55,10,FALSE)</f>
        <v>NA</v>
      </c>
      <c r="K59" s="101" t="s">
        <v>503</v>
      </c>
      <c r="L59" s="654"/>
      <c r="M59" s="654"/>
      <c r="N59" s="654"/>
      <c r="O59" s="668"/>
      <c r="P59" s="668"/>
      <c r="Q59" s="16"/>
    </row>
    <row r="60" spans="5:17" ht="12.75" customHeight="1" x14ac:dyDescent="0.25">
      <c r="E60" s="7" t="s">
        <v>53</v>
      </c>
      <c r="F60" s="26">
        <f>+VLOOKUP($E60,'Summary Data'!$A$2:$Q$55,2,FALSE)</f>
        <v>-0.11121434837019081</v>
      </c>
      <c r="G60" s="26">
        <f>+VLOOKUP($E60,'Summary Data'!$A$2:$Q$55,3,FALSE)</f>
        <v>-8.1312961150786012E-2</v>
      </c>
      <c r="H60" s="26">
        <f>+VLOOKUP($E60,'Summary Data'!$A$2:$Q$55,4,FALSE)</f>
        <v>2.0254519141196047E-2</v>
      </c>
      <c r="I60" s="26" t="str">
        <f>+VLOOKUP($E60,'Summary Data'!$A$2:$Q$55,9,FALSE)</f>
        <v>NA</v>
      </c>
      <c r="J60" s="26" t="str">
        <f>+VLOOKUP($E60,'Summary Data'!$A$2:$Q$55,10,FALSE)</f>
        <v>NA</v>
      </c>
      <c r="K60" s="101" t="s">
        <v>503</v>
      </c>
      <c r="L60" s="654"/>
      <c r="M60" s="654"/>
      <c r="N60" s="654"/>
      <c r="O60" s="668"/>
      <c r="P60" s="668"/>
      <c r="Q60" s="16"/>
    </row>
    <row r="61" spans="5:17" ht="12.75" customHeight="1" x14ac:dyDescent="0.25">
      <c r="E61" s="117" t="s">
        <v>54</v>
      </c>
      <c r="F61" s="26">
        <f>+VLOOKUP($E61,'Summary Data'!$A$2:$Q$55,2,FALSE)</f>
        <v>-0.19361613190346125</v>
      </c>
      <c r="G61" s="26">
        <f>+VLOOKUP($E61,'Summary Data'!$A$2:$Q$55,3,FALSE)</f>
        <v>-9.066058992224707E-2</v>
      </c>
      <c r="H61" s="26">
        <f>+VLOOKUP($E61,'Summary Data'!$A$2:$Q$55,4,FALSE)</f>
        <v>2.0254519141196047E-2</v>
      </c>
      <c r="I61" s="26">
        <f>+VLOOKUP($E61,'Summary Data'!$A$2:$Q$55,9,FALSE)</f>
        <v>-0.35461659031794068</v>
      </c>
      <c r="J61" s="26" t="str">
        <f>+VLOOKUP($E61,'Summary Data'!$A$2:$Q$55,10,FALSE)</f>
        <v>NA</v>
      </c>
      <c r="K61" s="101" t="s">
        <v>503</v>
      </c>
      <c r="L61" s="654"/>
      <c r="M61" s="654"/>
      <c r="N61" s="654"/>
      <c r="O61" s="668"/>
      <c r="P61" s="668"/>
      <c r="Q61" s="16"/>
    </row>
    <row r="62" spans="5:17" ht="12.75" customHeight="1" x14ac:dyDescent="0.25">
      <c r="E62" s="117" t="s">
        <v>55</v>
      </c>
      <c r="F62" s="26">
        <f>+VLOOKUP($E62,'Summary Data'!$A$2:$Q$55,2,FALSE)</f>
        <v>-0.21324765004716909</v>
      </c>
      <c r="G62" s="26">
        <f>+VLOOKUP($E62,'Summary Data'!$A$2:$Q$55,3,FALSE)</f>
        <v>2.8250190407110673E-2</v>
      </c>
      <c r="H62" s="26">
        <f>+VLOOKUP($E62,'Summary Data'!$A$2:$Q$55,4,FALSE)</f>
        <v>-6.1041329359337294E-2</v>
      </c>
      <c r="I62" s="26" t="str">
        <f>+VLOOKUP($E62,'Summary Data'!$A$2:$Q$55,9,FALSE)</f>
        <v>NA</v>
      </c>
      <c r="J62" s="26" t="str">
        <f>+VLOOKUP($E62,'Summary Data'!$A$2:$Q$55,10,FALSE)</f>
        <v>NA</v>
      </c>
      <c r="K62" s="101" t="s">
        <v>503</v>
      </c>
      <c r="L62" s="654"/>
      <c r="M62" s="654"/>
      <c r="N62" s="654"/>
      <c r="O62" s="654"/>
      <c r="P62" s="668"/>
      <c r="Q62" s="16"/>
    </row>
    <row r="63" spans="5:17" ht="12.75" customHeight="1" x14ac:dyDescent="0.25">
      <c r="E63" s="7" t="s">
        <v>56</v>
      </c>
      <c r="F63" s="26">
        <f>+VLOOKUP($E63,'Summary Data'!$A$2:$Q$55,2,FALSE)</f>
        <v>-0.48714430820443344</v>
      </c>
      <c r="G63" s="26" t="str">
        <f>+VLOOKUP($E63,'Summary Data'!$A$2:$Q$55,3,FALSE)</f>
        <v>NA</v>
      </c>
      <c r="H63" s="26">
        <f>+VLOOKUP($E63,'Summary Data'!$A$2:$Q$55,4,FALSE)</f>
        <v>2.0254519141196047E-2</v>
      </c>
      <c r="I63" s="26" t="str">
        <f>+VLOOKUP($E63,'Summary Data'!$A$2:$Q$55,9,FALSE)</f>
        <v>NA</v>
      </c>
      <c r="J63" s="26" t="str">
        <f>+VLOOKUP($E63,'Summary Data'!$A$2:$Q$55,10,FALSE)</f>
        <v>NA</v>
      </c>
      <c r="K63" s="101" t="s">
        <v>503</v>
      </c>
      <c r="L63" s="654"/>
      <c r="M63" s="654"/>
      <c r="N63" s="654"/>
      <c r="O63" s="668"/>
      <c r="P63" s="668"/>
      <c r="Q63" s="16"/>
    </row>
    <row r="64" spans="5:17" ht="12.75" customHeight="1" x14ac:dyDescent="0.25">
      <c r="E64" s="7" t="s">
        <v>57</v>
      </c>
      <c r="F64" s="26">
        <f>+VLOOKUP($E64,'Summary Data'!$A$2:$Q$55,2,FALSE)</f>
        <v>-0.6079611455636369</v>
      </c>
      <c r="G64" s="26" t="str">
        <f>+VLOOKUP($E64,'Summary Data'!$A$2:$Q$55,3,FALSE)</f>
        <v>NA</v>
      </c>
      <c r="H64" s="26">
        <f>+VLOOKUP($E64,'Summary Data'!$A$2:$Q$55,4,FALSE)</f>
        <v>2.0254519141196047E-2</v>
      </c>
      <c r="I64" s="26">
        <f>+VLOOKUP($E64,'Summary Data'!$A$2:$Q$55,9,FALSE)</f>
        <v>-0.13475629310789056</v>
      </c>
      <c r="J64" s="26" t="str">
        <f>+VLOOKUP($E64,'Summary Data'!$A$2:$Q$55,10,FALSE)</f>
        <v>NA</v>
      </c>
      <c r="K64" s="101" t="s">
        <v>503</v>
      </c>
      <c r="O64" s="16"/>
      <c r="P64" s="16"/>
      <c r="Q64" s="16"/>
    </row>
    <row r="65" spans="2:23" ht="12.75" customHeight="1" thickBot="1" x14ac:dyDescent="0.3">
      <c r="E65" s="70" t="s">
        <v>58</v>
      </c>
      <c r="F65" s="663">
        <f>+VLOOKUP($E65,'Summary Data'!$A$2:$Q$55,2,FALSE)</f>
        <v>-4.0490606164644465</v>
      </c>
      <c r="G65" s="663" t="str">
        <f>+VLOOKUP($E65,'Summary Data'!$A$2:$Q$55,3,FALSE)</f>
        <v>NA</v>
      </c>
      <c r="H65" s="663">
        <f>+VLOOKUP($E65,'Summary Data'!$A$2:$Q$55,4,FALSE)</f>
        <v>-0.8592610862888036</v>
      </c>
      <c r="I65" s="430">
        <f>+VLOOKUP($E65,'Summary Data'!$A$2:$Q$55,9,FALSE)</f>
        <v>-0.50189242557709568</v>
      </c>
      <c r="J65" s="430" t="str">
        <f>+VLOOKUP($E65,'Summary Data'!$A$2:$Q$55,10,FALSE)</f>
        <v>NA</v>
      </c>
      <c r="K65" s="102" t="s">
        <v>503</v>
      </c>
      <c r="L65" s="734"/>
      <c r="O65" s="16"/>
      <c r="P65" s="16"/>
      <c r="Q65" s="16"/>
    </row>
    <row r="66" spans="2:23" x14ac:dyDescent="0.25">
      <c r="E66" s="15"/>
      <c r="F66" s="16"/>
      <c r="G66" s="16"/>
      <c r="H66" s="16"/>
      <c r="I66" s="16"/>
      <c r="J66" s="16"/>
      <c r="K66" s="16"/>
      <c r="L66" s="16"/>
      <c r="M66" s="16"/>
      <c r="N66" s="16"/>
      <c r="O66" s="16"/>
      <c r="P66" s="2"/>
      <c r="Q66" s="1"/>
      <c r="R66" s="2"/>
      <c r="S66" s="2"/>
      <c r="T66" s="2"/>
    </row>
    <row r="67" spans="2:23" ht="13.5" thickBot="1" x14ac:dyDescent="0.35">
      <c r="E67" s="30" t="s">
        <v>524</v>
      </c>
      <c r="F67" s="2"/>
      <c r="G67" s="2"/>
      <c r="H67" s="2"/>
      <c r="I67" s="2"/>
      <c r="J67" s="2"/>
      <c r="K67" s="2"/>
      <c r="L67" s="2"/>
      <c r="M67" s="2"/>
      <c r="N67" s="2"/>
      <c r="O67" s="2"/>
      <c r="P67" s="665"/>
      <c r="Q67" s="2"/>
      <c r="R67" s="2"/>
      <c r="S67" s="2"/>
      <c r="T67" s="1"/>
      <c r="U67" s="2"/>
      <c r="V67" s="2"/>
      <c r="W67" s="2"/>
    </row>
    <row r="68" spans="2:23" ht="29" x14ac:dyDescent="0.25">
      <c r="B68" t="s">
        <v>11</v>
      </c>
      <c r="C68" t="s">
        <v>12</v>
      </c>
      <c r="D68" t="s">
        <v>13</v>
      </c>
      <c r="E68" s="58" t="s">
        <v>496</v>
      </c>
      <c r="F68" s="59" t="s">
        <v>525</v>
      </c>
      <c r="G68" s="60" t="s">
        <v>851</v>
      </c>
      <c r="H68" s="61" t="s">
        <v>776</v>
      </c>
      <c r="I68" s="61" t="s">
        <v>847</v>
      </c>
      <c r="J68" s="61" t="s">
        <v>777</v>
      </c>
      <c r="K68" s="61" t="s">
        <v>848</v>
      </c>
      <c r="L68" s="61" t="s">
        <v>778</v>
      </c>
      <c r="M68" s="60" t="s">
        <v>849</v>
      </c>
      <c r="N68" s="61" t="s">
        <v>779</v>
      </c>
      <c r="O68" s="664" t="s">
        <v>850</v>
      </c>
      <c r="P68" s="664" t="s">
        <v>780</v>
      </c>
      <c r="Q68" s="62" t="s">
        <v>781</v>
      </c>
    </row>
    <row r="69" spans="2:23" ht="12.75" customHeight="1" x14ac:dyDescent="0.25">
      <c r="B69" s="47">
        <f>IF(SUM(G69,I69,K69,M69,O69)=0,0,1)</f>
        <v>1</v>
      </c>
      <c r="C69" s="47">
        <f>B69</f>
        <v>1</v>
      </c>
      <c r="D69">
        <f>C69*B69</f>
        <v>1</v>
      </c>
      <c r="E69" s="7" t="s">
        <v>515</v>
      </c>
      <c r="F69" s="200">
        <f>VLOOKUP($E69,'Analysis Inputs'!$D$14:$U$67,10,FALSE)</f>
        <v>2581.9310711278504</v>
      </c>
      <c r="G69" s="203">
        <f>VLOOKUP($E69,'Analysis Inputs'!$D$14:$U$67,4,FALSE)</f>
        <v>0</v>
      </c>
      <c r="H69" s="201">
        <f t="shared" ref="H69:H74" si="0">+G69*G12</f>
        <v>0</v>
      </c>
      <c r="I69" s="200">
        <f>VLOOKUP($E69,'Analysis Inputs'!$D$14:$U$67,5,FALSE)</f>
        <v>2581.9310711278504</v>
      </c>
      <c r="J69" s="200">
        <f t="shared" ref="J69:J100" si="1">+I69*H12</f>
        <v>52.295772301407858</v>
      </c>
      <c r="K69" s="202">
        <f>VLOOKUP($E69,'Analysis Inputs'!$D$14:$U$67,6,FALSE)</f>
        <v>0</v>
      </c>
      <c r="L69" s="200">
        <f t="shared" ref="L69:L112" si="2">+K69*I12</f>
        <v>0</v>
      </c>
      <c r="M69" s="202" t="str">
        <f>VLOOKUP($E69,'Analysis Inputs'!$D$14:$U$67,7,FALSE)</f>
        <v>NA</v>
      </c>
      <c r="N69" s="202" t="s">
        <v>503</v>
      </c>
      <c r="O69" s="202" t="str">
        <f>VLOOKUP($E69,'Analysis Inputs'!$D$14:$U$67,8,FALSE)</f>
        <v>NA</v>
      </c>
      <c r="P69" s="202" t="s">
        <v>503</v>
      </c>
      <c r="Q69" s="405">
        <f>IF(P69="INPUT ERROR","INPUT ERROR",SUM(H69,J69,L69,N69,P69))</f>
        <v>52.295772301407858</v>
      </c>
    </row>
    <row r="70" spans="2:23" ht="12.75" customHeight="1" x14ac:dyDescent="0.25">
      <c r="B70" s="47">
        <f t="shared" ref="B70:B122" si="3">IF(SUM(G70,I70,K70,M70,O70)=0,0,1)</f>
        <v>1</v>
      </c>
      <c r="C70" s="47">
        <f>C69+B70</f>
        <v>2</v>
      </c>
      <c r="D70">
        <f>C70*B70</f>
        <v>2</v>
      </c>
      <c r="E70" s="7" t="s">
        <v>84</v>
      </c>
      <c r="F70" s="200">
        <f>VLOOKUP($E70,'Analysis Inputs'!$D$14:$U$67,10,FALSE)</f>
        <v>1647.4287121844873</v>
      </c>
      <c r="G70" s="203">
        <f>VLOOKUP($E70,'Analysis Inputs'!$D$14:$U$67,4,FALSE)</f>
        <v>0</v>
      </c>
      <c r="H70" s="201">
        <f t="shared" si="0"/>
        <v>0</v>
      </c>
      <c r="I70" s="200">
        <f>VLOOKUP($E70,'Analysis Inputs'!$D$14:$U$67,5,FALSE)</f>
        <v>1647.4287121844873</v>
      </c>
      <c r="J70" s="200">
        <f t="shared" si="1"/>
        <v>33.36787638469665</v>
      </c>
      <c r="K70" s="202">
        <f>VLOOKUP($E70,'Analysis Inputs'!$D$14:$U$67,6,FALSE)</f>
        <v>0</v>
      </c>
      <c r="L70" s="200">
        <f t="shared" si="2"/>
        <v>0</v>
      </c>
      <c r="M70" s="202" t="str">
        <f>VLOOKUP($E70,'Analysis Inputs'!$D$14:$U$67,7,FALSE)</f>
        <v>NA</v>
      </c>
      <c r="N70" s="202" t="s">
        <v>503</v>
      </c>
      <c r="O70" s="202" t="str">
        <f>VLOOKUP($E70,'Analysis Inputs'!$D$14:$U$67,8,FALSE)</f>
        <v>NA</v>
      </c>
      <c r="P70" s="202" t="s">
        <v>503</v>
      </c>
      <c r="Q70" s="405">
        <f>IF(P70="INPUT ERROR","INPUT ERROR",SUM(H70,J70,L70,N70,P70))</f>
        <v>33.36787638469665</v>
      </c>
    </row>
    <row r="71" spans="2:23" ht="12.75" customHeight="1" x14ac:dyDescent="0.25">
      <c r="B71" s="47">
        <f t="shared" si="3"/>
        <v>1</v>
      </c>
      <c r="C71" s="47">
        <f t="shared" ref="C71:C89" si="4">C70+B71</f>
        <v>3</v>
      </c>
      <c r="D71">
        <f t="shared" ref="D71:D89" si="5">C71*B71</f>
        <v>3</v>
      </c>
      <c r="E71" s="7" t="s">
        <v>516</v>
      </c>
      <c r="F71" s="200">
        <f>VLOOKUP($E71,'Analysis Inputs'!$D$14:$U$67,10,FALSE)</f>
        <v>4001.7125772610179</v>
      </c>
      <c r="G71" s="203">
        <f>VLOOKUP($E71,'Analysis Inputs'!$D$14:$U$67,4,FALSE)</f>
        <v>0</v>
      </c>
      <c r="H71" s="201">
        <f t="shared" si="0"/>
        <v>0</v>
      </c>
      <c r="I71" s="200">
        <f>VLOOKUP($E71,'Analysis Inputs'!$D$14:$U$67,5,FALSE)</f>
        <v>4001.7125772610179</v>
      </c>
      <c r="J71" s="200">
        <f t="shared" si="1"/>
        <v>81.05276399369825</v>
      </c>
      <c r="K71" s="202">
        <f>VLOOKUP($E71,'Analysis Inputs'!$D$14:$U$67,6,FALSE)</f>
        <v>0</v>
      </c>
      <c r="L71" s="200">
        <f t="shared" si="2"/>
        <v>0</v>
      </c>
      <c r="M71" s="202" t="str">
        <f>VLOOKUP($E71,'Analysis Inputs'!$D$14:$U$67,7,FALSE)</f>
        <v>NA</v>
      </c>
      <c r="N71" s="202" t="s">
        <v>503</v>
      </c>
      <c r="O71" s="202" t="str">
        <f>VLOOKUP($E71,'Analysis Inputs'!$D$14:$U$67,8,FALSE)</f>
        <v>NA</v>
      </c>
      <c r="P71" s="202" t="s">
        <v>503</v>
      </c>
      <c r="Q71" s="405">
        <f t="shared" ref="Q71:Q122" si="6">IF(P71="INPUT ERROR","INPUT ERROR",SUM(H71,J71,L71,N71,P71))</f>
        <v>81.05276399369825</v>
      </c>
    </row>
    <row r="72" spans="2:23" ht="12.75" customHeight="1" x14ac:dyDescent="0.25">
      <c r="B72" s="47">
        <f t="shared" si="3"/>
        <v>0</v>
      </c>
      <c r="C72" s="47">
        <f t="shared" si="4"/>
        <v>3</v>
      </c>
      <c r="D72">
        <f t="shared" si="5"/>
        <v>0</v>
      </c>
      <c r="E72" s="7" t="s">
        <v>438</v>
      </c>
      <c r="F72" s="200">
        <f>VLOOKUP($E72,'Analysis Inputs'!$D$14:$U$67,10,FALSE)</f>
        <v>0</v>
      </c>
      <c r="G72" s="203">
        <f>VLOOKUP($E72,'Analysis Inputs'!$D$14:$U$67,4,FALSE)</f>
        <v>0</v>
      </c>
      <c r="H72" s="201">
        <f t="shared" si="0"/>
        <v>0</v>
      </c>
      <c r="I72" s="200">
        <f>VLOOKUP($E72,'Analysis Inputs'!$D$14:$U$67,5,FALSE)</f>
        <v>0</v>
      </c>
      <c r="J72" s="200">
        <f t="shared" si="1"/>
        <v>0</v>
      </c>
      <c r="K72" s="202">
        <f>VLOOKUP($E72,'Analysis Inputs'!$D$14:$U$67,6,FALSE)</f>
        <v>0</v>
      </c>
      <c r="L72" s="200">
        <f t="shared" si="2"/>
        <v>0</v>
      </c>
      <c r="M72" s="202" t="str">
        <f>VLOOKUP($E72,'Analysis Inputs'!$D$14:$U$67,7,FALSE)</f>
        <v>NA</v>
      </c>
      <c r="N72" s="202" t="s">
        <v>503</v>
      </c>
      <c r="O72" s="202" t="str">
        <f>VLOOKUP($E72,'Analysis Inputs'!$D$14:$U$67,8,FALSE)</f>
        <v>NA</v>
      </c>
      <c r="P72" s="202" t="s">
        <v>503</v>
      </c>
      <c r="Q72" s="405">
        <f t="shared" si="6"/>
        <v>0</v>
      </c>
    </row>
    <row r="73" spans="2:23" ht="12.75" customHeight="1" x14ac:dyDescent="0.25">
      <c r="B73" s="47">
        <f t="shared" si="3"/>
        <v>1</v>
      </c>
      <c r="C73" s="47">
        <f t="shared" si="4"/>
        <v>4</v>
      </c>
      <c r="D73">
        <f t="shared" si="5"/>
        <v>4</v>
      </c>
      <c r="E73" s="7" t="s">
        <v>517</v>
      </c>
      <c r="F73" s="200">
        <f>VLOOKUP($E73,'Analysis Inputs'!$D$14:$U$67,10,FALSE)</f>
        <v>22379.467981121063</v>
      </c>
      <c r="G73" s="203">
        <f>VLOOKUP($E73,'Analysis Inputs'!$D$14:$U$67,4,FALSE)</f>
        <v>0</v>
      </c>
      <c r="H73" s="201">
        <f t="shared" si="0"/>
        <v>0</v>
      </c>
      <c r="I73" s="200">
        <f>VLOOKUP($E73,'Analysis Inputs'!$D$14:$U$67,5,FALSE)</f>
        <v>22379.467981121063</v>
      </c>
      <c r="J73" s="200">
        <f t="shared" si="1"/>
        <v>453.28536259340063</v>
      </c>
      <c r="K73" s="202">
        <f>VLOOKUP($E73,'Analysis Inputs'!$D$14:$U$67,6,FALSE)</f>
        <v>0</v>
      </c>
      <c r="L73" s="200">
        <f t="shared" si="2"/>
        <v>0</v>
      </c>
      <c r="M73" s="202" t="str">
        <f>VLOOKUP($E73,'Analysis Inputs'!$D$14:$U$67,7,FALSE)</f>
        <v>NA</v>
      </c>
      <c r="N73" s="202" t="s">
        <v>503</v>
      </c>
      <c r="O73" s="202" t="str">
        <f>VLOOKUP($E73,'Analysis Inputs'!$D$14:$U$67,8,FALSE)</f>
        <v>NA</v>
      </c>
      <c r="P73" s="202" t="s">
        <v>503</v>
      </c>
      <c r="Q73" s="405">
        <f t="shared" si="6"/>
        <v>453.28536259340063</v>
      </c>
    </row>
    <row r="74" spans="2:23" ht="12.75" customHeight="1" x14ac:dyDescent="0.25">
      <c r="B74" s="47">
        <f t="shared" si="3"/>
        <v>1</v>
      </c>
      <c r="C74" s="47">
        <f t="shared" si="4"/>
        <v>5</v>
      </c>
      <c r="D74">
        <f t="shared" si="5"/>
        <v>5</v>
      </c>
      <c r="E74" s="7" t="s">
        <v>518</v>
      </c>
      <c r="F74" s="200">
        <f>VLOOKUP($E74,'Analysis Inputs'!$D$14:$U$67,10,FALSE)</f>
        <v>4378.1563584420928</v>
      </c>
      <c r="G74" s="203">
        <f>VLOOKUP($E74,'Analysis Inputs'!$D$14:$U$67,4,FALSE)</f>
        <v>0</v>
      </c>
      <c r="H74" s="201">
        <f t="shared" si="0"/>
        <v>0</v>
      </c>
      <c r="I74" s="200">
        <f>VLOOKUP($E74,'Analysis Inputs'!$D$14:$U$67,5,FALSE)</f>
        <v>4378.1563584420928</v>
      </c>
      <c r="J74" s="200">
        <f t="shared" si="1"/>
        <v>88.677451765214542</v>
      </c>
      <c r="K74" s="202">
        <f>VLOOKUP($E74,'Analysis Inputs'!$D$14:$U$67,6,FALSE)</f>
        <v>0</v>
      </c>
      <c r="L74" s="200">
        <f t="shared" si="2"/>
        <v>0</v>
      </c>
      <c r="M74" s="202" t="str">
        <f>VLOOKUP($E74,'Analysis Inputs'!$D$14:$U$67,7,FALSE)</f>
        <v>NA</v>
      </c>
      <c r="N74" s="202" t="s">
        <v>503</v>
      </c>
      <c r="O74" s="202" t="str">
        <f>VLOOKUP($E74,'Analysis Inputs'!$D$14:$U$67,8,FALSE)</f>
        <v>NA</v>
      </c>
      <c r="P74" s="202" t="s">
        <v>503</v>
      </c>
      <c r="Q74" s="405">
        <f t="shared" si="6"/>
        <v>88.677451765214542</v>
      </c>
    </row>
    <row r="75" spans="2:23" ht="12.75" customHeight="1" x14ac:dyDescent="0.25">
      <c r="B75" s="47">
        <f t="shared" si="3"/>
        <v>1</v>
      </c>
      <c r="C75" s="47">
        <f t="shared" si="4"/>
        <v>6</v>
      </c>
      <c r="D75">
        <f t="shared" si="5"/>
        <v>6</v>
      </c>
      <c r="E75" s="7" t="s">
        <v>519</v>
      </c>
      <c r="F75" s="200">
        <f>VLOOKUP($E75,'Analysis Inputs'!$D$14:$U$67,10,FALSE)</f>
        <v>4168.741080644736</v>
      </c>
      <c r="G75" s="203" t="str">
        <f>VLOOKUP($E75,'Analysis Inputs'!$D$14:$U$67,4,FALSE)</f>
        <v>NA</v>
      </c>
      <c r="H75" s="203" t="s">
        <v>503</v>
      </c>
      <c r="I75" s="200">
        <f>VLOOKUP($E75,'Analysis Inputs'!$D$14:$U$67,5,FALSE)</f>
        <v>4168.741080644736</v>
      </c>
      <c r="J75" s="200">
        <f t="shared" si="1"/>
        <v>84.435846012609105</v>
      </c>
      <c r="K75" s="202">
        <f>VLOOKUP($E75,'Analysis Inputs'!$D$14:$U$67,6,FALSE)</f>
        <v>0</v>
      </c>
      <c r="L75" s="200">
        <f t="shared" si="2"/>
        <v>0</v>
      </c>
      <c r="M75" s="202" t="str">
        <f>VLOOKUP($E75,'Analysis Inputs'!$D$14:$U$67,7,FALSE)</f>
        <v>NA</v>
      </c>
      <c r="N75" s="202" t="s">
        <v>503</v>
      </c>
      <c r="O75" s="202" t="str">
        <f>VLOOKUP($E75,'Analysis Inputs'!$D$14:$U$67,8,FALSE)</f>
        <v>NA</v>
      </c>
      <c r="P75" s="202" t="s">
        <v>503</v>
      </c>
      <c r="Q75" s="405">
        <f t="shared" si="6"/>
        <v>84.435846012609105</v>
      </c>
    </row>
    <row r="76" spans="2:23" ht="12.75" customHeight="1" x14ac:dyDescent="0.25">
      <c r="B76" s="47">
        <f t="shared" si="3"/>
        <v>1</v>
      </c>
      <c r="C76" s="47">
        <f t="shared" si="4"/>
        <v>7</v>
      </c>
      <c r="D76">
        <f t="shared" si="5"/>
        <v>7</v>
      </c>
      <c r="E76" s="7" t="s">
        <v>520</v>
      </c>
      <c r="F76" s="200">
        <f>VLOOKUP($E76,'Analysis Inputs'!$D$14:$U$67,10,FALSE)</f>
        <v>7088.1162615431676</v>
      </c>
      <c r="G76" s="203">
        <f>VLOOKUP($E76,'Analysis Inputs'!$D$14:$U$67,4,FALSE)</f>
        <v>0</v>
      </c>
      <c r="H76" s="201">
        <f>+G76*G19</f>
        <v>0</v>
      </c>
      <c r="I76" s="200">
        <f>VLOOKUP($E76,'Analysis Inputs'!$D$14:$U$67,5,FALSE)</f>
        <v>7088.1162615431676</v>
      </c>
      <c r="J76" s="200">
        <f t="shared" si="1"/>
        <v>143.56638649444906</v>
      </c>
      <c r="K76" s="202">
        <f>VLOOKUP($E76,'Analysis Inputs'!$D$14:$U$67,6,FALSE)</f>
        <v>0</v>
      </c>
      <c r="L76" s="200">
        <f t="shared" si="2"/>
        <v>0</v>
      </c>
      <c r="M76" s="202" t="str">
        <f>VLOOKUP($E76,'Analysis Inputs'!$D$14:$U$67,7,FALSE)</f>
        <v>NA</v>
      </c>
      <c r="N76" s="202" t="s">
        <v>503</v>
      </c>
      <c r="O76" s="202" t="str">
        <f>VLOOKUP($E76,'Analysis Inputs'!$D$14:$U$67,8,FALSE)</f>
        <v>NA</v>
      </c>
      <c r="P76" s="202" t="s">
        <v>503</v>
      </c>
      <c r="Q76" s="405">
        <f t="shared" si="6"/>
        <v>143.56638649444906</v>
      </c>
    </row>
    <row r="77" spans="2:23" ht="12.75" customHeight="1" x14ac:dyDescent="0.25">
      <c r="B77" s="47">
        <f t="shared" si="3"/>
        <v>1</v>
      </c>
      <c r="C77" s="47">
        <f t="shared" si="4"/>
        <v>8</v>
      </c>
      <c r="D77">
        <f t="shared" si="5"/>
        <v>8</v>
      </c>
      <c r="E77" s="7" t="s">
        <v>86</v>
      </c>
      <c r="F77" s="200">
        <f>VLOOKUP($E77,'Analysis Inputs'!$D$14:$U$67,10,FALSE)</f>
        <v>12601.65494719689</v>
      </c>
      <c r="G77" s="203" t="str">
        <f>VLOOKUP($E77,'Analysis Inputs'!$D$14:$U$67,4,FALSE)</f>
        <v>NA</v>
      </c>
      <c r="H77" s="203" t="s">
        <v>503</v>
      </c>
      <c r="I77" s="200">
        <f>VLOOKUP($E77,'Analysis Inputs'!$D$14:$U$67,5,FALSE)</f>
        <v>12601.65494719689</v>
      </c>
      <c r="J77" s="200">
        <f t="shared" si="1"/>
        <v>255.24046133874725</v>
      </c>
      <c r="K77" s="202">
        <f>VLOOKUP($E77,'Analysis Inputs'!$D$14:$U$67,6,FALSE)</f>
        <v>0</v>
      </c>
      <c r="L77" s="200">
        <f t="shared" si="2"/>
        <v>0</v>
      </c>
      <c r="M77" s="202" t="str">
        <f>VLOOKUP($E77,'Analysis Inputs'!$D$14:$U$67,7,FALSE)</f>
        <v>NA</v>
      </c>
      <c r="N77" s="202" t="s">
        <v>503</v>
      </c>
      <c r="O77" s="202" t="str">
        <f>VLOOKUP($E77,'Analysis Inputs'!$D$14:$U$67,8,FALSE)</f>
        <v>NA</v>
      </c>
      <c r="P77" s="202" t="s">
        <v>503</v>
      </c>
      <c r="Q77" s="405">
        <f t="shared" si="6"/>
        <v>255.24046133874725</v>
      </c>
    </row>
    <row r="78" spans="2:23" ht="12.75" customHeight="1" x14ac:dyDescent="0.25">
      <c r="B78" s="47">
        <f t="shared" si="3"/>
        <v>0</v>
      </c>
      <c r="C78" s="47">
        <f t="shared" si="4"/>
        <v>8</v>
      </c>
      <c r="D78">
        <f t="shared" si="5"/>
        <v>0</v>
      </c>
      <c r="E78" s="7" t="s">
        <v>87</v>
      </c>
      <c r="F78" s="200">
        <f>VLOOKUP($E78,'Analysis Inputs'!$D$14:$U$67,10,FALSE)</f>
        <v>0</v>
      </c>
      <c r="G78" s="203" t="str">
        <f>VLOOKUP($E78,'Analysis Inputs'!$D$14:$U$67,4,FALSE)</f>
        <v>NA</v>
      </c>
      <c r="H78" s="203" t="s">
        <v>503</v>
      </c>
      <c r="I78" s="200">
        <f>VLOOKUP($E78,'Analysis Inputs'!$D$14:$U$67,5,FALSE)</f>
        <v>0</v>
      </c>
      <c r="J78" s="200">
        <f t="shared" si="1"/>
        <v>0</v>
      </c>
      <c r="K78" s="202">
        <f>VLOOKUP($E78,'Analysis Inputs'!$D$14:$U$67,6,FALSE)</f>
        <v>0</v>
      </c>
      <c r="L78" s="200">
        <f t="shared" si="2"/>
        <v>0</v>
      </c>
      <c r="M78" s="202" t="str">
        <f>VLOOKUP($E78,'Analysis Inputs'!$D$14:$U$67,7,FALSE)</f>
        <v>NA</v>
      </c>
      <c r="N78" s="202" t="s">
        <v>503</v>
      </c>
      <c r="O78" s="202" t="str">
        <f>VLOOKUP($E78,'Analysis Inputs'!$D$14:$U$67,8,FALSE)</f>
        <v>NA</v>
      </c>
      <c r="P78" s="202" t="s">
        <v>503</v>
      </c>
      <c r="Q78" s="405">
        <f t="shared" si="6"/>
        <v>0</v>
      </c>
    </row>
    <row r="79" spans="2:23" ht="12.75" customHeight="1" x14ac:dyDescent="0.25">
      <c r="B79" s="47">
        <f t="shared" si="3"/>
        <v>1</v>
      </c>
      <c r="C79" s="47">
        <f t="shared" si="4"/>
        <v>9</v>
      </c>
      <c r="D79">
        <f t="shared" si="5"/>
        <v>9</v>
      </c>
      <c r="E79" s="7" t="s">
        <v>88</v>
      </c>
      <c r="F79" s="200">
        <f>VLOOKUP($E79,'Analysis Inputs'!$D$14:$U$67,10,FALSE)</f>
        <v>5327.0221948308408</v>
      </c>
      <c r="G79" s="203" t="str">
        <f>VLOOKUP($E79,'Analysis Inputs'!$D$14:$U$67,4,FALSE)</f>
        <v>NA</v>
      </c>
      <c r="H79" s="203" t="s">
        <v>503</v>
      </c>
      <c r="I79" s="200">
        <f>VLOOKUP($E79,'Analysis Inputs'!$D$14:$U$67,5,FALSE)</f>
        <v>5327.0221948308408</v>
      </c>
      <c r="J79" s="200">
        <f t="shared" si="1"/>
        <v>107.89627301077743</v>
      </c>
      <c r="K79" s="202">
        <f>VLOOKUP($E79,'Analysis Inputs'!$D$14:$U$67,6,FALSE)</f>
        <v>0</v>
      </c>
      <c r="L79" s="200">
        <f t="shared" si="2"/>
        <v>0</v>
      </c>
      <c r="M79" s="202" t="str">
        <f>VLOOKUP($E79,'Analysis Inputs'!$D$14:$U$67,7,FALSE)</f>
        <v>NA</v>
      </c>
      <c r="N79" s="202" t="s">
        <v>503</v>
      </c>
      <c r="O79" s="202" t="str">
        <f>VLOOKUP($E79,'Analysis Inputs'!$D$14:$U$67,8,FALSE)</f>
        <v>NA</v>
      </c>
      <c r="P79" s="202" t="s">
        <v>503</v>
      </c>
      <c r="Q79" s="405">
        <f t="shared" si="6"/>
        <v>107.89627301077743</v>
      </c>
    </row>
    <row r="80" spans="2:23" ht="12.75" customHeight="1" x14ac:dyDescent="0.25">
      <c r="B80" s="47">
        <f t="shared" si="3"/>
        <v>0</v>
      </c>
      <c r="C80" s="47">
        <f t="shared" si="4"/>
        <v>9</v>
      </c>
      <c r="D80">
        <f t="shared" si="5"/>
        <v>0</v>
      </c>
      <c r="E80" s="7" t="s">
        <v>89</v>
      </c>
      <c r="F80" s="200">
        <f>VLOOKUP($E80,'Analysis Inputs'!$D$14:$U$67,10,FALSE)</f>
        <v>0</v>
      </c>
      <c r="G80" s="203" t="str">
        <f>VLOOKUP($E80,'Analysis Inputs'!$D$14:$U$67,4,FALSE)</f>
        <v>NA</v>
      </c>
      <c r="H80" s="203" t="s">
        <v>503</v>
      </c>
      <c r="I80" s="200">
        <f>VLOOKUP($E80,'Analysis Inputs'!$D$14:$U$67,5,FALSE)</f>
        <v>0</v>
      </c>
      <c r="J80" s="200">
        <f t="shared" si="1"/>
        <v>0</v>
      </c>
      <c r="K80" s="202">
        <f>VLOOKUP($E80,'Analysis Inputs'!$D$14:$U$67,6,FALSE)</f>
        <v>0</v>
      </c>
      <c r="L80" s="200">
        <f t="shared" si="2"/>
        <v>0</v>
      </c>
      <c r="M80" s="202" t="str">
        <f>VLOOKUP($E80,'Analysis Inputs'!$D$14:$U$67,7,FALSE)</f>
        <v>NA</v>
      </c>
      <c r="N80" s="202" t="s">
        <v>503</v>
      </c>
      <c r="O80" s="202" t="str">
        <f>VLOOKUP($E80,'Analysis Inputs'!$D$14:$U$67,8,FALSE)</f>
        <v>NA</v>
      </c>
      <c r="P80" s="202" t="s">
        <v>503</v>
      </c>
      <c r="Q80" s="405">
        <f t="shared" si="6"/>
        <v>0</v>
      </c>
    </row>
    <row r="81" spans="2:19" ht="12.75" customHeight="1" x14ac:dyDescent="0.25">
      <c r="B81" s="47">
        <f t="shared" si="3"/>
        <v>0</v>
      </c>
      <c r="C81" s="47">
        <f t="shared" si="4"/>
        <v>9</v>
      </c>
      <c r="D81">
        <f t="shared" si="5"/>
        <v>0</v>
      </c>
      <c r="E81" s="7" t="s">
        <v>85</v>
      </c>
      <c r="F81" s="200">
        <f>VLOOKUP($E81,'Analysis Inputs'!$D$14:$U$67,10,FALSE)</f>
        <v>0</v>
      </c>
      <c r="G81" s="203" t="str">
        <f>VLOOKUP($E81,'Analysis Inputs'!$D$14:$U$67,4,FALSE)</f>
        <v>NA</v>
      </c>
      <c r="H81" s="203" t="s">
        <v>503</v>
      </c>
      <c r="I81" s="200">
        <f>VLOOKUP($E81,'Analysis Inputs'!$D$14:$U$67,5,FALSE)</f>
        <v>0</v>
      </c>
      <c r="J81" s="200">
        <f t="shared" si="1"/>
        <v>0</v>
      </c>
      <c r="K81" s="202">
        <f>VLOOKUP($E81,'Analysis Inputs'!$D$14:$U$67,6,FALSE)</f>
        <v>0</v>
      </c>
      <c r="L81" s="200">
        <f t="shared" si="2"/>
        <v>0</v>
      </c>
      <c r="M81" s="202">
        <f>VLOOKUP($E81,'Analysis Inputs'!$D$14:$U$67,7,FALSE)</f>
        <v>0</v>
      </c>
      <c r="N81" s="200">
        <f>+M81*J24</f>
        <v>0</v>
      </c>
      <c r="O81" s="202" t="str">
        <f>VLOOKUP($E81,'Analysis Inputs'!$D$14:$U$67,8,FALSE)</f>
        <v>NA</v>
      </c>
      <c r="P81" s="202" t="s">
        <v>503</v>
      </c>
      <c r="Q81" s="405">
        <f t="shared" si="6"/>
        <v>0</v>
      </c>
    </row>
    <row r="82" spans="2:19" ht="12.75" customHeight="1" x14ac:dyDescent="0.25">
      <c r="B82" s="47">
        <f t="shared" si="3"/>
        <v>1</v>
      </c>
      <c r="C82" s="47">
        <f t="shared" si="4"/>
        <v>10</v>
      </c>
      <c r="D82">
        <f t="shared" si="5"/>
        <v>10</v>
      </c>
      <c r="E82" s="7" t="s">
        <v>59</v>
      </c>
      <c r="F82" s="200">
        <f>VLOOKUP($E82,'Analysis Inputs'!$D$14:$U$67,10,FALSE)</f>
        <v>27908.476920644473</v>
      </c>
      <c r="G82" s="203">
        <f>VLOOKUP($E82,'Analysis Inputs'!$D$14:$U$67,4,FALSE)</f>
        <v>0</v>
      </c>
      <c r="H82" s="201">
        <f t="shared" ref="H82:H89" si="7">+G82*G25</f>
        <v>0</v>
      </c>
      <c r="I82" s="200">
        <f>VLOOKUP($E82,'Analysis Inputs'!$D$14:$U$67,5,FALSE)</f>
        <v>27908.476920644473</v>
      </c>
      <c r="J82" s="200">
        <f t="shared" si="1"/>
        <v>12416.570178497514</v>
      </c>
      <c r="K82" s="202">
        <f>VLOOKUP($E82,'Analysis Inputs'!$D$14:$U$67,6,FALSE)</f>
        <v>0</v>
      </c>
      <c r="L82" s="200">
        <f t="shared" si="2"/>
        <v>0</v>
      </c>
      <c r="M82" s="202" t="str">
        <f>VLOOKUP($E82,'Analysis Inputs'!$D$14:$U$67,7,FALSE)</f>
        <v>NA</v>
      </c>
      <c r="N82" s="202" t="s">
        <v>503</v>
      </c>
      <c r="O82" s="202" t="str">
        <f>VLOOKUP($E82,'Analysis Inputs'!$D$14:$U$67,8,FALSE)</f>
        <v>NA</v>
      </c>
      <c r="P82" s="202" t="s">
        <v>503</v>
      </c>
      <c r="Q82" s="405">
        <f t="shared" si="6"/>
        <v>12416.570178497514</v>
      </c>
    </row>
    <row r="83" spans="2:19" ht="12.75" customHeight="1" x14ac:dyDescent="0.25">
      <c r="B83" s="47">
        <f t="shared" si="3"/>
        <v>0</v>
      </c>
      <c r="C83" s="47">
        <f t="shared" si="4"/>
        <v>10</v>
      </c>
      <c r="D83">
        <f t="shared" si="5"/>
        <v>0</v>
      </c>
      <c r="E83" s="74" t="s">
        <v>290</v>
      </c>
      <c r="F83" s="200">
        <f>VLOOKUP($E83,'Analysis Inputs'!$D$14:$U$67,10,FALSE)</f>
        <v>0</v>
      </c>
      <c r="G83" s="203">
        <f>VLOOKUP($E83,'Analysis Inputs'!$D$14:$U$67,4,FALSE)</f>
        <v>0</v>
      </c>
      <c r="H83" s="201">
        <f t="shared" si="7"/>
        <v>0</v>
      </c>
      <c r="I83" s="200">
        <f>VLOOKUP($E83,'Analysis Inputs'!$D$14:$U$67,5,FALSE)</f>
        <v>0</v>
      </c>
      <c r="J83" s="200">
        <f t="shared" si="1"/>
        <v>0</v>
      </c>
      <c r="K83" s="202">
        <f>VLOOKUP($E83,'Analysis Inputs'!$D$14:$U$67,6,FALSE)</f>
        <v>0</v>
      </c>
      <c r="L83" s="200">
        <f t="shared" si="2"/>
        <v>0</v>
      </c>
      <c r="M83" s="202" t="str">
        <f>VLOOKUP($E83,'Analysis Inputs'!$D$14:$U$67,7,FALSE)</f>
        <v>NA</v>
      </c>
      <c r="N83" s="202" t="s">
        <v>503</v>
      </c>
      <c r="O83" s="202" t="str">
        <f>VLOOKUP($E83,'Analysis Inputs'!$D$14:$U$67,8,FALSE)</f>
        <v>NA</v>
      </c>
      <c r="P83" s="202" t="s">
        <v>503</v>
      </c>
      <c r="Q83" s="405">
        <f t="shared" si="6"/>
        <v>0</v>
      </c>
    </row>
    <row r="84" spans="2:19" ht="12.75" customHeight="1" x14ac:dyDescent="0.25">
      <c r="B84" s="47">
        <f t="shared" si="3"/>
        <v>1</v>
      </c>
      <c r="C84" s="47">
        <f t="shared" si="4"/>
        <v>11</v>
      </c>
      <c r="D84">
        <f t="shared" si="5"/>
        <v>11</v>
      </c>
      <c r="E84" s="4" t="s">
        <v>502</v>
      </c>
      <c r="F84" s="200">
        <f>VLOOKUP($E84,'Analysis Inputs'!$D$14:$U$67,10,FALSE)</f>
        <v>12962.300300440122</v>
      </c>
      <c r="G84" s="203">
        <f>VLOOKUP($E84,'Analysis Inputs'!$D$14:$U$67,4,FALSE)</f>
        <v>0</v>
      </c>
      <c r="H84" s="201">
        <f t="shared" si="7"/>
        <v>0</v>
      </c>
      <c r="I84" s="200">
        <f>VLOOKUP($E84,'Analysis Inputs'!$D$14:$U$67,5,FALSE)</f>
        <v>12962.300300440122</v>
      </c>
      <c r="J84" s="200">
        <f t="shared" si="1"/>
        <v>-9749.3877335967572</v>
      </c>
      <c r="K84" s="202">
        <f>VLOOKUP($E84,'Analysis Inputs'!$D$14:$U$67,6,FALSE)</f>
        <v>0</v>
      </c>
      <c r="L84" s="200">
        <f t="shared" si="2"/>
        <v>0</v>
      </c>
      <c r="M84" s="202" t="str">
        <f>VLOOKUP($E84,'Analysis Inputs'!$D$14:$U$67,7,FALSE)</f>
        <v>NA</v>
      </c>
      <c r="N84" s="202" t="s">
        <v>503</v>
      </c>
      <c r="O84" s="202" t="str">
        <f>VLOOKUP($E84,'Analysis Inputs'!$D$14:$U$67,8,FALSE)</f>
        <v>NA</v>
      </c>
      <c r="P84" s="202" t="s">
        <v>503</v>
      </c>
      <c r="Q84" s="405">
        <f t="shared" si="6"/>
        <v>-9749.3877335967572</v>
      </c>
    </row>
    <row r="85" spans="2:19" ht="12.75" customHeight="1" x14ac:dyDescent="0.25">
      <c r="B85" s="47">
        <f t="shared" si="3"/>
        <v>1</v>
      </c>
      <c r="C85" s="47">
        <f t="shared" si="4"/>
        <v>12</v>
      </c>
      <c r="D85">
        <f t="shared" si="5"/>
        <v>12</v>
      </c>
      <c r="E85" s="4" t="s">
        <v>514</v>
      </c>
      <c r="F85" s="200">
        <f>VLOOKUP($E85,'Analysis Inputs'!$D$14:$U$67,10,FALSE)</f>
        <v>6726.271332146167</v>
      </c>
      <c r="G85" s="203">
        <f>VLOOKUP($E85,'Analysis Inputs'!$D$14:$U$67,4,FALSE)</f>
        <v>0</v>
      </c>
      <c r="H85" s="201">
        <f t="shared" si="7"/>
        <v>0</v>
      </c>
      <c r="I85" s="200">
        <f>VLOOKUP($E85,'Analysis Inputs'!$D$14:$U$67,5,FALSE)</f>
        <v>6726.271332146167</v>
      </c>
      <c r="J85" s="200">
        <f t="shared" si="1"/>
        <v>10083.923900399697</v>
      </c>
      <c r="K85" s="202">
        <f>VLOOKUP($E85,'Analysis Inputs'!$D$14:$U$67,6,FALSE)</f>
        <v>0</v>
      </c>
      <c r="L85" s="200">
        <f t="shared" si="2"/>
        <v>0</v>
      </c>
      <c r="M85" s="202" t="str">
        <f>VLOOKUP($E85,'Analysis Inputs'!$D$14:$U$67,7,FALSE)</f>
        <v>NA</v>
      </c>
      <c r="N85" s="202" t="s">
        <v>503</v>
      </c>
      <c r="O85" s="202" t="str">
        <f>VLOOKUP($E85,'Analysis Inputs'!$D$14:$U$67,8,FALSE)</f>
        <v>NA</v>
      </c>
      <c r="P85" s="202" t="s">
        <v>503</v>
      </c>
      <c r="Q85" s="405">
        <f t="shared" si="6"/>
        <v>10083.923900399697</v>
      </c>
    </row>
    <row r="86" spans="2:19" ht="12.75" customHeight="1" x14ac:dyDescent="0.25">
      <c r="B86" s="47">
        <f t="shared" si="3"/>
        <v>0</v>
      </c>
      <c r="C86" s="47">
        <f t="shared" si="4"/>
        <v>12</v>
      </c>
      <c r="D86">
        <f t="shared" si="5"/>
        <v>0</v>
      </c>
      <c r="E86" s="7" t="s">
        <v>383</v>
      </c>
      <c r="F86" s="200">
        <f>VLOOKUP($E86,'Analysis Inputs'!$D$14:$U$67,10,FALSE)</f>
        <v>0</v>
      </c>
      <c r="G86" s="203">
        <f>VLOOKUP($E86,'Analysis Inputs'!$D$14:$U$67,4,FALSE)</f>
        <v>0</v>
      </c>
      <c r="H86" s="201">
        <f t="shared" si="7"/>
        <v>0</v>
      </c>
      <c r="I86" s="200">
        <f>VLOOKUP($E86,'Analysis Inputs'!$D$14:$U$67,5,FALSE)</f>
        <v>0</v>
      </c>
      <c r="J86" s="200">
        <f t="shared" si="1"/>
        <v>0</v>
      </c>
      <c r="K86" s="202">
        <f>VLOOKUP($E86,'Analysis Inputs'!$D$14:$U$67,6,FALSE)</f>
        <v>0</v>
      </c>
      <c r="L86" s="200">
        <f t="shared" si="2"/>
        <v>0</v>
      </c>
      <c r="M86" s="202" t="str">
        <f>VLOOKUP($E86,'Analysis Inputs'!$D$14:$U$67,7,FALSE)</f>
        <v>NA</v>
      </c>
      <c r="N86" s="202" t="s">
        <v>503</v>
      </c>
      <c r="O86" s="202" t="str">
        <f>VLOOKUP($E86,'Analysis Inputs'!$D$14:$U$67,8,FALSE)</f>
        <v>NA</v>
      </c>
      <c r="P86" s="202" t="s">
        <v>503</v>
      </c>
      <c r="Q86" s="405">
        <f t="shared" si="6"/>
        <v>0</v>
      </c>
    </row>
    <row r="87" spans="2:19" ht="12.75" customHeight="1" x14ac:dyDescent="0.25">
      <c r="B87" s="47">
        <f t="shared" si="3"/>
        <v>0</v>
      </c>
      <c r="C87" s="47">
        <f t="shared" si="4"/>
        <v>12</v>
      </c>
      <c r="D87">
        <f t="shared" si="5"/>
        <v>0</v>
      </c>
      <c r="E87" s="7" t="s">
        <v>384</v>
      </c>
      <c r="F87" s="200">
        <f>VLOOKUP($E87,'Analysis Inputs'!$D$14:$U$67,10,FALSE)</f>
        <v>0</v>
      </c>
      <c r="G87" s="203">
        <f>VLOOKUP($E87,'Analysis Inputs'!$D$14:$U$67,4,FALSE)</f>
        <v>0</v>
      </c>
      <c r="H87" s="201">
        <f t="shared" si="7"/>
        <v>0</v>
      </c>
      <c r="I87" s="200">
        <f>VLOOKUP($E87,'Analysis Inputs'!$D$14:$U$67,5,FALSE)</f>
        <v>0</v>
      </c>
      <c r="J87" s="200">
        <f t="shared" si="1"/>
        <v>0</v>
      </c>
      <c r="K87" s="202">
        <f>VLOOKUP($E87,'Analysis Inputs'!$D$14:$U$67,6,FALSE)</f>
        <v>0</v>
      </c>
      <c r="L87" s="200">
        <f t="shared" si="2"/>
        <v>0</v>
      </c>
      <c r="M87" s="202" t="str">
        <f>VLOOKUP($E87,'Analysis Inputs'!$D$14:$U$67,7,FALSE)</f>
        <v>NA</v>
      </c>
      <c r="N87" s="202" t="s">
        <v>503</v>
      </c>
      <c r="O87" s="202" t="str">
        <f>VLOOKUP($E87,'Analysis Inputs'!$D$14:$U$67,8,FALSE)</f>
        <v>NA</v>
      </c>
      <c r="P87" s="202" t="s">
        <v>503</v>
      </c>
      <c r="Q87" s="405">
        <f>IF(P87="INPUT ERROR","INPUT ERROR",SUM(H87,J87,L87,N87,P87))</f>
        <v>0</v>
      </c>
    </row>
    <row r="88" spans="2:19" ht="12.75" customHeight="1" x14ac:dyDescent="0.25">
      <c r="B88" s="47">
        <f t="shared" si="3"/>
        <v>1</v>
      </c>
      <c r="C88" s="47">
        <f t="shared" si="4"/>
        <v>13</v>
      </c>
      <c r="D88">
        <f t="shared" si="5"/>
        <v>13</v>
      </c>
      <c r="E88" s="7" t="s">
        <v>4</v>
      </c>
      <c r="F88" s="200">
        <f>VLOOKUP($E88,'Analysis Inputs'!$D$14:$U$67,10,FALSE)</f>
        <v>103846.1137708187</v>
      </c>
      <c r="G88" s="203">
        <f>VLOOKUP($E88,'Analysis Inputs'!$D$14:$U$67,4,FALSE)</f>
        <v>0</v>
      </c>
      <c r="H88" s="201">
        <f t="shared" si="7"/>
        <v>0</v>
      </c>
      <c r="I88" s="200">
        <f>VLOOKUP($E88,'Analysis Inputs'!$D$14:$U$67,5,FALSE)</f>
        <v>103846.1137708187</v>
      </c>
      <c r="J88" s="200">
        <f t="shared" si="1"/>
        <v>-105068.89959648224</v>
      </c>
      <c r="K88" s="202">
        <f>VLOOKUP($E88,'Analysis Inputs'!$D$14:$U$67,6,FALSE)</f>
        <v>0</v>
      </c>
      <c r="L88" s="200">
        <f t="shared" si="2"/>
        <v>0</v>
      </c>
      <c r="M88" s="202" t="str">
        <f>VLOOKUP($E88,'Analysis Inputs'!$D$14:$U$67,7,FALSE)</f>
        <v>NA</v>
      </c>
      <c r="N88" s="202" t="s">
        <v>503</v>
      </c>
      <c r="O88" s="202" t="str">
        <f>VLOOKUP($E88,'Analysis Inputs'!$D$14:$U$67,8,FALSE)</f>
        <v>NA</v>
      </c>
      <c r="P88" s="202" t="s">
        <v>503</v>
      </c>
      <c r="Q88" s="405">
        <f t="shared" si="6"/>
        <v>-105068.89959648224</v>
      </c>
    </row>
    <row r="89" spans="2:19" ht="12.75" customHeight="1" x14ac:dyDescent="0.25">
      <c r="B89" s="47">
        <f t="shared" si="3"/>
        <v>0</v>
      </c>
      <c r="C89" s="47">
        <f t="shared" si="4"/>
        <v>13</v>
      </c>
      <c r="D89">
        <f t="shared" si="5"/>
        <v>0</v>
      </c>
      <c r="E89" s="7" t="s">
        <v>558</v>
      </c>
      <c r="F89" s="200">
        <f>VLOOKUP($E89,'Analysis Inputs'!$D$14:$U$67,10,FALSE)</f>
        <v>0</v>
      </c>
      <c r="G89" s="203">
        <f>VLOOKUP($E89,'Analysis Inputs'!$D$14:$U$67,4,FALSE)</f>
        <v>0</v>
      </c>
      <c r="H89" s="201">
        <f t="shared" si="7"/>
        <v>0</v>
      </c>
      <c r="I89" s="200">
        <f>VLOOKUP($E89,'Analysis Inputs'!$D$14:$U$67,5,FALSE)</f>
        <v>0</v>
      </c>
      <c r="J89" s="200">
        <f t="shared" si="1"/>
        <v>0</v>
      </c>
      <c r="K89" s="202">
        <f>VLOOKUP($E89,'Analysis Inputs'!$D$14:$U$67,6,FALSE)</f>
        <v>0</v>
      </c>
      <c r="L89" s="200">
        <f t="shared" si="2"/>
        <v>0</v>
      </c>
      <c r="M89" s="202" t="str">
        <f>VLOOKUP($E89,'Analysis Inputs'!$D$14:$U$67,7,FALSE)</f>
        <v>NA</v>
      </c>
      <c r="N89" s="202" t="s">
        <v>503</v>
      </c>
      <c r="O89" s="202" t="str">
        <f>VLOOKUP($E89,'Analysis Inputs'!$D$14:$U$67,8,FALSE)</f>
        <v>NA</v>
      </c>
      <c r="P89" s="202" t="s">
        <v>503</v>
      </c>
      <c r="Q89" s="405">
        <f t="shared" si="6"/>
        <v>0</v>
      </c>
    </row>
    <row r="90" spans="2:19" ht="12.75" customHeight="1" x14ac:dyDescent="0.25">
      <c r="B90" s="47">
        <f t="shared" si="3"/>
        <v>1</v>
      </c>
      <c r="C90" s="47">
        <f t="shared" ref="C90:C122" si="8">C89+B90</f>
        <v>14</v>
      </c>
      <c r="D90">
        <f t="shared" ref="D90:D122" si="9">C90*B90</f>
        <v>14</v>
      </c>
      <c r="E90" s="7" t="s">
        <v>646</v>
      </c>
      <c r="F90" s="200">
        <f>VLOOKUP($E90,'Analysis Inputs'!$D$14:$U$67,10,FALSE)</f>
        <v>107960.23499957993</v>
      </c>
      <c r="G90" s="203" t="str">
        <f>VLOOKUP($E90,'Analysis Inputs'!$D$14:$U$67,4,FALSE)</f>
        <v>NA</v>
      </c>
      <c r="H90" s="203" t="s">
        <v>503</v>
      </c>
      <c r="I90" s="200">
        <f>VLOOKUP($E90,'Analysis Inputs'!$D$14:$U$67,5,FALSE)</f>
        <v>107960.23499957993</v>
      </c>
      <c r="J90" s="200">
        <f t="shared" si="1"/>
        <v>51965.725480051471</v>
      </c>
      <c r="K90" s="202">
        <f>VLOOKUP($E90,'Analysis Inputs'!$D$14:$U$67,6,FALSE)</f>
        <v>0</v>
      </c>
      <c r="L90" s="200">
        <f t="shared" si="2"/>
        <v>0</v>
      </c>
      <c r="M90" s="202">
        <f>VLOOKUP($E90,'Analysis Inputs'!$D$14:$U$67,7,FALSE)</f>
        <v>0</v>
      </c>
      <c r="N90" s="200">
        <f>+M90*J33</f>
        <v>0</v>
      </c>
      <c r="O90" s="202">
        <f>VLOOKUP($E90,'Analysis Inputs'!$D$14:$U$67,8,FALSE)</f>
        <v>0</v>
      </c>
      <c r="P90" s="202">
        <f>IF(AND(K33="NA",O90&lt;&gt;0),"INPUT ERROR",IF(AND(K33="NA",O90=0),"NA",+O90*K33))</f>
        <v>0</v>
      </c>
      <c r="Q90" s="405">
        <f t="shared" si="6"/>
        <v>51965.725480051471</v>
      </c>
    </row>
    <row r="91" spans="2:19" ht="12.75" customHeight="1" x14ac:dyDescent="0.25">
      <c r="B91" s="47">
        <f t="shared" si="3"/>
        <v>1</v>
      </c>
      <c r="C91" s="47">
        <f t="shared" si="8"/>
        <v>15</v>
      </c>
      <c r="D91">
        <f t="shared" si="9"/>
        <v>15</v>
      </c>
      <c r="E91" s="7" t="s">
        <v>744</v>
      </c>
      <c r="F91" s="200">
        <f>VLOOKUP($E91,'Analysis Inputs'!$D$14:$U$67,10,FALSE)</f>
        <v>65275.449706659572</v>
      </c>
      <c r="G91" s="203" t="str">
        <f>VLOOKUP($E91,'Analysis Inputs'!$D$14:$U$67,4,FALSE)</f>
        <v>NA</v>
      </c>
      <c r="H91" s="203" t="s">
        <v>503</v>
      </c>
      <c r="I91" s="200">
        <f>VLOOKUP($E91,'Analysis Inputs'!$D$14:$U$67,5,FALSE)</f>
        <v>65275.449706659572</v>
      </c>
      <c r="J91" s="200">
        <f t="shared" si="1"/>
        <v>31419.773216095502</v>
      </c>
      <c r="K91" s="202">
        <f>VLOOKUP($E91,'Analysis Inputs'!$D$14:$U$67,6,FALSE)</f>
        <v>0</v>
      </c>
      <c r="L91" s="200">
        <f t="shared" si="2"/>
        <v>0</v>
      </c>
      <c r="M91" s="202">
        <f>VLOOKUP($E91,'Analysis Inputs'!$D$14:$U$67,7,FALSE)</f>
        <v>0</v>
      </c>
      <c r="N91" s="200">
        <f>+M91*J34</f>
        <v>0</v>
      </c>
      <c r="O91" s="202">
        <f>VLOOKUP($E91,'Analysis Inputs'!$D$14:$U$67,8,FALSE)</f>
        <v>0</v>
      </c>
      <c r="P91" s="202">
        <f t="shared" ref="P91:P101" si="10">IF(AND(K34="NA",O91&lt;&gt;0),"INPUT ERROR",IF(AND(K34="NA",O91=0),"NA",+O91*K34))</f>
        <v>0</v>
      </c>
      <c r="Q91" s="405">
        <f t="shared" si="6"/>
        <v>31419.773216095502</v>
      </c>
    </row>
    <row r="92" spans="2:19" ht="12.75" customHeight="1" x14ac:dyDescent="0.25">
      <c r="B92" s="47">
        <f t="shared" si="3"/>
        <v>0</v>
      </c>
      <c r="C92" s="47">
        <f t="shared" si="8"/>
        <v>15</v>
      </c>
      <c r="D92">
        <f t="shared" si="9"/>
        <v>0</v>
      </c>
      <c r="E92" s="7" t="s">
        <v>741</v>
      </c>
      <c r="F92" s="200">
        <f>VLOOKUP($E92,'Analysis Inputs'!$D$14:$U$67,10,FALSE)</f>
        <v>0</v>
      </c>
      <c r="G92" s="203" t="str">
        <f>VLOOKUP($E92,'Analysis Inputs'!$D$14:$U$67,4,FALSE)</f>
        <v>NA</v>
      </c>
      <c r="H92" s="203" t="s">
        <v>503</v>
      </c>
      <c r="I92" s="200">
        <f>VLOOKUP($E92,'Analysis Inputs'!$D$14:$U$67,5,FALSE)</f>
        <v>0</v>
      </c>
      <c r="J92" s="200">
        <f t="shared" si="1"/>
        <v>0</v>
      </c>
      <c r="K92" s="202">
        <f>VLOOKUP($E92,'Analysis Inputs'!$D$14:$U$67,6,FALSE)</f>
        <v>0</v>
      </c>
      <c r="L92" s="200">
        <f t="shared" si="2"/>
        <v>0</v>
      </c>
      <c r="M92" s="202">
        <f>VLOOKUP($E92,'Analysis Inputs'!$D$14:$U$67,7,FALSE)</f>
        <v>0</v>
      </c>
      <c r="N92" s="200">
        <f t="shared" ref="N92:N101" si="11">+M92*J35</f>
        <v>0</v>
      </c>
      <c r="O92" s="202">
        <f>VLOOKUP($E92,'Analysis Inputs'!$D$14:$U$67,8,FALSE)</f>
        <v>0</v>
      </c>
      <c r="P92" s="202">
        <f t="shared" si="10"/>
        <v>0</v>
      </c>
      <c r="Q92" s="405">
        <f t="shared" si="6"/>
        <v>0</v>
      </c>
    </row>
    <row r="93" spans="2:19" ht="12.75" customHeight="1" x14ac:dyDescent="0.25">
      <c r="B93" s="47">
        <f t="shared" si="3"/>
        <v>0</v>
      </c>
      <c r="C93" s="47">
        <f t="shared" si="8"/>
        <v>15</v>
      </c>
      <c r="D93">
        <f t="shared" si="9"/>
        <v>0</v>
      </c>
      <c r="E93" s="7" t="s">
        <v>742</v>
      </c>
      <c r="F93" s="200">
        <f>VLOOKUP($E93,'Analysis Inputs'!$D$14:$U$67,10,FALSE)</f>
        <v>0</v>
      </c>
      <c r="G93" s="203" t="str">
        <f>VLOOKUP($E93,'Analysis Inputs'!$D$14:$U$67,4,FALSE)</f>
        <v>NA</v>
      </c>
      <c r="H93" s="203" t="s">
        <v>503</v>
      </c>
      <c r="I93" s="200">
        <f>VLOOKUP($E93,'Analysis Inputs'!$D$14:$U$67,5,FALSE)</f>
        <v>0</v>
      </c>
      <c r="J93" s="200">
        <f t="shared" si="1"/>
        <v>0</v>
      </c>
      <c r="K93" s="202">
        <f>VLOOKUP($E93,'Analysis Inputs'!$D$14:$U$67,6,FALSE)</f>
        <v>0</v>
      </c>
      <c r="L93" s="200">
        <f t="shared" si="2"/>
        <v>0</v>
      </c>
      <c r="M93" s="202">
        <f>VLOOKUP($E93,'Analysis Inputs'!$D$14:$U$67,7,FALSE)</f>
        <v>0</v>
      </c>
      <c r="N93" s="200">
        <f t="shared" si="11"/>
        <v>0</v>
      </c>
      <c r="O93" s="202">
        <f>VLOOKUP($E93,'Analysis Inputs'!$D$14:$U$67,8,FALSE)</f>
        <v>0</v>
      </c>
      <c r="P93" s="202">
        <f t="shared" si="10"/>
        <v>0</v>
      </c>
      <c r="Q93" s="405">
        <f t="shared" si="6"/>
        <v>0</v>
      </c>
      <c r="S93" s="654"/>
    </row>
    <row r="94" spans="2:19" ht="12.75" customHeight="1" x14ac:dyDescent="0.25">
      <c r="B94" s="47">
        <f t="shared" si="3"/>
        <v>0</v>
      </c>
      <c r="C94" s="47">
        <f t="shared" si="8"/>
        <v>15</v>
      </c>
      <c r="D94">
        <f t="shared" si="9"/>
        <v>0</v>
      </c>
      <c r="E94" s="7" t="s">
        <v>649</v>
      </c>
      <c r="F94" s="200">
        <f>VLOOKUP($E94,'Analysis Inputs'!$D$14:$U$67,10,FALSE)</f>
        <v>0</v>
      </c>
      <c r="G94" s="203" t="str">
        <f>VLOOKUP($E94,'Analysis Inputs'!$D$14:$U$67,4,FALSE)</f>
        <v>NA</v>
      </c>
      <c r="H94" s="203" t="s">
        <v>503</v>
      </c>
      <c r="I94" s="200">
        <f>VLOOKUP($E94,'Analysis Inputs'!$D$14:$U$67,5,FALSE)</f>
        <v>0</v>
      </c>
      <c r="J94" s="200">
        <f t="shared" si="1"/>
        <v>0</v>
      </c>
      <c r="K94" s="202">
        <f>VLOOKUP($E94,'Analysis Inputs'!$D$14:$U$67,6,FALSE)</f>
        <v>0</v>
      </c>
      <c r="L94" s="200">
        <f t="shared" si="2"/>
        <v>0</v>
      </c>
      <c r="M94" s="202">
        <f>VLOOKUP($E94,'Analysis Inputs'!$D$14:$U$67,7,FALSE)</f>
        <v>0</v>
      </c>
      <c r="N94" s="200">
        <f t="shared" si="11"/>
        <v>0</v>
      </c>
      <c r="O94" s="202">
        <f>VLOOKUP($E94,'Analysis Inputs'!$D$14:$U$67,8,FALSE)</f>
        <v>0</v>
      </c>
      <c r="P94" s="202">
        <f t="shared" si="10"/>
        <v>0</v>
      </c>
      <c r="Q94" s="405">
        <f t="shared" si="6"/>
        <v>0</v>
      </c>
    </row>
    <row r="95" spans="2:19" ht="12.75" customHeight="1" x14ac:dyDescent="0.25">
      <c r="B95" s="47">
        <f t="shared" si="3"/>
        <v>0</v>
      </c>
      <c r="C95" s="47">
        <f t="shared" si="8"/>
        <v>15</v>
      </c>
      <c r="D95">
        <f t="shared" si="9"/>
        <v>0</v>
      </c>
      <c r="E95" s="7" t="s">
        <v>645</v>
      </c>
      <c r="F95" s="200">
        <f>VLOOKUP($E95,'Analysis Inputs'!$D$14:$U$67,10,FALSE)</f>
        <v>0</v>
      </c>
      <c r="G95" s="203" t="str">
        <f>VLOOKUP($E95,'Analysis Inputs'!$D$14:$U$67,4,FALSE)</f>
        <v>NA</v>
      </c>
      <c r="H95" s="203" t="s">
        <v>503</v>
      </c>
      <c r="I95" s="200">
        <f>VLOOKUP($E95,'Analysis Inputs'!$D$14:$U$67,5,FALSE)</f>
        <v>0</v>
      </c>
      <c r="J95" s="200">
        <f t="shared" si="1"/>
        <v>0</v>
      </c>
      <c r="K95" s="202">
        <f>VLOOKUP($E95,'Analysis Inputs'!$D$14:$U$67,6,FALSE)</f>
        <v>0</v>
      </c>
      <c r="L95" s="200">
        <f t="shared" si="2"/>
        <v>0</v>
      </c>
      <c r="M95" s="202">
        <f>VLOOKUP($E95,'Analysis Inputs'!$D$14:$U$67,7,FALSE)</f>
        <v>0</v>
      </c>
      <c r="N95" s="200">
        <f t="shared" si="11"/>
        <v>0</v>
      </c>
      <c r="O95" s="202">
        <f>VLOOKUP($E95,'Analysis Inputs'!$D$14:$U$67,8,FALSE)</f>
        <v>0</v>
      </c>
      <c r="P95" s="202">
        <f t="shared" si="10"/>
        <v>0</v>
      </c>
      <c r="Q95" s="405">
        <f t="shared" si="6"/>
        <v>0</v>
      </c>
    </row>
    <row r="96" spans="2:19" ht="12.75" customHeight="1" x14ac:dyDescent="0.25">
      <c r="B96" s="47">
        <f t="shared" si="3"/>
        <v>0</v>
      </c>
      <c r="C96" s="47">
        <f t="shared" si="8"/>
        <v>15</v>
      </c>
      <c r="D96">
        <f t="shared" si="9"/>
        <v>0</v>
      </c>
      <c r="E96" s="7" t="s">
        <v>647</v>
      </c>
      <c r="F96" s="200">
        <f>VLOOKUP($E96,'Analysis Inputs'!$D$14:$U$67,10,FALSE)</f>
        <v>0</v>
      </c>
      <c r="G96" s="203" t="str">
        <f>VLOOKUP($E96,'Analysis Inputs'!$D$14:$U$67,4,FALSE)</f>
        <v>NA</v>
      </c>
      <c r="H96" s="203" t="s">
        <v>503</v>
      </c>
      <c r="I96" s="200">
        <f>VLOOKUP($E96,'Analysis Inputs'!$D$14:$U$67,5,FALSE)</f>
        <v>0</v>
      </c>
      <c r="J96" s="200">
        <f t="shared" si="1"/>
        <v>0</v>
      </c>
      <c r="K96" s="202">
        <f>VLOOKUP($E96,'Analysis Inputs'!$D$14:$U$67,6,FALSE)</f>
        <v>0</v>
      </c>
      <c r="L96" s="200">
        <f t="shared" si="2"/>
        <v>0</v>
      </c>
      <c r="M96" s="202">
        <f>VLOOKUP($E96,'Analysis Inputs'!$D$14:$U$67,7,FALSE)</f>
        <v>0</v>
      </c>
      <c r="N96" s="200">
        <f t="shared" si="11"/>
        <v>0</v>
      </c>
      <c r="O96" s="202">
        <f>VLOOKUP($E96,'Analysis Inputs'!$D$14:$U$67,8,FALSE)</f>
        <v>0</v>
      </c>
      <c r="P96" s="202">
        <f t="shared" si="10"/>
        <v>0</v>
      </c>
      <c r="Q96" s="405">
        <f t="shared" si="6"/>
        <v>0</v>
      </c>
    </row>
    <row r="97" spans="2:17" ht="12.75" customHeight="1" x14ac:dyDescent="0.25">
      <c r="B97" s="47">
        <f t="shared" si="3"/>
        <v>0</v>
      </c>
      <c r="C97" s="47">
        <f t="shared" si="8"/>
        <v>15</v>
      </c>
      <c r="D97">
        <f t="shared" si="9"/>
        <v>0</v>
      </c>
      <c r="E97" s="7" t="s">
        <v>648</v>
      </c>
      <c r="F97" s="200">
        <f>VLOOKUP($E97,'Analysis Inputs'!$D$14:$U$67,10,FALSE)</f>
        <v>0</v>
      </c>
      <c r="G97" s="203" t="str">
        <f>VLOOKUP($E97,'Analysis Inputs'!$D$14:$U$67,4,FALSE)</f>
        <v>NA</v>
      </c>
      <c r="H97" s="203" t="s">
        <v>503</v>
      </c>
      <c r="I97" s="200">
        <f>VLOOKUP($E97,'Analysis Inputs'!$D$14:$U$67,5,FALSE)</f>
        <v>0</v>
      </c>
      <c r="J97" s="200">
        <f t="shared" si="1"/>
        <v>0</v>
      </c>
      <c r="K97" s="202">
        <f>VLOOKUP($E97,'Analysis Inputs'!$D$14:$U$67,6,FALSE)</f>
        <v>0</v>
      </c>
      <c r="L97" s="200">
        <f t="shared" si="2"/>
        <v>0</v>
      </c>
      <c r="M97" s="202">
        <f>VLOOKUP($E97,'Analysis Inputs'!$D$14:$U$67,7,FALSE)</f>
        <v>0</v>
      </c>
      <c r="N97" s="200">
        <f t="shared" si="11"/>
        <v>0</v>
      </c>
      <c r="O97" s="202">
        <f>VLOOKUP($E97,'Analysis Inputs'!$D$14:$U$67,8,FALSE)</f>
        <v>0</v>
      </c>
      <c r="P97" s="202">
        <f t="shared" si="10"/>
        <v>0</v>
      </c>
      <c r="Q97" s="405">
        <f t="shared" si="6"/>
        <v>0</v>
      </c>
    </row>
    <row r="98" spans="2:17" ht="12.75" customHeight="1" x14ac:dyDescent="0.25">
      <c r="B98" s="47">
        <f t="shared" si="3"/>
        <v>1</v>
      </c>
      <c r="C98" s="47">
        <f t="shared" si="8"/>
        <v>16</v>
      </c>
      <c r="D98">
        <f t="shared" si="9"/>
        <v>16</v>
      </c>
      <c r="E98" s="7" t="s">
        <v>580</v>
      </c>
      <c r="F98" s="200">
        <f>VLOOKUP($E98,'Analysis Inputs'!$D$14:$U$67,10,FALSE)</f>
        <v>34800.561320441149</v>
      </c>
      <c r="G98" s="203" t="str">
        <f>VLOOKUP($E98,'Analysis Inputs'!$D$14:$U$67,4,FALSE)</f>
        <v>NA</v>
      </c>
      <c r="H98" s="203" t="s">
        <v>503</v>
      </c>
      <c r="I98" s="200">
        <f>VLOOKUP($E98,'Analysis Inputs'!$D$14:$U$67,5,FALSE)</f>
        <v>34800.561320441149</v>
      </c>
      <c r="J98" s="200">
        <f t="shared" si="1"/>
        <v>-7158.6497694633435</v>
      </c>
      <c r="K98" s="202">
        <f>VLOOKUP($E98,'Analysis Inputs'!$D$14:$U$67,6,FALSE)</f>
        <v>0</v>
      </c>
      <c r="L98" s="200">
        <f t="shared" si="2"/>
        <v>0</v>
      </c>
      <c r="M98" s="202">
        <f>VLOOKUP($E98,'Analysis Inputs'!$D$14:$U$67,7,FALSE)</f>
        <v>0</v>
      </c>
      <c r="N98" s="200">
        <f t="shared" si="11"/>
        <v>0</v>
      </c>
      <c r="O98" s="202">
        <f>VLOOKUP($E98,'Analysis Inputs'!$D$14:$U$67,8,FALSE)</f>
        <v>0</v>
      </c>
      <c r="P98" s="202" t="str">
        <f t="shared" si="10"/>
        <v>NA</v>
      </c>
      <c r="Q98" s="405">
        <f t="shared" si="6"/>
        <v>-7158.6497694633435</v>
      </c>
    </row>
    <row r="99" spans="2:17" ht="12.75" customHeight="1" x14ac:dyDescent="0.25">
      <c r="B99" s="47">
        <f t="shared" si="3"/>
        <v>0</v>
      </c>
      <c r="C99" s="47">
        <f t="shared" si="8"/>
        <v>16</v>
      </c>
      <c r="D99">
        <f t="shared" si="9"/>
        <v>0</v>
      </c>
      <c r="E99" s="7" t="s">
        <v>521</v>
      </c>
      <c r="F99" s="200">
        <f>VLOOKUP($E99,'Analysis Inputs'!$D$14:$U$67,10,FALSE)</f>
        <v>0</v>
      </c>
      <c r="G99" s="203" t="str">
        <f>VLOOKUP($E99,'Analysis Inputs'!$D$14:$U$67,4,FALSE)</f>
        <v>NA</v>
      </c>
      <c r="H99" s="203" t="s">
        <v>503</v>
      </c>
      <c r="I99" s="200">
        <f>VLOOKUP($E99,'Analysis Inputs'!$D$14:$U$67,5,FALSE)</f>
        <v>0</v>
      </c>
      <c r="J99" s="200">
        <f t="shared" si="1"/>
        <v>0</v>
      </c>
      <c r="K99" s="202">
        <f>VLOOKUP($E99,'Analysis Inputs'!$D$14:$U$67,6,FALSE)</f>
        <v>0</v>
      </c>
      <c r="L99" s="200">
        <f t="shared" si="2"/>
        <v>0</v>
      </c>
      <c r="M99" s="202">
        <f>VLOOKUP($E99,'Analysis Inputs'!$D$14:$U$67,7,FALSE)</f>
        <v>0</v>
      </c>
      <c r="N99" s="200">
        <f t="shared" si="11"/>
        <v>0</v>
      </c>
      <c r="O99" s="202">
        <f>VLOOKUP($E99,'Analysis Inputs'!$D$14:$U$67,8,FALSE)</f>
        <v>0</v>
      </c>
      <c r="P99" s="202" t="str">
        <f t="shared" si="10"/>
        <v>NA</v>
      </c>
      <c r="Q99" s="405">
        <f t="shared" si="6"/>
        <v>0</v>
      </c>
    </row>
    <row r="100" spans="2:17" ht="12.75" customHeight="1" x14ac:dyDescent="0.25">
      <c r="B100" s="47">
        <f t="shared" si="3"/>
        <v>0</v>
      </c>
      <c r="C100" s="47">
        <f t="shared" si="8"/>
        <v>16</v>
      </c>
      <c r="D100">
        <f t="shared" si="9"/>
        <v>0</v>
      </c>
      <c r="E100" s="7" t="s">
        <v>522</v>
      </c>
      <c r="F100" s="200">
        <f>VLOOKUP($E100,'Analysis Inputs'!$D$14:$U$67,10,FALSE)</f>
        <v>0</v>
      </c>
      <c r="G100" s="203" t="str">
        <f>VLOOKUP($E100,'Analysis Inputs'!$D$14:$U$67,4,FALSE)</f>
        <v>NA</v>
      </c>
      <c r="H100" s="203" t="s">
        <v>503</v>
      </c>
      <c r="I100" s="200">
        <f>VLOOKUP($E100,'Analysis Inputs'!$D$14:$U$67,5,FALSE)</f>
        <v>0</v>
      </c>
      <c r="J100" s="200">
        <f t="shared" si="1"/>
        <v>0</v>
      </c>
      <c r="K100" s="202">
        <f>VLOOKUP($E100,'Analysis Inputs'!$D$14:$U$67,6,FALSE)</f>
        <v>0</v>
      </c>
      <c r="L100" s="200">
        <f t="shared" si="2"/>
        <v>0</v>
      </c>
      <c r="M100" s="202">
        <f>VLOOKUP($E100,'Analysis Inputs'!$D$14:$U$67,7,FALSE)</f>
        <v>0</v>
      </c>
      <c r="N100" s="200">
        <f t="shared" si="11"/>
        <v>0</v>
      </c>
      <c r="O100" s="202">
        <f>VLOOKUP($E100,'Analysis Inputs'!$D$14:$U$67,8,FALSE)</f>
        <v>0</v>
      </c>
      <c r="P100" s="202" t="str">
        <f>IF(AND(K43="NA",O100&lt;&gt;0),"INPUT ERROR",IF(AND(K43="NA",O100=0),"NA",+O100*K43))</f>
        <v>NA</v>
      </c>
      <c r="Q100" s="405">
        <f t="shared" si="6"/>
        <v>0</v>
      </c>
    </row>
    <row r="101" spans="2:17" ht="12.75" customHeight="1" x14ac:dyDescent="0.25">
      <c r="B101" s="47">
        <f t="shared" si="3"/>
        <v>1</v>
      </c>
      <c r="C101" s="47">
        <f t="shared" si="8"/>
        <v>17</v>
      </c>
      <c r="D101">
        <f t="shared" si="9"/>
        <v>17</v>
      </c>
      <c r="E101" s="7" t="s">
        <v>523</v>
      </c>
      <c r="F101" s="200">
        <f>VLOOKUP($E101,'Analysis Inputs'!$D$14:$U$67,10,FALSE)</f>
        <v>2781.912059757693</v>
      </c>
      <c r="G101" s="203" t="str">
        <f>VLOOKUP($E101,'Analysis Inputs'!$D$14:$U$67,4,FALSE)</f>
        <v>NA</v>
      </c>
      <c r="H101" s="203" t="s">
        <v>503</v>
      </c>
      <c r="I101" s="200">
        <f>VLOOKUP($E101,'Analysis Inputs'!$D$14:$U$67,5,FALSE)</f>
        <v>2781.912059757693</v>
      </c>
      <c r="J101" s="200">
        <f t="shared" ref="J101:J122" si="12">+I101*H44</f>
        <v>-1084.3822031246116</v>
      </c>
      <c r="K101" s="202">
        <f>VLOOKUP($E101,'Analysis Inputs'!$D$14:$U$67,6,FALSE)</f>
        <v>0</v>
      </c>
      <c r="L101" s="200">
        <f t="shared" si="2"/>
        <v>0</v>
      </c>
      <c r="M101" s="202">
        <f>VLOOKUP($E101,'Analysis Inputs'!$D$14:$U$67,7,FALSE)</f>
        <v>0</v>
      </c>
      <c r="N101" s="200">
        <f t="shared" si="11"/>
        <v>0</v>
      </c>
      <c r="O101" s="202">
        <f>VLOOKUP($E101,'Analysis Inputs'!$D$14:$U$67,8,FALSE)</f>
        <v>0</v>
      </c>
      <c r="P101" s="202" t="str">
        <f t="shared" si="10"/>
        <v>NA</v>
      </c>
      <c r="Q101" s="405">
        <f t="shared" si="6"/>
        <v>-1084.3822031246116</v>
      </c>
    </row>
    <row r="102" spans="2:17" ht="12.75" customHeight="1" x14ac:dyDescent="0.25">
      <c r="B102" s="47">
        <f t="shared" si="3"/>
        <v>1</v>
      </c>
      <c r="C102" s="47">
        <f t="shared" si="8"/>
        <v>18</v>
      </c>
      <c r="D102">
        <f t="shared" si="9"/>
        <v>18</v>
      </c>
      <c r="E102" s="7" t="s">
        <v>583</v>
      </c>
      <c r="F102" s="200">
        <f>VLOOKUP($E102,'Analysis Inputs'!$D$14:$U$67,10,FALSE)</f>
        <v>93768.529977279337</v>
      </c>
      <c r="G102" s="203">
        <f>VLOOKUP($E102,'Analysis Inputs'!$D$14:$U$67,4,FALSE)</f>
        <v>0</v>
      </c>
      <c r="H102" s="201">
        <f t="shared" ref="H102:H107" si="13">+G102*G45</f>
        <v>0</v>
      </c>
      <c r="I102" s="200">
        <f>VLOOKUP($E102,'Analysis Inputs'!$D$14:$U$67,5,FALSE)</f>
        <v>93768.529977279337</v>
      </c>
      <c r="J102" s="200">
        <f t="shared" si="12"/>
        <v>26824.568902585113</v>
      </c>
      <c r="K102" s="202">
        <f>VLOOKUP($E102,'Analysis Inputs'!$D$14:$U$67,6,FALSE)</f>
        <v>0</v>
      </c>
      <c r="L102" s="200">
        <f t="shared" si="2"/>
        <v>0</v>
      </c>
      <c r="M102" s="202" t="str">
        <f>VLOOKUP($E102,'Analysis Inputs'!$D$14:$U$67,7,FALSE)</f>
        <v>NA</v>
      </c>
      <c r="N102" s="202" t="s">
        <v>503</v>
      </c>
      <c r="O102" s="202" t="str">
        <f>VLOOKUP($E102,'Analysis Inputs'!$D$14:$U$67,8,FALSE)</f>
        <v>NA</v>
      </c>
      <c r="P102" s="202" t="s">
        <v>503</v>
      </c>
      <c r="Q102" s="405">
        <f t="shared" si="6"/>
        <v>26824.568902585113</v>
      </c>
    </row>
    <row r="103" spans="2:17" ht="12.75" customHeight="1" x14ac:dyDescent="0.25">
      <c r="B103" s="47">
        <f t="shared" si="3"/>
        <v>0</v>
      </c>
      <c r="C103" s="47">
        <f t="shared" si="8"/>
        <v>18</v>
      </c>
      <c r="D103">
        <f t="shared" si="9"/>
        <v>0</v>
      </c>
      <c r="E103" s="7" t="s">
        <v>584</v>
      </c>
      <c r="F103" s="200">
        <f>VLOOKUP($E103,'Analysis Inputs'!$D$14:$U$67,10,FALSE)</f>
        <v>0</v>
      </c>
      <c r="G103" s="203">
        <f>VLOOKUP($E103,'Analysis Inputs'!$D$14:$U$67,4,FALSE)</f>
        <v>0</v>
      </c>
      <c r="H103" s="201">
        <f t="shared" si="13"/>
        <v>0</v>
      </c>
      <c r="I103" s="200">
        <f>VLOOKUP($E103,'Analysis Inputs'!$D$14:$U$67,5,FALSE)</f>
        <v>0</v>
      </c>
      <c r="J103" s="200">
        <f t="shared" si="12"/>
        <v>0</v>
      </c>
      <c r="K103" s="202">
        <f>VLOOKUP($E103,'Analysis Inputs'!$D$14:$U$67,6,FALSE)</f>
        <v>0</v>
      </c>
      <c r="L103" s="200">
        <f t="shared" si="2"/>
        <v>0</v>
      </c>
      <c r="M103" s="202" t="str">
        <f>VLOOKUP($E103,'Analysis Inputs'!$D$14:$U$67,7,FALSE)</f>
        <v>NA</v>
      </c>
      <c r="N103" s="202" t="s">
        <v>503</v>
      </c>
      <c r="O103" s="202" t="str">
        <f>VLOOKUP($E103,'Analysis Inputs'!$D$14:$U$67,8,FALSE)</f>
        <v>NA</v>
      </c>
      <c r="P103" s="202" t="s">
        <v>503</v>
      </c>
      <c r="Q103" s="405">
        <f t="shared" si="6"/>
        <v>0</v>
      </c>
    </row>
    <row r="104" spans="2:17" ht="12.75" customHeight="1" x14ac:dyDescent="0.25">
      <c r="B104" s="47">
        <f t="shared" si="3"/>
        <v>0</v>
      </c>
      <c r="C104" s="47">
        <f t="shared" si="8"/>
        <v>18</v>
      </c>
      <c r="D104">
        <f t="shared" si="9"/>
        <v>0</v>
      </c>
      <c r="E104" s="7" t="s">
        <v>585</v>
      </c>
      <c r="F104" s="200">
        <f>VLOOKUP($E104,'Analysis Inputs'!$D$14:$U$67,10,FALSE)</f>
        <v>0</v>
      </c>
      <c r="G104" s="203">
        <f>VLOOKUP($E104,'Analysis Inputs'!$D$14:$U$67,4,FALSE)</f>
        <v>0</v>
      </c>
      <c r="H104" s="201">
        <f t="shared" si="13"/>
        <v>0</v>
      </c>
      <c r="I104" s="200">
        <f>VLOOKUP($E104,'Analysis Inputs'!$D$14:$U$67,5,FALSE)</f>
        <v>0</v>
      </c>
      <c r="J104" s="200">
        <f t="shared" si="12"/>
        <v>0</v>
      </c>
      <c r="K104" s="202">
        <f>VLOOKUP($E104,'Analysis Inputs'!$D$14:$U$67,6,FALSE)</f>
        <v>0</v>
      </c>
      <c r="L104" s="200">
        <f t="shared" si="2"/>
        <v>0</v>
      </c>
      <c r="M104" s="202" t="str">
        <f>VLOOKUP($E104,'Analysis Inputs'!$D$14:$U$67,7,FALSE)</f>
        <v>NA</v>
      </c>
      <c r="N104" s="202" t="s">
        <v>503</v>
      </c>
      <c r="O104" s="202" t="str">
        <f>VLOOKUP($E104,'Analysis Inputs'!$D$14:$U$67,8,FALSE)</f>
        <v>NA</v>
      </c>
      <c r="P104" s="202" t="s">
        <v>503</v>
      </c>
      <c r="Q104" s="405">
        <f t="shared" si="6"/>
        <v>0</v>
      </c>
    </row>
    <row r="105" spans="2:17" ht="12.75" customHeight="1" x14ac:dyDescent="0.25">
      <c r="B105" s="47">
        <f t="shared" si="3"/>
        <v>1</v>
      </c>
      <c r="C105" s="47">
        <f t="shared" si="8"/>
        <v>19</v>
      </c>
      <c r="D105">
        <f t="shared" si="9"/>
        <v>19</v>
      </c>
      <c r="E105" s="7" t="s">
        <v>633</v>
      </c>
      <c r="F105" s="200">
        <f>VLOOKUP($E105,'Analysis Inputs'!$D$14:$U$67,10,FALSE)</f>
        <v>31048.613761431894</v>
      </c>
      <c r="G105" s="203">
        <f>VLOOKUP($E105,'Analysis Inputs'!$D$14:$U$67,4,FALSE)</f>
        <v>0</v>
      </c>
      <c r="H105" s="201">
        <f t="shared" si="13"/>
        <v>0</v>
      </c>
      <c r="I105" s="200">
        <f>VLOOKUP($E105,'Analysis Inputs'!$D$14:$U$67,5,FALSE)</f>
        <v>31048.613761431894</v>
      </c>
      <c r="J105" s="200">
        <f t="shared" si="12"/>
        <v>628.87474173852524</v>
      </c>
      <c r="K105" s="202">
        <f>VLOOKUP($E105,'Analysis Inputs'!$D$14:$U$67,6,FALSE)</f>
        <v>0</v>
      </c>
      <c r="L105" s="200">
        <f t="shared" si="2"/>
        <v>0</v>
      </c>
      <c r="M105" s="202" t="str">
        <f>VLOOKUP($E105,'Analysis Inputs'!$D$14:$U$67,7,FALSE)</f>
        <v>NA</v>
      </c>
      <c r="N105" s="202" t="s">
        <v>503</v>
      </c>
      <c r="O105" s="202" t="str">
        <f>VLOOKUP($E105,'Analysis Inputs'!$D$14:$U$67,8,FALSE)</f>
        <v>NA</v>
      </c>
      <c r="P105" s="202" t="s">
        <v>503</v>
      </c>
      <c r="Q105" s="405">
        <f t="shared" si="6"/>
        <v>628.87474173852524</v>
      </c>
    </row>
    <row r="106" spans="2:17" ht="12.75" customHeight="1" x14ac:dyDescent="0.25">
      <c r="B106" s="47">
        <f t="shared" si="3"/>
        <v>1</v>
      </c>
      <c r="C106" s="47">
        <f t="shared" si="8"/>
        <v>20</v>
      </c>
      <c r="D106">
        <f t="shared" si="9"/>
        <v>20</v>
      </c>
      <c r="E106" s="7" t="s">
        <v>386</v>
      </c>
      <c r="F106" s="200">
        <f>VLOOKUP($E106,'Analysis Inputs'!$D$14:$U$67,10,FALSE)</f>
        <v>65431.449481739066</v>
      </c>
      <c r="G106" s="203">
        <f>VLOOKUP($E106,'Analysis Inputs'!$D$14:$U$67,4,FALSE)</f>
        <v>0</v>
      </c>
      <c r="H106" s="201">
        <f t="shared" si="13"/>
        <v>0</v>
      </c>
      <c r="I106" s="200">
        <f>VLOOKUP($E106,'Analysis Inputs'!$D$14:$U$67,5,FALSE)</f>
        <v>65431.449481739066</v>
      </c>
      <c r="J106" s="200">
        <f t="shared" si="12"/>
        <v>1325.282545964086</v>
      </c>
      <c r="K106" s="202">
        <f>VLOOKUP($E106,'Analysis Inputs'!$D$14:$U$67,6,FALSE)</f>
        <v>0</v>
      </c>
      <c r="L106" s="200">
        <f t="shared" si="2"/>
        <v>0</v>
      </c>
      <c r="M106" s="202" t="str">
        <f>VLOOKUP($E106,'Analysis Inputs'!$D$14:$U$67,7,FALSE)</f>
        <v>NA</v>
      </c>
      <c r="N106" s="202" t="s">
        <v>503</v>
      </c>
      <c r="O106" s="202" t="str">
        <f>VLOOKUP($E106,'Analysis Inputs'!$D$14:$U$67,8,FALSE)</f>
        <v>NA</v>
      </c>
      <c r="P106" s="202" t="s">
        <v>503</v>
      </c>
      <c r="Q106" s="405">
        <f t="shared" si="6"/>
        <v>1325.282545964086</v>
      </c>
    </row>
    <row r="107" spans="2:17" ht="12.75" customHeight="1" x14ac:dyDescent="0.25">
      <c r="B107" s="47">
        <f t="shared" si="3"/>
        <v>0</v>
      </c>
      <c r="C107" s="47">
        <f t="shared" si="8"/>
        <v>20</v>
      </c>
      <c r="D107">
        <f t="shared" si="9"/>
        <v>0</v>
      </c>
      <c r="E107" s="7" t="s">
        <v>272</v>
      </c>
      <c r="F107" s="200">
        <f>VLOOKUP($E107,'Analysis Inputs'!$D$14:$U$67,10,FALSE)</f>
        <v>0</v>
      </c>
      <c r="G107" s="203">
        <f>VLOOKUP($E107,'Analysis Inputs'!$D$14:$U$67,4,FALSE)</f>
        <v>0</v>
      </c>
      <c r="H107" s="201">
        <f t="shared" si="13"/>
        <v>0</v>
      </c>
      <c r="I107" s="200">
        <f>VLOOKUP($E107,'Analysis Inputs'!$D$14:$U$67,5,FALSE)</f>
        <v>0</v>
      </c>
      <c r="J107" s="200">
        <f>+I107*H50</f>
        <v>0</v>
      </c>
      <c r="K107" s="202">
        <f>VLOOKUP($E107,'Analysis Inputs'!$D$14:$U$67,6,FALSE)</f>
        <v>0</v>
      </c>
      <c r="L107" s="200">
        <f t="shared" si="2"/>
        <v>0</v>
      </c>
      <c r="M107" s="202" t="str">
        <f>VLOOKUP($E107,'Analysis Inputs'!$D$14:$U$67,7,FALSE)</f>
        <v>NA</v>
      </c>
      <c r="N107" s="202" t="s">
        <v>503</v>
      </c>
      <c r="O107" s="202" t="str">
        <f>VLOOKUP($E107,'Analysis Inputs'!$D$14:$U$67,8,FALSE)</f>
        <v>NA</v>
      </c>
      <c r="P107" s="202" t="s">
        <v>503</v>
      </c>
      <c r="Q107" s="405">
        <f t="shared" si="6"/>
        <v>0</v>
      </c>
    </row>
    <row r="108" spans="2:17" ht="12.75" customHeight="1" x14ac:dyDescent="0.25">
      <c r="B108" s="47">
        <f t="shared" si="3"/>
        <v>0</v>
      </c>
      <c r="C108" s="47">
        <f t="shared" si="8"/>
        <v>20</v>
      </c>
      <c r="D108">
        <f t="shared" si="9"/>
        <v>0</v>
      </c>
      <c r="E108" s="7" t="s">
        <v>740</v>
      </c>
      <c r="F108" s="200">
        <f>VLOOKUP($E108,'Analysis Inputs'!$D$14:$U$67,10,FALSE)</f>
        <v>0</v>
      </c>
      <c r="G108" s="203" t="str">
        <f>VLOOKUP($E108,'Analysis Inputs'!$D$14:$U$67,4,FALSE)</f>
        <v>NA</v>
      </c>
      <c r="H108" s="203" t="s">
        <v>503</v>
      </c>
      <c r="I108" s="200">
        <f>VLOOKUP($E108,'Analysis Inputs'!$D$14:$U$67,5,FALSE)</f>
        <v>0</v>
      </c>
      <c r="J108" s="200">
        <f t="shared" si="12"/>
        <v>0</v>
      </c>
      <c r="K108" s="202">
        <f>VLOOKUP($E108,'Analysis Inputs'!$D$14:$U$67,6,FALSE)</f>
        <v>0</v>
      </c>
      <c r="L108" s="200">
        <f t="shared" si="2"/>
        <v>0</v>
      </c>
      <c r="M108" s="202">
        <f>VLOOKUP($E108,'Analysis Inputs'!$D$14:$U$67,7,FALSE)</f>
        <v>0</v>
      </c>
      <c r="N108" s="200">
        <f>+M108*J51</f>
        <v>0</v>
      </c>
      <c r="O108" s="202">
        <f>VLOOKUP($E108,'Analysis Inputs'!$D$14:$U$67,8,FALSE)</f>
        <v>0</v>
      </c>
      <c r="P108" s="202">
        <f>IF(AND(K51="NA",O108&lt;&gt;0),"INPUT ERROR",IF(AND(K51="NA",O108=0),"NA",+O108*K51))</f>
        <v>0</v>
      </c>
      <c r="Q108" s="405">
        <f t="shared" si="6"/>
        <v>0</v>
      </c>
    </row>
    <row r="109" spans="2:17" ht="12.75" customHeight="1" x14ac:dyDescent="0.25">
      <c r="B109" s="47">
        <f t="shared" si="3"/>
        <v>0</v>
      </c>
      <c r="C109" s="47">
        <f t="shared" si="8"/>
        <v>20</v>
      </c>
      <c r="D109">
        <f t="shared" si="9"/>
        <v>0</v>
      </c>
      <c r="E109" s="7" t="s">
        <v>385</v>
      </c>
      <c r="F109" s="200">
        <f>VLOOKUP($E109,'Analysis Inputs'!$D$14:$U$67,10,FALSE)</f>
        <v>0</v>
      </c>
      <c r="G109" s="203" t="str">
        <f>VLOOKUP($E109,'Analysis Inputs'!$D$14:$U$67,4,FALSE)</f>
        <v>NA</v>
      </c>
      <c r="H109" s="203" t="s">
        <v>503</v>
      </c>
      <c r="I109" s="200">
        <f>VLOOKUP($E109,'Analysis Inputs'!$D$14:$U$67,5,FALSE)</f>
        <v>0</v>
      </c>
      <c r="J109" s="202">
        <f t="shared" si="12"/>
        <v>0</v>
      </c>
      <c r="K109" s="202">
        <f>VLOOKUP($E109,'Analysis Inputs'!$D$14:$U$67,6,FALSE)</f>
        <v>0</v>
      </c>
      <c r="L109" s="202">
        <f t="shared" si="2"/>
        <v>0</v>
      </c>
      <c r="M109" s="202">
        <f>VLOOKUP($E109,'Analysis Inputs'!$D$14:$U$67,7,FALSE)</f>
        <v>0</v>
      </c>
      <c r="N109" s="200">
        <f>+M109*J52</f>
        <v>0</v>
      </c>
      <c r="O109" s="202">
        <f>VLOOKUP($E109,'Analysis Inputs'!$D$14:$U$67,8,FALSE)</f>
        <v>0</v>
      </c>
      <c r="P109" s="202" t="str">
        <f>IF(AND(K52="NA",O109&lt;&gt;0),"INPUT ERROR",IF(AND(K52="NA",O109=0),"NA",+O109*K52))</f>
        <v>NA</v>
      </c>
      <c r="Q109" s="405">
        <f t="shared" si="6"/>
        <v>0</v>
      </c>
    </row>
    <row r="110" spans="2:17" ht="12.75" customHeight="1" x14ac:dyDescent="0.25">
      <c r="B110" s="47">
        <f t="shared" si="3"/>
        <v>1</v>
      </c>
      <c r="C110" s="47">
        <f t="shared" si="8"/>
        <v>21</v>
      </c>
      <c r="D110">
        <f t="shared" si="9"/>
        <v>21</v>
      </c>
      <c r="E110" s="7" t="s">
        <v>574</v>
      </c>
      <c r="F110" s="200">
        <f>VLOOKUP($E110,'Analysis Inputs'!$D$14:$U$67,10,FALSE)</f>
        <v>186408.24273021927</v>
      </c>
      <c r="G110" s="203" t="str">
        <f>VLOOKUP($E110,'Analysis Inputs'!$D$14:$U$67,4,FALSE)</f>
        <v>NA</v>
      </c>
      <c r="H110" s="203" t="s">
        <v>503</v>
      </c>
      <c r="I110" s="200">
        <f>VLOOKUP($E110,'Analysis Inputs'!$D$14:$U$67,5,FALSE)</f>
        <v>186408.24273021927</v>
      </c>
      <c r="J110" s="202">
        <f t="shared" si="12"/>
        <v>82195.520819316167</v>
      </c>
      <c r="K110" s="202">
        <f>VLOOKUP($E110,'Analysis Inputs'!$D$14:$U$67,6,FALSE)</f>
        <v>0</v>
      </c>
      <c r="L110" s="202">
        <f t="shared" si="2"/>
        <v>0</v>
      </c>
      <c r="M110" s="202" t="str">
        <f>VLOOKUP($E110,'Analysis Inputs'!$D$14:$U$67,7,FALSE)</f>
        <v>NA</v>
      </c>
      <c r="N110" s="202" t="s">
        <v>503</v>
      </c>
      <c r="O110" s="202" t="str">
        <f>VLOOKUP($E110,'Analysis Inputs'!$D$14:$U$67,8,FALSE)</f>
        <v>NA</v>
      </c>
      <c r="P110" s="202" t="s">
        <v>503</v>
      </c>
      <c r="Q110" s="405">
        <f t="shared" si="6"/>
        <v>82195.520819316167</v>
      </c>
    </row>
    <row r="111" spans="2:17" ht="12.75" customHeight="1" x14ac:dyDescent="0.25">
      <c r="B111" s="47">
        <f t="shared" si="3"/>
        <v>1</v>
      </c>
      <c r="C111" s="47">
        <f t="shared" si="8"/>
        <v>22</v>
      </c>
      <c r="D111">
        <f t="shared" si="9"/>
        <v>22</v>
      </c>
      <c r="E111" s="7" t="s">
        <v>573</v>
      </c>
      <c r="F111" s="200">
        <f>VLOOKUP($E111,'Analysis Inputs'!$D$14:$U$67,10,FALSE)</f>
        <v>17777.945134258178</v>
      </c>
      <c r="G111" s="203">
        <f>VLOOKUP($E111,'Analysis Inputs'!$D$14:$U$67,4,FALSE)</f>
        <v>0</v>
      </c>
      <c r="H111" s="203">
        <f>+G111*G54</f>
        <v>0</v>
      </c>
      <c r="I111" s="200">
        <f>VLOOKUP($E111,'Analysis Inputs'!$D$14:$U$67,5,FALSE)</f>
        <v>17777.945134258178</v>
      </c>
      <c r="J111" s="202">
        <f t="shared" si="12"/>
        <v>360.08373001296536</v>
      </c>
      <c r="K111" s="202">
        <f>VLOOKUP($E111,'Analysis Inputs'!$D$14:$U$67,6,FALSE)</f>
        <v>0</v>
      </c>
      <c r="L111" s="202">
        <f t="shared" si="2"/>
        <v>0</v>
      </c>
      <c r="M111" s="202" t="str">
        <f>VLOOKUP($E111,'Analysis Inputs'!$D$14:$U$67,7,FALSE)</f>
        <v>NA</v>
      </c>
      <c r="N111" s="202" t="s">
        <v>503</v>
      </c>
      <c r="O111" s="202" t="str">
        <f>VLOOKUP($E111,'Analysis Inputs'!$D$14:$U$67,8,FALSE)</f>
        <v>NA</v>
      </c>
      <c r="P111" s="202" t="s">
        <v>503</v>
      </c>
      <c r="Q111" s="405">
        <f t="shared" si="6"/>
        <v>360.08373001296536</v>
      </c>
    </row>
    <row r="112" spans="2:17" ht="12.75" customHeight="1" x14ac:dyDescent="0.25">
      <c r="B112" s="47">
        <f t="shared" si="3"/>
        <v>1</v>
      </c>
      <c r="C112" s="47">
        <f t="shared" si="8"/>
        <v>23</v>
      </c>
      <c r="D112">
        <f t="shared" si="9"/>
        <v>23</v>
      </c>
      <c r="E112" s="7" t="s">
        <v>423</v>
      </c>
      <c r="F112" s="200">
        <f>VLOOKUP($E112,'Analysis Inputs'!$D$14:$U$67,10,FALSE)</f>
        <v>3566.6261698317612</v>
      </c>
      <c r="G112" s="203">
        <f>VLOOKUP($E112,'Analysis Inputs'!$D$14:$U$67,4,FALSE)</f>
        <v>0</v>
      </c>
      <c r="H112" s="203">
        <f>+G112*G55</f>
        <v>0</v>
      </c>
      <c r="I112" s="200">
        <f>VLOOKUP($E112,'Analysis Inputs'!$D$14:$U$67,5,FALSE)</f>
        <v>3566.6261698317612</v>
      </c>
      <c r="J112" s="202">
        <f t="shared" si="12"/>
        <v>72.240298026348142</v>
      </c>
      <c r="K112" s="202">
        <f>VLOOKUP($E112,'Analysis Inputs'!$D$14:$U$67,6,FALSE)</f>
        <v>0</v>
      </c>
      <c r="L112" s="202">
        <f t="shared" si="2"/>
        <v>0</v>
      </c>
      <c r="M112" s="202" t="str">
        <f>VLOOKUP($E112,'Analysis Inputs'!$D$14:$U$67,7,FALSE)</f>
        <v>NA</v>
      </c>
      <c r="N112" s="202" t="s">
        <v>503</v>
      </c>
      <c r="O112" s="202" t="str">
        <f>VLOOKUP($E112,'Analysis Inputs'!$D$14:$U$67,8,FALSE)</f>
        <v>NA</v>
      </c>
      <c r="P112" s="202" t="s">
        <v>503</v>
      </c>
      <c r="Q112" s="405">
        <f t="shared" si="6"/>
        <v>72.240298026348142</v>
      </c>
    </row>
    <row r="113" spans="2:19" ht="12.75" customHeight="1" x14ac:dyDescent="0.25">
      <c r="B113" s="47">
        <f t="shared" si="3"/>
        <v>0</v>
      </c>
      <c r="C113" s="47">
        <f t="shared" si="8"/>
        <v>23</v>
      </c>
      <c r="D113">
        <f t="shared" si="9"/>
        <v>0</v>
      </c>
      <c r="E113" s="117" t="s">
        <v>455</v>
      </c>
      <c r="F113" s="200">
        <f>VLOOKUP($E113,'Analysis Inputs'!$D$14:$U$67,10,FALSE)</f>
        <v>0</v>
      </c>
      <c r="G113" s="203" t="str">
        <f>VLOOKUP($E113,'Analysis Inputs'!$D$14:$U$67,4,FALSE)</f>
        <v>NA</v>
      </c>
      <c r="H113" s="203" t="s">
        <v>503</v>
      </c>
      <c r="I113" s="200">
        <f>VLOOKUP($E113,'Analysis Inputs'!$D$14:$U$67,5,FALSE)</f>
        <v>0</v>
      </c>
      <c r="J113" s="202">
        <f t="shared" si="12"/>
        <v>0</v>
      </c>
      <c r="K113" s="202" t="str">
        <f>VLOOKUP($E113,'Analysis Inputs'!$D$14:$U$67,6,FALSE)</f>
        <v>NA</v>
      </c>
      <c r="L113" s="202" t="s">
        <v>503</v>
      </c>
      <c r="M113" s="202" t="str">
        <f>VLOOKUP($E113,'Analysis Inputs'!$D$14:$U$67,7,FALSE)</f>
        <v>NA</v>
      </c>
      <c r="N113" s="202" t="s">
        <v>503</v>
      </c>
      <c r="O113" s="202" t="str">
        <f>VLOOKUP($E113,'Analysis Inputs'!$D$14:$U$67,8,FALSE)</f>
        <v>NA</v>
      </c>
      <c r="P113" s="202" t="s">
        <v>503</v>
      </c>
      <c r="Q113" s="405">
        <f t="shared" si="6"/>
        <v>0</v>
      </c>
    </row>
    <row r="114" spans="2:19" ht="12.75" customHeight="1" x14ac:dyDescent="0.25">
      <c r="B114" s="47">
        <f t="shared" si="3"/>
        <v>0</v>
      </c>
      <c r="C114" s="47">
        <f t="shared" si="8"/>
        <v>23</v>
      </c>
      <c r="D114">
        <f t="shared" si="9"/>
        <v>0</v>
      </c>
      <c r="E114" s="117" t="s">
        <v>476</v>
      </c>
      <c r="F114" s="200">
        <f>VLOOKUP($E114,'Analysis Inputs'!$D$14:$U$67,10,FALSE)</f>
        <v>0</v>
      </c>
      <c r="G114" s="203">
        <f>VLOOKUP($E114,'Analysis Inputs'!$D$14:$U$67,4,FALSE)</f>
        <v>0</v>
      </c>
      <c r="H114" s="203">
        <f t="shared" ref="H114:H119" si="14">+G114*G57</f>
        <v>0</v>
      </c>
      <c r="I114" s="200">
        <f>VLOOKUP($E114,'Analysis Inputs'!$D$14:$U$67,5,FALSE)</f>
        <v>0</v>
      </c>
      <c r="J114" s="202">
        <f t="shared" si="12"/>
        <v>0</v>
      </c>
      <c r="K114" s="202" t="str">
        <f>VLOOKUP($E114,'Analysis Inputs'!$D$14:$U$67,6,FALSE)</f>
        <v>NA</v>
      </c>
      <c r="L114" s="202" t="s">
        <v>503</v>
      </c>
      <c r="M114" s="202" t="str">
        <f>VLOOKUP($E114,'Analysis Inputs'!$D$14:$U$67,7,FALSE)</f>
        <v>NA</v>
      </c>
      <c r="N114" s="202" t="s">
        <v>503</v>
      </c>
      <c r="O114" s="202" t="str">
        <f>VLOOKUP($E114,'Analysis Inputs'!$D$14:$U$67,8,FALSE)</f>
        <v>NA</v>
      </c>
      <c r="P114" s="202" t="s">
        <v>503</v>
      </c>
      <c r="Q114" s="405">
        <f t="shared" si="6"/>
        <v>0</v>
      </c>
    </row>
    <row r="115" spans="2:19" ht="12.75" customHeight="1" x14ac:dyDescent="0.25">
      <c r="B115" s="47">
        <f t="shared" si="3"/>
        <v>1</v>
      </c>
      <c r="C115" s="47">
        <f t="shared" si="8"/>
        <v>24</v>
      </c>
      <c r="D115">
        <f t="shared" si="9"/>
        <v>24</v>
      </c>
      <c r="E115" s="145" t="s">
        <v>131</v>
      </c>
      <c r="F115" s="200">
        <f>VLOOKUP($E115,'Analysis Inputs'!$D$14:$U$67,10,FALSE)</f>
        <v>48.934699796860542</v>
      </c>
      <c r="G115" s="203">
        <f>VLOOKUP($E115,'Analysis Inputs'!$D$14:$U$67,4,FALSE)</f>
        <v>0</v>
      </c>
      <c r="H115" s="203">
        <f t="shared" si="14"/>
        <v>0</v>
      </c>
      <c r="I115" s="200">
        <f>VLOOKUP($E115,'Analysis Inputs'!$D$14:$U$67,5,FALSE)</f>
        <v>48.934699796860542</v>
      </c>
      <c r="J115" s="202">
        <f t="shared" si="12"/>
        <v>0.99114881370419416</v>
      </c>
      <c r="K115" s="202" t="str">
        <f>VLOOKUP($E115,'Analysis Inputs'!$D$14:$U$67,6,FALSE)</f>
        <v>NA</v>
      </c>
      <c r="L115" s="202" t="s">
        <v>503</v>
      </c>
      <c r="M115" s="202" t="str">
        <f>VLOOKUP($E115,'Analysis Inputs'!$D$14:$U$67,7,FALSE)</f>
        <v>NA</v>
      </c>
      <c r="N115" s="202" t="s">
        <v>503</v>
      </c>
      <c r="O115" s="202" t="str">
        <f>VLOOKUP($E115,'Analysis Inputs'!$D$14:$U$67,8,FALSE)</f>
        <v>NA</v>
      </c>
      <c r="P115" s="202" t="s">
        <v>503</v>
      </c>
      <c r="Q115" s="405">
        <f t="shared" si="6"/>
        <v>0.99114881370419416</v>
      </c>
    </row>
    <row r="116" spans="2:19" ht="12.75" customHeight="1" x14ac:dyDescent="0.25">
      <c r="B116" s="47">
        <f t="shared" si="3"/>
        <v>1</v>
      </c>
      <c r="C116" s="47">
        <f t="shared" si="8"/>
        <v>25</v>
      </c>
      <c r="D116">
        <f t="shared" si="9"/>
        <v>25</v>
      </c>
      <c r="E116" s="117" t="s">
        <v>444</v>
      </c>
      <c r="F116" s="200">
        <f>VLOOKUP($E116,'Analysis Inputs'!$D$14:$U$67,10,FALSE)</f>
        <v>667.21647161788258</v>
      </c>
      <c r="G116" s="203">
        <f>VLOOKUP($E116,'Analysis Inputs'!$D$14:$U$67,4,FALSE)</f>
        <v>0</v>
      </c>
      <c r="H116" s="203">
        <f t="shared" si="14"/>
        <v>0</v>
      </c>
      <c r="I116" s="200">
        <f>VLOOKUP($E116,'Analysis Inputs'!$D$14:$U$67,5,FALSE)</f>
        <v>667.21647161788258</v>
      </c>
      <c r="J116" s="202">
        <f t="shared" si="12"/>
        <v>13.514148795705692</v>
      </c>
      <c r="K116" s="202">
        <f>VLOOKUP($E116,'Analysis Inputs'!$D$14:$U$67,6,FALSE)</f>
        <v>0</v>
      </c>
      <c r="L116" s="202">
        <f>+K116*I59</f>
        <v>0</v>
      </c>
      <c r="M116" s="202" t="str">
        <f>VLOOKUP($E116,'Analysis Inputs'!$D$14:$U$67,7,FALSE)</f>
        <v>NA</v>
      </c>
      <c r="N116" s="202" t="s">
        <v>503</v>
      </c>
      <c r="O116" s="202" t="str">
        <f>VLOOKUP($E116,'Analysis Inputs'!$D$14:$U$67,8,FALSE)</f>
        <v>NA</v>
      </c>
      <c r="P116" s="202" t="s">
        <v>503</v>
      </c>
      <c r="Q116" s="405">
        <f t="shared" si="6"/>
        <v>13.514148795705692</v>
      </c>
    </row>
    <row r="117" spans="2:19" ht="12.75" customHeight="1" x14ac:dyDescent="0.25">
      <c r="B117" s="47">
        <f t="shared" si="3"/>
        <v>0</v>
      </c>
      <c r="C117" s="47">
        <f t="shared" si="8"/>
        <v>25</v>
      </c>
      <c r="D117">
        <f t="shared" si="9"/>
        <v>0</v>
      </c>
      <c r="E117" s="7" t="s">
        <v>53</v>
      </c>
      <c r="F117" s="200">
        <f>VLOOKUP($E117,'Analysis Inputs'!$D$14:$U$67,10,FALSE)</f>
        <v>0</v>
      </c>
      <c r="G117" s="203">
        <f>VLOOKUP($E117,'Analysis Inputs'!$D$14:$U$67,4,FALSE)</f>
        <v>0</v>
      </c>
      <c r="H117" s="203">
        <f t="shared" si="14"/>
        <v>0</v>
      </c>
      <c r="I117" s="200">
        <f>VLOOKUP($E117,'Analysis Inputs'!$D$14:$U$67,5,FALSE)</f>
        <v>0</v>
      </c>
      <c r="J117" s="202">
        <f t="shared" si="12"/>
        <v>0</v>
      </c>
      <c r="K117" s="202" t="str">
        <f>VLOOKUP($E117,'Analysis Inputs'!$D$14:$U$67,6,FALSE)</f>
        <v>NA</v>
      </c>
      <c r="L117" s="202" t="s">
        <v>503</v>
      </c>
      <c r="M117" s="202" t="str">
        <f>VLOOKUP($E117,'Analysis Inputs'!$D$14:$U$67,7,FALSE)</f>
        <v>NA</v>
      </c>
      <c r="N117" s="202" t="s">
        <v>503</v>
      </c>
      <c r="O117" s="202" t="str">
        <f>VLOOKUP($E117,'Analysis Inputs'!$D$14:$U$67,8,FALSE)</f>
        <v>NA</v>
      </c>
      <c r="P117" s="202" t="s">
        <v>503</v>
      </c>
      <c r="Q117" s="405">
        <f t="shared" si="6"/>
        <v>0</v>
      </c>
    </row>
    <row r="118" spans="2:19" ht="12.75" customHeight="1" x14ac:dyDescent="0.25">
      <c r="B118" s="47">
        <f t="shared" si="3"/>
        <v>1</v>
      </c>
      <c r="C118" s="47">
        <f t="shared" si="8"/>
        <v>26</v>
      </c>
      <c r="D118">
        <f t="shared" si="9"/>
        <v>26</v>
      </c>
      <c r="E118" s="117" t="s">
        <v>54</v>
      </c>
      <c r="F118" s="200">
        <f>VLOOKUP($E118,'Analysis Inputs'!$D$14:$U$67,10,FALSE)</f>
        <v>3002.42668852621</v>
      </c>
      <c r="G118" s="203">
        <f>VLOOKUP($E118,'Analysis Inputs'!$D$14:$U$67,4,FALSE)</f>
        <v>0</v>
      </c>
      <c r="H118" s="203">
        <f t="shared" si="14"/>
        <v>0</v>
      </c>
      <c r="I118" s="200">
        <f>VLOOKUP($E118,'Analysis Inputs'!$D$14:$U$67,5,FALSE)</f>
        <v>3002.42668852621</v>
      </c>
      <c r="J118" s="202">
        <f t="shared" si="12"/>
        <v>60.812708832791984</v>
      </c>
      <c r="K118" s="202">
        <f>VLOOKUP($E118,'Analysis Inputs'!$D$14:$U$67,6,FALSE)</f>
        <v>0</v>
      </c>
      <c r="L118" s="202">
        <f>+K118*I61</f>
        <v>0</v>
      </c>
      <c r="M118" s="202" t="str">
        <f>VLOOKUP($E118,'Analysis Inputs'!$D$14:$U$67,7,FALSE)</f>
        <v>NA</v>
      </c>
      <c r="N118" s="202" t="s">
        <v>503</v>
      </c>
      <c r="O118" s="202" t="str">
        <f>VLOOKUP($E118,'Analysis Inputs'!$D$14:$U$67,8,FALSE)</f>
        <v>NA</v>
      </c>
      <c r="P118" s="202" t="s">
        <v>503</v>
      </c>
      <c r="Q118" s="405">
        <f t="shared" si="6"/>
        <v>60.812708832791984</v>
      </c>
    </row>
    <row r="119" spans="2:19" ht="12.75" customHeight="1" x14ac:dyDescent="0.25">
      <c r="B119" s="47">
        <f t="shared" si="3"/>
        <v>1</v>
      </c>
      <c r="C119" s="47">
        <f t="shared" si="8"/>
        <v>27</v>
      </c>
      <c r="D119">
        <f t="shared" si="9"/>
        <v>27</v>
      </c>
      <c r="E119" s="117" t="s">
        <v>55</v>
      </c>
      <c r="F119" s="200">
        <f>VLOOKUP($E119,'Analysis Inputs'!$D$14:$U$67,10,FALSE)</f>
        <v>14797.404669376238</v>
      </c>
      <c r="G119" s="203">
        <f>VLOOKUP($E119,'Analysis Inputs'!$D$14:$U$67,4,FALSE)</f>
        <v>0</v>
      </c>
      <c r="H119" s="203">
        <f t="shared" si="14"/>
        <v>0</v>
      </c>
      <c r="I119" s="200">
        <f>VLOOKUP($E119,'Analysis Inputs'!$D$14:$U$67,5,FALSE)</f>
        <v>14797.404669376238</v>
      </c>
      <c r="J119" s="202">
        <f t="shared" si="12"/>
        <v>-903.25325208679044</v>
      </c>
      <c r="K119" s="202" t="str">
        <f>VLOOKUP($E119,'Analysis Inputs'!$D$14:$U$67,6,FALSE)</f>
        <v>NA</v>
      </c>
      <c r="L119" s="202" t="s">
        <v>503</v>
      </c>
      <c r="M119" s="202" t="str">
        <f>VLOOKUP($E119,'Analysis Inputs'!$D$14:$U$67,7,FALSE)</f>
        <v>NA</v>
      </c>
      <c r="N119" s="202" t="s">
        <v>503</v>
      </c>
      <c r="O119" s="202" t="str">
        <f>VLOOKUP($E119,'Analysis Inputs'!$D$14:$U$67,8,FALSE)</f>
        <v>NA</v>
      </c>
      <c r="P119" s="202" t="s">
        <v>503</v>
      </c>
      <c r="Q119" s="405">
        <f t="shared" si="6"/>
        <v>-903.25325208679044</v>
      </c>
    </row>
    <row r="120" spans="2:19" ht="12.75" customHeight="1" x14ac:dyDescent="0.25">
      <c r="B120" s="47">
        <f t="shared" si="3"/>
        <v>0</v>
      </c>
      <c r="C120" s="47">
        <f t="shared" si="8"/>
        <v>27</v>
      </c>
      <c r="D120">
        <f t="shared" si="9"/>
        <v>0</v>
      </c>
      <c r="E120" s="7" t="s">
        <v>56</v>
      </c>
      <c r="F120" s="200">
        <f>VLOOKUP($E120,'Analysis Inputs'!$D$14:$U$67,10,FALSE)</f>
        <v>0</v>
      </c>
      <c r="G120" s="203" t="str">
        <f>VLOOKUP($E120,'Analysis Inputs'!$D$14:$U$67,4,FALSE)</f>
        <v>NA</v>
      </c>
      <c r="H120" s="203" t="s">
        <v>503</v>
      </c>
      <c r="I120" s="200">
        <f>VLOOKUP($E120,'Analysis Inputs'!$D$14:$U$67,5,FALSE)</f>
        <v>0</v>
      </c>
      <c r="J120" s="202">
        <f t="shared" si="12"/>
        <v>0</v>
      </c>
      <c r="K120" s="202" t="str">
        <f>VLOOKUP($E120,'Analysis Inputs'!$D$14:$U$67,6,FALSE)</f>
        <v>NA</v>
      </c>
      <c r="L120" s="202" t="s">
        <v>503</v>
      </c>
      <c r="M120" s="202" t="str">
        <f>VLOOKUP($E120,'Analysis Inputs'!$D$14:$U$67,7,FALSE)</f>
        <v>NA</v>
      </c>
      <c r="N120" s="202" t="s">
        <v>503</v>
      </c>
      <c r="O120" s="202" t="str">
        <f>VLOOKUP($E120,'Analysis Inputs'!$D$14:$U$67,8,FALSE)</f>
        <v>NA</v>
      </c>
      <c r="P120" s="202" t="s">
        <v>503</v>
      </c>
      <c r="Q120" s="405">
        <f t="shared" si="6"/>
        <v>0</v>
      </c>
    </row>
    <row r="121" spans="2:19" ht="12.75" customHeight="1" x14ac:dyDescent="0.25">
      <c r="B121" s="47">
        <f t="shared" si="3"/>
        <v>0</v>
      </c>
      <c r="C121" s="47">
        <f t="shared" si="8"/>
        <v>27</v>
      </c>
      <c r="D121">
        <f t="shared" si="9"/>
        <v>0</v>
      </c>
      <c r="E121" s="7" t="s">
        <v>57</v>
      </c>
      <c r="F121" s="200">
        <f>VLOOKUP($E121,'Analysis Inputs'!$D$14:$U$67,10,FALSE)</f>
        <v>0</v>
      </c>
      <c r="G121" s="203" t="str">
        <f>VLOOKUP($E121,'Analysis Inputs'!$D$14:$U$67,4,FALSE)</f>
        <v>NA</v>
      </c>
      <c r="H121" s="203" t="s">
        <v>503</v>
      </c>
      <c r="I121" s="200">
        <f>VLOOKUP($E121,'Analysis Inputs'!$D$14:$U$67,5,FALSE)</f>
        <v>0</v>
      </c>
      <c r="J121" s="202">
        <f t="shared" si="12"/>
        <v>0</v>
      </c>
      <c r="K121" s="202">
        <f>VLOOKUP($E121,'Analysis Inputs'!$D$14:$U$67,6,FALSE)</f>
        <v>0</v>
      </c>
      <c r="L121" s="202">
        <f>+K121*I64</f>
        <v>0</v>
      </c>
      <c r="M121" s="202" t="str">
        <f>VLOOKUP($E121,'Analysis Inputs'!$D$14:$U$67,7,FALSE)</f>
        <v>NA</v>
      </c>
      <c r="N121" s="202" t="s">
        <v>503</v>
      </c>
      <c r="O121" s="202" t="str">
        <f>VLOOKUP($E121,'Analysis Inputs'!$D$14:$U$67,8,FALSE)</f>
        <v>NA</v>
      </c>
      <c r="P121" s="202" t="s">
        <v>503</v>
      </c>
      <c r="Q121" s="405">
        <f t="shared" si="6"/>
        <v>0</v>
      </c>
    </row>
    <row r="122" spans="2:19" ht="12.75" customHeight="1" x14ac:dyDescent="0.25">
      <c r="B122" s="47">
        <f t="shared" si="3"/>
        <v>0</v>
      </c>
      <c r="C122" s="47">
        <f t="shared" si="8"/>
        <v>27</v>
      </c>
      <c r="D122">
        <f t="shared" si="9"/>
        <v>0</v>
      </c>
      <c r="E122" s="117" t="s">
        <v>58</v>
      </c>
      <c r="F122" s="200">
        <f>VLOOKUP($E122,'Analysis Inputs'!$D$14:$U$67,10,FALSE)</f>
        <v>0</v>
      </c>
      <c r="G122" s="203" t="str">
        <f>VLOOKUP($E122,'Analysis Inputs'!$D$14:$U$67,4,FALSE)</f>
        <v>NA</v>
      </c>
      <c r="H122" s="203" t="s">
        <v>503</v>
      </c>
      <c r="I122" s="200">
        <f>VLOOKUP($E122,'Analysis Inputs'!$D$14:$U$67,5,FALSE)</f>
        <v>0</v>
      </c>
      <c r="J122" s="202">
        <f t="shared" si="12"/>
        <v>0</v>
      </c>
      <c r="K122" s="202">
        <f>VLOOKUP($E122,'Analysis Inputs'!$D$14:$U$67,6,FALSE)</f>
        <v>0</v>
      </c>
      <c r="L122" s="202">
        <f>+K122*I65</f>
        <v>0</v>
      </c>
      <c r="M122" s="202" t="str">
        <f>VLOOKUP($E122,'Analysis Inputs'!$D$14:$U$67,7,FALSE)</f>
        <v>NA</v>
      </c>
      <c r="N122" s="202" t="s">
        <v>503</v>
      </c>
      <c r="O122" s="202" t="str">
        <f>VLOOKUP($E122,'Analysis Inputs'!$D$14:$U$67,8,FALSE)</f>
        <v>NA</v>
      </c>
      <c r="P122" s="202" t="s">
        <v>503</v>
      </c>
      <c r="Q122" s="405">
        <f t="shared" si="6"/>
        <v>0</v>
      </c>
    </row>
    <row r="123" spans="2:19" ht="13.5" customHeight="1" thickBot="1" x14ac:dyDescent="0.3">
      <c r="E123" s="141" t="s">
        <v>526</v>
      </c>
      <c r="F123" s="206">
        <f t="shared" ref="F123:N123" si="15">SUM(F69:F122)</f>
        <v>842952.9413789165</v>
      </c>
      <c r="G123" s="206">
        <f t="shared" si="15"/>
        <v>0</v>
      </c>
      <c r="H123" s="206">
        <f t="shared" si="15"/>
        <v>0</v>
      </c>
      <c r="I123" s="206">
        <f t="shared" si="15"/>
        <v>842952.9413789165</v>
      </c>
      <c r="J123" s="206">
        <f t="shared" si="15"/>
        <v>94703.127458270814</v>
      </c>
      <c r="K123" s="206">
        <f t="shared" si="15"/>
        <v>0</v>
      </c>
      <c r="L123" s="206">
        <f t="shared" si="15"/>
        <v>0</v>
      </c>
      <c r="M123" s="206">
        <f t="shared" si="15"/>
        <v>0</v>
      </c>
      <c r="N123" s="206">
        <f t="shared" si="15"/>
        <v>0</v>
      </c>
      <c r="O123" s="206">
        <f>SUM(O69:O122)</f>
        <v>0</v>
      </c>
      <c r="P123" s="206">
        <f>IF(AND('Analysis Inputs'!$N$150=3,SUM(O98:O101,O109)&lt;&gt;0),"INPUT ERROR",SUM(P69:P122))</f>
        <v>0</v>
      </c>
      <c r="Q123" s="667">
        <f>IF(AND('Analysis Inputs'!$N$150=3,SUM(O98:O101,O109)&lt;&gt;0),"INPUT ERROR: Please select dry digestion",SUM(H123,J123,L123,N123,P123))</f>
        <v>94703.127458270814</v>
      </c>
    </row>
    <row r="125" spans="2:19" ht="13.5" thickBot="1" x14ac:dyDescent="0.35">
      <c r="E125" s="30" t="s">
        <v>791</v>
      </c>
      <c r="F125" s="2"/>
      <c r="G125" s="27"/>
      <c r="H125" s="27"/>
      <c r="I125" s="2"/>
      <c r="J125" s="2"/>
      <c r="K125" s="2"/>
      <c r="L125" s="2"/>
      <c r="M125" s="2"/>
      <c r="N125" s="2"/>
      <c r="O125" s="666"/>
      <c r="P125" s="2"/>
      <c r="Q125" s="2"/>
      <c r="R125" s="2"/>
      <c r="S125" s="2"/>
    </row>
    <row r="126" spans="2:19" ht="29.5" x14ac:dyDescent="0.25">
      <c r="E126" s="58" t="s">
        <v>496</v>
      </c>
      <c r="F126" s="59" t="s">
        <v>525</v>
      </c>
      <c r="G126" s="60" t="s">
        <v>783</v>
      </c>
      <c r="H126" s="61" t="s">
        <v>782</v>
      </c>
      <c r="I126" s="60" t="s">
        <v>784</v>
      </c>
      <c r="J126" s="61" t="s">
        <v>776</v>
      </c>
      <c r="K126" s="61" t="s">
        <v>785</v>
      </c>
      <c r="L126" s="61" t="s">
        <v>777</v>
      </c>
      <c r="M126" s="61" t="s">
        <v>786</v>
      </c>
      <c r="N126" s="61" t="s">
        <v>778</v>
      </c>
      <c r="O126" s="416" t="s">
        <v>787</v>
      </c>
      <c r="P126" s="61" t="s">
        <v>779</v>
      </c>
      <c r="Q126" s="664" t="s">
        <v>788</v>
      </c>
      <c r="R126" s="664" t="s">
        <v>780</v>
      </c>
      <c r="S126" s="62" t="s">
        <v>781</v>
      </c>
    </row>
    <row r="127" spans="2:19" ht="12.75" customHeight="1" x14ac:dyDescent="0.25">
      <c r="B127" s="47">
        <f>IF(SUM(G127,I127,K127,M127,O127,Q127)=0,0,1)</f>
        <v>1</v>
      </c>
      <c r="C127" s="47">
        <f>B127</f>
        <v>1</v>
      </c>
      <c r="D127">
        <f>C127*B127</f>
        <v>1</v>
      </c>
      <c r="E127" s="7" t="s">
        <v>515</v>
      </c>
      <c r="F127" s="200">
        <f>VLOOKUP($E127,'Analysis Inputs'!$D$14:$U$67,10,FALSE)</f>
        <v>2581.9310711278504</v>
      </c>
      <c r="G127" s="203">
        <f>VLOOKUP($E127,'Analysis Inputs'!$D$14:$U$67,13,FALSE)</f>
        <v>0</v>
      </c>
      <c r="H127" s="201">
        <f>+G127*F12</f>
        <v>0</v>
      </c>
      <c r="I127" s="202">
        <f>VLOOKUP($E127,'Analysis Inputs'!$D$14:$U$67,14,FALSE)</f>
        <v>0</v>
      </c>
      <c r="J127" s="200">
        <f t="shared" ref="J127:J132" si="16">+I127*G12</f>
        <v>0</v>
      </c>
      <c r="K127" s="200">
        <f>VLOOKUP($E127,'Analysis Inputs'!$D$14:$U$67,15,FALSE)</f>
        <v>2581.9310711278504</v>
      </c>
      <c r="L127" s="200">
        <f t="shared" ref="L127:L158" si="17">+K127*H12</f>
        <v>52.295772301407858</v>
      </c>
      <c r="M127" s="202">
        <f>VLOOKUP($E127,'Analysis Inputs'!$D$14:$U$67,16,FALSE)</f>
        <v>0</v>
      </c>
      <c r="N127" s="415">
        <f t="shared" ref="N127:N170" si="18">+M127*I12</f>
        <v>0</v>
      </c>
      <c r="O127" s="418" t="str">
        <f>VLOOKUP($E127,'Analysis Inputs'!$D$14:$U$67,17,FALSE)</f>
        <v>NA</v>
      </c>
      <c r="P127" s="406" t="s">
        <v>503</v>
      </c>
      <c r="Q127" s="202" t="str">
        <f>VLOOKUP($E127,'Analysis Inputs'!$D$14:$U$67,18,FALSE)</f>
        <v>NA</v>
      </c>
      <c r="R127" s="406" t="s">
        <v>503</v>
      </c>
      <c r="S127" s="405">
        <f>IF(R127="INPUT ERROR","INPUT ERROR",SUM(H127,J127,L127,N127,P127,R127))</f>
        <v>52.295772301407858</v>
      </c>
    </row>
    <row r="128" spans="2:19" ht="12.75" customHeight="1" x14ac:dyDescent="0.25">
      <c r="B128" s="47">
        <f t="shared" ref="B128:B180" si="19">IF(SUM(G128,I128,K128,M128,O128,Q128)=0,0,1)</f>
        <v>1</v>
      </c>
      <c r="C128" s="47">
        <f>C127+B128</f>
        <v>2</v>
      </c>
      <c r="D128">
        <f>C128*B128</f>
        <v>2</v>
      </c>
      <c r="E128" s="7" t="s">
        <v>84</v>
      </c>
      <c r="F128" s="200">
        <f>VLOOKUP($E128,'Analysis Inputs'!$D$14:$U$67,10,FALSE)</f>
        <v>1647.4287121844873</v>
      </c>
      <c r="G128" s="203">
        <f>VLOOKUP($E128,'Analysis Inputs'!$D$14:$U$67,13,FALSE)</f>
        <v>0</v>
      </c>
      <c r="H128" s="201">
        <f t="shared" ref="H128:H155" si="20">+G128*F13</f>
        <v>0</v>
      </c>
      <c r="I128" s="202">
        <f>VLOOKUP($E128,'Analysis Inputs'!$D$14:$U$67,14,FALSE)</f>
        <v>0</v>
      </c>
      <c r="J128" s="200">
        <f t="shared" si="16"/>
        <v>0</v>
      </c>
      <c r="K128" s="200">
        <f>VLOOKUP($E128,'Analysis Inputs'!$D$14:$U$67,15,FALSE)</f>
        <v>1647.4287121844873</v>
      </c>
      <c r="L128" s="200">
        <f t="shared" si="17"/>
        <v>33.36787638469665</v>
      </c>
      <c r="M128" s="202">
        <f>VLOOKUP($E128,'Analysis Inputs'!$D$14:$U$67,16,FALSE)</f>
        <v>0</v>
      </c>
      <c r="N128" s="415">
        <f t="shared" si="18"/>
        <v>0</v>
      </c>
      <c r="O128" s="419" t="str">
        <f>VLOOKUP($E128,'Analysis Inputs'!$D$14:$U$67,17,FALSE)</f>
        <v>NA</v>
      </c>
      <c r="P128" s="406" t="s">
        <v>503</v>
      </c>
      <c r="Q128" s="202" t="str">
        <f>VLOOKUP($E128,'Analysis Inputs'!$D$14:$U$67,18,FALSE)</f>
        <v>NA</v>
      </c>
      <c r="R128" s="406" t="s">
        <v>503</v>
      </c>
      <c r="S128" s="405">
        <f t="shared" ref="S128:S180" si="21">IF(R128="INPUT ERROR","INPUT ERROR",SUM(H128,J128,L128,N128,P128,R128))</f>
        <v>33.36787638469665</v>
      </c>
    </row>
    <row r="129" spans="2:19" ht="12.75" customHeight="1" x14ac:dyDescent="0.25">
      <c r="B129" s="47">
        <f t="shared" si="19"/>
        <v>1</v>
      </c>
      <c r="C129" s="47">
        <f t="shared" ref="C129:C147" si="22">C128+B129</f>
        <v>3</v>
      </c>
      <c r="D129">
        <f t="shared" ref="D129:D147" si="23">C129*B129</f>
        <v>3</v>
      </c>
      <c r="E129" s="7" t="s">
        <v>516</v>
      </c>
      <c r="F129" s="200">
        <f>VLOOKUP($E129,'Analysis Inputs'!$D$14:$U$67,10,FALSE)</f>
        <v>4001.7125772610179</v>
      </c>
      <c r="G129" s="203">
        <f>VLOOKUP($E129,'Analysis Inputs'!$D$14:$U$67,13,FALSE)</f>
        <v>0</v>
      </c>
      <c r="H129" s="201">
        <f t="shared" si="20"/>
        <v>0</v>
      </c>
      <c r="I129" s="202">
        <f>VLOOKUP($E129,'Analysis Inputs'!$D$14:$U$67,14,FALSE)</f>
        <v>0</v>
      </c>
      <c r="J129" s="200">
        <f t="shared" si="16"/>
        <v>0</v>
      </c>
      <c r="K129" s="200">
        <f>VLOOKUP($E129,'Analysis Inputs'!$D$14:$U$67,15,FALSE)</f>
        <v>4001.7125772610179</v>
      </c>
      <c r="L129" s="200">
        <f t="shared" si="17"/>
        <v>81.05276399369825</v>
      </c>
      <c r="M129" s="202">
        <f>VLOOKUP($E129,'Analysis Inputs'!$D$14:$U$67,16,FALSE)</f>
        <v>0</v>
      </c>
      <c r="N129" s="415">
        <f t="shared" si="18"/>
        <v>0</v>
      </c>
      <c r="O129" s="419" t="str">
        <f>VLOOKUP($E129,'Analysis Inputs'!$D$14:$U$67,17,FALSE)</f>
        <v>NA</v>
      </c>
      <c r="P129" s="406" t="s">
        <v>503</v>
      </c>
      <c r="Q129" s="202" t="str">
        <f>VLOOKUP($E129,'Analysis Inputs'!$D$14:$U$67,18,FALSE)</f>
        <v>NA</v>
      </c>
      <c r="R129" s="406" t="s">
        <v>503</v>
      </c>
      <c r="S129" s="405">
        <f t="shared" si="21"/>
        <v>81.05276399369825</v>
      </c>
    </row>
    <row r="130" spans="2:19" ht="12.75" customHeight="1" x14ac:dyDescent="0.25">
      <c r="B130" s="47">
        <f t="shared" si="19"/>
        <v>0</v>
      </c>
      <c r="C130" s="47">
        <f t="shared" si="22"/>
        <v>3</v>
      </c>
      <c r="D130">
        <f t="shared" si="23"/>
        <v>0</v>
      </c>
      <c r="E130" s="7" t="s">
        <v>438</v>
      </c>
      <c r="F130" s="200">
        <f>VLOOKUP($E130,'Analysis Inputs'!$D$14:$U$67,10,FALSE)</f>
        <v>0</v>
      </c>
      <c r="G130" s="203">
        <f>VLOOKUP($E130,'Analysis Inputs'!$D$14:$U$67,13,FALSE)</f>
        <v>0</v>
      </c>
      <c r="H130" s="201">
        <f t="shared" si="20"/>
        <v>0</v>
      </c>
      <c r="I130" s="202">
        <f>VLOOKUP($E130,'Analysis Inputs'!$D$14:$U$67,14,FALSE)</f>
        <v>0</v>
      </c>
      <c r="J130" s="200">
        <f t="shared" si="16"/>
        <v>0</v>
      </c>
      <c r="K130" s="200">
        <f>VLOOKUP($E130,'Analysis Inputs'!$D$14:$U$67,15,FALSE)</f>
        <v>0</v>
      </c>
      <c r="L130" s="200">
        <f t="shared" si="17"/>
        <v>0</v>
      </c>
      <c r="M130" s="202">
        <f>VLOOKUP($E130,'Analysis Inputs'!$D$14:$U$67,16,FALSE)</f>
        <v>0</v>
      </c>
      <c r="N130" s="415">
        <f t="shared" si="18"/>
        <v>0</v>
      </c>
      <c r="O130" s="419" t="str">
        <f>VLOOKUP($E130,'Analysis Inputs'!$D$14:$U$67,17,FALSE)</f>
        <v>NA</v>
      </c>
      <c r="P130" s="406" t="s">
        <v>503</v>
      </c>
      <c r="Q130" s="202" t="str">
        <f>VLOOKUP($E130,'Analysis Inputs'!$D$14:$U$67,18,FALSE)</f>
        <v>NA</v>
      </c>
      <c r="R130" s="406" t="s">
        <v>503</v>
      </c>
      <c r="S130" s="405">
        <f t="shared" si="21"/>
        <v>0</v>
      </c>
    </row>
    <row r="131" spans="2:19" ht="12.75" customHeight="1" x14ac:dyDescent="0.25">
      <c r="B131" s="47">
        <f t="shared" si="19"/>
        <v>1</v>
      </c>
      <c r="C131" s="47">
        <f t="shared" si="22"/>
        <v>4</v>
      </c>
      <c r="D131">
        <f t="shared" si="23"/>
        <v>4</v>
      </c>
      <c r="E131" s="7" t="s">
        <v>517</v>
      </c>
      <c r="F131" s="200">
        <f>VLOOKUP($E131,'Analysis Inputs'!$D$14:$U$67,10,FALSE)</f>
        <v>22379.467981121063</v>
      </c>
      <c r="G131" s="203">
        <f>VLOOKUP($E131,'Analysis Inputs'!$D$14:$U$67,13,FALSE)</f>
        <v>0</v>
      </c>
      <c r="H131" s="201">
        <f t="shared" si="20"/>
        <v>0</v>
      </c>
      <c r="I131" s="202">
        <f>VLOOKUP($E131,'Analysis Inputs'!$D$14:$U$67,14,FALSE)</f>
        <v>0</v>
      </c>
      <c r="J131" s="200">
        <f t="shared" si="16"/>
        <v>0</v>
      </c>
      <c r="K131" s="200">
        <f>VLOOKUP($E131,'Analysis Inputs'!$D$14:$U$67,15,FALSE)</f>
        <v>22379.467981121063</v>
      </c>
      <c r="L131" s="200">
        <f t="shared" si="17"/>
        <v>453.28536259340063</v>
      </c>
      <c r="M131" s="202">
        <f>VLOOKUP($E131,'Analysis Inputs'!$D$14:$U$67,16,FALSE)</f>
        <v>0</v>
      </c>
      <c r="N131" s="415">
        <f t="shared" si="18"/>
        <v>0</v>
      </c>
      <c r="O131" s="419" t="str">
        <f>VLOOKUP($E131,'Analysis Inputs'!$D$14:$U$67,17,FALSE)</f>
        <v>NA</v>
      </c>
      <c r="P131" s="406" t="s">
        <v>503</v>
      </c>
      <c r="Q131" s="202" t="str">
        <f>VLOOKUP($E131,'Analysis Inputs'!$D$14:$U$67,18,FALSE)</f>
        <v>NA</v>
      </c>
      <c r="R131" s="406" t="s">
        <v>503</v>
      </c>
      <c r="S131" s="405">
        <f t="shared" si="21"/>
        <v>453.28536259340063</v>
      </c>
    </row>
    <row r="132" spans="2:19" ht="12.75" customHeight="1" x14ac:dyDescent="0.25">
      <c r="B132" s="47">
        <f t="shared" si="19"/>
        <v>1</v>
      </c>
      <c r="C132" s="47">
        <f t="shared" si="22"/>
        <v>5</v>
      </c>
      <c r="D132">
        <f t="shared" si="23"/>
        <v>5</v>
      </c>
      <c r="E132" s="7" t="s">
        <v>518</v>
      </c>
      <c r="F132" s="200">
        <f>VLOOKUP($E132,'Analysis Inputs'!$D$14:$U$67,10,FALSE)</f>
        <v>4378.1563584420928</v>
      </c>
      <c r="G132" s="203">
        <f>VLOOKUP($E132,'Analysis Inputs'!$D$14:$U$67,13,FALSE)</f>
        <v>0</v>
      </c>
      <c r="H132" s="201">
        <f t="shared" si="20"/>
        <v>0</v>
      </c>
      <c r="I132" s="202">
        <f>VLOOKUP($E132,'Analysis Inputs'!$D$14:$U$67,14,FALSE)</f>
        <v>0</v>
      </c>
      <c r="J132" s="200">
        <f t="shared" si="16"/>
        <v>0</v>
      </c>
      <c r="K132" s="200">
        <f>VLOOKUP($E132,'Analysis Inputs'!$D$14:$U$67,15,FALSE)</f>
        <v>4378.1563584420928</v>
      </c>
      <c r="L132" s="200">
        <f t="shared" si="17"/>
        <v>88.677451765214542</v>
      </c>
      <c r="M132" s="202">
        <f>VLOOKUP($E132,'Analysis Inputs'!$D$14:$U$67,16,FALSE)</f>
        <v>0</v>
      </c>
      <c r="N132" s="415">
        <f t="shared" si="18"/>
        <v>0</v>
      </c>
      <c r="O132" s="419" t="str">
        <f>VLOOKUP($E132,'Analysis Inputs'!$D$14:$U$67,17,FALSE)</f>
        <v>NA</v>
      </c>
      <c r="P132" s="406" t="s">
        <v>503</v>
      </c>
      <c r="Q132" s="202" t="str">
        <f>VLOOKUP($E132,'Analysis Inputs'!$D$14:$U$67,18,FALSE)</f>
        <v>NA</v>
      </c>
      <c r="R132" s="406" t="s">
        <v>503</v>
      </c>
      <c r="S132" s="405">
        <f t="shared" si="21"/>
        <v>88.677451765214542</v>
      </c>
    </row>
    <row r="133" spans="2:19" ht="12.75" customHeight="1" x14ac:dyDescent="0.25">
      <c r="B133" s="47">
        <f t="shared" si="19"/>
        <v>1</v>
      </c>
      <c r="C133" s="47">
        <f t="shared" si="22"/>
        <v>6</v>
      </c>
      <c r="D133">
        <f t="shared" si="23"/>
        <v>6</v>
      </c>
      <c r="E133" s="7" t="s">
        <v>519</v>
      </c>
      <c r="F133" s="200">
        <f>VLOOKUP($E133,'Analysis Inputs'!$D$14:$U$67,10,FALSE)</f>
        <v>4168.741080644736</v>
      </c>
      <c r="G133" s="203">
        <f>VLOOKUP($E133,'Analysis Inputs'!$D$14:$U$67,13,FALSE)</f>
        <v>0</v>
      </c>
      <c r="H133" s="203">
        <f t="shared" si="20"/>
        <v>0</v>
      </c>
      <c r="I133" s="202" t="str">
        <f>VLOOKUP($E133,'Analysis Inputs'!$D$14:$U$67,14,FALSE)</f>
        <v>NA</v>
      </c>
      <c r="J133" s="202" t="s">
        <v>503</v>
      </c>
      <c r="K133" s="200">
        <f>VLOOKUP($E133,'Analysis Inputs'!$D$14:$U$67,15,FALSE)</f>
        <v>4168.741080644736</v>
      </c>
      <c r="L133" s="200">
        <f t="shared" si="17"/>
        <v>84.435846012609105</v>
      </c>
      <c r="M133" s="202">
        <f>VLOOKUP($E133,'Analysis Inputs'!$D$14:$U$67,16,FALSE)</f>
        <v>0</v>
      </c>
      <c r="N133" s="415">
        <f t="shared" si="18"/>
        <v>0</v>
      </c>
      <c r="O133" s="419" t="str">
        <f>VLOOKUP($E133,'Analysis Inputs'!$D$14:$U$67,17,FALSE)</f>
        <v>NA</v>
      </c>
      <c r="P133" s="406" t="s">
        <v>503</v>
      </c>
      <c r="Q133" s="202" t="str">
        <f>VLOOKUP($E133,'Analysis Inputs'!$D$14:$U$67,18,FALSE)</f>
        <v>NA</v>
      </c>
      <c r="R133" s="406" t="s">
        <v>503</v>
      </c>
      <c r="S133" s="405">
        <f t="shared" si="21"/>
        <v>84.435846012609105</v>
      </c>
    </row>
    <row r="134" spans="2:19" ht="12.75" customHeight="1" x14ac:dyDescent="0.25">
      <c r="B134" s="47">
        <f t="shared" si="19"/>
        <v>1</v>
      </c>
      <c r="C134" s="47">
        <f t="shared" si="22"/>
        <v>7</v>
      </c>
      <c r="D134">
        <f t="shared" si="23"/>
        <v>7</v>
      </c>
      <c r="E134" s="7" t="s">
        <v>520</v>
      </c>
      <c r="F134" s="200">
        <f>VLOOKUP($E134,'Analysis Inputs'!$D$14:$U$67,10,FALSE)</f>
        <v>7088.1162615431676</v>
      </c>
      <c r="G134" s="203">
        <f>VLOOKUP($E134,'Analysis Inputs'!$D$14:$U$67,13,FALSE)</f>
        <v>0</v>
      </c>
      <c r="H134" s="201">
        <f t="shared" si="20"/>
        <v>0</v>
      </c>
      <c r="I134" s="202">
        <f>VLOOKUP($E134,'Analysis Inputs'!$D$14:$U$67,14,FALSE)</f>
        <v>0</v>
      </c>
      <c r="J134" s="200">
        <f>+I134*G19</f>
        <v>0</v>
      </c>
      <c r="K134" s="200">
        <f>VLOOKUP($E134,'Analysis Inputs'!$D$14:$U$67,15,FALSE)</f>
        <v>7088.1162615431676</v>
      </c>
      <c r="L134" s="200">
        <f t="shared" si="17"/>
        <v>143.56638649444906</v>
      </c>
      <c r="M134" s="202">
        <f>VLOOKUP($E134,'Analysis Inputs'!$D$14:$U$67,16,FALSE)</f>
        <v>0</v>
      </c>
      <c r="N134" s="415">
        <f t="shared" si="18"/>
        <v>0</v>
      </c>
      <c r="O134" s="419" t="str">
        <f>VLOOKUP($E134,'Analysis Inputs'!$D$14:$U$67,17,FALSE)</f>
        <v>NA</v>
      </c>
      <c r="P134" s="406" t="s">
        <v>503</v>
      </c>
      <c r="Q134" s="202" t="str">
        <f>VLOOKUP($E134,'Analysis Inputs'!$D$14:$U$67,18,FALSE)</f>
        <v>NA</v>
      </c>
      <c r="R134" s="406" t="s">
        <v>503</v>
      </c>
      <c r="S134" s="405">
        <f>IF(R134="INPUT ERROR","INPUT ERROR",SUM(H134,J134,L134,N134,P134,R134))</f>
        <v>143.56638649444906</v>
      </c>
    </row>
    <row r="135" spans="2:19" ht="12.75" customHeight="1" x14ac:dyDescent="0.25">
      <c r="B135" s="47">
        <f t="shared" si="19"/>
        <v>1</v>
      </c>
      <c r="C135" s="47">
        <f t="shared" si="22"/>
        <v>8</v>
      </c>
      <c r="D135">
        <f t="shared" si="23"/>
        <v>8</v>
      </c>
      <c r="E135" s="7" t="s">
        <v>86</v>
      </c>
      <c r="F135" s="200">
        <f>VLOOKUP($E135,'Analysis Inputs'!$D$14:$U$67,10,FALSE)</f>
        <v>12601.65494719689</v>
      </c>
      <c r="G135" s="203">
        <f>VLOOKUP($E135,'Analysis Inputs'!$D$14:$U$67,13,FALSE)</f>
        <v>0</v>
      </c>
      <c r="H135" s="201">
        <f t="shared" si="20"/>
        <v>0</v>
      </c>
      <c r="I135" s="202" t="str">
        <f>VLOOKUP($E135,'Analysis Inputs'!$D$14:$U$67,14,FALSE)</f>
        <v>NA</v>
      </c>
      <c r="J135" s="202" t="s">
        <v>503</v>
      </c>
      <c r="K135" s="200">
        <f>VLOOKUP($E135,'Analysis Inputs'!$D$14:$U$67,15,FALSE)</f>
        <v>12601.65494719689</v>
      </c>
      <c r="L135" s="200">
        <f t="shared" si="17"/>
        <v>255.24046133874725</v>
      </c>
      <c r="M135" s="202">
        <f>VLOOKUP($E135,'Analysis Inputs'!$D$14:$U$67,16,FALSE)</f>
        <v>0</v>
      </c>
      <c r="N135" s="415">
        <f t="shared" si="18"/>
        <v>0</v>
      </c>
      <c r="O135" s="419" t="str">
        <f>VLOOKUP($E135,'Analysis Inputs'!$D$14:$U$67,17,FALSE)</f>
        <v>NA</v>
      </c>
      <c r="P135" s="406" t="s">
        <v>503</v>
      </c>
      <c r="Q135" s="202" t="str">
        <f>VLOOKUP($E135,'Analysis Inputs'!$D$14:$U$67,18,FALSE)</f>
        <v>NA</v>
      </c>
      <c r="R135" s="406" t="s">
        <v>503</v>
      </c>
      <c r="S135" s="405">
        <f t="shared" si="21"/>
        <v>255.24046133874725</v>
      </c>
    </row>
    <row r="136" spans="2:19" ht="12.75" customHeight="1" x14ac:dyDescent="0.25">
      <c r="B136" s="47">
        <f t="shared" si="19"/>
        <v>0</v>
      </c>
      <c r="C136" s="47">
        <f t="shared" si="22"/>
        <v>8</v>
      </c>
      <c r="D136">
        <f t="shared" si="23"/>
        <v>0</v>
      </c>
      <c r="E136" s="7" t="s">
        <v>87</v>
      </c>
      <c r="F136" s="200">
        <f>VLOOKUP($E136,'Analysis Inputs'!$D$14:$U$67,10,FALSE)</f>
        <v>0</v>
      </c>
      <c r="G136" s="203">
        <f>VLOOKUP($E136,'Analysis Inputs'!$D$14:$U$67,13,FALSE)</f>
        <v>0</v>
      </c>
      <c r="H136" s="201">
        <f t="shared" si="20"/>
        <v>0</v>
      </c>
      <c r="I136" s="202" t="str">
        <f>VLOOKUP($E136,'Analysis Inputs'!$D$14:$U$67,14,FALSE)</f>
        <v>NA</v>
      </c>
      <c r="J136" s="202" t="s">
        <v>503</v>
      </c>
      <c r="K136" s="200">
        <f>VLOOKUP($E136,'Analysis Inputs'!$D$14:$U$67,15,FALSE)</f>
        <v>0</v>
      </c>
      <c r="L136" s="200">
        <f t="shared" si="17"/>
        <v>0</v>
      </c>
      <c r="M136" s="202">
        <f>VLOOKUP($E136,'Analysis Inputs'!$D$14:$U$67,16,FALSE)</f>
        <v>0</v>
      </c>
      <c r="N136" s="415">
        <f t="shared" si="18"/>
        <v>0</v>
      </c>
      <c r="O136" s="419" t="str">
        <f>VLOOKUP($E136,'Analysis Inputs'!$D$14:$U$67,17,FALSE)</f>
        <v>NA</v>
      </c>
      <c r="P136" s="406" t="s">
        <v>503</v>
      </c>
      <c r="Q136" s="202" t="str">
        <f>VLOOKUP($E136,'Analysis Inputs'!$D$14:$U$67,18,FALSE)</f>
        <v>NA</v>
      </c>
      <c r="R136" s="406" t="s">
        <v>503</v>
      </c>
      <c r="S136" s="405">
        <f t="shared" si="21"/>
        <v>0</v>
      </c>
    </row>
    <row r="137" spans="2:19" ht="12.75" customHeight="1" x14ac:dyDescent="0.25">
      <c r="B137" s="47">
        <f t="shared" si="19"/>
        <v>1</v>
      </c>
      <c r="C137" s="47">
        <f t="shared" si="22"/>
        <v>9</v>
      </c>
      <c r="D137">
        <f t="shared" si="23"/>
        <v>9</v>
      </c>
      <c r="E137" s="7" t="s">
        <v>88</v>
      </c>
      <c r="F137" s="200">
        <f>VLOOKUP($E137,'Analysis Inputs'!$D$14:$U$67,10,FALSE)</f>
        <v>5327.0221948308408</v>
      </c>
      <c r="G137" s="203">
        <f>VLOOKUP($E137,'Analysis Inputs'!$D$14:$U$67,13,FALSE)</f>
        <v>0</v>
      </c>
      <c r="H137" s="201">
        <f t="shared" si="20"/>
        <v>0</v>
      </c>
      <c r="I137" s="202" t="str">
        <f>VLOOKUP($E137,'Analysis Inputs'!$D$14:$U$67,14,FALSE)</f>
        <v>NA</v>
      </c>
      <c r="J137" s="202" t="s">
        <v>503</v>
      </c>
      <c r="K137" s="200">
        <f>VLOOKUP($E137,'Analysis Inputs'!$D$14:$U$67,15,FALSE)</f>
        <v>5327.0221948308408</v>
      </c>
      <c r="L137" s="200">
        <f t="shared" si="17"/>
        <v>107.89627301077743</v>
      </c>
      <c r="M137" s="202">
        <f>VLOOKUP($E137,'Analysis Inputs'!$D$14:$U$67,16,FALSE)</f>
        <v>0</v>
      </c>
      <c r="N137" s="415">
        <f t="shared" si="18"/>
        <v>0</v>
      </c>
      <c r="O137" s="419" t="str">
        <f>VLOOKUP($E137,'Analysis Inputs'!$D$14:$U$67,17,FALSE)</f>
        <v>NA</v>
      </c>
      <c r="P137" s="406" t="s">
        <v>503</v>
      </c>
      <c r="Q137" s="202" t="str">
        <f>VLOOKUP($E137,'Analysis Inputs'!$D$14:$U$67,18,FALSE)</f>
        <v>NA</v>
      </c>
      <c r="R137" s="406" t="s">
        <v>503</v>
      </c>
      <c r="S137" s="405">
        <f t="shared" si="21"/>
        <v>107.89627301077743</v>
      </c>
    </row>
    <row r="138" spans="2:19" ht="12.75" customHeight="1" x14ac:dyDescent="0.25">
      <c r="B138" s="47">
        <f t="shared" si="19"/>
        <v>0</v>
      </c>
      <c r="C138" s="47">
        <f t="shared" si="22"/>
        <v>9</v>
      </c>
      <c r="D138">
        <f t="shared" si="23"/>
        <v>0</v>
      </c>
      <c r="E138" s="7" t="s">
        <v>89</v>
      </c>
      <c r="F138" s="200">
        <f>VLOOKUP($E138,'Analysis Inputs'!$D$14:$U$67,10,FALSE)</f>
        <v>0</v>
      </c>
      <c r="G138" s="203">
        <f>VLOOKUP($E138,'Analysis Inputs'!$D$14:$U$67,13,FALSE)</f>
        <v>0</v>
      </c>
      <c r="H138" s="201">
        <f t="shared" si="20"/>
        <v>0</v>
      </c>
      <c r="I138" s="202" t="str">
        <f>VLOOKUP($E138,'Analysis Inputs'!$D$14:$U$67,14,FALSE)</f>
        <v>NA</v>
      </c>
      <c r="J138" s="202" t="s">
        <v>503</v>
      </c>
      <c r="K138" s="200">
        <f>VLOOKUP($E138,'Analysis Inputs'!$D$14:$U$67,15,FALSE)</f>
        <v>0</v>
      </c>
      <c r="L138" s="200">
        <f t="shared" si="17"/>
        <v>0</v>
      </c>
      <c r="M138" s="202">
        <f>VLOOKUP($E138,'Analysis Inputs'!$D$14:$U$67,16,FALSE)</f>
        <v>0</v>
      </c>
      <c r="N138" s="415">
        <f t="shared" si="18"/>
        <v>0</v>
      </c>
      <c r="O138" s="419" t="str">
        <f>VLOOKUP($E138,'Analysis Inputs'!$D$14:$U$67,17,FALSE)</f>
        <v>NA</v>
      </c>
      <c r="P138" s="406" t="s">
        <v>503</v>
      </c>
      <c r="Q138" s="202" t="str">
        <f>VLOOKUP($E138,'Analysis Inputs'!$D$14:$U$67,18,FALSE)</f>
        <v>NA</v>
      </c>
      <c r="R138" s="406" t="s">
        <v>503</v>
      </c>
      <c r="S138" s="405">
        <f t="shared" si="21"/>
        <v>0</v>
      </c>
    </row>
    <row r="139" spans="2:19" ht="12.75" customHeight="1" x14ac:dyDescent="0.25">
      <c r="B139" s="47">
        <f t="shared" si="19"/>
        <v>0</v>
      </c>
      <c r="C139" s="47">
        <f t="shared" si="22"/>
        <v>9</v>
      </c>
      <c r="D139">
        <f t="shared" si="23"/>
        <v>0</v>
      </c>
      <c r="E139" s="7" t="s">
        <v>85</v>
      </c>
      <c r="F139" s="200">
        <f>VLOOKUP($E139,'Analysis Inputs'!$D$14:$U$67,10,FALSE)</f>
        <v>0</v>
      </c>
      <c r="G139" s="203">
        <f>VLOOKUP($E139,'Analysis Inputs'!$D$14:$U$67,13,FALSE)</f>
        <v>0</v>
      </c>
      <c r="H139" s="201">
        <f t="shared" si="20"/>
        <v>0</v>
      </c>
      <c r="I139" s="202" t="str">
        <f>VLOOKUP($E139,'Analysis Inputs'!$D$14:$U$67,14,FALSE)</f>
        <v>NA</v>
      </c>
      <c r="J139" s="202" t="s">
        <v>503</v>
      </c>
      <c r="K139" s="200">
        <f>VLOOKUP($E139,'Analysis Inputs'!$D$14:$U$67,15,FALSE)</f>
        <v>0</v>
      </c>
      <c r="L139" s="200">
        <f t="shared" si="17"/>
        <v>0</v>
      </c>
      <c r="M139" s="202">
        <f>VLOOKUP($E139,'Analysis Inputs'!$D$14:$U$67,16,FALSE)</f>
        <v>0</v>
      </c>
      <c r="N139" s="415">
        <f t="shared" si="18"/>
        <v>0</v>
      </c>
      <c r="O139" s="419">
        <f>VLOOKUP($E139,'Analysis Inputs'!$D$14:$U$67,17,FALSE)</f>
        <v>0</v>
      </c>
      <c r="P139" s="406">
        <f>O139*J24</f>
        <v>0</v>
      </c>
      <c r="Q139" s="202" t="str">
        <f>VLOOKUP($E139,'Analysis Inputs'!$D$14:$U$67,18,FALSE)</f>
        <v>NA</v>
      </c>
      <c r="R139" s="406" t="s">
        <v>503</v>
      </c>
      <c r="S139" s="405">
        <f t="shared" si="21"/>
        <v>0</v>
      </c>
    </row>
    <row r="140" spans="2:19" ht="12.75" customHeight="1" x14ac:dyDescent="0.25">
      <c r="B140" s="47">
        <f t="shared" si="19"/>
        <v>1</v>
      </c>
      <c r="C140" s="47">
        <f t="shared" si="22"/>
        <v>10</v>
      </c>
      <c r="D140">
        <f t="shared" si="23"/>
        <v>10</v>
      </c>
      <c r="E140" s="7" t="s">
        <v>59</v>
      </c>
      <c r="F140" s="200">
        <f>VLOOKUP($E140,'Analysis Inputs'!$D$14:$U$67,10,FALSE)</f>
        <v>27908.476920644473</v>
      </c>
      <c r="G140" s="203">
        <f>VLOOKUP($E140,'Analysis Inputs'!$D$14:$U$67,13,FALSE)</f>
        <v>0</v>
      </c>
      <c r="H140" s="201">
        <f t="shared" si="20"/>
        <v>0</v>
      </c>
      <c r="I140" s="202">
        <f>VLOOKUP($E140,'Analysis Inputs'!$D$14:$U$67,14,FALSE)</f>
        <v>0</v>
      </c>
      <c r="J140" s="200">
        <f t="shared" ref="J140:J147" si="24">+I140*G25</f>
        <v>0</v>
      </c>
      <c r="K140" s="200">
        <f>VLOOKUP($E140,'Analysis Inputs'!$D$14:$U$67,15,FALSE)</f>
        <v>27908.476920644473</v>
      </c>
      <c r="L140" s="200">
        <f t="shared" si="17"/>
        <v>12416.570178497514</v>
      </c>
      <c r="M140" s="202">
        <f>VLOOKUP($E140,'Analysis Inputs'!$D$14:$U$67,16,FALSE)</f>
        <v>0</v>
      </c>
      <c r="N140" s="415">
        <f t="shared" si="18"/>
        <v>0</v>
      </c>
      <c r="O140" s="419" t="str">
        <f>VLOOKUP($E140,'Analysis Inputs'!$D$14:$U$67,17,FALSE)</f>
        <v>NA</v>
      </c>
      <c r="P140" s="406" t="s">
        <v>503</v>
      </c>
      <c r="Q140" s="202" t="str">
        <f>VLOOKUP($E140,'Analysis Inputs'!$D$14:$U$67,18,FALSE)</f>
        <v>NA</v>
      </c>
      <c r="R140" s="406" t="s">
        <v>503</v>
      </c>
      <c r="S140" s="405">
        <f t="shared" si="21"/>
        <v>12416.570178497514</v>
      </c>
    </row>
    <row r="141" spans="2:19" ht="12.75" customHeight="1" x14ac:dyDescent="0.25">
      <c r="B141" s="47">
        <f t="shared" si="19"/>
        <v>0</v>
      </c>
      <c r="C141" s="47">
        <f t="shared" si="22"/>
        <v>10</v>
      </c>
      <c r="D141">
        <f t="shared" si="23"/>
        <v>0</v>
      </c>
      <c r="E141" s="7" t="s">
        <v>290</v>
      </c>
      <c r="F141" s="200">
        <f>VLOOKUP($E141,'Analysis Inputs'!$D$14:$U$67,10,FALSE)</f>
        <v>0</v>
      </c>
      <c r="G141" s="203">
        <f>VLOOKUP($E141,'Analysis Inputs'!$D$14:$U$67,13,FALSE)</f>
        <v>0</v>
      </c>
      <c r="H141" s="201">
        <f t="shared" si="20"/>
        <v>0</v>
      </c>
      <c r="I141" s="202">
        <f>VLOOKUP($E141,'Analysis Inputs'!$D$14:$U$67,14,FALSE)</f>
        <v>0</v>
      </c>
      <c r="J141" s="200">
        <f t="shared" si="24"/>
        <v>0</v>
      </c>
      <c r="K141" s="200">
        <f>VLOOKUP($E141,'Analysis Inputs'!$D$14:$U$67,15,FALSE)</f>
        <v>0</v>
      </c>
      <c r="L141" s="200">
        <f t="shared" si="17"/>
        <v>0</v>
      </c>
      <c r="M141" s="202">
        <f>VLOOKUP($E141,'Analysis Inputs'!$D$14:$U$67,16,FALSE)</f>
        <v>0</v>
      </c>
      <c r="N141" s="415">
        <f t="shared" si="18"/>
        <v>0</v>
      </c>
      <c r="O141" s="419" t="str">
        <f>VLOOKUP($E141,'Analysis Inputs'!$D$14:$U$67,17,FALSE)</f>
        <v>NA</v>
      </c>
      <c r="P141" s="406" t="s">
        <v>503</v>
      </c>
      <c r="Q141" s="202" t="str">
        <f>VLOOKUP($E141,'Analysis Inputs'!$D$14:$U$67,18,FALSE)</f>
        <v>NA</v>
      </c>
      <c r="R141" s="406" t="s">
        <v>503</v>
      </c>
      <c r="S141" s="405">
        <f t="shared" si="21"/>
        <v>0</v>
      </c>
    </row>
    <row r="142" spans="2:19" ht="12.75" customHeight="1" x14ac:dyDescent="0.25">
      <c r="B142" s="47">
        <f t="shared" si="19"/>
        <v>1</v>
      </c>
      <c r="C142" s="47">
        <f t="shared" si="22"/>
        <v>11</v>
      </c>
      <c r="D142">
        <f t="shared" si="23"/>
        <v>11</v>
      </c>
      <c r="E142" s="7" t="s">
        <v>502</v>
      </c>
      <c r="F142" s="200">
        <f>VLOOKUP($E142,'Analysis Inputs'!$D$14:$U$67,10,FALSE)</f>
        <v>12962.300300440122</v>
      </c>
      <c r="G142" s="203">
        <f>VLOOKUP($E142,'Analysis Inputs'!$D$14:$U$67,13,FALSE)</f>
        <v>0</v>
      </c>
      <c r="H142" s="201">
        <f t="shared" si="20"/>
        <v>0</v>
      </c>
      <c r="I142" s="202">
        <f>VLOOKUP($E142,'Analysis Inputs'!$D$14:$U$67,14,FALSE)</f>
        <v>0</v>
      </c>
      <c r="J142" s="200">
        <f t="shared" si="24"/>
        <v>0</v>
      </c>
      <c r="K142" s="200">
        <f>VLOOKUP($E142,'Analysis Inputs'!$D$14:$U$67,15,FALSE)</f>
        <v>12962.300300440122</v>
      </c>
      <c r="L142" s="200">
        <f t="shared" si="17"/>
        <v>-9749.3877335967572</v>
      </c>
      <c r="M142" s="202">
        <f>VLOOKUP($E142,'Analysis Inputs'!$D$14:$U$67,16,FALSE)</f>
        <v>0</v>
      </c>
      <c r="N142" s="415">
        <f t="shared" si="18"/>
        <v>0</v>
      </c>
      <c r="O142" s="419" t="str">
        <f>VLOOKUP($E142,'Analysis Inputs'!$D$14:$U$67,17,FALSE)</f>
        <v>NA</v>
      </c>
      <c r="P142" s="406" t="s">
        <v>503</v>
      </c>
      <c r="Q142" s="202" t="str">
        <f>VLOOKUP($E142,'Analysis Inputs'!$D$14:$U$67,18,FALSE)</f>
        <v>NA</v>
      </c>
      <c r="R142" s="406" t="s">
        <v>503</v>
      </c>
      <c r="S142" s="405">
        <f t="shared" si="21"/>
        <v>-9749.3877335967572</v>
      </c>
    </row>
    <row r="143" spans="2:19" ht="12.75" customHeight="1" x14ac:dyDescent="0.25">
      <c r="B143" s="47">
        <f t="shared" si="19"/>
        <v>1</v>
      </c>
      <c r="C143" s="47">
        <f t="shared" si="22"/>
        <v>12</v>
      </c>
      <c r="D143">
        <f t="shared" si="23"/>
        <v>12</v>
      </c>
      <c r="E143" s="7" t="s">
        <v>514</v>
      </c>
      <c r="F143" s="200">
        <f>VLOOKUP($E143,'Analysis Inputs'!$D$14:$U$67,10,FALSE)</f>
        <v>6726.271332146167</v>
      </c>
      <c r="G143" s="203">
        <f>VLOOKUP($E143,'Analysis Inputs'!$D$14:$U$67,13,FALSE)</f>
        <v>0</v>
      </c>
      <c r="H143" s="201">
        <f t="shared" si="20"/>
        <v>0</v>
      </c>
      <c r="I143" s="202">
        <f>VLOOKUP($E143,'Analysis Inputs'!$D$14:$U$67,14,FALSE)</f>
        <v>0</v>
      </c>
      <c r="J143" s="200">
        <f t="shared" si="24"/>
        <v>0</v>
      </c>
      <c r="K143" s="200">
        <f>VLOOKUP($E143,'Analysis Inputs'!$D$14:$U$67,15,FALSE)</f>
        <v>6726.271332146167</v>
      </c>
      <c r="L143" s="200">
        <f t="shared" si="17"/>
        <v>10083.923900399697</v>
      </c>
      <c r="M143" s="202">
        <f>VLOOKUP($E143,'Analysis Inputs'!$D$14:$U$67,16,FALSE)</f>
        <v>0</v>
      </c>
      <c r="N143" s="415">
        <f t="shared" si="18"/>
        <v>0</v>
      </c>
      <c r="O143" s="419" t="str">
        <f>VLOOKUP($E143,'Analysis Inputs'!$D$14:$U$67,17,FALSE)</f>
        <v>NA</v>
      </c>
      <c r="P143" s="406" t="s">
        <v>503</v>
      </c>
      <c r="Q143" s="202" t="str">
        <f>VLOOKUP($E143,'Analysis Inputs'!$D$14:$U$67,18,FALSE)</f>
        <v>NA</v>
      </c>
      <c r="R143" s="406" t="s">
        <v>503</v>
      </c>
      <c r="S143" s="405">
        <f t="shared" si="21"/>
        <v>10083.923900399697</v>
      </c>
    </row>
    <row r="144" spans="2:19" ht="12.75" customHeight="1" x14ac:dyDescent="0.25">
      <c r="B144" s="47">
        <f t="shared" si="19"/>
        <v>0</v>
      </c>
      <c r="C144" s="47">
        <f t="shared" si="22"/>
        <v>12</v>
      </c>
      <c r="D144">
        <f t="shared" si="23"/>
        <v>0</v>
      </c>
      <c r="E144" s="7" t="s">
        <v>383</v>
      </c>
      <c r="F144" s="200">
        <f>VLOOKUP($E144,'Analysis Inputs'!$D$14:$U$67,10,FALSE)</f>
        <v>0</v>
      </c>
      <c r="G144" s="203">
        <f>VLOOKUP($E144,'Analysis Inputs'!$D$14:$U$67,13,FALSE)</f>
        <v>0</v>
      </c>
      <c r="H144" s="201">
        <f t="shared" si="20"/>
        <v>0</v>
      </c>
      <c r="I144" s="202">
        <f>VLOOKUP($E144,'Analysis Inputs'!$D$14:$U$67,14,FALSE)</f>
        <v>0</v>
      </c>
      <c r="J144" s="200">
        <f t="shared" si="24"/>
        <v>0</v>
      </c>
      <c r="K144" s="200">
        <f>VLOOKUP($E144,'Analysis Inputs'!$D$14:$U$67,15,FALSE)</f>
        <v>0</v>
      </c>
      <c r="L144" s="200">
        <f t="shared" si="17"/>
        <v>0</v>
      </c>
      <c r="M144" s="202">
        <f>VLOOKUP($E144,'Analysis Inputs'!$D$14:$U$67,16,FALSE)</f>
        <v>0</v>
      </c>
      <c r="N144" s="415">
        <f t="shared" si="18"/>
        <v>0</v>
      </c>
      <c r="O144" s="419" t="str">
        <f>VLOOKUP($E144,'Analysis Inputs'!$D$14:$U$67,17,FALSE)</f>
        <v>NA</v>
      </c>
      <c r="P144" s="406" t="s">
        <v>503</v>
      </c>
      <c r="Q144" s="202" t="str">
        <f>VLOOKUP($E144,'Analysis Inputs'!$D$14:$U$67,18,FALSE)</f>
        <v>NA</v>
      </c>
      <c r="R144" s="406" t="s">
        <v>503</v>
      </c>
      <c r="S144" s="405">
        <f t="shared" si="21"/>
        <v>0</v>
      </c>
    </row>
    <row r="145" spans="2:20" ht="12.75" customHeight="1" x14ac:dyDescent="0.25">
      <c r="B145" s="47">
        <f t="shared" si="19"/>
        <v>0</v>
      </c>
      <c r="C145" s="47">
        <f t="shared" si="22"/>
        <v>12</v>
      </c>
      <c r="D145">
        <f t="shared" si="23"/>
        <v>0</v>
      </c>
      <c r="E145" s="7" t="s">
        <v>384</v>
      </c>
      <c r="F145" s="200">
        <f>VLOOKUP($E145,'Analysis Inputs'!$D$14:$U$67,10,FALSE)</f>
        <v>0</v>
      </c>
      <c r="G145" s="203">
        <f>VLOOKUP($E145,'Analysis Inputs'!$D$14:$U$67,13,FALSE)</f>
        <v>0</v>
      </c>
      <c r="H145" s="203">
        <f t="shared" si="20"/>
        <v>0</v>
      </c>
      <c r="I145" s="202">
        <f>VLOOKUP($E145,'Analysis Inputs'!$D$14:$U$67,14,FALSE)</f>
        <v>0</v>
      </c>
      <c r="J145" s="202">
        <f t="shared" si="24"/>
        <v>0</v>
      </c>
      <c r="K145" s="200">
        <f>VLOOKUP($E145,'Analysis Inputs'!$D$14:$U$67,15,FALSE)</f>
        <v>0</v>
      </c>
      <c r="L145" s="202">
        <f t="shared" si="17"/>
        <v>0</v>
      </c>
      <c r="M145" s="202">
        <f>VLOOKUP($E145,'Analysis Inputs'!$D$14:$U$67,16,FALSE)</f>
        <v>0</v>
      </c>
      <c r="N145" s="415">
        <f t="shared" si="18"/>
        <v>0</v>
      </c>
      <c r="O145" s="419" t="str">
        <f>VLOOKUP($E145,'Analysis Inputs'!$D$14:$U$67,17,FALSE)</f>
        <v>NA</v>
      </c>
      <c r="P145" s="406" t="s">
        <v>503</v>
      </c>
      <c r="Q145" s="202" t="str">
        <f>VLOOKUP($E145,'Analysis Inputs'!$D$14:$U$67,18,FALSE)</f>
        <v>NA</v>
      </c>
      <c r="R145" s="406" t="s">
        <v>503</v>
      </c>
      <c r="S145" s="405">
        <f t="shared" si="21"/>
        <v>0</v>
      </c>
    </row>
    <row r="146" spans="2:20" ht="12.75" customHeight="1" x14ac:dyDescent="0.25">
      <c r="B146" s="47">
        <f t="shared" si="19"/>
        <v>1</v>
      </c>
      <c r="C146" s="47">
        <f t="shared" si="22"/>
        <v>13</v>
      </c>
      <c r="D146">
        <f t="shared" si="23"/>
        <v>13</v>
      </c>
      <c r="E146" s="7" t="s">
        <v>4</v>
      </c>
      <c r="F146" s="200">
        <f>VLOOKUP($E146,'Analysis Inputs'!$D$14:$U$67,10,FALSE)</f>
        <v>103846.1137708187</v>
      </c>
      <c r="G146" s="203">
        <f>VLOOKUP($E146,'Analysis Inputs'!$D$14:$U$67,13,FALSE)</f>
        <v>0</v>
      </c>
      <c r="H146" s="203">
        <f t="shared" si="20"/>
        <v>0</v>
      </c>
      <c r="I146" s="202">
        <f>VLOOKUP($E146,'Analysis Inputs'!$D$14:$U$67,14,FALSE)</f>
        <v>0</v>
      </c>
      <c r="J146" s="202">
        <f t="shared" si="24"/>
        <v>0</v>
      </c>
      <c r="K146" s="200">
        <f>VLOOKUP($E146,'Analysis Inputs'!$D$14:$U$67,15,FALSE)</f>
        <v>103846.1137708187</v>
      </c>
      <c r="L146" s="202">
        <f t="shared" si="17"/>
        <v>-105068.89959648224</v>
      </c>
      <c r="M146" s="202">
        <f>VLOOKUP($E146,'Analysis Inputs'!$D$14:$U$67,16,FALSE)</f>
        <v>0</v>
      </c>
      <c r="N146" s="415">
        <f t="shared" si="18"/>
        <v>0</v>
      </c>
      <c r="O146" s="724" t="str">
        <f>VLOOKUP($E146,'Analysis Inputs'!$D$14:$U$67,17,FALSE)</f>
        <v>NA</v>
      </c>
      <c r="P146" s="725" t="s">
        <v>503</v>
      </c>
      <c r="Q146" s="726" t="str">
        <f>VLOOKUP($E146,'Analysis Inputs'!$D$14:$U$67,18,FALSE)</f>
        <v>NA</v>
      </c>
      <c r="R146" s="725" t="s">
        <v>503</v>
      </c>
      <c r="S146" s="727">
        <f t="shared" si="21"/>
        <v>-105068.89959648224</v>
      </c>
    </row>
    <row r="147" spans="2:20" ht="12.75" customHeight="1" x14ac:dyDescent="0.25">
      <c r="B147" s="47">
        <f t="shared" si="19"/>
        <v>0</v>
      </c>
      <c r="C147" s="47">
        <f t="shared" si="22"/>
        <v>13</v>
      </c>
      <c r="D147">
        <f t="shared" si="23"/>
        <v>0</v>
      </c>
      <c r="E147" s="7" t="s">
        <v>558</v>
      </c>
      <c r="F147" s="200">
        <f>VLOOKUP($E147,'Analysis Inputs'!$D$14:$U$67,10,FALSE)</f>
        <v>0</v>
      </c>
      <c r="G147" s="203">
        <f>VLOOKUP($E147,'Analysis Inputs'!$D$14:$U$67,13,FALSE)</f>
        <v>0</v>
      </c>
      <c r="H147" s="203">
        <f t="shared" si="20"/>
        <v>0</v>
      </c>
      <c r="I147" s="202">
        <f>VLOOKUP($E147,'Analysis Inputs'!$D$14:$U$67,14,FALSE)</f>
        <v>0</v>
      </c>
      <c r="J147" s="202">
        <f t="shared" si="24"/>
        <v>0</v>
      </c>
      <c r="K147" s="200">
        <f>VLOOKUP($E147,'Analysis Inputs'!$D$14:$U$67,15,FALSE)</f>
        <v>0</v>
      </c>
      <c r="L147" s="202">
        <f t="shared" si="17"/>
        <v>0</v>
      </c>
      <c r="M147" s="202">
        <f>VLOOKUP($E147,'Analysis Inputs'!$D$14:$U$67,16,FALSE)</f>
        <v>0</v>
      </c>
      <c r="N147" s="415">
        <f t="shared" si="18"/>
        <v>0</v>
      </c>
      <c r="O147" s="724" t="str">
        <f>VLOOKUP($E147,'Analysis Inputs'!$D$14:$U$67,17,FALSE)</f>
        <v>NA</v>
      </c>
      <c r="P147" s="725" t="s">
        <v>503</v>
      </c>
      <c r="Q147" s="726" t="str">
        <f>VLOOKUP($E147,'Analysis Inputs'!$D$14:$U$67,18,FALSE)</f>
        <v>NA</v>
      </c>
      <c r="R147" s="725" t="s">
        <v>503</v>
      </c>
      <c r="S147" s="727">
        <f t="shared" si="21"/>
        <v>0</v>
      </c>
    </row>
    <row r="148" spans="2:20" ht="12.75" customHeight="1" x14ac:dyDescent="0.25">
      <c r="B148" s="47">
        <f t="shared" si="19"/>
        <v>1</v>
      </c>
      <c r="C148" s="47">
        <f t="shared" ref="C148:C180" si="25">C147+B148</f>
        <v>14</v>
      </c>
      <c r="D148">
        <f t="shared" ref="D148:D180" si="26">C148*B148</f>
        <v>14</v>
      </c>
      <c r="E148" s="7" t="s">
        <v>646</v>
      </c>
      <c r="F148" s="200">
        <f>VLOOKUP($E148,'Analysis Inputs'!$D$14:$U$67,10,FALSE)</f>
        <v>107960.23499957993</v>
      </c>
      <c r="G148" s="203">
        <f>VLOOKUP($E148,'Analysis Inputs'!$D$14:$U$67,13,FALSE)</f>
        <v>0</v>
      </c>
      <c r="H148" s="203">
        <f t="shared" si="20"/>
        <v>0</v>
      </c>
      <c r="I148" s="202" t="str">
        <f>VLOOKUP($E148,'Analysis Inputs'!$D$14:$U$67,14,FALSE)</f>
        <v>NA</v>
      </c>
      <c r="J148" s="202" t="s">
        <v>503</v>
      </c>
      <c r="K148" s="200">
        <f>VLOOKUP($E148,'Analysis Inputs'!$D$14:$U$67,15,FALSE)</f>
        <v>107960.23499957993</v>
      </c>
      <c r="L148" s="202">
        <f t="shared" si="17"/>
        <v>51965.725480051471</v>
      </c>
      <c r="M148" s="202">
        <f>VLOOKUP($E148,'Analysis Inputs'!$D$14:$U$67,16,FALSE)</f>
        <v>0</v>
      </c>
      <c r="N148" s="415">
        <f t="shared" si="18"/>
        <v>0</v>
      </c>
      <c r="O148" s="724">
        <f>VLOOKUP($E148,'Analysis Inputs'!$D$14:$U$67,17,FALSE)</f>
        <v>0</v>
      </c>
      <c r="P148" s="726">
        <f t="shared" ref="P148:P159" si="27">O148*J33</f>
        <v>0</v>
      </c>
      <c r="Q148" s="726">
        <f>VLOOKUP($E148,'Analysis Inputs'!$D$14:$U$67,18,FALSE)</f>
        <v>0</v>
      </c>
      <c r="R148" s="726">
        <f>IF(AND(K33="NA",Q148&lt;&gt;0),"INPUT ERROR",IF(AND(K33="NA",Q148=0),"NA",+Q148*K33))</f>
        <v>0</v>
      </c>
      <c r="S148" s="727">
        <f t="shared" si="21"/>
        <v>51965.725480051471</v>
      </c>
    </row>
    <row r="149" spans="2:20" ht="12.75" customHeight="1" x14ac:dyDescent="0.25">
      <c r="B149" s="47">
        <f t="shared" si="19"/>
        <v>1</v>
      </c>
      <c r="C149" s="47">
        <f t="shared" si="25"/>
        <v>15</v>
      </c>
      <c r="D149">
        <f t="shared" si="26"/>
        <v>15</v>
      </c>
      <c r="E149" s="7" t="s">
        <v>744</v>
      </c>
      <c r="F149" s="200">
        <f>VLOOKUP($E149,'Analysis Inputs'!$D$14:$U$67,10,FALSE)</f>
        <v>65275.449706659572</v>
      </c>
      <c r="G149" s="203">
        <f>VLOOKUP($E149,'Analysis Inputs'!$D$14:$U$67,13,FALSE)</f>
        <v>0</v>
      </c>
      <c r="H149" s="203">
        <f t="shared" si="20"/>
        <v>0</v>
      </c>
      <c r="I149" s="202" t="str">
        <f>VLOOKUP($E149,'Analysis Inputs'!$D$14:$U$67,14,FALSE)</f>
        <v>NA</v>
      </c>
      <c r="J149" s="202" t="s">
        <v>503</v>
      </c>
      <c r="K149" s="200">
        <f>VLOOKUP($E149,'Analysis Inputs'!$D$14:$U$67,15,FALSE)</f>
        <v>65275.449706659572</v>
      </c>
      <c r="L149" s="202">
        <f t="shared" si="17"/>
        <v>31419.773216095502</v>
      </c>
      <c r="M149" s="202">
        <f>VLOOKUP($E149,'Analysis Inputs'!$D$14:$U$67,16,FALSE)</f>
        <v>0</v>
      </c>
      <c r="N149" s="415">
        <f t="shared" si="18"/>
        <v>0</v>
      </c>
      <c r="O149" s="724">
        <f>VLOOKUP($E149,'Analysis Inputs'!$D$14:$U$67,17,FALSE)</f>
        <v>0</v>
      </c>
      <c r="P149" s="726">
        <f>O149*J34</f>
        <v>0</v>
      </c>
      <c r="Q149" s="726">
        <f>VLOOKUP($E149,'Analysis Inputs'!$D$14:$U$67,18,FALSE)</f>
        <v>0</v>
      </c>
      <c r="R149" s="726">
        <f t="shared" ref="R149:R159" si="28">IF(AND(K34="NA",Q149&lt;&gt;0),"INPUT ERROR",IF(AND(K34="NA",Q149=0),"NA",+Q149*K34))</f>
        <v>0</v>
      </c>
      <c r="S149" s="727">
        <f t="shared" si="21"/>
        <v>31419.773216095502</v>
      </c>
      <c r="T149" s="8"/>
    </row>
    <row r="150" spans="2:20" ht="12.75" customHeight="1" x14ac:dyDescent="0.25">
      <c r="B150" s="47">
        <f t="shared" si="19"/>
        <v>0</v>
      </c>
      <c r="C150" s="47">
        <f t="shared" si="25"/>
        <v>15</v>
      </c>
      <c r="D150">
        <f t="shared" si="26"/>
        <v>0</v>
      </c>
      <c r="E150" s="7" t="s">
        <v>741</v>
      </c>
      <c r="F150" s="200">
        <f>VLOOKUP($E150,'Analysis Inputs'!$D$14:$U$67,10,FALSE)</f>
        <v>0</v>
      </c>
      <c r="G150" s="203">
        <f>VLOOKUP($E150,'Analysis Inputs'!$D$14:$U$67,13,FALSE)</f>
        <v>0</v>
      </c>
      <c r="H150" s="203">
        <f t="shared" si="20"/>
        <v>0</v>
      </c>
      <c r="I150" s="202" t="str">
        <f>VLOOKUP($E150,'Analysis Inputs'!$D$14:$U$67,14,FALSE)</f>
        <v>NA</v>
      </c>
      <c r="J150" s="202" t="s">
        <v>503</v>
      </c>
      <c r="K150" s="200">
        <f>VLOOKUP($E150,'Analysis Inputs'!$D$14:$U$67,15,FALSE)</f>
        <v>0</v>
      </c>
      <c r="L150" s="202">
        <f t="shared" si="17"/>
        <v>0</v>
      </c>
      <c r="M150" s="202">
        <f>VLOOKUP($E150,'Analysis Inputs'!$D$14:$U$67,16,FALSE)</f>
        <v>0</v>
      </c>
      <c r="N150" s="415">
        <f t="shared" si="18"/>
        <v>0</v>
      </c>
      <c r="O150" s="724">
        <f>VLOOKUP($E150,'Analysis Inputs'!$D$14:$U$67,17,FALSE)</f>
        <v>0</v>
      </c>
      <c r="P150" s="726">
        <f t="shared" si="27"/>
        <v>0</v>
      </c>
      <c r="Q150" s="726">
        <f>VLOOKUP($E150,'Analysis Inputs'!$D$14:$U$67,18,FALSE)</f>
        <v>0</v>
      </c>
      <c r="R150" s="726">
        <f t="shared" si="28"/>
        <v>0</v>
      </c>
      <c r="S150" s="727">
        <f t="shared" si="21"/>
        <v>0</v>
      </c>
      <c r="T150" s="8"/>
    </row>
    <row r="151" spans="2:20" ht="12.75" customHeight="1" x14ac:dyDescent="0.25">
      <c r="B151" s="47">
        <f t="shared" si="19"/>
        <v>0</v>
      </c>
      <c r="C151" s="47">
        <f t="shared" si="25"/>
        <v>15</v>
      </c>
      <c r="D151">
        <f t="shared" si="26"/>
        <v>0</v>
      </c>
      <c r="E151" s="7" t="s">
        <v>742</v>
      </c>
      <c r="F151" s="200">
        <f>VLOOKUP($E151,'Analysis Inputs'!$D$14:$U$67,10,FALSE)</f>
        <v>0</v>
      </c>
      <c r="G151" s="203">
        <f>VLOOKUP($E151,'Analysis Inputs'!$D$14:$U$67,13,FALSE)</f>
        <v>0</v>
      </c>
      <c r="H151" s="203">
        <f t="shared" si="20"/>
        <v>0</v>
      </c>
      <c r="I151" s="202" t="str">
        <f>VLOOKUP($E151,'Analysis Inputs'!$D$14:$U$67,14,FALSE)</f>
        <v>NA</v>
      </c>
      <c r="J151" s="202" t="s">
        <v>503</v>
      </c>
      <c r="K151" s="200">
        <f>VLOOKUP($E151,'Analysis Inputs'!$D$14:$U$67,15,FALSE)</f>
        <v>0</v>
      </c>
      <c r="L151" s="202">
        <f t="shared" si="17"/>
        <v>0</v>
      </c>
      <c r="M151" s="202">
        <f>VLOOKUP($E151,'Analysis Inputs'!$D$14:$U$67,16,FALSE)</f>
        <v>0</v>
      </c>
      <c r="N151" s="415">
        <f t="shared" si="18"/>
        <v>0</v>
      </c>
      <c r="O151" s="724">
        <f>VLOOKUP($E151,'Analysis Inputs'!$D$14:$U$67,17,FALSE)</f>
        <v>0</v>
      </c>
      <c r="P151" s="726">
        <f t="shared" si="27"/>
        <v>0</v>
      </c>
      <c r="Q151" s="726">
        <f>VLOOKUP($E151,'Analysis Inputs'!$D$14:$U$67,18,FALSE)</f>
        <v>0</v>
      </c>
      <c r="R151" s="726">
        <f t="shared" si="28"/>
        <v>0</v>
      </c>
      <c r="S151" s="727">
        <f t="shared" si="21"/>
        <v>0</v>
      </c>
      <c r="T151" s="8"/>
    </row>
    <row r="152" spans="2:20" ht="12.75" customHeight="1" x14ac:dyDescent="0.25">
      <c r="B152" s="47">
        <f t="shared" si="19"/>
        <v>0</v>
      </c>
      <c r="C152" s="47">
        <f t="shared" si="25"/>
        <v>15</v>
      </c>
      <c r="D152">
        <f t="shared" si="26"/>
        <v>0</v>
      </c>
      <c r="E152" s="7" t="s">
        <v>649</v>
      </c>
      <c r="F152" s="200">
        <f>VLOOKUP($E152,'Analysis Inputs'!$D$14:$U$67,10,FALSE)</f>
        <v>0</v>
      </c>
      <c r="G152" s="203">
        <f>VLOOKUP($E152,'Analysis Inputs'!$D$14:$U$67,13,FALSE)</f>
        <v>0</v>
      </c>
      <c r="H152" s="203">
        <f t="shared" si="20"/>
        <v>0</v>
      </c>
      <c r="I152" s="202" t="str">
        <f>VLOOKUP($E152,'Analysis Inputs'!$D$14:$U$67,14,FALSE)</f>
        <v>NA</v>
      </c>
      <c r="J152" s="202" t="s">
        <v>503</v>
      </c>
      <c r="K152" s="200">
        <f>VLOOKUP($E152,'Analysis Inputs'!$D$14:$U$67,15,FALSE)</f>
        <v>0</v>
      </c>
      <c r="L152" s="202">
        <f t="shared" si="17"/>
        <v>0</v>
      </c>
      <c r="M152" s="202">
        <f>VLOOKUP($E152,'Analysis Inputs'!$D$14:$U$67,16,FALSE)</f>
        <v>0</v>
      </c>
      <c r="N152" s="415">
        <f t="shared" si="18"/>
        <v>0</v>
      </c>
      <c r="O152" s="728">
        <f>VLOOKUP($E152,'Analysis Inputs'!$D$14:$U$67,17,FALSE)</f>
        <v>0</v>
      </c>
      <c r="P152" s="726">
        <f t="shared" si="27"/>
        <v>0</v>
      </c>
      <c r="Q152" s="726">
        <f>VLOOKUP($E152,'Analysis Inputs'!$D$14:$U$67,18,FALSE)</f>
        <v>0</v>
      </c>
      <c r="R152" s="726">
        <f t="shared" si="28"/>
        <v>0</v>
      </c>
      <c r="S152" s="405">
        <f t="shared" si="21"/>
        <v>0</v>
      </c>
      <c r="T152" s="8"/>
    </row>
    <row r="153" spans="2:20" ht="12.75" customHeight="1" x14ac:dyDescent="0.25">
      <c r="B153" s="47">
        <f t="shared" si="19"/>
        <v>0</v>
      </c>
      <c r="C153" s="47">
        <f t="shared" si="25"/>
        <v>15</v>
      </c>
      <c r="D153">
        <f t="shared" si="26"/>
        <v>0</v>
      </c>
      <c r="E153" s="7" t="s">
        <v>645</v>
      </c>
      <c r="F153" s="200">
        <f>VLOOKUP($E153,'Analysis Inputs'!$D$14:$U$67,10,FALSE)</f>
        <v>0</v>
      </c>
      <c r="G153" s="203">
        <f>VLOOKUP($E153,'Analysis Inputs'!$D$14:$U$67,13,FALSE)</f>
        <v>0</v>
      </c>
      <c r="H153" s="203">
        <f t="shared" si="20"/>
        <v>0</v>
      </c>
      <c r="I153" s="202" t="str">
        <f>VLOOKUP($E153,'Analysis Inputs'!$D$14:$U$67,14,FALSE)</f>
        <v>NA</v>
      </c>
      <c r="J153" s="202" t="s">
        <v>503</v>
      </c>
      <c r="K153" s="200">
        <f>VLOOKUP($E153,'Analysis Inputs'!$D$14:$U$67,15,FALSE)</f>
        <v>0</v>
      </c>
      <c r="L153" s="202">
        <f t="shared" si="17"/>
        <v>0</v>
      </c>
      <c r="M153" s="202">
        <f>VLOOKUP($E153,'Analysis Inputs'!$D$14:$U$67,16,FALSE)</f>
        <v>0</v>
      </c>
      <c r="N153" s="415">
        <f t="shared" si="18"/>
        <v>0</v>
      </c>
      <c r="O153" s="728">
        <f>VLOOKUP($E153,'Analysis Inputs'!$D$14:$U$67,17,FALSE)</f>
        <v>0</v>
      </c>
      <c r="P153" s="726">
        <f t="shared" si="27"/>
        <v>0</v>
      </c>
      <c r="Q153" s="726">
        <f>VLOOKUP($E153,'Analysis Inputs'!$D$14:$U$67,18,FALSE)</f>
        <v>0</v>
      </c>
      <c r="R153" s="726">
        <f t="shared" si="28"/>
        <v>0</v>
      </c>
      <c r="S153" s="405">
        <f t="shared" si="21"/>
        <v>0</v>
      </c>
      <c r="T153" s="8"/>
    </row>
    <row r="154" spans="2:20" ht="12.75" customHeight="1" x14ac:dyDescent="0.25">
      <c r="B154" s="47">
        <f t="shared" si="19"/>
        <v>0</v>
      </c>
      <c r="C154" s="47">
        <f t="shared" si="25"/>
        <v>15</v>
      </c>
      <c r="D154">
        <f t="shared" si="26"/>
        <v>0</v>
      </c>
      <c r="E154" s="7" t="s">
        <v>647</v>
      </c>
      <c r="F154" s="200">
        <f>VLOOKUP($E154,'Analysis Inputs'!$D$14:$U$67,10,FALSE)</f>
        <v>0</v>
      </c>
      <c r="G154" s="203">
        <f>VLOOKUP($E154,'Analysis Inputs'!$D$14:$U$67,13,FALSE)</f>
        <v>0</v>
      </c>
      <c r="H154" s="203">
        <f t="shared" si="20"/>
        <v>0</v>
      </c>
      <c r="I154" s="202" t="str">
        <f>VLOOKUP($E154,'Analysis Inputs'!$D$14:$U$67,14,FALSE)</f>
        <v>NA</v>
      </c>
      <c r="J154" s="202" t="s">
        <v>503</v>
      </c>
      <c r="K154" s="200">
        <f>VLOOKUP($E154,'Analysis Inputs'!$D$14:$U$67,15,FALSE)</f>
        <v>0</v>
      </c>
      <c r="L154" s="202">
        <f t="shared" si="17"/>
        <v>0</v>
      </c>
      <c r="M154" s="202">
        <f>VLOOKUP($E154,'Analysis Inputs'!$D$14:$U$67,16,FALSE)</f>
        <v>0</v>
      </c>
      <c r="N154" s="415">
        <f t="shared" si="18"/>
        <v>0</v>
      </c>
      <c r="O154" s="728">
        <f>VLOOKUP($E154,'Analysis Inputs'!$D$14:$U$67,17,FALSE)</f>
        <v>0</v>
      </c>
      <c r="P154" s="726">
        <f t="shared" si="27"/>
        <v>0</v>
      </c>
      <c r="Q154" s="726">
        <f>VLOOKUP($E154,'Analysis Inputs'!$D$14:$U$67,18,FALSE)</f>
        <v>0</v>
      </c>
      <c r="R154" s="726">
        <f t="shared" si="28"/>
        <v>0</v>
      </c>
      <c r="S154" s="405">
        <f t="shared" si="21"/>
        <v>0</v>
      </c>
      <c r="T154" s="8"/>
    </row>
    <row r="155" spans="2:20" ht="12.75" customHeight="1" x14ac:dyDescent="0.25">
      <c r="B155" s="47">
        <f t="shared" si="19"/>
        <v>0</v>
      </c>
      <c r="C155" s="47">
        <f t="shared" si="25"/>
        <v>15</v>
      </c>
      <c r="D155">
        <f t="shared" si="26"/>
        <v>0</v>
      </c>
      <c r="E155" s="7" t="s">
        <v>648</v>
      </c>
      <c r="F155" s="200">
        <f>VLOOKUP($E155,'Analysis Inputs'!$D$14:$U$67,10,FALSE)</f>
        <v>0</v>
      </c>
      <c r="G155" s="203">
        <f>VLOOKUP($E155,'Analysis Inputs'!$D$14:$U$67,13,FALSE)</f>
        <v>0</v>
      </c>
      <c r="H155" s="203">
        <f t="shared" si="20"/>
        <v>0</v>
      </c>
      <c r="I155" s="202" t="str">
        <f>VLOOKUP($E155,'Analysis Inputs'!$D$14:$U$67,14,FALSE)</f>
        <v>NA</v>
      </c>
      <c r="J155" s="202" t="s">
        <v>503</v>
      </c>
      <c r="K155" s="200">
        <f>VLOOKUP($E155,'Analysis Inputs'!$D$14:$U$67,15,FALSE)</f>
        <v>0</v>
      </c>
      <c r="L155" s="202">
        <f t="shared" si="17"/>
        <v>0</v>
      </c>
      <c r="M155" s="202">
        <f>VLOOKUP($E155,'Analysis Inputs'!$D$14:$U$67,16,FALSE)</f>
        <v>0</v>
      </c>
      <c r="N155" s="415">
        <f t="shared" si="18"/>
        <v>0</v>
      </c>
      <c r="O155" s="728">
        <f>VLOOKUP($E155,'Analysis Inputs'!$D$14:$U$67,17,FALSE)</f>
        <v>0</v>
      </c>
      <c r="P155" s="726">
        <f t="shared" si="27"/>
        <v>0</v>
      </c>
      <c r="Q155" s="726">
        <f>VLOOKUP($E155,'Analysis Inputs'!$D$14:$U$67,18,FALSE)</f>
        <v>0</v>
      </c>
      <c r="R155" s="726">
        <f t="shared" si="28"/>
        <v>0</v>
      </c>
      <c r="S155" s="405">
        <f t="shared" si="21"/>
        <v>0</v>
      </c>
      <c r="T155" s="8"/>
    </row>
    <row r="156" spans="2:20" ht="12.75" customHeight="1" x14ac:dyDescent="0.25">
      <c r="B156" s="47">
        <f t="shared" si="19"/>
        <v>1</v>
      </c>
      <c r="C156" s="47">
        <f t="shared" si="25"/>
        <v>16</v>
      </c>
      <c r="D156">
        <f t="shared" si="26"/>
        <v>16</v>
      </c>
      <c r="E156" s="7" t="s">
        <v>580</v>
      </c>
      <c r="F156" s="200">
        <f>VLOOKUP($E156,'Analysis Inputs'!$D$14:$U$67,10,FALSE)</f>
        <v>34800.561320441149</v>
      </c>
      <c r="G156" s="203" t="str">
        <f>VLOOKUP($E156,'Analysis Inputs'!$D$14:$U$67,13,FALSE)</f>
        <v>NA</v>
      </c>
      <c r="H156" s="202" t="s">
        <v>503</v>
      </c>
      <c r="I156" s="202" t="str">
        <f>VLOOKUP($E156,'Analysis Inputs'!$D$14:$U$67,14,FALSE)</f>
        <v>NA</v>
      </c>
      <c r="J156" s="202" t="s">
        <v>503</v>
      </c>
      <c r="K156" s="200">
        <f>VLOOKUP($E156,'Analysis Inputs'!$D$14:$U$67,15,FALSE)</f>
        <v>34800.561320441149</v>
      </c>
      <c r="L156" s="202">
        <f t="shared" si="17"/>
        <v>-7158.6497694633435</v>
      </c>
      <c r="M156" s="202">
        <f>VLOOKUP($E156,'Analysis Inputs'!$D$14:$U$67,16,FALSE)</f>
        <v>0</v>
      </c>
      <c r="N156" s="415">
        <f t="shared" si="18"/>
        <v>0</v>
      </c>
      <c r="O156" s="724">
        <f>VLOOKUP($E156,'Analysis Inputs'!$D$14:$U$67,17,FALSE)</f>
        <v>0</v>
      </c>
      <c r="P156" s="725">
        <f t="shared" si="27"/>
        <v>0</v>
      </c>
      <c r="Q156" s="726">
        <f>VLOOKUP($E156,'Analysis Inputs'!$D$14:$U$67,18,FALSE)</f>
        <v>0</v>
      </c>
      <c r="R156" s="725" t="str">
        <f t="shared" si="28"/>
        <v>NA</v>
      </c>
      <c r="S156" s="405">
        <f t="shared" si="21"/>
        <v>-7158.6497694633435</v>
      </c>
    </row>
    <row r="157" spans="2:20" ht="12.75" customHeight="1" x14ac:dyDescent="0.25">
      <c r="B157" s="47">
        <f t="shared" si="19"/>
        <v>0</v>
      </c>
      <c r="C157" s="47">
        <f t="shared" si="25"/>
        <v>16</v>
      </c>
      <c r="D157">
        <f t="shared" si="26"/>
        <v>0</v>
      </c>
      <c r="E157" s="7" t="s">
        <v>521</v>
      </c>
      <c r="F157" s="200">
        <f>VLOOKUP($E157,'Analysis Inputs'!$D$14:$U$67,10,FALSE)</f>
        <v>0</v>
      </c>
      <c r="G157" s="203" t="str">
        <f>VLOOKUP($E157,'Analysis Inputs'!$D$14:$U$67,13,FALSE)</f>
        <v>NA</v>
      </c>
      <c r="H157" s="202" t="s">
        <v>503</v>
      </c>
      <c r="I157" s="202" t="str">
        <f>VLOOKUP($E157,'Analysis Inputs'!$D$14:$U$67,14,FALSE)</f>
        <v>NA</v>
      </c>
      <c r="J157" s="202" t="s">
        <v>503</v>
      </c>
      <c r="K157" s="200">
        <f>VLOOKUP($E157,'Analysis Inputs'!$D$14:$U$67,15,FALSE)</f>
        <v>0</v>
      </c>
      <c r="L157" s="202">
        <f t="shared" si="17"/>
        <v>0</v>
      </c>
      <c r="M157" s="202">
        <f>VLOOKUP($E157,'Analysis Inputs'!$D$14:$U$67,16,FALSE)</f>
        <v>0</v>
      </c>
      <c r="N157" s="415">
        <f t="shared" si="18"/>
        <v>0</v>
      </c>
      <c r="O157" s="724">
        <f>VLOOKUP($E157,'Analysis Inputs'!$D$14:$U$67,17,FALSE)</f>
        <v>0</v>
      </c>
      <c r="P157" s="725">
        <f t="shared" si="27"/>
        <v>0</v>
      </c>
      <c r="Q157" s="726">
        <f>VLOOKUP($E157,'Analysis Inputs'!$D$14:$U$67,18,FALSE)</f>
        <v>0</v>
      </c>
      <c r="R157" s="725" t="str">
        <f t="shared" si="28"/>
        <v>NA</v>
      </c>
      <c r="S157" s="405">
        <f t="shared" si="21"/>
        <v>0</v>
      </c>
    </row>
    <row r="158" spans="2:20" ht="12.75" customHeight="1" x14ac:dyDescent="0.25">
      <c r="B158" s="47">
        <f t="shared" si="19"/>
        <v>0</v>
      </c>
      <c r="C158" s="47">
        <f t="shared" si="25"/>
        <v>16</v>
      </c>
      <c r="D158">
        <f t="shared" si="26"/>
        <v>0</v>
      </c>
      <c r="E158" s="7" t="s">
        <v>522</v>
      </c>
      <c r="F158" s="200">
        <f>VLOOKUP($E158,'Analysis Inputs'!$D$14:$U$67,10,FALSE)</f>
        <v>0</v>
      </c>
      <c r="G158" s="203" t="str">
        <f>VLOOKUP($E158,'Analysis Inputs'!$D$14:$U$67,13,FALSE)</f>
        <v>NA</v>
      </c>
      <c r="H158" s="202" t="s">
        <v>503</v>
      </c>
      <c r="I158" s="202" t="str">
        <f>VLOOKUP($E158,'Analysis Inputs'!$D$14:$U$67,14,FALSE)</f>
        <v>NA</v>
      </c>
      <c r="J158" s="202" t="s">
        <v>503</v>
      </c>
      <c r="K158" s="200">
        <f>VLOOKUP($E158,'Analysis Inputs'!$D$14:$U$67,15,FALSE)</f>
        <v>0</v>
      </c>
      <c r="L158" s="202">
        <f t="shared" si="17"/>
        <v>0</v>
      </c>
      <c r="M158" s="202">
        <f>VLOOKUP($E158,'Analysis Inputs'!$D$14:$U$67,16,FALSE)</f>
        <v>0</v>
      </c>
      <c r="N158" s="415">
        <f t="shared" si="18"/>
        <v>0</v>
      </c>
      <c r="O158" s="724">
        <f>VLOOKUP($E158,'Analysis Inputs'!$D$14:$U$67,17,FALSE)</f>
        <v>0</v>
      </c>
      <c r="P158" s="725">
        <f t="shared" si="27"/>
        <v>0</v>
      </c>
      <c r="Q158" s="726">
        <f>VLOOKUP($E158,'Analysis Inputs'!$D$14:$U$67,18,FALSE)</f>
        <v>0</v>
      </c>
      <c r="R158" s="725" t="str">
        <f t="shared" si="28"/>
        <v>NA</v>
      </c>
      <c r="S158" s="405">
        <f t="shared" si="21"/>
        <v>0</v>
      </c>
    </row>
    <row r="159" spans="2:20" ht="12.75" customHeight="1" x14ac:dyDescent="0.25">
      <c r="B159" s="47">
        <f t="shared" si="19"/>
        <v>1</v>
      </c>
      <c r="C159" s="47">
        <f t="shared" si="25"/>
        <v>17</v>
      </c>
      <c r="D159">
        <f t="shared" si="26"/>
        <v>17</v>
      </c>
      <c r="E159" s="7" t="s">
        <v>523</v>
      </c>
      <c r="F159" s="200">
        <f>VLOOKUP($E159,'Analysis Inputs'!$D$14:$U$67,10,FALSE)</f>
        <v>2781.912059757693</v>
      </c>
      <c r="G159" s="203" t="str">
        <f>VLOOKUP($E159,'Analysis Inputs'!$D$14:$U$67,13,FALSE)</f>
        <v>NA</v>
      </c>
      <c r="H159" s="202" t="s">
        <v>503</v>
      </c>
      <c r="I159" s="202" t="str">
        <f>VLOOKUP($E159,'Analysis Inputs'!$D$14:$U$67,14,FALSE)</f>
        <v>NA</v>
      </c>
      <c r="J159" s="202" t="s">
        <v>503</v>
      </c>
      <c r="K159" s="200">
        <f>VLOOKUP($E159,'Analysis Inputs'!$D$14:$U$67,15,FALSE)</f>
        <v>2781.912059757693</v>
      </c>
      <c r="L159" s="202">
        <f t="shared" ref="L159:L180" si="29">+K159*H44</f>
        <v>-1084.3822031246116</v>
      </c>
      <c r="M159" s="202">
        <f>VLOOKUP($E159,'Analysis Inputs'!$D$14:$U$67,16,FALSE)</f>
        <v>0</v>
      </c>
      <c r="N159" s="415">
        <f t="shared" si="18"/>
        <v>0</v>
      </c>
      <c r="O159" s="724">
        <f>VLOOKUP($E159,'Analysis Inputs'!$D$14:$U$67,17,FALSE)</f>
        <v>0</v>
      </c>
      <c r="P159" s="725">
        <f t="shared" si="27"/>
        <v>0</v>
      </c>
      <c r="Q159" s="726">
        <f>VLOOKUP($E159,'Analysis Inputs'!$D$14:$U$67,18,FALSE)</f>
        <v>0</v>
      </c>
      <c r="R159" s="725" t="str">
        <f t="shared" si="28"/>
        <v>NA</v>
      </c>
      <c r="S159" s="405">
        <f t="shared" si="21"/>
        <v>-1084.3822031246116</v>
      </c>
    </row>
    <row r="160" spans="2:20" ht="12.75" customHeight="1" x14ac:dyDescent="0.25">
      <c r="B160" s="47">
        <f t="shared" si="19"/>
        <v>1</v>
      </c>
      <c r="C160" s="47">
        <f t="shared" si="25"/>
        <v>18</v>
      </c>
      <c r="D160">
        <f t="shared" si="26"/>
        <v>18</v>
      </c>
      <c r="E160" s="7" t="s">
        <v>583</v>
      </c>
      <c r="F160" s="200">
        <f>VLOOKUP($E160,'Analysis Inputs'!$D$14:$U$67,10,FALSE)</f>
        <v>93768.529977279337</v>
      </c>
      <c r="G160" s="203">
        <f>VLOOKUP($E160,'Analysis Inputs'!$D$14:$U$67,13,FALSE)</f>
        <v>0</v>
      </c>
      <c r="H160" s="203">
        <f>+G160*F45</f>
        <v>0</v>
      </c>
      <c r="I160" s="202">
        <f>VLOOKUP($E160,'Analysis Inputs'!$D$14:$U$67,14,FALSE)</f>
        <v>0</v>
      </c>
      <c r="J160" s="202">
        <f t="shared" ref="J160:J165" si="30">+I160*G45</f>
        <v>0</v>
      </c>
      <c r="K160" s="200">
        <f>VLOOKUP($E160,'Analysis Inputs'!$D$14:$U$67,15,FALSE)</f>
        <v>93768.529977279337</v>
      </c>
      <c r="L160" s="202">
        <f t="shared" si="29"/>
        <v>26824.568902585113</v>
      </c>
      <c r="M160" s="202">
        <f>VLOOKUP($E160,'Analysis Inputs'!$D$14:$U$67,16,FALSE)</f>
        <v>0</v>
      </c>
      <c r="N160" s="415">
        <f t="shared" si="18"/>
        <v>0</v>
      </c>
      <c r="O160" s="724" t="str">
        <f>VLOOKUP($E160,'Analysis Inputs'!$D$14:$U$67,17,FALSE)</f>
        <v>NA</v>
      </c>
      <c r="P160" s="725" t="s">
        <v>503</v>
      </c>
      <c r="Q160" s="726" t="str">
        <f>VLOOKUP($E160,'Analysis Inputs'!$D$14:$U$67,18,FALSE)</f>
        <v>NA</v>
      </c>
      <c r="R160" s="725" t="s">
        <v>503</v>
      </c>
      <c r="S160" s="405">
        <f t="shared" si="21"/>
        <v>26824.568902585113</v>
      </c>
    </row>
    <row r="161" spans="2:19" ht="12.75" customHeight="1" x14ac:dyDescent="0.25">
      <c r="B161" s="47">
        <f t="shared" si="19"/>
        <v>0</v>
      </c>
      <c r="C161" s="47">
        <f t="shared" si="25"/>
        <v>18</v>
      </c>
      <c r="D161">
        <f t="shared" si="26"/>
        <v>0</v>
      </c>
      <c r="E161" s="7" t="s">
        <v>584</v>
      </c>
      <c r="F161" s="200">
        <f>VLOOKUP($E161,'Analysis Inputs'!$D$14:$U$67,10,FALSE)</f>
        <v>0</v>
      </c>
      <c r="G161" s="203">
        <f>VLOOKUP($E161,'Analysis Inputs'!$D$14:$U$67,13,FALSE)</f>
        <v>0</v>
      </c>
      <c r="H161" s="203">
        <f>+G161*F46</f>
        <v>0</v>
      </c>
      <c r="I161" s="202">
        <f>VLOOKUP($E161,'Analysis Inputs'!$D$14:$U$67,14,FALSE)</f>
        <v>0</v>
      </c>
      <c r="J161" s="202">
        <f t="shared" si="30"/>
        <v>0</v>
      </c>
      <c r="K161" s="200">
        <f>VLOOKUP($E161,'Analysis Inputs'!$D$14:$U$67,15,FALSE)</f>
        <v>0</v>
      </c>
      <c r="L161" s="202">
        <f t="shared" si="29"/>
        <v>0</v>
      </c>
      <c r="M161" s="202">
        <f>VLOOKUP($E161,'Analysis Inputs'!$D$14:$U$67,16,FALSE)</f>
        <v>0</v>
      </c>
      <c r="N161" s="415">
        <f t="shared" si="18"/>
        <v>0</v>
      </c>
      <c r="O161" s="724" t="str">
        <f>VLOOKUP($E161,'Analysis Inputs'!$D$14:$U$67,17,FALSE)</f>
        <v>NA</v>
      </c>
      <c r="P161" s="725" t="s">
        <v>503</v>
      </c>
      <c r="Q161" s="726" t="str">
        <f>VLOOKUP($E161,'Analysis Inputs'!$D$14:$U$67,18,FALSE)</f>
        <v>NA</v>
      </c>
      <c r="R161" s="725" t="s">
        <v>503</v>
      </c>
      <c r="S161" s="405">
        <f t="shared" si="21"/>
        <v>0</v>
      </c>
    </row>
    <row r="162" spans="2:19" ht="12.75" customHeight="1" x14ac:dyDescent="0.25">
      <c r="B162" s="47">
        <f t="shared" si="19"/>
        <v>0</v>
      </c>
      <c r="C162" s="47">
        <f t="shared" si="25"/>
        <v>18</v>
      </c>
      <c r="D162">
        <f t="shared" si="26"/>
        <v>0</v>
      </c>
      <c r="E162" s="7" t="s">
        <v>585</v>
      </c>
      <c r="F162" s="200">
        <f>VLOOKUP($E162,'Analysis Inputs'!$D$14:$U$67,10,FALSE)</f>
        <v>0</v>
      </c>
      <c r="G162" s="203">
        <f>VLOOKUP($E162,'Analysis Inputs'!$D$14:$U$67,13,FALSE)</f>
        <v>0</v>
      </c>
      <c r="H162" s="203">
        <f>+G162*F47</f>
        <v>0</v>
      </c>
      <c r="I162" s="202">
        <f>VLOOKUP($E162,'Analysis Inputs'!$D$14:$U$67,14,FALSE)</f>
        <v>0</v>
      </c>
      <c r="J162" s="202">
        <f t="shared" si="30"/>
        <v>0</v>
      </c>
      <c r="K162" s="200">
        <f>VLOOKUP($E162,'Analysis Inputs'!$D$14:$U$67,15,FALSE)</f>
        <v>0</v>
      </c>
      <c r="L162" s="202">
        <f t="shared" si="29"/>
        <v>0</v>
      </c>
      <c r="M162" s="202">
        <f>VLOOKUP($E162,'Analysis Inputs'!$D$14:$U$67,16,FALSE)</f>
        <v>0</v>
      </c>
      <c r="N162" s="415">
        <f t="shared" si="18"/>
        <v>0</v>
      </c>
      <c r="O162" s="724" t="str">
        <f>VLOOKUP($E162,'Analysis Inputs'!$D$14:$U$67,17,FALSE)</f>
        <v>NA</v>
      </c>
      <c r="P162" s="725" t="s">
        <v>503</v>
      </c>
      <c r="Q162" s="726" t="str">
        <f>VLOOKUP($E162,'Analysis Inputs'!$D$14:$U$67,18,FALSE)</f>
        <v>NA</v>
      </c>
      <c r="R162" s="725" t="s">
        <v>503</v>
      </c>
      <c r="S162" s="405">
        <f t="shared" si="21"/>
        <v>0</v>
      </c>
    </row>
    <row r="163" spans="2:19" ht="12.75" customHeight="1" x14ac:dyDescent="0.25">
      <c r="B163" s="47">
        <f t="shared" si="19"/>
        <v>1</v>
      </c>
      <c r="C163" s="47">
        <f t="shared" si="25"/>
        <v>19</v>
      </c>
      <c r="D163">
        <f t="shared" si="26"/>
        <v>19</v>
      </c>
      <c r="E163" s="7" t="s">
        <v>633</v>
      </c>
      <c r="F163" s="200">
        <f>VLOOKUP($E163,'Analysis Inputs'!$D$14:$U$67,10,FALSE)</f>
        <v>31048.613761431894</v>
      </c>
      <c r="G163" s="203">
        <f>VLOOKUP($E163,'Analysis Inputs'!$D$14:$U$67,13,FALSE)</f>
        <v>0</v>
      </c>
      <c r="H163" s="203">
        <f>+G163*F48</f>
        <v>0</v>
      </c>
      <c r="I163" s="202">
        <f>VLOOKUP($E163,'Analysis Inputs'!$D$14:$U$67,14,FALSE)</f>
        <v>0</v>
      </c>
      <c r="J163" s="202">
        <f t="shared" si="30"/>
        <v>0</v>
      </c>
      <c r="K163" s="200">
        <f>VLOOKUP($E163,'Analysis Inputs'!$D$14:$U$67,15,FALSE)</f>
        <v>31048.613761431894</v>
      </c>
      <c r="L163" s="202">
        <f t="shared" si="29"/>
        <v>628.87474173852524</v>
      </c>
      <c r="M163" s="202">
        <f>VLOOKUP($E163,'Analysis Inputs'!$D$14:$U$67,16,FALSE)</f>
        <v>0</v>
      </c>
      <c r="N163" s="415">
        <f t="shared" si="18"/>
        <v>0</v>
      </c>
      <c r="O163" s="724" t="str">
        <f>VLOOKUP($E163,'Analysis Inputs'!$D$14:$U$67,17,FALSE)</f>
        <v>NA</v>
      </c>
      <c r="P163" s="725" t="s">
        <v>503</v>
      </c>
      <c r="Q163" s="726" t="str">
        <f>VLOOKUP($E163,'Analysis Inputs'!$D$14:$U$67,18,FALSE)</f>
        <v>NA</v>
      </c>
      <c r="R163" s="725" t="s">
        <v>503</v>
      </c>
      <c r="S163" s="405">
        <f t="shared" si="21"/>
        <v>628.87474173852524</v>
      </c>
    </row>
    <row r="164" spans="2:19" ht="12.75" customHeight="1" x14ac:dyDescent="0.25">
      <c r="B164" s="47">
        <f t="shared" si="19"/>
        <v>1</v>
      </c>
      <c r="C164" s="47">
        <f t="shared" si="25"/>
        <v>20</v>
      </c>
      <c r="D164">
        <f t="shared" si="26"/>
        <v>20</v>
      </c>
      <c r="E164" s="7" t="s">
        <v>386</v>
      </c>
      <c r="F164" s="200">
        <f>VLOOKUP($E164,'Analysis Inputs'!$D$14:$U$67,10,FALSE)</f>
        <v>65431.449481739066</v>
      </c>
      <c r="G164" s="203">
        <f>VLOOKUP($E164,'Analysis Inputs'!$D$14:$U$67,13,FALSE)</f>
        <v>0</v>
      </c>
      <c r="H164" s="203">
        <f>+G164*F49</f>
        <v>0</v>
      </c>
      <c r="I164" s="202">
        <f>VLOOKUP($E164,'Analysis Inputs'!$D$14:$U$67,14,FALSE)</f>
        <v>0</v>
      </c>
      <c r="J164" s="202">
        <f t="shared" si="30"/>
        <v>0</v>
      </c>
      <c r="K164" s="200">
        <f>VLOOKUP($E164,'Analysis Inputs'!$D$14:$U$67,15,FALSE)</f>
        <v>65431.449481739066</v>
      </c>
      <c r="L164" s="202">
        <f t="shared" si="29"/>
        <v>1325.282545964086</v>
      </c>
      <c r="M164" s="202">
        <f>VLOOKUP($E164,'Analysis Inputs'!$D$14:$U$67,16,FALSE)</f>
        <v>0</v>
      </c>
      <c r="N164" s="415">
        <f t="shared" si="18"/>
        <v>0</v>
      </c>
      <c r="O164" s="724" t="str">
        <f>VLOOKUP($E164,'Analysis Inputs'!$D$14:$U$67,17,FALSE)</f>
        <v>NA</v>
      </c>
      <c r="P164" s="725" t="s">
        <v>503</v>
      </c>
      <c r="Q164" s="726" t="str">
        <f>VLOOKUP($E164,'Analysis Inputs'!$D$14:$U$67,18,FALSE)</f>
        <v>NA</v>
      </c>
      <c r="R164" s="725" t="s">
        <v>503</v>
      </c>
      <c r="S164" s="405">
        <f t="shared" si="21"/>
        <v>1325.282545964086</v>
      </c>
    </row>
    <row r="165" spans="2:19" ht="12.75" customHeight="1" x14ac:dyDescent="0.25">
      <c r="B165" s="47">
        <f t="shared" si="19"/>
        <v>0</v>
      </c>
      <c r="C165" s="47">
        <f t="shared" si="25"/>
        <v>20</v>
      </c>
      <c r="D165">
        <f t="shared" si="26"/>
        <v>0</v>
      </c>
      <c r="E165" s="7" t="s">
        <v>272</v>
      </c>
      <c r="F165" s="200">
        <f>VLOOKUP($E165,'Analysis Inputs'!$D$14:$U$67,10,FALSE)</f>
        <v>0</v>
      </c>
      <c r="G165" s="203" t="str">
        <f>VLOOKUP($E165,'Analysis Inputs'!$D$14:$U$67,13,FALSE)</f>
        <v>NA</v>
      </c>
      <c r="H165" s="203" t="s">
        <v>503</v>
      </c>
      <c r="I165" s="202">
        <f>VLOOKUP($E165,'Analysis Inputs'!$D$14:$U$67,14,FALSE)</f>
        <v>0</v>
      </c>
      <c r="J165" s="202">
        <f t="shared" si="30"/>
        <v>0</v>
      </c>
      <c r="K165" s="200">
        <f>VLOOKUP($E165,'Analysis Inputs'!$D$14:$U$67,15,FALSE)</f>
        <v>0</v>
      </c>
      <c r="L165" s="202">
        <f t="shared" si="29"/>
        <v>0</v>
      </c>
      <c r="M165" s="202">
        <f>VLOOKUP($E165,'Analysis Inputs'!$D$14:$U$67,16,FALSE)</f>
        <v>0</v>
      </c>
      <c r="N165" s="415">
        <f t="shared" si="18"/>
        <v>0</v>
      </c>
      <c r="O165" s="724" t="str">
        <f>VLOOKUP($E165,'Analysis Inputs'!$D$14:$U$67,17,FALSE)</f>
        <v>NA</v>
      </c>
      <c r="P165" s="725" t="s">
        <v>503</v>
      </c>
      <c r="Q165" s="726" t="str">
        <f>VLOOKUP($E165,'Analysis Inputs'!$D$14:$U$67,18,FALSE)</f>
        <v>NA</v>
      </c>
      <c r="R165" s="725" t="s">
        <v>503</v>
      </c>
      <c r="S165" s="405">
        <f t="shared" si="21"/>
        <v>0</v>
      </c>
    </row>
    <row r="166" spans="2:19" ht="12.75" customHeight="1" x14ac:dyDescent="0.25">
      <c r="B166" s="47">
        <f t="shared" si="19"/>
        <v>0</v>
      </c>
      <c r="C166" s="47">
        <f t="shared" si="25"/>
        <v>20</v>
      </c>
      <c r="D166">
        <f t="shared" si="26"/>
        <v>0</v>
      </c>
      <c r="E166" s="7" t="s">
        <v>740</v>
      </c>
      <c r="F166" s="200">
        <f>VLOOKUP($E166,'Analysis Inputs'!$D$14:$U$67,10,FALSE)</f>
        <v>0</v>
      </c>
      <c r="G166" s="203">
        <f>VLOOKUP($E166,'Analysis Inputs'!$D$14:$U$67,13,FALSE)</f>
        <v>0</v>
      </c>
      <c r="H166" s="203">
        <f>+G166*F51</f>
        <v>0</v>
      </c>
      <c r="I166" s="202" t="str">
        <f>VLOOKUP($E166,'Analysis Inputs'!$D$14:$U$67,14,FALSE)</f>
        <v>NA</v>
      </c>
      <c r="J166" s="202" t="s">
        <v>503</v>
      </c>
      <c r="K166" s="200">
        <f>VLOOKUP($E166,'Analysis Inputs'!$D$14:$U$67,15,FALSE)</f>
        <v>0</v>
      </c>
      <c r="L166" s="202">
        <f t="shared" si="29"/>
        <v>0</v>
      </c>
      <c r="M166" s="202">
        <f>VLOOKUP($E166,'Analysis Inputs'!$D$14:$U$67,16,FALSE)</f>
        <v>0</v>
      </c>
      <c r="N166" s="415">
        <f t="shared" si="18"/>
        <v>0</v>
      </c>
      <c r="O166" s="724">
        <f>VLOOKUP($E166,'Analysis Inputs'!$D$14:$U$67,17,FALSE)</f>
        <v>0</v>
      </c>
      <c r="P166" s="725">
        <f>O166*J51</f>
        <v>0</v>
      </c>
      <c r="Q166" s="726">
        <f>VLOOKUP($E166,'Analysis Inputs'!$D$14:$U$67,18,FALSE)</f>
        <v>0</v>
      </c>
      <c r="R166" s="725">
        <f>IF(AND(K51="NA",Q166&lt;&gt;0),"INPUT ERROR",IF(AND(K51="NA",Q166=0),"NA",+Q166*K51))</f>
        <v>0</v>
      </c>
      <c r="S166" s="405">
        <f t="shared" si="21"/>
        <v>0</v>
      </c>
    </row>
    <row r="167" spans="2:19" ht="12.75" customHeight="1" x14ac:dyDescent="0.25">
      <c r="B167" s="47">
        <f t="shared" si="19"/>
        <v>0</v>
      </c>
      <c r="C167" s="47">
        <f t="shared" si="25"/>
        <v>20</v>
      </c>
      <c r="D167">
        <f t="shared" si="26"/>
        <v>0</v>
      </c>
      <c r="E167" s="7" t="s">
        <v>385</v>
      </c>
      <c r="F167" s="200">
        <f>VLOOKUP($E167,'Analysis Inputs'!$D$14:$U$67,10,FALSE)</f>
        <v>0</v>
      </c>
      <c r="G167" s="203" t="str">
        <f>VLOOKUP($E167,'Analysis Inputs'!$D$14:$U$67,13,FALSE)</f>
        <v>NA</v>
      </c>
      <c r="H167" s="203" t="s">
        <v>503</v>
      </c>
      <c r="I167" s="202" t="str">
        <f>VLOOKUP($E167,'Analysis Inputs'!$D$14:$U$67,14,FALSE)</f>
        <v>NA</v>
      </c>
      <c r="J167" s="202" t="s">
        <v>503</v>
      </c>
      <c r="K167" s="200">
        <f>VLOOKUP($E167,'Analysis Inputs'!$D$14:$U$67,15,FALSE)</f>
        <v>0</v>
      </c>
      <c r="L167" s="202">
        <f t="shared" si="29"/>
        <v>0</v>
      </c>
      <c r="M167" s="202">
        <f>VLOOKUP($E167,'Analysis Inputs'!$D$14:$U$67,16,FALSE)</f>
        <v>0</v>
      </c>
      <c r="N167" s="415">
        <f t="shared" si="18"/>
        <v>0</v>
      </c>
      <c r="O167" s="724">
        <f>VLOOKUP($E167,'Analysis Inputs'!$D$14:$U$67,17,FALSE)</f>
        <v>0</v>
      </c>
      <c r="P167" s="725">
        <f>O167*J52</f>
        <v>0</v>
      </c>
      <c r="Q167" s="726">
        <f>VLOOKUP($E167,'Analysis Inputs'!$D$14:$U$67,18,FALSE)</f>
        <v>0</v>
      </c>
      <c r="R167" s="725" t="str">
        <f>IF(AND(K52="NA",Q167&lt;&gt;0),"INPUT ERROR",IF(AND(K52="NA",Q167=0),"NA",+Q167*K52))</f>
        <v>NA</v>
      </c>
      <c r="S167" s="405">
        <f t="shared" si="21"/>
        <v>0</v>
      </c>
    </row>
    <row r="168" spans="2:19" ht="12.75" customHeight="1" x14ac:dyDescent="0.25">
      <c r="B168" s="47">
        <f t="shared" si="19"/>
        <v>1</v>
      </c>
      <c r="C168" s="47">
        <f t="shared" si="25"/>
        <v>21</v>
      </c>
      <c r="D168">
        <f t="shared" si="26"/>
        <v>21</v>
      </c>
      <c r="E168" s="7" t="s">
        <v>574</v>
      </c>
      <c r="F168" s="200">
        <f>VLOOKUP($E168,'Analysis Inputs'!$D$14:$U$67,10,FALSE)</f>
        <v>186408.24273021927</v>
      </c>
      <c r="G168" s="203" t="str">
        <f>VLOOKUP($E168,'Analysis Inputs'!$D$14:$U$67,13,FALSE)</f>
        <v>NA</v>
      </c>
      <c r="H168" s="203" t="s">
        <v>503</v>
      </c>
      <c r="I168" s="202" t="str">
        <f>VLOOKUP($E168,'Analysis Inputs'!$D$14:$U$67,14,FALSE)</f>
        <v>NA</v>
      </c>
      <c r="J168" s="202" t="s">
        <v>503</v>
      </c>
      <c r="K168" s="200">
        <f>VLOOKUP($E168,'Analysis Inputs'!$D$14:$U$67,15,FALSE)</f>
        <v>186408.24273021927</v>
      </c>
      <c r="L168" s="202">
        <f t="shared" si="29"/>
        <v>82195.520819316167</v>
      </c>
      <c r="M168" s="202">
        <f>VLOOKUP($E168,'Analysis Inputs'!$D$14:$U$67,16,FALSE)</f>
        <v>0</v>
      </c>
      <c r="N168" s="415">
        <f t="shared" si="18"/>
        <v>0</v>
      </c>
      <c r="O168" s="724" t="str">
        <f>VLOOKUP($E168,'Analysis Inputs'!$D$14:$U$67,17,FALSE)</f>
        <v>NA</v>
      </c>
      <c r="P168" s="725" t="s">
        <v>503</v>
      </c>
      <c r="Q168" s="726" t="str">
        <f>VLOOKUP($E168,'Analysis Inputs'!$D$14:$U$67,18,FALSE)</f>
        <v>NA</v>
      </c>
      <c r="R168" s="725" t="s">
        <v>503</v>
      </c>
      <c r="S168" s="405">
        <f t="shared" si="21"/>
        <v>82195.520819316167</v>
      </c>
    </row>
    <row r="169" spans="2:19" ht="12.75" customHeight="1" x14ac:dyDescent="0.25">
      <c r="B169" s="47">
        <f t="shared" si="19"/>
        <v>1</v>
      </c>
      <c r="C169" s="47">
        <f t="shared" si="25"/>
        <v>22</v>
      </c>
      <c r="D169">
        <f t="shared" si="26"/>
        <v>22</v>
      </c>
      <c r="E169" s="7" t="s">
        <v>573</v>
      </c>
      <c r="F169" s="200">
        <f>VLOOKUP($E169,'Analysis Inputs'!$D$14:$U$67,10,FALSE)</f>
        <v>17777.945134258178</v>
      </c>
      <c r="G169" s="203">
        <f>VLOOKUP($E169,'Analysis Inputs'!$D$14:$U$67,13,FALSE)</f>
        <v>0</v>
      </c>
      <c r="H169" s="203">
        <f>+G169*F54</f>
        <v>0</v>
      </c>
      <c r="I169" s="202">
        <f>VLOOKUP($E169,'Analysis Inputs'!$D$14:$U$67,14,FALSE)</f>
        <v>0</v>
      </c>
      <c r="J169" s="202">
        <f>+I169*G54</f>
        <v>0</v>
      </c>
      <c r="K169" s="200">
        <f>VLOOKUP($E169,'Analysis Inputs'!$D$14:$U$67,15,FALSE)</f>
        <v>17777.945134258178</v>
      </c>
      <c r="L169" s="202">
        <f t="shared" si="29"/>
        <v>360.08373001296536</v>
      </c>
      <c r="M169" s="202">
        <f>VLOOKUP($E169,'Analysis Inputs'!$D$14:$U$67,16,FALSE)</f>
        <v>0</v>
      </c>
      <c r="N169" s="415">
        <f t="shared" si="18"/>
        <v>0</v>
      </c>
      <c r="O169" s="724" t="str">
        <f>VLOOKUP($E169,'Analysis Inputs'!$D$14:$U$67,17,FALSE)</f>
        <v>NA</v>
      </c>
      <c r="P169" s="725" t="s">
        <v>503</v>
      </c>
      <c r="Q169" s="726" t="str">
        <f>VLOOKUP($E169,'Analysis Inputs'!$D$14:$U$67,18,FALSE)</f>
        <v>NA</v>
      </c>
      <c r="R169" s="725" t="s">
        <v>503</v>
      </c>
      <c r="S169" s="405">
        <f t="shared" si="21"/>
        <v>360.08373001296536</v>
      </c>
    </row>
    <row r="170" spans="2:19" ht="12.75" customHeight="1" x14ac:dyDescent="0.25">
      <c r="B170" s="47">
        <f t="shared" si="19"/>
        <v>1</v>
      </c>
      <c r="C170" s="47">
        <f t="shared" si="25"/>
        <v>23</v>
      </c>
      <c r="D170">
        <f t="shared" si="26"/>
        <v>23</v>
      </c>
      <c r="E170" s="7" t="s">
        <v>423</v>
      </c>
      <c r="F170" s="200">
        <f>VLOOKUP($E170,'Analysis Inputs'!$D$14:$U$67,10,FALSE)</f>
        <v>3566.6261698317612</v>
      </c>
      <c r="G170" s="203">
        <f>VLOOKUP($E170,'Analysis Inputs'!$D$14:$U$67,13,FALSE)</f>
        <v>0</v>
      </c>
      <c r="H170" s="203">
        <f>+G170*F55</f>
        <v>0</v>
      </c>
      <c r="I170" s="202">
        <f>VLOOKUP($E170,'Analysis Inputs'!$D$14:$U$67,14,FALSE)</f>
        <v>0</v>
      </c>
      <c r="J170" s="202">
        <f>+I170*G55</f>
        <v>0</v>
      </c>
      <c r="K170" s="200">
        <f>VLOOKUP($E170,'Analysis Inputs'!$D$14:$U$67,15,FALSE)</f>
        <v>3566.6261698317612</v>
      </c>
      <c r="L170" s="202">
        <f t="shared" si="29"/>
        <v>72.240298026348142</v>
      </c>
      <c r="M170" s="202">
        <f>VLOOKUP($E170,'Analysis Inputs'!$D$14:$U$67,16,FALSE)</f>
        <v>0</v>
      </c>
      <c r="N170" s="415">
        <f t="shared" si="18"/>
        <v>0</v>
      </c>
      <c r="O170" s="724" t="str">
        <f>VLOOKUP($E170,'Analysis Inputs'!$D$14:$U$67,17,FALSE)</f>
        <v>NA</v>
      </c>
      <c r="P170" s="725" t="s">
        <v>503</v>
      </c>
      <c r="Q170" s="726" t="str">
        <f>VLOOKUP($E170,'Analysis Inputs'!$D$14:$U$67,18,FALSE)</f>
        <v>NA</v>
      </c>
      <c r="R170" s="725" t="s">
        <v>503</v>
      </c>
      <c r="S170" s="405">
        <f t="shared" si="21"/>
        <v>72.240298026348142</v>
      </c>
    </row>
    <row r="171" spans="2:19" ht="12.75" customHeight="1" x14ac:dyDescent="0.25">
      <c r="B171" s="47">
        <f t="shared" si="19"/>
        <v>0</v>
      </c>
      <c r="C171" s="47">
        <f t="shared" si="25"/>
        <v>23</v>
      </c>
      <c r="D171">
        <f t="shared" si="26"/>
        <v>0</v>
      </c>
      <c r="E171" s="117" t="s">
        <v>455</v>
      </c>
      <c r="F171" s="200">
        <f>VLOOKUP($E171,'Analysis Inputs'!$D$14:$U$67,10,FALSE)</f>
        <v>0</v>
      </c>
      <c r="G171" s="203">
        <f>VLOOKUP($E171,'Analysis Inputs'!$D$14:$U$67,13,FALSE)</f>
        <v>0</v>
      </c>
      <c r="H171" s="203">
        <f>+G171*F56</f>
        <v>0</v>
      </c>
      <c r="I171" s="202" t="str">
        <f>VLOOKUP($E171,'Analysis Inputs'!$D$14:$U$67,14,FALSE)</f>
        <v>NA</v>
      </c>
      <c r="J171" s="202" t="s">
        <v>503</v>
      </c>
      <c r="K171" s="200">
        <f>VLOOKUP($E171,'Analysis Inputs'!$D$14:$U$67,15,FALSE)</f>
        <v>0</v>
      </c>
      <c r="L171" s="202">
        <f t="shared" si="29"/>
        <v>0</v>
      </c>
      <c r="M171" s="202" t="str">
        <f>VLOOKUP($E171,'Analysis Inputs'!$D$14:$U$67,16,FALSE)</f>
        <v>NA</v>
      </c>
      <c r="N171" s="415" t="s">
        <v>503</v>
      </c>
      <c r="O171" s="419" t="str">
        <f>VLOOKUP($E171,'Analysis Inputs'!$D$14:$U$67,17,FALSE)</f>
        <v>NA</v>
      </c>
      <c r="P171" s="406" t="s">
        <v>503</v>
      </c>
      <c r="Q171" s="202" t="str">
        <f>VLOOKUP($E171,'Analysis Inputs'!$D$14:$U$67,18,FALSE)</f>
        <v>NA</v>
      </c>
      <c r="R171" s="406" t="s">
        <v>503</v>
      </c>
      <c r="S171" s="405">
        <f t="shared" si="21"/>
        <v>0</v>
      </c>
    </row>
    <row r="172" spans="2:19" ht="12.75" customHeight="1" x14ac:dyDescent="0.25">
      <c r="B172" s="47">
        <f t="shared" si="19"/>
        <v>0</v>
      </c>
      <c r="C172" s="47">
        <f t="shared" si="25"/>
        <v>23</v>
      </c>
      <c r="D172">
        <f t="shared" si="26"/>
        <v>0</v>
      </c>
      <c r="E172" s="117" t="s">
        <v>476</v>
      </c>
      <c r="F172" s="200">
        <f>VLOOKUP($E172,'Analysis Inputs'!$D$14:$U$67,10,FALSE)</f>
        <v>0</v>
      </c>
      <c r="G172" s="203" t="str">
        <f>VLOOKUP($E172,'Analysis Inputs'!$D$14:$U$67,13,FALSE)</f>
        <v>NA</v>
      </c>
      <c r="H172" s="203" t="s">
        <v>503</v>
      </c>
      <c r="I172" s="202">
        <f>VLOOKUP($E172,'Analysis Inputs'!$D$14:$U$67,14,FALSE)</f>
        <v>0</v>
      </c>
      <c r="J172" s="202">
        <f t="shared" ref="J172:J177" si="31">+I172*G57</f>
        <v>0</v>
      </c>
      <c r="K172" s="200">
        <f>VLOOKUP($E172,'Analysis Inputs'!$D$14:$U$67,15,FALSE)</f>
        <v>0</v>
      </c>
      <c r="L172" s="202">
        <f t="shared" si="29"/>
        <v>0</v>
      </c>
      <c r="M172" s="202" t="str">
        <f>VLOOKUP($E172,'Analysis Inputs'!$D$14:$U$67,16,FALSE)</f>
        <v>NA</v>
      </c>
      <c r="N172" s="415" t="s">
        <v>503</v>
      </c>
      <c r="O172" s="724" t="str">
        <f>VLOOKUP($E172,'Analysis Inputs'!$D$14:$U$67,17,FALSE)</f>
        <v>NA</v>
      </c>
      <c r="P172" s="725" t="s">
        <v>503</v>
      </c>
      <c r="Q172" s="726" t="str">
        <f>VLOOKUP($E172,'Analysis Inputs'!$D$14:$U$67,18,FALSE)</f>
        <v>NA</v>
      </c>
      <c r="R172" s="725" t="s">
        <v>503</v>
      </c>
      <c r="S172" s="405">
        <f t="shared" si="21"/>
        <v>0</v>
      </c>
    </row>
    <row r="173" spans="2:19" ht="12.75" customHeight="1" x14ac:dyDescent="0.25">
      <c r="B173" s="47">
        <f t="shared" si="19"/>
        <v>1</v>
      </c>
      <c r="C173" s="47">
        <f t="shared" si="25"/>
        <v>24</v>
      </c>
      <c r="D173">
        <f t="shared" si="26"/>
        <v>24</v>
      </c>
      <c r="E173" s="117" t="s">
        <v>131</v>
      </c>
      <c r="F173" s="200">
        <f>VLOOKUP($E173,'Analysis Inputs'!$D$14:$U$67,10,FALSE)</f>
        <v>48.934699796860542</v>
      </c>
      <c r="G173" s="203" t="str">
        <f>VLOOKUP($E173,'Analysis Inputs'!$D$14:$U$67,13,FALSE)</f>
        <v>NA</v>
      </c>
      <c r="H173" s="203" t="s">
        <v>503</v>
      </c>
      <c r="I173" s="202">
        <f>VLOOKUP($E173,'Analysis Inputs'!$D$14:$U$67,14,FALSE)</f>
        <v>0</v>
      </c>
      <c r="J173" s="202">
        <f t="shared" si="31"/>
        <v>0</v>
      </c>
      <c r="K173" s="200">
        <f>VLOOKUP($E173,'Analysis Inputs'!$D$14:$U$67,15,FALSE)</f>
        <v>48.934699796860542</v>
      </c>
      <c r="L173" s="202">
        <f t="shared" si="29"/>
        <v>0.99114881370419416</v>
      </c>
      <c r="M173" s="202" t="str">
        <f>VLOOKUP($E173,'Analysis Inputs'!$D$14:$U$67,16,FALSE)</f>
        <v>NA</v>
      </c>
      <c r="N173" s="415" t="s">
        <v>503</v>
      </c>
      <c r="O173" s="724" t="str">
        <f>VLOOKUP($E173,'Analysis Inputs'!$D$14:$U$67,17,FALSE)</f>
        <v>NA</v>
      </c>
      <c r="P173" s="725" t="s">
        <v>503</v>
      </c>
      <c r="Q173" s="726" t="str">
        <f>VLOOKUP($E173,'Analysis Inputs'!$D$14:$U$67,18,FALSE)</f>
        <v>NA</v>
      </c>
      <c r="R173" s="725" t="s">
        <v>503</v>
      </c>
      <c r="S173" s="405">
        <f t="shared" si="21"/>
        <v>0.99114881370419416</v>
      </c>
    </row>
    <row r="174" spans="2:19" ht="12.75" customHeight="1" x14ac:dyDescent="0.25">
      <c r="B174" s="47">
        <f t="shared" si="19"/>
        <v>1</v>
      </c>
      <c r="C174" s="47">
        <f t="shared" si="25"/>
        <v>25</v>
      </c>
      <c r="D174">
        <f t="shared" si="26"/>
        <v>25</v>
      </c>
      <c r="E174" s="117" t="s">
        <v>444</v>
      </c>
      <c r="F174" s="200">
        <f>VLOOKUP($E174,'Analysis Inputs'!$D$14:$U$67,10,FALSE)</f>
        <v>667.21647161788258</v>
      </c>
      <c r="G174" s="203">
        <f>VLOOKUP($E174,'Analysis Inputs'!$D$14:$U$67,13,FALSE)</f>
        <v>0</v>
      </c>
      <c r="H174" s="203">
        <f t="shared" ref="H174:H180" si="32">+G174*F59</f>
        <v>0</v>
      </c>
      <c r="I174" s="202">
        <f>VLOOKUP($E174,'Analysis Inputs'!$D$14:$U$67,14,FALSE)</f>
        <v>0</v>
      </c>
      <c r="J174" s="202">
        <f t="shared" si="31"/>
        <v>0</v>
      </c>
      <c r="K174" s="200">
        <f>VLOOKUP($E174,'Analysis Inputs'!$D$14:$U$67,15,FALSE)</f>
        <v>667.21647161788258</v>
      </c>
      <c r="L174" s="202">
        <f t="shared" si="29"/>
        <v>13.514148795705692</v>
      </c>
      <c r="M174" s="202">
        <f>VLOOKUP($E174,'Analysis Inputs'!$D$14:$U$67,16,FALSE)</f>
        <v>0</v>
      </c>
      <c r="N174" s="415">
        <f>+M174*I59</f>
        <v>0</v>
      </c>
      <c r="O174" s="724" t="str">
        <f>VLOOKUP($E174,'Analysis Inputs'!$D$14:$U$67,17,FALSE)</f>
        <v>NA</v>
      </c>
      <c r="P174" s="725" t="s">
        <v>503</v>
      </c>
      <c r="Q174" s="726" t="str">
        <f>VLOOKUP($E174,'Analysis Inputs'!$D$14:$U$67,18,FALSE)</f>
        <v>NA</v>
      </c>
      <c r="R174" s="725" t="s">
        <v>503</v>
      </c>
      <c r="S174" s="405">
        <f t="shared" si="21"/>
        <v>13.514148795705692</v>
      </c>
    </row>
    <row r="175" spans="2:19" ht="12.75" customHeight="1" x14ac:dyDescent="0.25">
      <c r="B175" s="47">
        <f t="shared" si="19"/>
        <v>0</v>
      </c>
      <c r="C175" s="47">
        <f t="shared" si="25"/>
        <v>25</v>
      </c>
      <c r="D175">
        <f t="shared" si="26"/>
        <v>0</v>
      </c>
      <c r="E175" s="7" t="s">
        <v>53</v>
      </c>
      <c r="F175" s="200">
        <f>VLOOKUP($E175,'Analysis Inputs'!$D$14:$U$67,10,FALSE)</f>
        <v>0</v>
      </c>
      <c r="G175" s="203">
        <f>VLOOKUP($E175,'Analysis Inputs'!$D$14:$U$67,13,FALSE)</f>
        <v>0</v>
      </c>
      <c r="H175" s="203">
        <f t="shared" si="32"/>
        <v>0</v>
      </c>
      <c r="I175" s="202">
        <f>VLOOKUP($E175,'Analysis Inputs'!$D$14:$U$67,14,FALSE)</f>
        <v>0</v>
      </c>
      <c r="J175" s="202">
        <f t="shared" si="31"/>
        <v>0</v>
      </c>
      <c r="K175" s="200">
        <f>VLOOKUP($E175,'Analysis Inputs'!$D$14:$U$67,15,FALSE)</f>
        <v>0</v>
      </c>
      <c r="L175" s="202">
        <f t="shared" si="29"/>
        <v>0</v>
      </c>
      <c r="M175" s="202" t="str">
        <f>VLOOKUP($E175,'Analysis Inputs'!$D$14:$U$67,16,FALSE)</f>
        <v>NA</v>
      </c>
      <c r="N175" s="415" t="s">
        <v>503</v>
      </c>
      <c r="O175" s="724" t="str">
        <f>VLOOKUP($E175,'Analysis Inputs'!$D$14:$U$67,17,FALSE)</f>
        <v>NA</v>
      </c>
      <c r="P175" s="725" t="s">
        <v>503</v>
      </c>
      <c r="Q175" s="726" t="str">
        <f>VLOOKUP($E175,'Analysis Inputs'!$D$14:$U$67,18,FALSE)</f>
        <v>NA</v>
      </c>
      <c r="R175" s="725" t="s">
        <v>503</v>
      </c>
      <c r="S175" s="727">
        <f t="shared" si="21"/>
        <v>0</v>
      </c>
    </row>
    <row r="176" spans="2:19" ht="12.75" customHeight="1" x14ac:dyDescent="0.25">
      <c r="B176" s="47">
        <f t="shared" si="19"/>
        <v>1</v>
      </c>
      <c r="C176" s="47">
        <f t="shared" si="25"/>
        <v>26</v>
      </c>
      <c r="D176">
        <f t="shared" si="26"/>
        <v>26</v>
      </c>
      <c r="E176" s="117" t="s">
        <v>54</v>
      </c>
      <c r="F176" s="200">
        <f>VLOOKUP($E176,'Analysis Inputs'!$D$14:$U$67,10,FALSE)</f>
        <v>3002.42668852621</v>
      </c>
      <c r="G176" s="203">
        <f>VLOOKUP($E176,'Analysis Inputs'!$D$14:$U$67,13,FALSE)</f>
        <v>0</v>
      </c>
      <c r="H176" s="203">
        <f t="shared" si="32"/>
        <v>0</v>
      </c>
      <c r="I176" s="202">
        <f>VLOOKUP($E176,'Analysis Inputs'!$D$14:$U$67,14,FALSE)</f>
        <v>0</v>
      </c>
      <c r="J176" s="202">
        <f t="shared" si="31"/>
        <v>0</v>
      </c>
      <c r="K176" s="200">
        <f>VLOOKUP($E176,'Analysis Inputs'!$D$14:$U$67,15,FALSE)</f>
        <v>3002.42668852621</v>
      </c>
      <c r="L176" s="202">
        <f t="shared" si="29"/>
        <v>60.812708832791984</v>
      </c>
      <c r="M176" s="202">
        <f>VLOOKUP($E176,'Analysis Inputs'!$D$14:$U$67,16,FALSE)</f>
        <v>0</v>
      </c>
      <c r="N176" s="415">
        <f>+M176*I61</f>
        <v>0</v>
      </c>
      <c r="O176" s="724" t="str">
        <f>VLOOKUP($E176,'Analysis Inputs'!$D$14:$U$67,17,FALSE)</f>
        <v>NA</v>
      </c>
      <c r="P176" s="725" t="s">
        <v>503</v>
      </c>
      <c r="Q176" s="726" t="str">
        <f>VLOOKUP($E176,'Analysis Inputs'!$D$14:$U$67,18,FALSE)</f>
        <v>NA</v>
      </c>
      <c r="R176" s="725" t="s">
        <v>503</v>
      </c>
      <c r="S176" s="727">
        <f t="shared" si="21"/>
        <v>60.812708832791984</v>
      </c>
    </row>
    <row r="177" spans="2:19" ht="12.75" customHeight="1" x14ac:dyDescent="0.25">
      <c r="B177" s="47">
        <f t="shared" si="19"/>
        <v>1</v>
      </c>
      <c r="C177" s="47">
        <f t="shared" si="25"/>
        <v>27</v>
      </c>
      <c r="D177">
        <f t="shared" si="26"/>
        <v>27</v>
      </c>
      <c r="E177" s="117" t="s">
        <v>55</v>
      </c>
      <c r="F177" s="200">
        <f>VLOOKUP($E177,'Analysis Inputs'!$D$14:$U$67,10,FALSE)</f>
        <v>14797.404669376238</v>
      </c>
      <c r="G177" s="203">
        <f>VLOOKUP($E177,'Analysis Inputs'!$D$14:$U$67,13,FALSE)</f>
        <v>0</v>
      </c>
      <c r="H177" s="203">
        <f t="shared" si="32"/>
        <v>0</v>
      </c>
      <c r="I177" s="202">
        <f>VLOOKUP($E177,'Analysis Inputs'!$D$14:$U$67,14,FALSE)</f>
        <v>0</v>
      </c>
      <c r="J177" s="202">
        <f t="shared" si="31"/>
        <v>0</v>
      </c>
      <c r="K177" s="200">
        <f>VLOOKUP($E177,'Analysis Inputs'!$D$14:$U$67,15,FALSE)</f>
        <v>14797.404669376238</v>
      </c>
      <c r="L177" s="202">
        <f t="shared" si="29"/>
        <v>-903.25325208679044</v>
      </c>
      <c r="M177" s="202" t="str">
        <f>VLOOKUP($E177,'Analysis Inputs'!$D$14:$U$67,16,FALSE)</f>
        <v>NA</v>
      </c>
      <c r="N177" s="415" t="s">
        <v>503</v>
      </c>
      <c r="O177" s="724" t="str">
        <f>VLOOKUP($E177,'Analysis Inputs'!$D$14:$U$67,17,FALSE)</f>
        <v>NA</v>
      </c>
      <c r="P177" s="725" t="s">
        <v>503</v>
      </c>
      <c r="Q177" s="726" t="str">
        <f>VLOOKUP($E177,'Analysis Inputs'!$D$14:$U$67,18,FALSE)</f>
        <v>NA</v>
      </c>
      <c r="R177" s="725" t="s">
        <v>503</v>
      </c>
      <c r="S177" s="727">
        <f t="shared" si="21"/>
        <v>-903.25325208679044</v>
      </c>
    </row>
    <row r="178" spans="2:19" ht="12.75" customHeight="1" x14ac:dyDescent="0.25">
      <c r="B178" s="47">
        <f t="shared" si="19"/>
        <v>0</v>
      </c>
      <c r="C178" s="47">
        <f t="shared" si="25"/>
        <v>27</v>
      </c>
      <c r="D178">
        <f t="shared" si="26"/>
        <v>0</v>
      </c>
      <c r="E178" s="7" t="s">
        <v>56</v>
      </c>
      <c r="F178" s="200">
        <f>VLOOKUP($E178,'Analysis Inputs'!$D$14:$U$67,10,FALSE)</f>
        <v>0</v>
      </c>
      <c r="G178" s="203">
        <f>VLOOKUP($E178,'Analysis Inputs'!$D$14:$U$67,13,FALSE)</f>
        <v>0</v>
      </c>
      <c r="H178" s="203">
        <f t="shared" si="32"/>
        <v>0</v>
      </c>
      <c r="I178" s="202" t="str">
        <f>VLOOKUP($E178,'Analysis Inputs'!$D$14:$U$67,14,FALSE)</f>
        <v>NA</v>
      </c>
      <c r="J178" s="202" t="s">
        <v>503</v>
      </c>
      <c r="K178" s="200">
        <f>VLOOKUP($E178,'Analysis Inputs'!$D$14:$U$67,15,FALSE)</f>
        <v>0</v>
      </c>
      <c r="L178" s="202">
        <f t="shared" si="29"/>
        <v>0</v>
      </c>
      <c r="M178" s="202" t="str">
        <f>VLOOKUP($E178,'Analysis Inputs'!$D$14:$U$67,16,FALSE)</f>
        <v>NA</v>
      </c>
      <c r="N178" s="415" t="s">
        <v>503</v>
      </c>
      <c r="O178" s="724" t="str">
        <f>VLOOKUP($E178,'Analysis Inputs'!$D$14:$U$67,17,FALSE)</f>
        <v>NA</v>
      </c>
      <c r="P178" s="725" t="s">
        <v>503</v>
      </c>
      <c r="Q178" s="726" t="str">
        <f>VLOOKUP($E178,'Analysis Inputs'!$D$14:$U$67,18,FALSE)</f>
        <v>NA</v>
      </c>
      <c r="R178" s="725" t="s">
        <v>503</v>
      </c>
      <c r="S178" s="727">
        <f t="shared" si="21"/>
        <v>0</v>
      </c>
    </row>
    <row r="179" spans="2:19" ht="12.75" customHeight="1" x14ac:dyDescent="0.25">
      <c r="B179" s="47">
        <f t="shared" si="19"/>
        <v>0</v>
      </c>
      <c r="C179" s="47">
        <f t="shared" si="25"/>
        <v>27</v>
      </c>
      <c r="D179">
        <f t="shared" si="26"/>
        <v>0</v>
      </c>
      <c r="E179" s="7" t="s">
        <v>57</v>
      </c>
      <c r="F179" s="200">
        <f>VLOOKUP($E179,'Analysis Inputs'!$D$14:$U$67,10,FALSE)</f>
        <v>0</v>
      </c>
      <c r="G179" s="203">
        <f>VLOOKUP($E179,'Analysis Inputs'!$D$14:$U$67,13,FALSE)</f>
        <v>0</v>
      </c>
      <c r="H179" s="203">
        <f t="shared" si="32"/>
        <v>0</v>
      </c>
      <c r="I179" s="202" t="str">
        <f>VLOOKUP($E179,'Analysis Inputs'!$D$14:$U$67,14,FALSE)</f>
        <v>NA</v>
      </c>
      <c r="J179" s="202" t="s">
        <v>503</v>
      </c>
      <c r="K179" s="200">
        <f>VLOOKUP($E179,'Analysis Inputs'!$D$14:$U$67,15,FALSE)</f>
        <v>0</v>
      </c>
      <c r="L179" s="202">
        <f t="shared" si="29"/>
        <v>0</v>
      </c>
      <c r="M179" s="202">
        <f>VLOOKUP($E179,'Analysis Inputs'!$D$14:$U$67,16,FALSE)</f>
        <v>0</v>
      </c>
      <c r="N179" s="415">
        <f>+M179*I64</f>
        <v>0</v>
      </c>
      <c r="O179" s="724" t="str">
        <f>VLOOKUP($E179,'Analysis Inputs'!$D$14:$U$67,17,FALSE)</f>
        <v>NA</v>
      </c>
      <c r="P179" s="725" t="s">
        <v>503</v>
      </c>
      <c r="Q179" s="726" t="str">
        <f>VLOOKUP($E179,'Analysis Inputs'!$D$14:$U$67,18,FALSE)</f>
        <v>NA</v>
      </c>
      <c r="R179" s="725" t="s">
        <v>503</v>
      </c>
      <c r="S179" s="727">
        <f t="shared" si="21"/>
        <v>0</v>
      </c>
    </row>
    <row r="180" spans="2:19" ht="12.75" customHeight="1" x14ac:dyDescent="0.25">
      <c r="B180" s="47">
        <f t="shared" si="19"/>
        <v>0</v>
      </c>
      <c r="C180" s="47">
        <f t="shared" si="25"/>
        <v>27</v>
      </c>
      <c r="D180">
        <f t="shared" si="26"/>
        <v>0</v>
      </c>
      <c r="E180" s="117" t="s">
        <v>58</v>
      </c>
      <c r="F180" s="200">
        <f>VLOOKUP($E180,'Analysis Inputs'!$D$14:$U$67,10,FALSE)</f>
        <v>0</v>
      </c>
      <c r="G180" s="203">
        <f>VLOOKUP($E180,'Analysis Inputs'!$D$14:$U$67,13,FALSE)</f>
        <v>0</v>
      </c>
      <c r="H180" s="203">
        <f t="shared" si="32"/>
        <v>0</v>
      </c>
      <c r="I180" s="202" t="str">
        <f>VLOOKUP($E180,'Analysis Inputs'!$D$14:$U$67,14,FALSE)</f>
        <v>NA</v>
      </c>
      <c r="J180" s="202" t="s">
        <v>503</v>
      </c>
      <c r="K180" s="200">
        <f>VLOOKUP($E180,'Analysis Inputs'!$D$14:$U$67,15,FALSE)</f>
        <v>0</v>
      </c>
      <c r="L180" s="200">
        <f t="shared" si="29"/>
        <v>0</v>
      </c>
      <c r="M180" s="202">
        <f>VLOOKUP($E180,'Analysis Inputs'!$D$14:$U$67,16,FALSE)</f>
        <v>0</v>
      </c>
      <c r="N180" s="415">
        <f>+M180*I65</f>
        <v>0</v>
      </c>
      <c r="O180" s="729" t="str">
        <f>VLOOKUP($E180,'Analysis Inputs'!$D$14:$U$67,17,FALSE)</f>
        <v>NA</v>
      </c>
      <c r="P180" s="725" t="s">
        <v>503</v>
      </c>
      <c r="Q180" s="726" t="str">
        <f>VLOOKUP($E180,'Analysis Inputs'!$D$14:$U$67,18,FALSE)</f>
        <v>NA</v>
      </c>
      <c r="R180" s="725" t="s">
        <v>503</v>
      </c>
      <c r="S180" s="727">
        <f t="shared" si="21"/>
        <v>0</v>
      </c>
    </row>
    <row r="181" spans="2:19" ht="13" thickBot="1" x14ac:dyDescent="0.3">
      <c r="E181" s="141" t="s">
        <v>526</v>
      </c>
      <c r="F181" s="204">
        <f t="shared" ref="F181:P181" si="33">SUM(F127:F180)</f>
        <v>842952.9413789165</v>
      </c>
      <c r="G181" s="204">
        <f t="shared" si="33"/>
        <v>0</v>
      </c>
      <c r="H181" s="204">
        <f t="shared" si="33"/>
        <v>0</v>
      </c>
      <c r="I181" s="204">
        <f t="shared" si="33"/>
        <v>0</v>
      </c>
      <c r="J181" s="204">
        <f t="shared" si="33"/>
        <v>0</v>
      </c>
      <c r="K181" s="204">
        <f t="shared" si="33"/>
        <v>842952.9413789165</v>
      </c>
      <c r="L181" s="204">
        <f t="shared" si="33"/>
        <v>94703.127458270814</v>
      </c>
      <c r="M181" s="204">
        <f t="shared" si="33"/>
        <v>0</v>
      </c>
      <c r="N181" s="204">
        <f t="shared" si="33"/>
        <v>0</v>
      </c>
      <c r="O181" s="730">
        <f t="shared" si="33"/>
        <v>0</v>
      </c>
      <c r="P181" s="731">
        <f t="shared" si="33"/>
        <v>0</v>
      </c>
      <c r="Q181" s="732">
        <f>SUM(Q127:Q180)</f>
        <v>0</v>
      </c>
      <c r="R181" s="206">
        <f>IF(AND('Analysis Inputs'!$N$150=3,SUM(Q156:Q159,Q167)&lt;&gt;0),"INPUT ERROR",SUM(R127:R180))</f>
        <v>0</v>
      </c>
      <c r="S181" s="667">
        <f>IF(AND('Analysis Inputs'!$N$150=3,SUM(Q156:Q159,Q167)&lt;&gt;0),"INPUT ERROR: Please select dry digestion",SUM(S127:S180))</f>
        <v>94703.127458270814</v>
      </c>
    </row>
    <row r="183" spans="2:19" ht="13.5" thickBot="1" x14ac:dyDescent="0.35">
      <c r="E183" s="30" t="s">
        <v>789</v>
      </c>
      <c r="F183" s="2"/>
      <c r="G183" s="2"/>
      <c r="H183" s="2"/>
      <c r="I183" s="2"/>
      <c r="J183" s="2"/>
      <c r="K183" s="2"/>
      <c r="L183" s="2"/>
      <c r="M183" s="2"/>
      <c r="N183" s="2"/>
      <c r="O183" s="2"/>
      <c r="P183" s="2"/>
      <c r="Q183" s="1"/>
    </row>
    <row r="184" spans="2:19" ht="29.5" x14ac:dyDescent="0.25">
      <c r="E184" s="58" t="s">
        <v>496</v>
      </c>
      <c r="F184" s="60" t="s">
        <v>529</v>
      </c>
      <c r="G184" s="61" t="s">
        <v>465</v>
      </c>
      <c r="H184" s="60" t="s">
        <v>531</v>
      </c>
      <c r="I184" s="61" t="s">
        <v>466</v>
      </c>
      <c r="J184" s="61" t="s">
        <v>533</v>
      </c>
      <c r="K184" s="61" t="s">
        <v>467</v>
      </c>
      <c r="L184" s="61" t="s">
        <v>535</v>
      </c>
      <c r="M184" s="61" t="s">
        <v>462</v>
      </c>
      <c r="N184" s="60" t="s">
        <v>537</v>
      </c>
      <c r="O184" s="61" t="s">
        <v>463</v>
      </c>
      <c r="P184" s="60" t="s">
        <v>772</v>
      </c>
      <c r="Q184" s="61" t="s">
        <v>810</v>
      </c>
      <c r="R184" s="62" t="s">
        <v>464</v>
      </c>
    </row>
    <row r="185" spans="2:19" ht="12.75" customHeight="1" x14ac:dyDescent="0.25">
      <c r="E185" s="7" t="s">
        <v>515</v>
      </c>
      <c r="F185" s="201">
        <f>+G127</f>
        <v>0</v>
      </c>
      <c r="G185" s="201">
        <f t="shared" ref="F185:G204" si="34">+H127</f>
        <v>0</v>
      </c>
      <c r="H185" s="200">
        <f>+I127-G69</f>
        <v>0</v>
      </c>
      <c r="I185" s="200">
        <f>+J127-H69</f>
        <v>0</v>
      </c>
      <c r="J185" s="200">
        <f t="shared" ref="H185:M190" si="35">+K127-I69</f>
        <v>0</v>
      </c>
      <c r="K185" s="200">
        <f t="shared" ref="K185:L204" si="36">+L127-J69</f>
        <v>0</v>
      </c>
      <c r="L185" s="200">
        <f t="shared" si="36"/>
        <v>0</v>
      </c>
      <c r="M185" s="200">
        <f t="shared" si="35"/>
        <v>0</v>
      </c>
      <c r="N185" s="202" t="s">
        <v>503</v>
      </c>
      <c r="O185" s="202" t="s">
        <v>503</v>
      </c>
      <c r="P185" s="202" t="s">
        <v>503</v>
      </c>
      <c r="Q185" s="202" t="s">
        <v>503</v>
      </c>
      <c r="R185" s="407">
        <f>IF(ROUND(SUM(F185,H185,J185,L185,N185,P185),8)&lt;&gt;0,"INPUT ERROR: Make sure tons managed equals tons generated",IF(Q185="INPUT ERROR","INPUT ERROR: Please select dry digestion",SUM(G185,I185,K185,M185,O185,Q185)))</f>
        <v>0</v>
      </c>
    </row>
    <row r="186" spans="2:19" ht="12.75" customHeight="1" x14ac:dyDescent="0.25">
      <c r="E186" s="7" t="s">
        <v>84</v>
      </c>
      <c r="F186" s="201">
        <f t="shared" si="34"/>
        <v>0</v>
      </c>
      <c r="G186" s="203">
        <f t="shared" si="34"/>
        <v>0</v>
      </c>
      <c r="H186" s="200">
        <f t="shared" si="35"/>
        <v>0</v>
      </c>
      <c r="I186" s="200">
        <f t="shared" si="35"/>
        <v>0</v>
      </c>
      <c r="J186" s="200">
        <f t="shared" si="35"/>
        <v>0</v>
      </c>
      <c r="K186" s="200">
        <f t="shared" si="36"/>
        <v>0</v>
      </c>
      <c r="L186" s="200">
        <f t="shared" si="36"/>
        <v>0</v>
      </c>
      <c r="M186" s="200">
        <f t="shared" si="35"/>
        <v>0</v>
      </c>
      <c r="N186" s="202" t="s">
        <v>503</v>
      </c>
      <c r="O186" s="202" t="s">
        <v>503</v>
      </c>
      <c r="P186" s="202" t="s">
        <v>503</v>
      </c>
      <c r="Q186" s="202" t="s">
        <v>503</v>
      </c>
      <c r="R186" s="407">
        <f t="shared" ref="R186:R238" si="37">IF(ROUND(SUM(F186,H186,J186,L186,N186,P186),8)&lt;&gt;0,"INPUT ERROR: Make sure tons managed equals tons generated",IF(Q186="INPUT ERROR","INPUT ERROR: Please select dry digestion",SUM(G186,I186,K186,M186,O186,Q186)))</f>
        <v>0</v>
      </c>
    </row>
    <row r="187" spans="2:19" ht="12.75" customHeight="1" x14ac:dyDescent="0.25">
      <c r="E187" s="7" t="s">
        <v>516</v>
      </c>
      <c r="F187" s="201">
        <f t="shared" si="34"/>
        <v>0</v>
      </c>
      <c r="G187" s="201">
        <f t="shared" si="34"/>
        <v>0</v>
      </c>
      <c r="H187" s="200">
        <f t="shared" si="35"/>
        <v>0</v>
      </c>
      <c r="I187" s="200">
        <f t="shared" si="35"/>
        <v>0</v>
      </c>
      <c r="J187" s="200">
        <f t="shared" si="35"/>
        <v>0</v>
      </c>
      <c r="K187" s="200">
        <f t="shared" si="36"/>
        <v>0</v>
      </c>
      <c r="L187" s="200">
        <f t="shared" si="36"/>
        <v>0</v>
      </c>
      <c r="M187" s="200">
        <f t="shared" si="35"/>
        <v>0</v>
      </c>
      <c r="N187" s="202" t="s">
        <v>503</v>
      </c>
      <c r="O187" s="202" t="s">
        <v>503</v>
      </c>
      <c r="P187" s="202" t="s">
        <v>503</v>
      </c>
      <c r="Q187" s="202" t="s">
        <v>503</v>
      </c>
      <c r="R187" s="407">
        <f t="shared" si="37"/>
        <v>0</v>
      </c>
    </row>
    <row r="188" spans="2:19" ht="12.75" customHeight="1" x14ac:dyDescent="0.25">
      <c r="E188" s="7" t="s">
        <v>438</v>
      </c>
      <c r="F188" s="201">
        <f t="shared" si="34"/>
        <v>0</v>
      </c>
      <c r="G188" s="201">
        <f t="shared" si="34"/>
        <v>0</v>
      </c>
      <c r="H188" s="200">
        <f t="shared" si="35"/>
        <v>0</v>
      </c>
      <c r="I188" s="200">
        <f t="shared" si="35"/>
        <v>0</v>
      </c>
      <c r="J188" s="200">
        <f t="shared" si="35"/>
        <v>0</v>
      </c>
      <c r="K188" s="200">
        <f t="shared" si="36"/>
        <v>0</v>
      </c>
      <c r="L188" s="200">
        <f t="shared" si="36"/>
        <v>0</v>
      </c>
      <c r="M188" s="200">
        <f t="shared" si="35"/>
        <v>0</v>
      </c>
      <c r="N188" s="202" t="s">
        <v>503</v>
      </c>
      <c r="O188" s="202" t="s">
        <v>503</v>
      </c>
      <c r="P188" s="202" t="s">
        <v>503</v>
      </c>
      <c r="Q188" s="202" t="s">
        <v>503</v>
      </c>
      <c r="R188" s="407">
        <f t="shared" si="37"/>
        <v>0</v>
      </c>
    </row>
    <row r="189" spans="2:19" ht="12.75" customHeight="1" x14ac:dyDescent="0.25">
      <c r="E189" s="7" t="s">
        <v>517</v>
      </c>
      <c r="F189" s="201">
        <f t="shared" si="34"/>
        <v>0</v>
      </c>
      <c r="G189" s="201">
        <f t="shared" si="34"/>
        <v>0</v>
      </c>
      <c r="H189" s="200">
        <f t="shared" si="35"/>
        <v>0</v>
      </c>
      <c r="I189" s="200">
        <f t="shared" si="35"/>
        <v>0</v>
      </c>
      <c r="J189" s="200">
        <f t="shared" si="35"/>
        <v>0</v>
      </c>
      <c r="K189" s="200">
        <f t="shared" si="36"/>
        <v>0</v>
      </c>
      <c r="L189" s="200">
        <f t="shared" si="36"/>
        <v>0</v>
      </c>
      <c r="M189" s="200">
        <f t="shared" si="35"/>
        <v>0</v>
      </c>
      <c r="N189" s="202" t="s">
        <v>503</v>
      </c>
      <c r="O189" s="202" t="s">
        <v>503</v>
      </c>
      <c r="P189" s="202" t="s">
        <v>503</v>
      </c>
      <c r="Q189" s="202" t="s">
        <v>503</v>
      </c>
      <c r="R189" s="407">
        <f>IF(ROUND(SUM(F189,H189,J189,L189,N189,P189),8)&lt;&gt;0,"INPUT ERROR: Make sure tons managed equals tons generated",IF(Q189="INPUT ERROR","INPUT ERROR: Please select dry digestion",SUM(G189,I189,K189,M189,O189,Q189)))</f>
        <v>0</v>
      </c>
    </row>
    <row r="190" spans="2:19" ht="12.75" customHeight="1" x14ac:dyDescent="0.25">
      <c r="E190" s="7" t="s">
        <v>518</v>
      </c>
      <c r="F190" s="201">
        <f t="shared" si="34"/>
        <v>0</v>
      </c>
      <c r="G190" s="201">
        <f t="shared" si="34"/>
        <v>0</v>
      </c>
      <c r="H190" s="200">
        <f t="shared" si="35"/>
        <v>0</v>
      </c>
      <c r="I190" s="200">
        <f t="shared" si="35"/>
        <v>0</v>
      </c>
      <c r="J190" s="200">
        <f t="shared" si="35"/>
        <v>0</v>
      </c>
      <c r="K190" s="200">
        <f t="shared" si="36"/>
        <v>0</v>
      </c>
      <c r="L190" s="200">
        <f t="shared" si="36"/>
        <v>0</v>
      </c>
      <c r="M190" s="200">
        <f t="shared" si="35"/>
        <v>0</v>
      </c>
      <c r="N190" s="202" t="s">
        <v>503</v>
      </c>
      <c r="O190" s="202" t="s">
        <v>503</v>
      </c>
      <c r="P190" s="202" t="s">
        <v>503</v>
      </c>
      <c r="Q190" s="202" t="s">
        <v>503</v>
      </c>
      <c r="R190" s="407">
        <f t="shared" si="37"/>
        <v>0</v>
      </c>
    </row>
    <row r="191" spans="2:19" ht="12.75" customHeight="1" x14ac:dyDescent="0.25">
      <c r="E191" s="7" t="s">
        <v>519</v>
      </c>
      <c r="F191" s="201">
        <f t="shared" si="34"/>
        <v>0</v>
      </c>
      <c r="G191" s="201">
        <f t="shared" si="34"/>
        <v>0</v>
      </c>
      <c r="H191" s="202" t="s">
        <v>503</v>
      </c>
      <c r="I191" s="202" t="s">
        <v>503</v>
      </c>
      <c r="J191" s="200">
        <f t="shared" ref="J191:M210" si="38">+K133-I75</f>
        <v>0</v>
      </c>
      <c r="K191" s="200">
        <f t="shared" si="36"/>
        <v>0</v>
      </c>
      <c r="L191" s="200">
        <f t="shared" si="36"/>
        <v>0</v>
      </c>
      <c r="M191" s="200">
        <f t="shared" si="38"/>
        <v>0</v>
      </c>
      <c r="N191" s="202" t="s">
        <v>503</v>
      </c>
      <c r="O191" s="202" t="s">
        <v>503</v>
      </c>
      <c r="P191" s="202" t="s">
        <v>503</v>
      </c>
      <c r="Q191" s="202" t="s">
        <v>503</v>
      </c>
      <c r="R191" s="407">
        <f t="shared" si="37"/>
        <v>0</v>
      </c>
    </row>
    <row r="192" spans="2:19" ht="12.75" customHeight="1" x14ac:dyDescent="0.25">
      <c r="E192" s="7" t="s">
        <v>520</v>
      </c>
      <c r="F192" s="201">
        <f t="shared" si="34"/>
        <v>0</v>
      </c>
      <c r="G192" s="201">
        <f t="shared" si="34"/>
        <v>0</v>
      </c>
      <c r="H192" s="200">
        <f>+I134-G76</f>
        <v>0</v>
      </c>
      <c r="I192" s="200">
        <f>+J134-H76</f>
        <v>0</v>
      </c>
      <c r="J192" s="200">
        <f t="shared" si="38"/>
        <v>0</v>
      </c>
      <c r="K192" s="200">
        <f t="shared" si="36"/>
        <v>0</v>
      </c>
      <c r="L192" s="200">
        <f t="shared" si="36"/>
        <v>0</v>
      </c>
      <c r="M192" s="200">
        <f t="shared" si="38"/>
        <v>0</v>
      </c>
      <c r="N192" s="202" t="s">
        <v>503</v>
      </c>
      <c r="O192" s="202" t="s">
        <v>503</v>
      </c>
      <c r="P192" s="202" t="s">
        <v>503</v>
      </c>
      <c r="Q192" s="202" t="s">
        <v>503</v>
      </c>
      <c r="R192" s="407">
        <f t="shared" si="37"/>
        <v>0</v>
      </c>
    </row>
    <row r="193" spans="5:18" ht="12.75" customHeight="1" x14ac:dyDescent="0.25">
      <c r="E193" s="7" t="s">
        <v>86</v>
      </c>
      <c r="F193" s="201">
        <f t="shared" si="34"/>
        <v>0</v>
      </c>
      <c r="G193" s="201">
        <f t="shared" si="34"/>
        <v>0</v>
      </c>
      <c r="H193" s="202" t="s">
        <v>503</v>
      </c>
      <c r="I193" s="202" t="s">
        <v>503</v>
      </c>
      <c r="J193" s="200">
        <f t="shared" si="38"/>
        <v>0</v>
      </c>
      <c r="K193" s="200">
        <f t="shared" si="36"/>
        <v>0</v>
      </c>
      <c r="L193" s="200">
        <f t="shared" si="36"/>
        <v>0</v>
      </c>
      <c r="M193" s="200">
        <f t="shared" si="38"/>
        <v>0</v>
      </c>
      <c r="N193" s="202" t="s">
        <v>503</v>
      </c>
      <c r="O193" s="202" t="s">
        <v>503</v>
      </c>
      <c r="P193" s="202" t="s">
        <v>503</v>
      </c>
      <c r="Q193" s="202" t="s">
        <v>503</v>
      </c>
      <c r="R193" s="407">
        <f t="shared" si="37"/>
        <v>0</v>
      </c>
    </row>
    <row r="194" spans="5:18" ht="12.75" customHeight="1" x14ac:dyDescent="0.25">
      <c r="E194" s="7" t="s">
        <v>87</v>
      </c>
      <c r="F194" s="201">
        <f t="shared" si="34"/>
        <v>0</v>
      </c>
      <c r="G194" s="201">
        <f t="shared" si="34"/>
        <v>0</v>
      </c>
      <c r="H194" s="202" t="s">
        <v>503</v>
      </c>
      <c r="I194" s="202" t="s">
        <v>503</v>
      </c>
      <c r="J194" s="200">
        <f t="shared" si="38"/>
        <v>0</v>
      </c>
      <c r="K194" s="200">
        <f t="shared" si="36"/>
        <v>0</v>
      </c>
      <c r="L194" s="200">
        <f t="shared" si="36"/>
        <v>0</v>
      </c>
      <c r="M194" s="200">
        <f t="shared" si="38"/>
        <v>0</v>
      </c>
      <c r="N194" s="202" t="s">
        <v>503</v>
      </c>
      <c r="O194" s="202" t="s">
        <v>503</v>
      </c>
      <c r="P194" s="202" t="s">
        <v>503</v>
      </c>
      <c r="Q194" s="202" t="s">
        <v>503</v>
      </c>
      <c r="R194" s="407">
        <f t="shared" si="37"/>
        <v>0</v>
      </c>
    </row>
    <row r="195" spans="5:18" ht="12.75" customHeight="1" x14ac:dyDescent="0.25">
      <c r="E195" s="7" t="s">
        <v>88</v>
      </c>
      <c r="F195" s="201">
        <f t="shared" si="34"/>
        <v>0</v>
      </c>
      <c r="G195" s="201">
        <f t="shared" si="34"/>
        <v>0</v>
      </c>
      <c r="H195" s="202" t="s">
        <v>503</v>
      </c>
      <c r="I195" s="202" t="s">
        <v>503</v>
      </c>
      <c r="J195" s="200">
        <f t="shared" si="38"/>
        <v>0</v>
      </c>
      <c r="K195" s="200">
        <f t="shared" si="36"/>
        <v>0</v>
      </c>
      <c r="L195" s="200">
        <f t="shared" si="36"/>
        <v>0</v>
      </c>
      <c r="M195" s="200">
        <f t="shared" si="38"/>
        <v>0</v>
      </c>
      <c r="N195" s="202" t="s">
        <v>503</v>
      </c>
      <c r="O195" s="202" t="s">
        <v>503</v>
      </c>
      <c r="P195" s="202" t="s">
        <v>503</v>
      </c>
      <c r="Q195" s="202" t="s">
        <v>503</v>
      </c>
      <c r="R195" s="407">
        <f t="shared" si="37"/>
        <v>0</v>
      </c>
    </row>
    <row r="196" spans="5:18" ht="12.75" customHeight="1" x14ac:dyDescent="0.25">
      <c r="E196" s="7" t="s">
        <v>89</v>
      </c>
      <c r="F196" s="201">
        <f t="shared" si="34"/>
        <v>0</v>
      </c>
      <c r="G196" s="201">
        <f t="shared" si="34"/>
        <v>0</v>
      </c>
      <c r="H196" s="202" t="s">
        <v>503</v>
      </c>
      <c r="I196" s="202" t="s">
        <v>503</v>
      </c>
      <c r="J196" s="200">
        <f t="shared" si="38"/>
        <v>0</v>
      </c>
      <c r="K196" s="200">
        <f t="shared" si="36"/>
        <v>0</v>
      </c>
      <c r="L196" s="200">
        <f t="shared" si="36"/>
        <v>0</v>
      </c>
      <c r="M196" s="200">
        <f t="shared" si="38"/>
        <v>0</v>
      </c>
      <c r="N196" s="202" t="s">
        <v>503</v>
      </c>
      <c r="O196" s="202" t="s">
        <v>503</v>
      </c>
      <c r="P196" s="202" t="s">
        <v>503</v>
      </c>
      <c r="Q196" s="202" t="s">
        <v>503</v>
      </c>
      <c r="R196" s="407">
        <f t="shared" si="37"/>
        <v>0</v>
      </c>
    </row>
    <row r="197" spans="5:18" ht="12.75" customHeight="1" x14ac:dyDescent="0.25">
      <c r="E197" s="7" t="s">
        <v>85</v>
      </c>
      <c r="F197" s="203">
        <f t="shared" si="34"/>
        <v>0</v>
      </c>
      <c r="G197" s="203">
        <f t="shared" si="34"/>
        <v>0</v>
      </c>
      <c r="H197" s="202" t="s">
        <v>503</v>
      </c>
      <c r="I197" s="202" t="s">
        <v>503</v>
      </c>
      <c r="J197" s="200">
        <f t="shared" si="38"/>
        <v>0</v>
      </c>
      <c r="K197" s="200">
        <f t="shared" si="36"/>
        <v>0</v>
      </c>
      <c r="L197" s="200">
        <f t="shared" si="36"/>
        <v>0</v>
      </c>
      <c r="M197" s="200">
        <f t="shared" si="38"/>
        <v>0</v>
      </c>
      <c r="N197" s="202">
        <f>+O139-M81</f>
        <v>0</v>
      </c>
      <c r="O197" s="202">
        <f>+P139-N81</f>
        <v>0</v>
      </c>
      <c r="P197" s="202" t="s">
        <v>503</v>
      </c>
      <c r="Q197" s="202" t="s">
        <v>503</v>
      </c>
      <c r="R197" s="407">
        <f t="shared" si="37"/>
        <v>0</v>
      </c>
    </row>
    <row r="198" spans="5:18" ht="12.75" customHeight="1" x14ac:dyDescent="0.25">
      <c r="E198" s="7" t="s">
        <v>59</v>
      </c>
      <c r="F198" s="201">
        <f t="shared" si="34"/>
        <v>0</v>
      </c>
      <c r="G198" s="201">
        <f t="shared" si="34"/>
        <v>0</v>
      </c>
      <c r="H198" s="200">
        <f t="shared" ref="H198:I205" si="39">+I140-G82</f>
        <v>0</v>
      </c>
      <c r="I198" s="200">
        <f t="shared" si="39"/>
        <v>0</v>
      </c>
      <c r="J198" s="200">
        <f t="shared" si="38"/>
        <v>0</v>
      </c>
      <c r="K198" s="200">
        <f t="shared" si="36"/>
        <v>0</v>
      </c>
      <c r="L198" s="200">
        <f t="shared" si="36"/>
        <v>0</v>
      </c>
      <c r="M198" s="200">
        <f t="shared" si="38"/>
        <v>0</v>
      </c>
      <c r="N198" s="202" t="s">
        <v>503</v>
      </c>
      <c r="O198" s="202" t="s">
        <v>503</v>
      </c>
      <c r="P198" s="202" t="s">
        <v>503</v>
      </c>
      <c r="Q198" s="202" t="s">
        <v>503</v>
      </c>
      <c r="R198" s="407">
        <f t="shared" si="37"/>
        <v>0</v>
      </c>
    </row>
    <row r="199" spans="5:18" ht="12.75" customHeight="1" x14ac:dyDescent="0.25">
      <c r="E199" s="7" t="s">
        <v>290</v>
      </c>
      <c r="F199" s="201">
        <f t="shared" si="34"/>
        <v>0</v>
      </c>
      <c r="G199" s="201">
        <f t="shared" si="34"/>
        <v>0</v>
      </c>
      <c r="H199" s="200">
        <f t="shared" si="39"/>
        <v>0</v>
      </c>
      <c r="I199" s="200">
        <f t="shared" si="39"/>
        <v>0</v>
      </c>
      <c r="J199" s="200">
        <f t="shared" si="38"/>
        <v>0</v>
      </c>
      <c r="K199" s="200">
        <f t="shared" si="36"/>
        <v>0</v>
      </c>
      <c r="L199" s="200">
        <f t="shared" si="36"/>
        <v>0</v>
      </c>
      <c r="M199" s="200">
        <f t="shared" si="38"/>
        <v>0</v>
      </c>
      <c r="N199" s="202" t="s">
        <v>503</v>
      </c>
      <c r="O199" s="202" t="s">
        <v>503</v>
      </c>
      <c r="P199" s="202" t="s">
        <v>503</v>
      </c>
      <c r="Q199" s="202" t="s">
        <v>503</v>
      </c>
      <c r="R199" s="407">
        <f t="shared" si="37"/>
        <v>0</v>
      </c>
    </row>
    <row r="200" spans="5:18" ht="12.75" customHeight="1" x14ac:dyDescent="0.25">
      <c r="E200" s="7" t="s">
        <v>502</v>
      </c>
      <c r="F200" s="201">
        <f t="shared" si="34"/>
        <v>0</v>
      </c>
      <c r="G200" s="201">
        <f t="shared" si="34"/>
        <v>0</v>
      </c>
      <c r="H200" s="200">
        <f t="shared" si="39"/>
        <v>0</v>
      </c>
      <c r="I200" s="200">
        <f t="shared" si="39"/>
        <v>0</v>
      </c>
      <c r="J200" s="200">
        <f t="shared" si="38"/>
        <v>0</v>
      </c>
      <c r="K200" s="200">
        <f t="shared" si="36"/>
        <v>0</v>
      </c>
      <c r="L200" s="200">
        <f t="shared" si="36"/>
        <v>0</v>
      </c>
      <c r="M200" s="200">
        <f t="shared" si="38"/>
        <v>0</v>
      </c>
      <c r="N200" s="202" t="s">
        <v>503</v>
      </c>
      <c r="O200" s="202" t="s">
        <v>503</v>
      </c>
      <c r="P200" s="202" t="s">
        <v>503</v>
      </c>
      <c r="Q200" s="202" t="s">
        <v>503</v>
      </c>
      <c r="R200" s="407">
        <f t="shared" si="37"/>
        <v>0</v>
      </c>
    </row>
    <row r="201" spans="5:18" ht="12.75" customHeight="1" x14ac:dyDescent="0.25">
      <c r="E201" s="7" t="s">
        <v>514</v>
      </c>
      <c r="F201" s="201">
        <f t="shared" si="34"/>
        <v>0</v>
      </c>
      <c r="G201" s="201">
        <f t="shared" si="34"/>
        <v>0</v>
      </c>
      <c r="H201" s="200">
        <f t="shared" si="39"/>
        <v>0</v>
      </c>
      <c r="I201" s="200">
        <f t="shared" si="39"/>
        <v>0</v>
      </c>
      <c r="J201" s="200">
        <f t="shared" si="38"/>
        <v>0</v>
      </c>
      <c r="K201" s="200">
        <f t="shared" si="36"/>
        <v>0</v>
      </c>
      <c r="L201" s="200">
        <f t="shared" si="36"/>
        <v>0</v>
      </c>
      <c r="M201" s="200">
        <f t="shared" si="38"/>
        <v>0</v>
      </c>
      <c r="N201" s="202" t="s">
        <v>503</v>
      </c>
      <c r="O201" s="202" t="s">
        <v>503</v>
      </c>
      <c r="P201" s="202" t="s">
        <v>503</v>
      </c>
      <c r="Q201" s="202" t="s">
        <v>503</v>
      </c>
      <c r="R201" s="407">
        <f t="shared" si="37"/>
        <v>0</v>
      </c>
    </row>
    <row r="202" spans="5:18" ht="12.75" customHeight="1" x14ac:dyDescent="0.25">
      <c r="E202" s="7" t="s">
        <v>383</v>
      </c>
      <c r="F202" s="201">
        <f t="shared" si="34"/>
        <v>0</v>
      </c>
      <c r="G202" s="201">
        <f t="shared" si="34"/>
        <v>0</v>
      </c>
      <c r="H202" s="200">
        <f t="shared" si="39"/>
        <v>0</v>
      </c>
      <c r="I202" s="200">
        <f t="shared" si="39"/>
        <v>0</v>
      </c>
      <c r="J202" s="200">
        <f t="shared" si="38"/>
        <v>0</v>
      </c>
      <c r="K202" s="200">
        <f t="shared" si="36"/>
        <v>0</v>
      </c>
      <c r="L202" s="200">
        <f>+M144-K86</f>
        <v>0</v>
      </c>
      <c r="M202" s="200">
        <f t="shared" si="38"/>
        <v>0</v>
      </c>
      <c r="N202" s="202" t="s">
        <v>503</v>
      </c>
      <c r="O202" s="202" t="s">
        <v>503</v>
      </c>
      <c r="P202" s="202" t="s">
        <v>503</v>
      </c>
      <c r="Q202" s="202" t="s">
        <v>503</v>
      </c>
      <c r="R202" s="407">
        <f t="shared" si="37"/>
        <v>0</v>
      </c>
    </row>
    <row r="203" spans="5:18" ht="12.75" customHeight="1" x14ac:dyDescent="0.25">
      <c r="E203" s="7" t="s">
        <v>384</v>
      </c>
      <c r="F203" s="201">
        <f t="shared" si="34"/>
        <v>0</v>
      </c>
      <c r="G203" s="201">
        <f t="shared" si="34"/>
        <v>0</v>
      </c>
      <c r="H203" s="200">
        <f t="shared" si="39"/>
        <v>0</v>
      </c>
      <c r="I203" s="200">
        <f t="shared" si="39"/>
        <v>0</v>
      </c>
      <c r="J203" s="200">
        <f t="shared" si="38"/>
        <v>0</v>
      </c>
      <c r="K203" s="200">
        <f t="shared" si="36"/>
        <v>0</v>
      </c>
      <c r="L203" s="200">
        <f t="shared" si="36"/>
        <v>0</v>
      </c>
      <c r="M203" s="200">
        <f t="shared" si="38"/>
        <v>0</v>
      </c>
      <c r="N203" s="202" t="s">
        <v>503</v>
      </c>
      <c r="O203" s="202" t="s">
        <v>503</v>
      </c>
      <c r="P203" s="202" t="s">
        <v>503</v>
      </c>
      <c r="Q203" s="202" t="s">
        <v>503</v>
      </c>
      <c r="R203" s="407">
        <f t="shared" si="37"/>
        <v>0</v>
      </c>
    </row>
    <row r="204" spans="5:18" ht="12.75" customHeight="1" x14ac:dyDescent="0.25">
      <c r="E204" s="7" t="s">
        <v>4</v>
      </c>
      <c r="F204" s="201">
        <f t="shared" si="34"/>
        <v>0</v>
      </c>
      <c r="G204" s="201">
        <f t="shared" si="34"/>
        <v>0</v>
      </c>
      <c r="H204" s="200">
        <f t="shared" si="39"/>
        <v>0</v>
      </c>
      <c r="I204" s="200">
        <f t="shared" si="39"/>
        <v>0</v>
      </c>
      <c r="J204" s="200">
        <f t="shared" si="38"/>
        <v>0</v>
      </c>
      <c r="K204" s="200">
        <f t="shared" si="36"/>
        <v>0</v>
      </c>
      <c r="L204" s="200">
        <f t="shared" si="36"/>
        <v>0</v>
      </c>
      <c r="M204" s="200">
        <f t="shared" si="38"/>
        <v>0</v>
      </c>
      <c r="N204" s="202" t="s">
        <v>503</v>
      </c>
      <c r="O204" s="202" t="s">
        <v>503</v>
      </c>
      <c r="P204" s="202" t="s">
        <v>503</v>
      </c>
      <c r="Q204" s="202" t="s">
        <v>503</v>
      </c>
      <c r="R204" s="407">
        <f t="shared" si="37"/>
        <v>0</v>
      </c>
    </row>
    <row r="205" spans="5:18" ht="12.75" customHeight="1" x14ac:dyDescent="0.25">
      <c r="E205" s="7" t="s">
        <v>558</v>
      </c>
      <c r="F205" s="201">
        <f t="shared" ref="F205:G224" si="40">+G147</f>
        <v>0</v>
      </c>
      <c r="G205" s="201">
        <f t="shared" si="40"/>
        <v>0</v>
      </c>
      <c r="H205" s="200">
        <f t="shared" si="39"/>
        <v>0</v>
      </c>
      <c r="I205" s="200">
        <f t="shared" si="39"/>
        <v>0</v>
      </c>
      <c r="J205" s="200">
        <f t="shared" si="38"/>
        <v>0</v>
      </c>
      <c r="K205" s="200">
        <f t="shared" si="38"/>
        <v>0</v>
      </c>
      <c r="L205" s="200">
        <f t="shared" si="38"/>
        <v>0</v>
      </c>
      <c r="M205" s="200">
        <f t="shared" si="38"/>
        <v>0</v>
      </c>
      <c r="N205" s="202" t="s">
        <v>503</v>
      </c>
      <c r="O205" s="202" t="s">
        <v>503</v>
      </c>
      <c r="P205" s="202" t="s">
        <v>503</v>
      </c>
      <c r="Q205" s="202" t="s">
        <v>503</v>
      </c>
      <c r="R205" s="407">
        <f t="shared" si="37"/>
        <v>0</v>
      </c>
    </row>
    <row r="206" spans="5:18" ht="12.75" customHeight="1" x14ac:dyDescent="0.25">
      <c r="E206" s="7" t="s">
        <v>646</v>
      </c>
      <c r="F206" s="203">
        <f t="shared" si="40"/>
        <v>0</v>
      </c>
      <c r="G206" s="203">
        <f t="shared" si="40"/>
        <v>0</v>
      </c>
      <c r="H206" s="202" t="s">
        <v>503</v>
      </c>
      <c r="I206" s="202" t="s">
        <v>503</v>
      </c>
      <c r="J206" s="200">
        <f t="shared" si="38"/>
        <v>0</v>
      </c>
      <c r="K206" s="200">
        <f t="shared" si="38"/>
        <v>0</v>
      </c>
      <c r="L206" s="200">
        <f t="shared" si="38"/>
        <v>0</v>
      </c>
      <c r="M206" s="200">
        <f t="shared" si="38"/>
        <v>0</v>
      </c>
      <c r="N206" s="202">
        <f t="shared" ref="N206:P217" si="41">+O148-M90</f>
        <v>0</v>
      </c>
      <c r="O206" s="202">
        <f t="shared" si="41"/>
        <v>0</v>
      </c>
      <c r="P206" s="202">
        <f>+Q148-O90</f>
        <v>0</v>
      </c>
      <c r="Q206" s="202">
        <f>IF(AND(K33="NA",P206&lt;&gt;0),"INPUT ERROR",IF(AND(K33="NA",P206=0),"NA",+R148-P90))</f>
        <v>0</v>
      </c>
      <c r="R206" s="407">
        <f t="shared" si="37"/>
        <v>0</v>
      </c>
    </row>
    <row r="207" spans="5:18" ht="12.75" customHeight="1" x14ac:dyDescent="0.25">
      <c r="E207" s="7" t="s">
        <v>744</v>
      </c>
      <c r="F207" s="203">
        <f t="shared" si="40"/>
        <v>0</v>
      </c>
      <c r="G207" s="203">
        <f t="shared" si="40"/>
        <v>0</v>
      </c>
      <c r="H207" s="202" t="s">
        <v>503</v>
      </c>
      <c r="I207" s="202" t="s">
        <v>503</v>
      </c>
      <c r="J207" s="200">
        <f t="shared" si="38"/>
        <v>0</v>
      </c>
      <c r="K207" s="200">
        <f t="shared" si="38"/>
        <v>0</v>
      </c>
      <c r="L207" s="200">
        <f t="shared" si="38"/>
        <v>0</v>
      </c>
      <c r="M207" s="200">
        <f t="shared" si="38"/>
        <v>0</v>
      </c>
      <c r="N207" s="202">
        <f t="shared" si="41"/>
        <v>0</v>
      </c>
      <c r="O207" s="202">
        <f t="shared" si="41"/>
        <v>0</v>
      </c>
      <c r="P207" s="202">
        <f>+Q149-O91</f>
        <v>0</v>
      </c>
      <c r="Q207" s="202">
        <f t="shared" ref="Q207:Q217" si="42">IF(AND(K34="NA",P207&lt;&gt;0),"INPUT ERROR",IF(AND(K34="NA",P207=0),"NA",+R149-P91))</f>
        <v>0</v>
      </c>
      <c r="R207" s="407">
        <f t="shared" si="37"/>
        <v>0</v>
      </c>
    </row>
    <row r="208" spans="5:18" ht="12.75" customHeight="1" x14ac:dyDescent="0.25">
      <c r="E208" s="7" t="s">
        <v>741</v>
      </c>
      <c r="F208" s="203">
        <f t="shared" si="40"/>
        <v>0</v>
      </c>
      <c r="G208" s="203">
        <f t="shared" si="40"/>
        <v>0</v>
      </c>
      <c r="H208" s="202" t="s">
        <v>503</v>
      </c>
      <c r="I208" s="202" t="s">
        <v>503</v>
      </c>
      <c r="J208" s="200">
        <f t="shared" si="38"/>
        <v>0</v>
      </c>
      <c r="K208" s="200">
        <f t="shared" si="38"/>
        <v>0</v>
      </c>
      <c r="L208" s="200">
        <f t="shared" si="38"/>
        <v>0</v>
      </c>
      <c r="M208" s="200">
        <f t="shared" si="38"/>
        <v>0</v>
      </c>
      <c r="N208" s="202">
        <f t="shared" si="41"/>
        <v>0</v>
      </c>
      <c r="O208" s="202">
        <f t="shared" si="41"/>
        <v>0</v>
      </c>
      <c r="P208" s="202">
        <f t="shared" si="41"/>
        <v>0</v>
      </c>
      <c r="Q208" s="202">
        <f t="shared" si="42"/>
        <v>0</v>
      </c>
      <c r="R208" s="407">
        <f t="shared" si="37"/>
        <v>0</v>
      </c>
    </row>
    <row r="209" spans="5:18" ht="12.75" customHeight="1" x14ac:dyDescent="0.25">
      <c r="E209" s="7" t="s">
        <v>742</v>
      </c>
      <c r="F209" s="203">
        <f t="shared" si="40"/>
        <v>0</v>
      </c>
      <c r="G209" s="203">
        <f t="shared" si="40"/>
        <v>0</v>
      </c>
      <c r="H209" s="202" t="s">
        <v>503</v>
      </c>
      <c r="I209" s="202" t="s">
        <v>503</v>
      </c>
      <c r="J209" s="200">
        <f t="shared" si="38"/>
        <v>0</v>
      </c>
      <c r="K209" s="200">
        <f t="shared" si="38"/>
        <v>0</v>
      </c>
      <c r="L209" s="200">
        <f t="shared" si="38"/>
        <v>0</v>
      </c>
      <c r="M209" s="200">
        <f t="shared" si="38"/>
        <v>0</v>
      </c>
      <c r="N209" s="202">
        <f t="shared" si="41"/>
        <v>0</v>
      </c>
      <c r="O209" s="202">
        <f t="shared" si="41"/>
        <v>0</v>
      </c>
      <c r="P209" s="202">
        <f t="shared" si="41"/>
        <v>0</v>
      </c>
      <c r="Q209" s="202">
        <f t="shared" si="42"/>
        <v>0</v>
      </c>
      <c r="R209" s="407">
        <f t="shared" si="37"/>
        <v>0</v>
      </c>
    </row>
    <row r="210" spans="5:18" ht="12.75" customHeight="1" x14ac:dyDescent="0.25">
      <c r="E210" s="7" t="s">
        <v>649</v>
      </c>
      <c r="F210" s="203">
        <f t="shared" si="40"/>
        <v>0</v>
      </c>
      <c r="G210" s="203">
        <f t="shared" si="40"/>
        <v>0</v>
      </c>
      <c r="H210" s="202" t="s">
        <v>503</v>
      </c>
      <c r="I210" s="202" t="s">
        <v>503</v>
      </c>
      <c r="J210" s="200">
        <f t="shared" si="38"/>
        <v>0</v>
      </c>
      <c r="K210" s="200">
        <f t="shared" si="38"/>
        <v>0</v>
      </c>
      <c r="L210" s="200">
        <f t="shared" si="38"/>
        <v>0</v>
      </c>
      <c r="M210" s="200">
        <f t="shared" si="38"/>
        <v>0</v>
      </c>
      <c r="N210" s="202">
        <f t="shared" si="41"/>
        <v>0</v>
      </c>
      <c r="O210" s="202">
        <f t="shared" si="41"/>
        <v>0</v>
      </c>
      <c r="P210" s="202">
        <f t="shared" si="41"/>
        <v>0</v>
      </c>
      <c r="Q210" s="202">
        <f t="shared" si="42"/>
        <v>0</v>
      </c>
      <c r="R210" s="407">
        <f t="shared" si="37"/>
        <v>0</v>
      </c>
    </row>
    <row r="211" spans="5:18" ht="12.75" customHeight="1" x14ac:dyDescent="0.25">
      <c r="E211" s="7" t="s">
        <v>645</v>
      </c>
      <c r="F211" s="203">
        <f t="shared" si="40"/>
        <v>0</v>
      </c>
      <c r="G211" s="203">
        <f t="shared" si="40"/>
        <v>0</v>
      </c>
      <c r="H211" s="202" t="s">
        <v>503</v>
      </c>
      <c r="I211" s="202" t="s">
        <v>503</v>
      </c>
      <c r="J211" s="200">
        <f t="shared" ref="J211:M228" si="43">+K153-I95</f>
        <v>0</v>
      </c>
      <c r="K211" s="200">
        <f t="shared" si="43"/>
        <v>0</v>
      </c>
      <c r="L211" s="200">
        <f t="shared" si="43"/>
        <v>0</v>
      </c>
      <c r="M211" s="200">
        <f t="shared" si="43"/>
        <v>0</v>
      </c>
      <c r="N211" s="202">
        <f t="shared" si="41"/>
        <v>0</v>
      </c>
      <c r="O211" s="202">
        <f t="shared" si="41"/>
        <v>0</v>
      </c>
      <c r="P211" s="202">
        <f t="shared" si="41"/>
        <v>0</v>
      </c>
      <c r="Q211" s="202">
        <f t="shared" si="42"/>
        <v>0</v>
      </c>
      <c r="R211" s="407">
        <f t="shared" si="37"/>
        <v>0</v>
      </c>
    </row>
    <row r="212" spans="5:18" ht="12.75" customHeight="1" x14ac:dyDescent="0.25">
      <c r="E212" s="7" t="s">
        <v>647</v>
      </c>
      <c r="F212" s="203">
        <f t="shared" si="40"/>
        <v>0</v>
      </c>
      <c r="G212" s="203">
        <f t="shared" si="40"/>
        <v>0</v>
      </c>
      <c r="H212" s="202" t="s">
        <v>503</v>
      </c>
      <c r="I212" s="202" t="s">
        <v>503</v>
      </c>
      <c r="J212" s="200">
        <f t="shared" si="43"/>
        <v>0</v>
      </c>
      <c r="K212" s="200">
        <f t="shared" si="43"/>
        <v>0</v>
      </c>
      <c r="L212" s="200">
        <f t="shared" si="43"/>
        <v>0</v>
      </c>
      <c r="M212" s="200">
        <f t="shared" si="43"/>
        <v>0</v>
      </c>
      <c r="N212" s="202">
        <f t="shared" si="41"/>
        <v>0</v>
      </c>
      <c r="O212" s="202">
        <f t="shared" si="41"/>
        <v>0</v>
      </c>
      <c r="P212" s="202">
        <f t="shared" si="41"/>
        <v>0</v>
      </c>
      <c r="Q212" s="202">
        <f t="shared" si="42"/>
        <v>0</v>
      </c>
      <c r="R212" s="407">
        <f t="shared" si="37"/>
        <v>0</v>
      </c>
    </row>
    <row r="213" spans="5:18" ht="12.75" customHeight="1" x14ac:dyDescent="0.25">
      <c r="E213" s="7" t="s">
        <v>648</v>
      </c>
      <c r="F213" s="203">
        <f t="shared" si="40"/>
        <v>0</v>
      </c>
      <c r="G213" s="203">
        <f t="shared" si="40"/>
        <v>0</v>
      </c>
      <c r="H213" s="202" t="s">
        <v>503</v>
      </c>
      <c r="I213" s="202" t="s">
        <v>503</v>
      </c>
      <c r="J213" s="200">
        <f t="shared" si="43"/>
        <v>0</v>
      </c>
      <c r="K213" s="200">
        <f t="shared" si="43"/>
        <v>0</v>
      </c>
      <c r="L213" s="200">
        <f t="shared" si="43"/>
        <v>0</v>
      </c>
      <c r="M213" s="200">
        <f t="shared" si="43"/>
        <v>0</v>
      </c>
      <c r="N213" s="202">
        <f t="shared" si="41"/>
        <v>0</v>
      </c>
      <c r="O213" s="202">
        <f t="shared" si="41"/>
        <v>0</v>
      </c>
      <c r="P213" s="202">
        <f t="shared" si="41"/>
        <v>0</v>
      </c>
      <c r="Q213" s="202">
        <f t="shared" si="42"/>
        <v>0</v>
      </c>
      <c r="R213" s="407">
        <f t="shared" si="37"/>
        <v>0</v>
      </c>
    </row>
    <row r="214" spans="5:18" ht="12.75" customHeight="1" x14ac:dyDescent="0.25">
      <c r="E214" s="7" t="s">
        <v>580</v>
      </c>
      <c r="F214" s="203" t="str">
        <f t="shared" si="40"/>
        <v>NA</v>
      </c>
      <c r="G214" s="203" t="str">
        <f t="shared" si="40"/>
        <v>NA</v>
      </c>
      <c r="H214" s="202" t="s">
        <v>503</v>
      </c>
      <c r="I214" s="202" t="s">
        <v>503</v>
      </c>
      <c r="J214" s="200">
        <f t="shared" si="43"/>
        <v>0</v>
      </c>
      <c r="K214" s="200">
        <f t="shared" si="43"/>
        <v>0</v>
      </c>
      <c r="L214" s="200">
        <f t="shared" si="43"/>
        <v>0</v>
      </c>
      <c r="M214" s="200">
        <f t="shared" si="43"/>
        <v>0</v>
      </c>
      <c r="N214" s="202">
        <f t="shared" si="41"/>
        <v>0</v>
      </c>
      <c r="O214" s="202">
        <f t="shared" si="41"/>
        <v>0</v>
      </c>
      <c r="P214" s="202">
        <f t="shared" si="41"/>
        <v>0</v>
      </c>
      <c r="Q214" s="202" t="str">
        <f t="shared" si="42"/>
        <v>NA</v>
      </c>
      <c r="R214" s="407">
        <f t="shared" si="37"/>
        <v>0</v>
      </c>
    </row>
    <row r="215" spans="5:18" ht="12.75" customHeight="1" x14ac:dyDescent="0.25">
      <c r="E215" s="7" t="s">
        <v>521</v>
      </c>
      <c r="F215" s="203" t="str">
        <f t="shared" si="40"/>
        <v>NA</v>
      </c>
      <c r="G215" s="203" t="str">
        <f t="shared" si="40"/>
        <v>NA</v>
      </c>
      <c r="H215" s="202" t="s">
        <v>503</v>
      </c>
      <c r="I215" s="202" t="s">
        <v>503</v>
      </c>
      <c r="J215" s="200">
        <f t="shared" si="43"/>
        <v>0</v>
      </c>
      <c r="K215" s="200">
        <f t="shared" si="43"/>
        <v>0</v>
      </c>
      <c r="L215" s="200">
        <f t="shared" si="43"/>
        <v>0</v>
      </c>
      <c r="M215" s="200">
        <f t="shared" si="43"/>
        <v>0</v>
      </c>
      <c r="N215" s="202">
        <f t="shared" si="41"/>
        <v>0</v>
      </c>
      <c r="O215" s="202">
        <f t="shared" si="41"/>
        <v>0</v>
      </c>
      <c r="P215" s="202">
        <f t="shared" si="41"/>
        <v>0</v>
      </c>
      <c r="Q215" s="202" t="str">
        <f t="shared" si="42"/>
        <v>NA</v>
      </c>
      <c r="R215" s="407">
        <f t="shared" si="37"/>
        <v>0</v>
      </c>
    </row>
    <row r="216" spans="5:18" ht="12.75" customHeight="1" x14ac:dyDescent="0.25">
      <c r="E216" s="7" t="s">
        <v>522</v>
      </c>
      <c r="F216" s="203" t="str">
        <f t="shared" si="40"/>
        <v>NA</v>
      </c>
      <c r="G216" s="203" t="str">
        <f t="shared" si="40"/>
        <v>NA</v>
      </c>
      <c r="H216" s="202" t="s">
        <v>503</v>
      </c>
      <c r="I216" s="202" t="s">
        <v>503</v>
      </c>
      <c r="J216" s="200">
        <f t="shared" si="43"/>
        <v>0</v>
      </c>
      <c r="K216" s="200">
        <f t="shared" si="43"/>
        <v>0</v>
      </c>
      <c r="L216" s="200">
        <f t="shared" si="43"/>
        <v>0</v>
      </c>
      <c r="M216" s="200">
        <f t="shared" si="43"/>
        <v>0</v>
      </c>
      <c r="N216" s="202">
        <f t="shared" si="41"/>
        <v>0</v>
      </c>
      <c r="O216" s="202">
        <f t="shared" si="41"/>
        <v>0</v>
      </c>
      <c r="P216" s="202">
        <f t="shared" si="41"/>
        <v>0</v>
      </c>
      <c r="Q216" s="202" t="str">
        <f t="shared" si="42"/>
        <v>NA</v>
      </c>
      <c r="R216" s="407">
        <f t="shared" si="37"/>
        <v>0</v>
      </c>
    </row>
    <row r="217" spans="5:18" ht="12.75" customHeight="1" x14ac:dyDescent="0.25">
      <c r="E217" s="7" t="s">
        <v>523</v>
      </c>
      <c r="F217" s="203" t="str">
        <f t="shared" si="40"/>
        <v>NA</v>
      </c>
      <c r="G217" s="203" t="str">
        <f t="shared" si="40"/>
        <v>NA</v>
      </c>
      <c r="H217" s="202" t="s">
        <v>503</v>
      </c>
      <c r="I217" s="202" t="s">
        <v>503</v>
      </c>
      <c r="J217" s="200">
        <f t="shared" si="43"/>
        <v>0</v>
      </c>
      <c r="K217" s="200">
        <f t="shared" si="43"/>
        <v>0</v>
      </c>
      <c r="L217" s="200">
        <f t="shared" si="43"/>
        <v>0</v>
      </c>
      <c r="M217" s="200">
        <f t="shared" si="43"/>
        <v>0</v>
      </c>
      <c r="N217" s="202">
        <f t="shared" si="41"/>
        <v>0</v>
      </c>
      <c r="O217" s="202">
        <f t="shared" si="41"/>
        <v>0</v>
      </c>
      <c r="P217" s="202">
        <f t="shared" si="41"/>
        <v>0</v>
      </c>
      <c r="Q217" s="202" t="str">
        <f t="shared" si="42"/>
        <v>NA</v>
      </c>
      <c r="R217" s="407">
        <f t="shared" si="37"/>
        <v>0</v>
      </c>
    </row>
    <row r="218" spans="5:18" ht="12.75" customHeight="1" x14ac:dyDescent="0.25">
      <c r="E218" s="7" t="s">
        <v>583</v>
      </c>
      <c r="F218" s="203">
        <f t="shared" si="40"/>
        <v>0</v>
      </c>
      <c r="G218" s="203">
        <f t="shared" si="40"/>
        <v>0</v>
      </c>
      <c r="H218" s="200">
        <f t="shared" ref="H218:I223" si="44">+I160-G102</f>
        <v>0</v>
      </c>
      <c r="I218" s="200">
        <f t="shared" si="44"/>
        <v>0</v>
      </c>
      <c r="J218" s="200">
        <f t="shared" si="43"/>
        <v>0</v>
      </c>
      <c r="K218" s="200">
        <f t="shared" si="43"/>
        <v>0</v>
      </c>
      <c r="L218" s="200">
        <f t="shared" si="43"/>
        <v>0</v>
      </c>
      <c r="M218" s="200">
        <f t="shared" si="43"/>
        <v>0</v>
      </c>
      <c r="N218" s="202" t="s">
        <v>503</v>
      </c>
      <c r="O218" s="202" t="s">
        <v>503</v>
      </c>
      <c r="P218" s="202" t="s">
        <v>503</v>
      </c>
      <c r="Q218" s="202" t="s">
        <v>503</v>
      </c>
      <c r="R218" s="407">
        <f t="shared" si="37"/>
        <v>0</v>
      </c>
    </row>
    <row r="219" spans="5:18" ht="12.75" customHeight="1" x14ac:dyDescent="0.25">
      <c r="E219" s="7" t="s">
        <v>584</v>
      </c>
      <c r="F219" s="203">
        <f t="shared" si="40"/>
        <v>0</v>
      </c>
      <c r="G219" s="203">
        <f t="shared" si="40"/>
        <v>0</v>
      </c>
      <c r="H219" s="200">
        <f t="shared" si="44"/>
        <v>0</v>
      </c>
      <c r="I219" s="200">
        <f t="shared" si="44"/>
        <v>0</v>
      </c>
      <c r="J219" s="200">
        <f t="shared" si="43"/>
        <v>0</v>
      </c>
      <c r="K219" s="200">
        <f t="shared" si="43"/>
        <v>0</v>
      </c>
      <c r="L219" s="200">
        <f t="shared" si="43"/>
        <v>0</v>
      </c>
      <c r="M219" s="200">
        <f t="shared" si="43"/>
        <v>0</v>
      </c>
      <c r="N219" s="202" t="s">
        <v>503</v>
      </c>
      <c r="O219" s="202" t="s">
        <v>503</v>
      </c>
      <c r="P219" s="202" t="s">
        <v>503</v>
      </c>
      <c r="Q219" s="202" t="s">
        <v>503</v>
      </c>
      <c r="R219" s="407">
        <f t="shared" si="37"/>
        <v>0</v>
      </c>
    </row>
    <row r="220" spans="5:18" ht="12.75" customHeight="1" x14ac:dyDescent="0.25">
      <c r="E220" s="7" t="s">
        <v>585</v>
      </c>
      <c r="F220" s="203">
        <f t="shared" si="40"/>
        <v>0</v>
      </c>
      <c r="G220" s="203">
        <f t="shared" si="40"/>
        <v>0</v>
      </c>
      <c r="H220" s="200">
        <f t="shared" si="44"/>
        <v>0</v>
      </c>
      <c r="I220" s="200">
        <f t="shared" si="44"/>
        <v>0</v>
      </c>
      <c r="J220" s="200">
        <f t="shared" si="43"/>
        <v>0</v>
      </c>
      <c r="K220" s="200">
        <f t="shared" si="43"/>
        <v>0</v>
      </c>
      <c r="L220" s="200">
        <f t="shared" si="43"/>
        <v>0</v>
      </c>
      <c r="M220" s="200">
        <f t="shared" si="43"/>
        <v>0</v>
      </c>
      <c r="N220" s="202" t="s">
        <v>503</v>
      </c>
      <c r="O220" s="202" t="s">
        <v>503</v>
      </c>
      <c r="P220" s="202" t="s">
        <v>503</v>
      </c>
      <c r="Q220" s="202" t="s">
        <v>503</v>
      </c>
      <c r="R220" s="407">
        <f t="shared" si="37"/>
        <v>0</v>
      </c>
    </row>
    <row r="221" spans="5:18" ht="12.75" customHeight="1" x14ac:dyDescent="0.25">
      <c r="E221" s="7" t="s">
        <v>633</v>
      </c>
      <c r="F221" s="205">
        <f t="shared" si="40"/>
        <v>0</v>
      </c>
      <c r="G221" s="203">
        <f t="shared" si="40"/>
        <v>0</v>
      </c>
      <c r="H221" s="200">
        <f t="shared" si="44"/>
        <v>0</v>
      </c>
      <c r="I221" s="200">
        <f t="shared" si="44"/>
        <v>0</v>
      </c>
      <c r="J221" s="200">
        <f t="shared" si="43"/>
        <v>0</v>
      </c>
      <c r="K221" s="200">
        <f t="shared" si="43"/>
        <v>0</v>
      </c>
      <c r="L221" s="200">
        <f t="shared" si="43"/>
        <v>0</v>
      </c>
      <c r="M221" s="200">
        <f t="shared" si="43"/>
        <v>0</v>
      </c>
      <c r="N221" s="202" t="s">
        <v>503</v>
      </c>
      <c r="O221" s="202" t="s">
        <v>503</v>
      </c>
      <c r="P221" s="202" t="s">
        <v>503</v>
      </c>
      <c r="Q221" s="202" t="s">
        <v>503</v>
      </c>
      <c r="R221" s="407">
        <f t="shared" si="37"/>
        <v>0</v>
      </c>
    </row>
    <row r="222" spans="5:18" ht="12.75" customHeight="1" x14ac:dyDescent="0.25">
      <c r="E222" s="7" t="s">
        <v>386</v>
      </c>
      <c r="F222" s="203">
        <f t="shared" si="40"/>
        <v>0</v>
      </c>
      <c r="G222" s="203">
        <f t="shared" si="40"/>
        <v>0</v>
      </c>
      <c r="H222" s="200">
        <f t="shared" si="44"/>
        <v>0</v>
      </c>
      <c r="I222" s="200">
        <f t="shared" si="44"/>
        <v>0</v>
      </c>
      <c r="J222" s="200">
        <f t="shared" si="43"/>
        <v>0</v>
      </c>
      <c r="K222" s="200">
        <f t="shared" si="43"/>
        <v>0</v>
      </c>
      <c r="L222" s="200">
        <f t="shared" si="43"/>
        <v>0</v>
      </c>
      <c r="M222" s="200">
        <f t="shared" si="43"/>
        <v>0</v>
      </c>
      <c r="N222" s="202" t="s">
        <v>503</v>
      </c>
      <c r="O222" s="202" t="s">
        <v>503</v>
      </c>
      <c r="P222" s="202" t="s">
        <v>503</v>
      </c>
      <c r="Q222" s="202" t="s">
        <v>503</v>
      </c>
      <c r="R222" s="407">
        <f t="shared" si="37"/>
        <v>0</v>
      </c>
    </row>
    <row r="223" spans="5:18" ht="12.75" customHeight="1" x14ac:dyDescent="0.25">
      <c r="E223" s="7" t="s">
        <v>272</v>
      </c>
      <c r="F223" s="203" t="str">
        <f t="shared" si="40"/>
        <v>NA</v>
      </c>
      <c r="G223" s="203" t="str">
        <f t="shared" si="40"/>
        <v>NA</v>
      </c>
      <c r="H223" s="200">
        <f t="shared" si="44"/>
        <v>0</v>
      </c>
      <c r="I223" s="200">
        <f t="shared" si="44"/>
        <v>0</v>
      </c>
      <c r="J223" s="200">
        <f t="shared" si="43"/>
        <v>0</v>
      </c>
      <c r="K223" s="200">
        <f t="shared" si="43"/>
        <v>0</v>
      </c>
      <c r="L223" s="200">
        <f t="shared" si="43"/>
        <v>0</v>
      </c>
      <c r="M223" s="200">
        <f t="shared" si="43"/>
        <v>0</v>
      </c>
      <c r="N223" s="202" t="s">
        <v>503</v>
      </c>
      <c r="O223" s="202" t="s">
        <v>503</v>
      </c>
      <c r="P223" s="202" t="s">
        <v>503</v>
      </c>
      <c r="Q223" s="202" t="s">
        <v>503</v>
      </c>
      <c r="R223" s="407">
        <f t="shared" si="37"/>
        <v>0</v>
      </c>
    </row>
    <row r="224" spans="5:18" ht="12.75" customHeight="1" x14ac:dyDescent="0.25">
      <c r="E224" s="7" t="s">
        <v>740</v>
      </c>
      <c r="F224" s="205">
        <f t="shared" si="40"/>
        <v>0</v>
      </c>
      <c r="G224" s="203">
        <f t="shared" si="40"/>
        <v>0</v>
      </c>
      <c r="H224" s="202" t="s">
        <v>503</v>
      </c>
      <c r="I224" s="643" t="s">
        <v>503</v>
      </c>
      <c r="J224" s="200">
        <f t="shared" si="43"/>
        <v>0</v>
      </c>
      <c r="K224" s="200">
        <f t="shared" si="43"/>
        <v>0</v>
      </c>
      <c r="L224" s="200">
        <f t="shared" si="43"/>
        <v>0</v>
      </c>
      <c r="M224" s="200">
        <f t="shared" si="43"/>
        <v>0</v>
      </c>
      <c r="N224" s="202">
        <f t="shared" ref="N224:P225" si="45">+O166-M108</f>
        <v>0</v>
      </c>
      <c r="O224" s="202">
        <f t="shared" si="45"/>
        <v>0</v>
      </c>
      <c r="P224" s="202">
        <f t="shared" si="45"/>
        <v>0</v>
      </c>
      <c r="Q224" s="202">
        <f>IF(AND(K51="NA",P224&lt;&gt;0),"INPUT ERROR",IF(AND(K51="NA",P224=0),"NA",+R166-P108))</f>
        <v>0</v>
      </c>
      <c r="R224" s="407">
        <f t="shared" si="37"/>
        <v>0</v>
      </c>
    </row>
    <row r="225" spans="4:18" ht="12.75" customHeight="1" x14ac:dyDescent="0.25">
      <c r="E225" s="7" t="s">
        <v>385</v>
      </c>
      <c r="F225" s="203" t="str">
        <f t="shared" ref="F225:G238" si="46">+G167</f>
        <v>NA</v>
      </c>
      <c r="G225" s="203" t="str">
        <f t="shared" si="46"/>
        <v>NA</v>
      </c>
      <c r="H225" s="202" t="s">
        <v>503</v>
      </c>
      <c r="I225" s="202" t="s">
        <v>503</v>
      </c>
      <c r="J225" s="200">
        <f t="shared" si="43"/>
        <v>0</v>
      </c>
      <c r="K225" s="200">
        <f t="shared" si="43"/>
        <v>0</v>
      </c>
      <c r="L225" s="200">
        <f t="shared" si="43"/>
        <v>0</v>
      </c>
      <c r="M225" s="200">
        <f t="shared" si="43"/>
        <v>0</v>
      </c>
      <c r="N225" s="202">
        <f t="shared" si="45"/>
        <v>0</v>
      </c>
      <c r="O225" s="202">
        <f t="shared" si="45"/>
        <v>0</v>
      </c>
      <c r="P225" s="202">
        <f t="shared" si="45"/>
        <v>0</v>
      </c>
      <c r="Q225" s="202" t="str">
        <f>IF(AND(K52="NA",P225&lt;&gt;0),"INPUT ERROR",IF(AND(K52="NA",P225=0),"NA",+R167-P109))</f>
        <v>NA</v>
      </c>
      <c r="R225" s="407">
        <f t="shared" si="37"/>
        <v>0</v>
      </c>
    </row>
    <row r="226" spans="4:18" ht="12.75" customHeight="1" x14ac:dyDescent="0.25">
      <c r="E226" s="7" t="s">
        <v>574</v>
      </c>
      <c r="F226" s="203" t="str">
        <f t="shared" si="46"/>
        <v>NA</v>
      </c>
      <c r="G226" s="203" t="str">
        <f t="shared" si="46"/>
        <v>NA</v>
      </c>
      <c r="H226" s="202" t="s">
        <v>503</v>
      </c>
      <c r="I226" s="202" t="s">
        <v>503</v>
      </c>
      <c r="J226" s="200">
        <f t="shared" si="43"/>
        <v>0</v>
      </c>
      <c r="K226" s="200">
        <f t="shared" si="43"/>
        <v>0</v>
      </c>
      <c r="L226" s="200">
        <f t="shared" si="43"/>
        <v>0</v>
      </c>
      <c r="M226" s="200">
        <f t="shared" si="43"/>
        <v>0</v>
      </c>
      <c r="N226" s="202" t="s">
        <v>503</v>
      </c>
      <c r="O226" s="202" t="s">
        <v>503</v>
      </c>
      <c r="P226" s="202" t="s">
        <v>503</v>
      </c>
      <c r="Q226" s="202" t="s">
        <v>503</v>
      </c>
      <c r="R226" s="407">
        <f t="shared" si="37"/>
        <v>0</v>
      </c>
    </row>
    <row r="227" spans="4:18" ht="12.75" customHeight="1" x14ac:dyDescent="0.25">
      <c r="E227" s="7" t="s">
        <v>573</v>
      </c>
      <c r="F227" s="201">
        <f t="shared" si="46"/>
        <v>0</v>
      </c>
      <c r="G227" s="201">
        <f t="shared" si="46"/>
        <v>0</v>
      </c>
      <c r="H227" s="200">
        <f>+I169-G111</f>
        <v>0</v>
      </c>
      <c r="I227" s="200">
        <f>+J169-H111</f>
        <v>0</v>
      </c>
      <c r="J227" s="200">
        <f t="shared" si="43"/>
        <v>0</v>
      </c>
      <c r="K227" s="200">
        <f t="shared" si="43"/>
        <v>0</v>
      </c>
      <c r="L227" s="200">
        <f t="shared" si="43"/>
        <v>0</v>
      </c>
      <c r="M227" s="200">
        <f t="shared" si="43"/>
        <v>0</v>
      </c>
      <c r="N227" s="202" t="s">
        <v>503</v>
      </c>
      <c r="O227" s="202" t="s">
        <v>503</v>
      </c>
      <c r="P227" s="202" t="s">
        <v>503</v>
      </c>
      <c r="Q227" s="202" t="s">
        <v>503</v>
      </c>
      <c r="R227" s="407">
        <f t="shared" si="37"/>
        <v>0</v>
      </c>
    </row>
    <row r="228" spans="4:18" ht="12.75" customHeight="1" x14ac:dyDescent="0.25">
      <c r="E228" s="7" t="s">
        <v>423</v>
      </c>
      <c r="F228" s="201">
        <f t="shared" si="46"/>
        <v>0</v>
      </c>
      <c r="G228" s="201">
        <f t="shared" si="46"/>
        <v>0</v>
      </c>
      <c r="H228" s="200">
        <f>+I170-G112</f>
        <v>0</v>
      </c>
      <c r="I228" s="200">
        <f>+J170-H112</f>
        <v>0</v>
      </c>
      <c r="J228" s="200">
        <f t="shared" si="43"/>
        <v>0</v>
      </c>
      <c r="K228" s="200">
        <f t="shared" si="43"/>
        <v>0</v>
      </c>
      <c r="L228" s="200">
        <f t="shared" si="43"/>
        <v>0</v>
      </c>
      <c r="M228" s="200">
        <f t="shared" si="43"/>
        <v>0</v>
      </c>
      <c r="N228" s="202" t="s">
        <v>503</v>
      </c>
      <c r="O228" s="202" t="s">
        <v>503</v>
      </c>
      <c r="P228" s="202" t="s">
        <v>503</v>
      </c>
      <c r="Q228" s="202" t="s">
        <v>503</v>
      </c>
      <c r="R228" s="407">
        <f t="shared" si="37"/>
        <v>0</v>
      </c>
    </row>
    <row r="229" spans="4:18" ht="12.75" customHeight="1" x14ac:dyDescent="0.25">
      <c r="E229" s="117" t="s">
        <v>455</v>
      </c>
      <c r="F229" s="201">
        <f t="shared" si="46"/>
        <v>0</v>
      </c>
      <c r="G229" s="201">
        <f t="shared" si="46"/>
        <v>0</v>
      </c>
      <c r="H229" s="202" t="s">
        <v>503</v>
      </c>
      <c r="I229" s="202" t="s">
        <v>503</v>
      </c>
      <c r="J229" s="200">
        <f t="shared" ref="J229:J238" si="47">+K171-I113</f>
        <v>0</v>
      </c>
      <c r="K229" s="200">
        <f t="shared" ref="K229:K238" si="48">+L171-J113</f>
        <v>0</v>
      </c>
      <c r="L229" s="202" t="s">
        <v>503</v>
      </c>
      <c r="M229" s="202" t="s">
        <v>503</v>
      </c>
      <c r="N229" s="202" t="s">
        <v>503</v>
      </c>
      <c r="O229" s="202" t="s">
        <v>503</v>
      </c>
      <c r="P229" s="202" t="s">
        <v>503</v>
      </c>
      <c r="Q229" s="202" t="s">
        <v>503</v>
      </c>
      <c r="R229" s="407">
        <f t="shared" si="37"/>
        <v>0</v>
      </c>
    </row>
    <row r="230" spans="4:18" ht="12.75" customHeight="1" x14ac:dyDescent="0.25">
      <c r="E230" s="117" t="s">
        <v>476</v>
      </c>
      <c r="F230" s="203" t="str">
        <f t="shared" si="46"/>
        <v>NA</v>
      </c>
      <c r="G230" s="203" t="str">
        <f t="shared" si="46"/>
        <v>NA</v>
      </c>
      <c r="H230" s="200">
        <f t="shared" ref="H230:I235" si="49">+I172-G114</f>
        <v>0</v>
      </c>
      <c r="I230" s="200">
        <f t="shared" si="49"/>
        <v>0</v>
      </c>
      <c r="J230" s="200">
        <f t="shared" si="47"/>
        <v>0</v>
      </c>
      <c r="K230" s="200">
        <f t="shared" si="48"/>
        <v>0</v>
      </c>
      <c r="L230" s="202" t="s">
        <v>503</v>
      </c>
      <c r="M230" s="202" t="s">
        <v>503</v>
      </c>
      <c r="N230" s="202" t="s">
        <v>503</v>
      </c>
      <c r="O230" s="202" t="s">
        <v>503</v>
      </c>
      <c r="P230" s="202" t="s">
        <v>503</v>
      </c>
      <c r="Q230" s="202" t="s">
        <v>503</v>
      </c>
      <c r="R230" s="407">
        <f t="shared" si="37"/>
        <v>0</v>
      </c>
    </row>
    <row r="231" spans="4:18" ht="12.75" customHeight="1" x14ac:dyDescent="0.25">
      <c r="E231" s="145" t="s">
        <v>131</v>
      </c>
      <c r="F231" s="203" t="str">
        <f t="shared" si="46"/>
        <v>NA</v>
      </c>
      <c r="G231" s="203" t="str">
        <f t="shared" si="46"/>
        <v>NA</v>
      </c>
      <c r="H231" s="200">
        <f t="shared" si="49"/>
        <v>0</v>
      </c>
      <c r="I231" s="200">
        <f t="shared" si="49"/>
        <v>0</v>
      </c>
      <c r="J231" s="200">
        <f t="shared" si="47"/>
        <v>0</v>
      </c>
      <c r="K231" s="200">
        <f t="shared" si="48"/>
        <v>0</v>
      </c>
      <c r="L231" s="202" t="s">
        <v>503</v>
      </c>
      <c r="M231" s="202" t="s">
        <v>503</v>
      </c>
      <c r="N231" s="202" t="s">
        <v>503</v>
      </c>
      <c r="O231" s="202" t="s">
        <v>503</v>
      </c>
      <c r="P231" s="202" t="s">
        <v>503</v>
      </c>
      <c r="Q231" s="202" t="s">
        <v>503</v>
      </c>
      <c r="R231" s="407">
        <f t="shared" si="37"/>
        <v>0</v>
      </c>
    </row>
    <row r="232" spans="4:18" ht="12.75" customHeight="1" x14ac:dyDescent="0.25">
      <c r="D232" s="133"/>
      <c r="E232" s="117" t="s">
        <v>444</v>
      </c>
      <c r="F232" s="203">
        <f t="shared" si="46"/>
        <v>0</v>
      </c>
      <c r="G232" s="203">
        <f t="shared" si="46"/>
        <v>0</v>
      </c>
      <c r="H232" s="200">
        <f t="shared" si="49"/>
        <v>0</v>
      </c>
      <c r="I232" s="200">
        <f t="shared" si="49"/>
        <v>0</v>
      </c>
      <c r="J232" s="200">
        <f t="shared" si="47"/>
        <v>0</v>
      </c>
      <c r="K232" s="200">
        <f t="shared" si="48"/>
        <v>0</v>
      </c>
      <c r="L232" s="200">
        <f>+M174-K116</f>
        <v>0</v>
      </c>
      <c r="M232" s="200">
        <f>+N174-L116</f>
        <v>0</v>
      </c>
      <c r="N232" s="202" t="s">
        <v>503</v>
      </c>
      <c r="O232" s="202" t="s">
        <v>503</v>
      </c>
      <c r="P232" s="202" t="s">
        <v>503</v>
      </c>
      <c r="Q232" s="202" t="s">
        <v>503</v>
      </c>
      <c r="R232" s="407">
        <f t="shared" si="37"/>
        <v>0</v>
      </c>
    </row>
    <row r="233" spans="4:18" ht="12.75" customHeight="1" x14ac:dyDescent="0.25">
      <c r="D233" s="3"/>
      <c r="E233" s="7" t="s">
        <v>53</v>
      </c>
      <c r="F233" s="203">
        <f t="shared" si="46"/>
        <v>0</v>
      </c>
      <c r="G233" s="203">
        <f t="shared" si="46"/>
        <v>0</v>
      </c>
      <c r="H233" s="200">
        <f t="shared" si="49"/>
        <v>0</v>
      </c>
      <c r="I233" s="200">
        <f t="shared" si="49"/>
        <v>0</v>
      </c>
      <c r="J233" s="200">
        <f t="shared" si="47"/>
        <v>0</v>
      </c>
      <c r="K233" s="200">
        <f t="shared" si="48"/>
        <v>0</v>
      </c>
      <c r="L233" s="202" t="s">
        <v>503</v>
      </c>
      <c r="M233" s="202" t="s">
        <v>503</v>
      </c>
      <c r="N233" s="202" t="s">
        <v>503</v>
      </c>
      <c r="O233" s="202" t="s">
        <v>503</v>
      </c>
      <c r="P233" s="202" t="s">
        <v>503</v>
      </c>
      <c r="Q233" s="202" t="s">
        <v>503</v>
      </c>
      <c r="R233" s="407">
        <f t="shared" si="37"/>
        <v>0</v>
      </c>
    </row>
    <row r="234" spans="4:18" ht="12.75" customHeight="1" x14ac:dyDescent="0.25">
      <c r="D234" s="3"/>
      <c r="E234" s="117" t="s">
        <v>54</v>
      </c>
      <c r="F234" s="203">
        <f t="shared" si="46"/>
        <v>0</v>
      </c>
      <c r="G234" s="203">
        <f t="shared" si="46"/>
        <v>0</v>
      </c>
      <c r="H234" s="200">
        <f t="shared" si="49"/>
        <v>0</v>
      </c>
      <c r="I234" s="200">
        <f t="shared" si="49"/>
        <v>0</v>
      </c>
      <c r="J234" s="200">
        <f t="shared" si="47"/>
        <v>0</v>
      </c>
      <c r="K234" s="200">
        <f t="shared" si="48"/>
        <v>0</v>
      </c>
      <c r="L234" s="202">
        <f>+M176-K118</f>
        <v>0</v>
      </c>
      <c r="M234" s="202">
        <f>+N176-L118</f>
        <v>0</v>
      </c>
      <c r="N234" s="202" t="s">
        <v>503</v>
      </c>
      <c r="O234" s="202" t="s">
        <v>503</v>
      </c>
      <c r="P234" s="202" t="s">
        <v>503</v>
      </c>
      <c r="Q234" s="202" t="s">
        <v>503</v>
      </c>
      <c r="R234" s="407">
        <f t="shared" si="37"/>
        <v>0</v>
      </c>
    </row>
    <row r="235" spans="4:18" ht="12.75" customHeight="1" x14ac:dyDescent="0.25">
      <c r="D235" s="3"/>
      <c r="E235" s="117" t="s">
        <v>55</v>
      </c>
      <c r="F235" s="203">
        <f t="shared" si="46"/>
        <v>0</v>
      </c>
      <c r="G235" s="203">
        <f t="shared" si="46"/>
        <v>0</v>
      </c>
      <c r="H235" s="200">
        <f t="shared" si="49"/>
        <v>0</v>
      </c>
      <c r="I235" s="200">
        <f t="shared" si="49"/>
        <v>0</v>
      </c>
      <c r="J235" s="200">
        <f t="shared" si="47"/>
        <v>0</v>
      </c>
      <c r="K235" s="200">
        <f t="shared" si="48"/>
        <v>0</v>
      </c>
      <c r="L235" s="202" t="s">
        <v>503</v>
      </c>
      <c r="M235" s="202" t="s">
        <v>503</v>
      </c>
      <c r="N235" s="202" t="s">
        <v>503</v>
      </c>
      <c r="O235" s="202" t="s">
        <v>503</v>
      </c>
      <c r="P235" s="202" t="s">
        <v>503</v>
      </c>
      <c r="Q235" s="202" t="s">
        <v>503</v>
      </c>
      <c r="R235" s="407">
        <f t="shared" si="37"/>
        <v>0</v>
      </c>
    </row>
    <row r="236" spans="4:18" ht="12.75" customHeight="1" x14ac:dyDescent="0.25">
      <c r="D236" s="3"/>
      <c r="E236" s="7" t="s">
        <v>56</v>
      </c>
      <c r="F236" s="203">
        <f t="shared" si="46"/>
        <v>0</v>
      </c>
      <c r="G236" s="203">
        <f t="shared" si="46"/>
        <v>0</v>
      </c>
      <c r="H236" s="202" t="s">
        <v>503</v>
      </c>
      <c r="I236" s="202" t="s">
        <v>503</v>
      </c>
      <c r="J236" s="200">
        <f t="shared" si="47"/>
        <v>0</v>
      </c>
      <c r="K236" s="200">
        <f t="shared" si="48"/>
        <v>0</v>
      </c>
      <c r="L236" s="202" t="s">
        <v>503</v>
      </c>
      <c r="M236" s="202" t="s">
        <v>503</v>
      </c>
      <c r="N236" s="202" t="s">
        <v>503</v>
      </c>
      <c r="O236" s="202" t="s">
        <v>503</v>
      </c>
      <c r="P236" s="202" t="s">
        <v>503</v>
      </c>
      <c r="Q236" s="202" t="s">
        <v>503</v>
      </c>
      <c r="R236" s="407">
        <f t="shared" si="37"/>
        <v>0</v>
      </c>
    </row>
    <row r="237" spans="4:18" ht="12.75" customHeight="1" x14ac:dyDescent="0.25">
      <c r="D237" s="3"/>
      <c r="E237" s="7" t="s">
        <v>57</v>
      </c>
      <c r="F237" s="203">
        <f t="shared" si="46"/>
        <v>0</v>
      </c>
      <c r="G237" s="203">
        <f t="shared" si="46"/>
        <v>0</v>
      </c>
      <c r="H237" s="202" t="s">
        <v>503</v>
      </c>
      <c r="I237" s="202" t="s">
        <v>503</v>
      </c>
      <c r="J237" s="200">
        <f t="shared" si="47"/>
        <v>0</v>
      </c>
      <c r="K237" s="200">
        <f t="shared" si="48"/>
        <v>0</v>
      </c>
      <c r="L237" s="200">
        <f>+M179-K121</f>
        <v>0</v>
      </c>
      <c r="M237" s="200">
        <f>+N179-L121</f>
        <v>0</v>
      </c>
      <c r="N237" s="202" t="s">
        <v>503</v>
      </c>
      <c r="O237" s="202" t="s">
        <v>503</v>
      </c>
      <c r="P237" s="202" t="s">
        <v>503</v>
      </c>
      <c r="Q237" s="202" t="s">
        <v>503</v>
      </c>
      <c r="R237" s="407">
        <f t="shared" si="37"/>
        <v>0</v>
      </c>
    </row>
    <row r="238" spans="4:18" ht="12.75" customHeight="1" x14ac:dyDescent="0.25">
      <c r="D238" s="3"/>
      <c r="E238" s="140" t="s">
        <v>58</v>
      </c>
      <c r="F238" s="203">
        <f t="shared" si="46"/>
        <v>0</v>
      </c>
      <c r="G238" s="203">
        <f t="shared" si="46"/>
        <v>0</v>
      </c>
      <c r="H238" s="202" t="s">
        <v>503</v>
      </c>
      <c r="I238" s="202" t="s">
        <v>503</v>
      </c>
      <c r="J238" s="200">
        <f t="shared" si="47"/>
        <v>0</v>
      </c>
      <c r="K238" s="200">
        <f t="shared" si="48"/>
        <v>0</v>
      </c>
      <c r="L238" s="200">
        <f>+M180-K122</f>
        <v>0</v>
      </c>
      <c r="M238" s="200">
        <f>+N180-L122</f>
        <v>0</v>
      </c>
      <c r="N238" s="202" t="s">
        <v>503</v>
      </c>
      <c r="O238" s="202" t="s">
        <v>503</v>
      </c>
      <c r="P238" s="202" t="s">
        <v>503</v>
      </c>
      <c r="Q238" s="202" t="s">
        <v>503</v>
      </c>
      <c r="R238" s="407">
        <f t="shared" si="37"/>
        <v>0</v>
      </c>
    </row>
    <row r="239" spans="4:18" ht="13" thickBot="1" x14ac:dyDescent="0.3">
      <c r="E239" s="139" t="s">
        <v>526</v>
      </c>
      <c r="F239" s="207">
        <f>SUM(F185:F238)</f>
        <v>0</v>
      </c>
      <c r="G239" s="207">
        <f t="shared" ref="G239:O239" si="50">SUM(G185:G238)</f>
        <v>0</v>
      </c>
      <c r="H239" s="207">
        <f t="shared" si="50"/>
        <v>0</v>
      </c>
      <c r="I239" s="207">
        <f t="shared" si="50"/>
        <v>0</v>
      </c>
      <c r="J239" s="207">
        <f t="shared" si="50"/>
        <v>0</v>
      </c>
      <c r="K239" s="207">
        <f>SUM(K185:K238)</f>
        <v>0</v>
      </c>
      <c r="L239" s="207">
        <f t="shared" si="50"/>
        <v>0</v>
      </c>
      <c r="M239" s="207">
        <f t="shared" si="50"/>
        <v>0</v>
      </c>
      <c r="N239" s="207">
        <f t="shared" si="50"/>
        <v>0</v>
      </c>
      <c r="O239" s="207">
        <f t="shared" si="50"/>
        <v>0</v>
      </c>
      <c r="P239" s="207">
        <f>SUM(P185:P238)</f>
        <v>0</v>
      </c>
      <c r="Q239" s="206">
        <f>IF(AND('Analysis Inputs'!$N$150=3,SUM(P214:P217,P225)&lt;&gt;0),"INPUT ERROR",SUM(Q185:Q238))</f>
        <v>0</v>
      </c>
      <c r="R239" s="669">
        <f>IF(ROUND(SUM(F239,H239,J239,L239,N239,P239),8)&lt;&gt;0,"INPUT ERROR: Make sure tons managed equals tons generated",IF(Q239="INPUT ERROR","INPUT ERROR: Please select dry digestion",SUM(G239,I239,K239,M239,O239,Q239)))</f>
        <v>0</v>
      </c>
    </row>
    <row r="240" spans="4:18" x14ac:dyDescent="0.25">
      <c r="E240" s="478" t="s">
        <v>714</v>
      </c>
    </row>
    <row r="241" spans="5:10" x14ac:dyDescent="0.25">
      <c r="E241" s="45" t="s">
        <v>729</v>
      </c>
    </row>
    <row r="242" spans="5:10" ht="12.75" customHeight="1" x14ac:dyDescent="0.25">
      <c r="E242" s="137" t="s">
        <v>715</v>
      </c>
    </row>
    <row r="244" spans="5:10" x14ac:dyDescent="0.25">
      <c r="E244" s="46" t="s">
        <v>7</v>
      </c>
    </row>
    <row r="245" spans="5:10" x14ac:dyDescent="0.25">
      <c r="E245" s="46" t="s">
        <v>8</v>
      </c>
    </row>
    <row r="248" spans="5:10" x14ac:dyDescent="0.25">
      <c r="E248" s="478"/>
      <c r="F248" s="152"/>
      <c r="G248" s="152"/>
      <c r="H248" s="152"/>
      <c r="I248" s="152"/>
      <c r="J248" s="152"/>
    </row>
    <row r="249" spans="5:10" x14ac:dyDescent="0.25">
      <c r="E249" s="921"/>
      <c r="F249" s="921"/>
      <c r="G249" s="921"/>
      <c r="H249" s="921"/>
      <c r="I249" s="921"/>
      <c r="J249" s="921"/>
    </row>
    <row r="250" spans="5:10" x14ac:dyDescent="0.25">
      <c r="E250" s="922"/>
      <c r="F250" s="923"/>
      <c r="G250" s="923"/>
      <c r="H250" s="923"/>
      <c r="I250" s="923"/>
      <c r="J250" s="923"/>
    </row>
  </sheetData>
  <mergeCells count="2">
    <mergeCell ref="E249:J249"/>
    <mergeCell ref="E250:J250"/>
  </mergeCells>
  <phoneticPr fontId="14" type="noConversion"/>
  <conditionalFormatting sqref="L4:L6 P69:Q123 R127:S181 Q185:R239">
    <cfRule type="containsText" dxfId="13" priority="11" stopIfTrue="1" operator="containsText" text="INPUT ERROR">
      <formula>NOT(ISERROR(SEARCH("INPUT ERROR",L4)))</formula>
    </cfRule>
  </conditionalFormatting>
  <conditionalFormatting sqref="S181">
    <cfRule type="containsText" dxfId="12" priority="1" stopIfTrue="1" operator="containsText" text="INPUT ERROR">
      <formula>NOT(ISERROR(SEARCH("INPUT ERROR",S181)))</formula>
    </cfRule>
  </conditionalFormatting>
  <printOptions horizontalCentered="1" verticalCentered="1" gridLines="1" gridLinesSet="0"/>
  <pageMargins left="0.25" right="0.25" top="1" bottom="1" header="0.5" footer="0.5"/>
  <pageSetup orientation="landscape" horizontalDpi="360" r:id="rId1"/>
  <headerFooter alignWithMargins="0">
    <oddHeader>&amp;A</oddHeader>
    <oddFooter>&amp;L&amp;D&amp;CPage &amp;P of &amp;N</oddFooter>
  </headerFooter>
  <rowBreaks count="3" manualBreakCount="3">
    <brk id="66" min="4" max="16" man="1"/>
    <brk id="124" min="4" max="16" man="1"/>
    <brk id="181" min="4"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B1:V127"/>
  <sheetViews>
    <sheetView showRowColHeaders="0" zoomScale="80" zoomScaleNormal="80" zoomScaleSheetLayoutView="75" workbookViewId="0">
      <selection activeCell="A11" sqref="A11"/>
    </sheetView>
  </sheetViews>
  <sheetFormatPr defaultColWidth="9.1796875" defaultRowHeight="12.5" x14ac:dyDescent="0.25"/>
  <cols>
    <col min="1" max="1" width="2.54296875" style="6" customWidth="1"/>
    <col min="2" max="2" width="3.453125" style="6" customWidth="1"/>
    <col min="3" max="3" width="7.54296875" style="6" hidden="1" customWidth="1"/>
    <col min="4" max="4" width="22.453125" style="6" customWidth="1"/>
    <col min="5" max="5" width="9.7265625" style="6" customWidth="1"/>
    <col min="6" max="6" width="10.26953125" style="6" customWidth="1"/>
    <col min="7" max="7" width="15.26953125" style="6" customWidth="1"/>
    <col min="8" max="8" width="11.81640625" style="6" customWidth="1"/>
    <col min="9" max="9" width="14.26953125" style="6" customWidth="1"/>
    <col min="10" max="10" width="15" style="6" customWidth="1"/>
    <col min="11" max="11" width="6.54296875" style="6" customWidth="1"/>
    <col min="12" max="12" width="23.453125" style="6" customWidth="1"/>
    <col min="13" max="13" width="13.54296875" style="6" customWidth="1"/>
    <col min="14" max="14" width="10.81640625" style="6" customWidth="1"/>
    <col min="15" max="15" width="13.26953125" style="6" customWidth="1"/>
    <col min="16" max="16" width="11.7265625" style="6" customWidth="1"/>
    <col min="17" max="17" width="12.7265625" style="6" customWidth="1"/>
    <col min="18" max="18" width="14" style="6" customWidth="1"/>
    <col min="19" max="19" width="15.1796875" style="6" customWidth="1"/>
    <col min="20" max="20" width="7" style="6" customWidth="1"/>
    <col min="21" max="21" width="14.453125" style="6" customWidth="1"/>
    <col min="22" max="22" width="3.453125" style="6" customWidth="1"/>
    <col min="23" max="16384" width="9.1796875" style="6"/>
  </cols>
  <sheetData>
    <row r="1" spans="2:22" ht="13" thickBot="1" x14ac:dyDescent="0.3"/>
    <row r="2" spans="2:22" x14ac:dyDescent="0.25">
      <c r="B2" s="167"/>
      <c r="C2" s="160"/>
      <c r="D2" s="160"/>
      <c r="E2" s="160"/>
      <c r="F2" s="160"/>
      <c r="G2" s="160"/>
      <c r="H2" s="160"/>
      <c r="I2" s="160"/>
      <c r="J2" s="160"/>
      <c r="K2" s="160"/>
      <c r="L2" s="168"/>
    </row>
    <row r="3" spans="2:22" s="213" customFormat="1" ht="18" x14ac:dyDescent="0.4">
      <c r="B3" s="240"/>
      <c r="C3" s="241"/>
      <c r="D3" s="242" t="s">
        <v>19</v>
      </c>
      <c r="E3" s="241"/>
      <c r="F3" s="241"/>
      <c r="G3" s="241"/>
      <c r="H3" s="241"/>
      <c r="I3" s="241"/>
      <c r="J3" s="241"/>
      <c r="K3" s="241"/>
      <c r="L3" s="243"/>
    </row>
    <row r="4" spans="2:22" x14ac:dyDescent="0.25">
      <c r="B4" s="169"/>
      <c r="C4" s="152"/>
      <c r="D4" s="244" t="str">
        <f>'Summary Report (MTCE)'!D4</f>
        <v>Version 14</v>
      </c>
      <c r="E4" s="152"/>
      <c r="F4" s="152"/>
      <c r="G4" s="152"/>
      <c r="H4" s="152"/>
      <c r="I4" s="152"/>
      <c r="J4" s="152"/>
      <c r="K4" s="152"/>
      <c r="L4" s="174"/>
    </row>
    <row r="5" spans="2:22" ht="13" x14ac:dyDescent="0.3">
      <c r="B5" s="169"/>
      <c r="C5" s="152"/>
      <c r="D5" s="170" t="str">
        <f>"GHG Emissions Waste Management Analysis for "&amp;'Analysis Inputs'!G184</f>
        <v xml:space="preserve">GHG Emissions Waste Management Analysis for </v>
      </c>
      <c r="E5" s="245"/>
      <c r="F5" s="245"/>
      <c r="G5" s="152"/>
      <c r="H5" s="152"/>
      <c r="I5" s="152"/>
      <c r="J5" s="152"/>
      <c r="K5" s="152"/>
      <c r="L5" s="174"/>
    </row>
    <row r="6" spans="2:22" ht="13" x14ac:dyDescent="0.3">
      <c r="B6" s="169"/>
      <c r="C6" s="152"/>
      <c r="D6" s="170" t="str">
        <f>"Prepared by:  "&amp;'Analysis Inputs'!G183</f>
        <v xml:space="preserve">Prepared by:  </v>
      </c>
      <c r="E6" s="246"/>
      <c r="F6" s="245"/>
      <c r="G6" s="245"/>
      <c r="H6" s="152"/>
      <c r="I6" s="152"/>
      <c r="J6" s="152"/>
      <c r="K6" s="152"/>
      <c r="L6" s="174"/>
    </row>
    <row r="7" spans="2:22" ht="13" x14ac:dyDescent="0.3">
      <c r="B7" s="169"/>
      <c r="C7" s="152"/>
      <c r="D7" s="247" t="str">
        <f>"Project Period for this Analysis:  "&amp;TEXT('Analysis Inputs'!G186,"mm/dd/yy")&amp;" to "&amp;TEXT('Analysis Inputs'!I186,"mm/dd/yy")</f>
        <v>Project Period for this Analysis:  01/00/00 to 01/00/00</v>
      </c>
      <c r="E7" s="245"/>
      <c r="F7" s="152"/>
      <c r="G7" s="248"/>
      <c r="H7" s="249"/>
      <c r="I7" s="249"/>
      <c r="J7" s="248"/>
      <c r="K7" s="152"/>
      <c r="L7" s="174"/>
    </row>
    <row r="8" spans="2:22" x14ac:dyDescent="0.25">
      <c r="B8" s="169"/>
      <c r="C8" s="152"/>
      <c r="D8" s="239" t="s">
        <v>147</v>
      </c>
      <c r="E8" s="152"/>
      <c r="F8" s="152"/>
      <c r="G8" s="152"/>
      <c r="H8" s="152"/>
      <c r="I8" s="152"/>
      <c r="J8" s="152"/>
      <c r="K8" s="152"/>
      <c r="L8" s="174"/>
    </row>
    <row r="9" spans="2:22" x14ac:dyDescent="0.25">
      <c r="B9" s="169"/>
      <c r="C9" s="152"/>
      <c r="D9" s="239" t="s">
        <v>146</v>
      </c>
      <c r="E9" s="152"/>
      <c r="F9" s="152"/>
      <c r="G9" s="152"/>
      <c r="H9" s="152"/>
      <c r="I9" s="152"/>
      <c r="J9" s="152"/>
      <c r="K9" s="152"/>
      <c r="L9" s="174"/>
    </row>
    <row r="10" spans="2:22" ht="13.5" thickBot="1" x14ac:dyDescent="0.35">
      <c r="B10" s="171"/>
      <c r="C10" s="162"/>
      <c r="D10" s="250"/>
      <c r="E10" s="251"/>
      <c r="F10" s="162"/>
      <c r="G10" s="252"/>
      <c r="H10" s="253"/>
      <c r="I10" s="253"/>
      <c r="J10" s="252"/>
      <c r="K10" s="162"/>
      <c r="L10" s="196"/>
    </row>
    <row r="11" spans="2:22" ht="13.5" thickBot="1" x14ac:dyDescent="0.35">
      <c r="D11" s="166"/>
      <c r="E11" s="214"/>
    </row>
    <row r="12" spans="2:22" x14ac:dyDescent="0.25">
      <c r="B12" s="167"/>
      <c r="C12" s="160"/>
      <c r="D12" s="160"/>
      <c r="E12" s="160"/>
      <c r="F12" s="160"/>
      <c r="G12" s="160"/>
      <c r="H12" s="160"/>
      <c r="I12" s="160"/>
      <c r="J12" s="160"/>
      <c r="K12" s="160"/>
      <c r="L12" s="160"/>
      <c r="M12" s="160"/>
      <c r="N12" s="160"/>
      <c r="O12" s="160"/>
      <c r="P12" s="160"/>
      <c r="Q12" s="160"/>
      <c r="R12" s="160"/>
      <c r="S12" s="160"/>
      <c r="T12" s="160"/>
      <c r="U12" s="160"/>
      <c r="V12" s="168"/>
    </row>
    <row r="13" spans="2:22" ht="13" x14ac:dyDescent="0.3">
      <c r="B13" s="169"/>
      <c r="C13" s="152"/>
      <c r="D13" s="170" t="s">
        <v>123</v>
      </c>
      <c r="E13" s="157"/>
      <c r="F13" s="157"/>
      <c r="G13" s="157"/>
      <c r="H13" s="157"/>
      <c r="I13" s="157"/>
      <c r="J13" s="739">
        <f>'Analysis Results (energy)'!L4</f>
        <v>226141.5534075723</v>
      </c>
      <c r="K13" s="152"/>
      <c r="L13" s="170" t="s">
        <v>124</v>
      </c>
      <c r="M13" s="157"/>
      <c r="N13" s="157"/>
      <c r="O13" s="157"/>
      <c r="P13" s="157"/>
      <c r="Q13" s="157"/>
      <c r="R13" s="157"/>
      <c r="S13" s="739">
        <f>'Analysis Results (energy)'!L5</f>
        <v>226141.5534075723</v>
      </c>
      <c r="T13" s="152"/>
      <c r="U13" s="152"/>
      <c r="V13" s="174"/>
    </row>
    <row r="14" spans="2:22" ht="13.5" thickBot="1" x14ac:dyDescent="0.35">
      <c r="B14" s="169"/>
      <c r="C14" s="152"/>
      <c r="D14" s="170"/>
      <c r="E14" s="157"/>
      <c r="F14" s="157"/>
      <c r="G14" s="157"/>
      <c r="H14" s="157"/>
      <c r="I14" s="678"/>
      <c r="J14" s="220"/>
      <c r="K14" s="152"/>
      <c r="L14" s="170"/>
      <c r="M14" s="157"/>
      <c r="N14" s="157"/>
      <c r="O14" s="157"/>
      <c r="P14" s="157"/>
      <c r="Q14" s="157"/>
      <c r="R14" s="678"/>
      <c r="S14" s="221"/>
      <c r="T14" s="152"/>
      <c r="U14" s="152"/>
      <c r="V14" s="174"/>
    </row>
    <row r="15" spans="2:22" ht="32" thickBot="1" x14ac:dyDescent="0.3">
      <c r="B15" s="169"/>
      <c r="C15" s="152"/>
      <c r="D15" s="641" t="s">
        <v>496</v>
      </c>
      <c r="E15" s="222" t="s">
        <v>148</v>
      </c>
      <c r="F15" s="222" t="s">
        <v>541</v>
      </c>
      <c r="G15" s="222" t="s">
        <v>542</v>
      </c>
      <c r="H15" s="222" t="s">
        <v>543</v>
      </c>
      <c r="I15" s="670" t="s">
        <v>761</v>
      </c>
      <c r="J15" s="224" t="s">
        <v>607</v>
      </c>
      <c r="K15" s="152"/>
      <c r="L15" s="641" t="s">
        <v>496</v>
      </c>
      <c r="M15" s="223" t="s">
        <v>555</v>
      </c>
      <c r="N15" s="222" t="s">
        <v>540</v>
      </c>
      <c r="O15" s="222" t="s">
        <v>541</v>
      </c>
      <c r="P15" s="222" t="s">
        <v>542</v>
      </c>
      <c r="Q15" s="222" t="s">
        <v>543</v>
      </c>
      <c r="R15" s="670" t="s">
        <v>761</v>
      </c>
      <c r="S15" s="224" t="s">
        <v>607</v>
      </c>
      <c r="T15" s="152"/>
      <c r="U15" s="431" t="s">
        <v>854</v>
      </c>
      <c r="V15" s="174"/>
    </row>
    <row r="16" spans="2:22" ht="12" customHeight="1" x14ac:dyDescent="0.25">
      <c r="B16" s="169"/>
      <c r="C16" s="185">
        <v>1</v>
      </c>
      <c r="D16" s="263" t="str">
        <f t="shared" ref="D16:D69" si="0">IF(ISERROR(VLOOKUP($C16,EnergyUse_Baseline,2,FALSE)),"",VLOOKUP($C16,EnergyUse_Baseline,2,FALSE))</f>
        <v>Aluminum Cans</v>
      </c>
      <c r="E16" s="256">
        <f t="shared" ref="E16:E69" si="1">IF(ISERROR(VLOOKUP($C16,EnergyUse_Baseline,4,FALSE)),"",VLOOKUP($C16,EnergyUse_Baseline,4,FALSE))</f>
        <v>0</v>
      </c>
      <c r="F16" s="256">
        <f t="shared" ref="F16:F69" si="2">IF(ISERROR(VLOOKUP($C16,EnergyUse_Baseline,6,FALSE)),"",VLOOKUP($C16,EnergyUse_Baseline,6,FALSE))</f>
        <v>2581.9310711278504</v>
      </c>
      <c r="G16" s="256">
        <f t="shared" ref="G16:G69" si="3">IF(ISERROR(VLOOKUP($C16,EnergyUse_Baseline,8,FALSE)),"",VLOOKUP($C16,EnergyUse_Baseline,8,FALSE))</f>
        <v>0</v>
      </c>
      <c r="H16" s="256" t="str">
        <f t="shared" ref="H16:H69" si="4">IF(ISERROR(VLOOKUP($C16,EnergyUse_Baseline,10,FALSE)),"",VLOOKUP($C16,EnergyUse_Baseline,10,FALSE))</f>
        <v>NA</v>
      </c>
      <c r="I16" s="671" t="str">
        <f t="shared" ref="I16:I47" si="5">IF(ISERROR(VLOOKUP($C16,EnergyUse_Baseline,12,FALSE)),"",VLOOKUP($C16,EnergyUse_Baseline,12,FALSE))</f>
        <v>NA</v>
      </c>
      <c r="J16" s="388">
        <f t="shared" ref="J16:J47" si="6">IF(ISERROR(VLOOKUP($C16,EnergyUse_Baseline,14,FALSE)),"0",VLOOKUP($C16,EnergyUse_Baseline,14,FALSE))</f>
        <v>692.6625135929952</v>
      </c>
      <c r="K16" s="152"/>
      <c r="L16" s="264" t="str">
        <f t="shared" ref="L16:L47" si="7">IF(ISERROR(VLOOKUP($C74,EnergyUse_Alternative,2,FALSE)),"",VLOOKUP($C74,EnergyUse_Alternative,2,FALSE))</f>
        <v>Aluminum Cans</v>
      </c>
      <c r="M16" s="256">
        <f t="shared" ref="M16:M47" si="8">IF(ISERROR(VLOOKUP($C74,EnergyUse_Alternative,4,FALSE)),"",VLOOKUP($C74,EnergyUse_Alternative,4,FALSE))</f>
        <v>0</v>
      </c>
      <c r="N16" s="256">
        <f t="shared" ref="N16:N47" si="9">IF(ISERROR(VLOOKUP($C74,EnergyUse_Alternative,6,FALSE)),"",VLOOKUP($C74,EnergyUse_Alternative,6,FALSE))</f>
        <v>0</v>
      </c>
      <c r="O16" s="256">
        <f t="shared" ref="O16:O47" si="10">IF(ISERROR(VLOOKUP($C74,EnergyUse_Alternative,8,FALSE)),"",VLOOKUP($C74,EnergyUse_Alternative,8,FALSE))</f>
        <v>2581.9310711278504</v>
      </c>
      <c r="P16" s="256">
        <f t="shared" ref="P16:P47" si="11">IF(ISERROR(VLOOKUP($C74,EnergyUse_Alternative,10,FALSE)),"",VLOOKUP($C74,EnergyUse_Alternative,10,FALSE))</f>
        <v>0</v>
      </c>
      <c r="Q16" s="256" t="str">
        <f t="shared" ref="Q16:Q47" si="12">IF(ISERROR(VLOOKUP($C74,EnergyUse_Alternative,12,FALSE)),"",VLOOKUP($C74,EnergyUse_Alternative,12,FALSE))</f>
        <v>NA</v>
      </c>
      <c r="R16" s="671" t="str">
        <f t="shared" ref="R16:R47" si="13">IF(ISERROR(VLOOKUP($C74,EnergyUse_Alternative,14,FALSE)),"",VLOOKUP($C74,EnergyUse_Alternative,14,FALSE))</f>
        <v>NA</v>
      </c>
      <c r="S16" s="388">
        <f t="shared" ref="S16:S47" si="14">IF(ISERROR(VLOOKUP($C74,EnergyUse_Alternative,16,FALSE)),"0",VLOOKUP($C74,EnergyUse_Alternative,16,FALSE))</f>
        <v>692.6625135929952</v>
      </c>
      <c r="T16" s="257"/>
      <c r="U16" s="389">
        <f>IF(SUM(E16:I16)&lt;&gt;SUM(M16:R16),"INPUT ERROR",IF(AND('Analysis Inputs'!$N$148=2,S16="INPUT ERROR"),"INPUT ERROR",S16-J16))</f>
        <v>0</v>
      </c>
      <c r="V16" s="174"/>
    </row>
    <row r="17" spans="2:22" ht="12" customHeight="1" x14ac:dyDescent="0.25">
      <c r="B17" s="169"/>
      <c r="C17" s="185">
        <v>2</v>
      </c>
      <c r="D17" s="263" t="str">
        <f t="shared" si="0"/>
        <v>Aluminum Ingot</v>
      </c>
      <c r="E17" s="256">
        <f t="shared" si="1"/>
        <v>0</v>
      </c>
      <c r="F17" s="256">
        <f t="shared" si="2"/>
        <v>1647.4287121844873</v>
      </c>
      <c r="G17" s="256">
        <f t="shared" si="3"/>
        <v>0</v>
      </c>
      <c r="H17" s="256" t="str">
        <f t="shared" si="4"/>
        <v>NA</v>
      </c>
      <c r="I17" s="671" t="str">
        <f t="shared" si="5"/>
        <v>NA</v>
      </c>
      <c r="J17" s="388">
        <f t="shared" si="6"/>
        <v>441.96071905533574</v>
      </c>
      <c r="K17" s="152"/>
      <c r="L17" s="264" t="str">
        <f t="shared" si="7"/>
        <v>Aluminum Ingot</v>
      </c>
      <c r="M17" s="256">
        <f t="shared" si="8"/>
        <v>0</v>
      </c>
      <c r="N17" s="256">
        <f t="shared" si="9"/>
        <v>0</v>
      </c>
      <c r="O17" s="256">
        <f t="shared" si="10"/>
        <v>1647.4287121844873</v>
      </c>
      <c r="P17" s="256">
        <f t="shared" si="11"/>
        <v>0</v>
      </c>
      <c r="Q17" s="256" t="str">
        <f t="shared" si="12"/>
        <v>NA</v>
      </c>
      <c r="R17" s="671" t="str">
        <f t="shared" si="13"/>
        <v>NA</v>
      </c>
      <c r="S17" s="388">
        <f t="shared" si="14"/>
        <v>441.96071905533574</v>
      </c>
      <c r="T17" s="257"/>
      <c r="U17" s="389">
        <f>IF(SUM(E17:I17)&lt;&gt;SUM(M17:R17),"INPUT ERROR",IF(AND('Analysis Inputs'!$N$148=2,S17="INPUT ERROR"),"INPUT ERROR",S17-J17))</f>
        <v>0</v>
      </c>
      <c r="V17" s="174"/>
    </row>
    <row r="18" spans="2:22" ht="12" customHeight="1" x14ac:dyDescent="0.25">
      <c r="B18" s="169"/>
      <c r="C18" s="185">
        <v>3</v>
      </c>
      <c r="D18" s="263" t="str">
        <f t="shared" si="0"/>
        <v>Steel Cans</v>
      </c>
      <c r="E18" s="256">
        <f t="shared" si="1"/>
        <v>0</v>
      </c>
      <c r="F18" s="256">
        <f t="shared" si="2"/>
        <v>4001.7125772610179</v>
      </c>
      <c r="G18" s="256">
        <f t="shared" si="3"/>
        <v>0</v>
      </c>
      <c r="H18" s="256" t="str">
        <f t="shared" si="4"/>
        <v>NA</v>
      </c>
      <c r="I18" s="671" t="str">
        <f t="shared" si="5"/>
        <v>NA</v>
      </c>
      <c r="J18" s="388">
        <f t="shared" si="6"/>
        <v>1073.5516232164609</v>
      </c>
      <c r="K18" s="152"/>
      <c r="L18" s="264" t="str">
        <f t="shared" si="7"/>
        <v>Steel Cans</v>
      </c>
      <c r="M18" s="256">
        <f t="shared" si="8"/>
        <v>0</v>
      </c>
      <c r="N18" s="256">
        <f t="shared" si="9"/>
        <v>0</v>
      </c>
      <c r="O18" s="256">
        <f t="shared" si="10"/>
        <v>4001.7125772610179</v>
      </c>
      <c r="P18" s="256">
        <f t="shared" si="11"/>
        <v>0</v>
      </c>
      <c r="Q18" s="256" t="str">
        <f t="shared" si="12"/>
        <v>NA</v>
      </c>
      <c r="R18" s="671" t="str">
        <f t="shared" si="13"/>
        <v>NA</v>
      </c>
      <c r="S18" s="388">
        <f t="shared" si="14"/>
        <v>1073.5516232164609</v>
      </c>
      <c r="T18" s="257"/>
      <c r="U18" s="389">
        <f>IF(SUM(E18:I18)&lt;&gt;SUM(M18:R18),"INPUT ERROR",IF(AND('Analysis Inputs'!$N$148=2,S18="INPUT ERROR"),"INPUT ERROR",S18-J18))</f>
        <v>0</v>
      </c>
      <c r="V18" s="174"/>
    </row>
    <row r="19" spans="2:22" ht="12" customHeight="1" x14ac:dyDescent="0.25">
      <c r="B19" s="169"/>
      <c r="C19" s="185">
        <v>4</v>
      </c>
      <c r="D19" s="263" t="str">
        <f t="shared" si="0"/>
        <v>Glass</v>
      </c>
      <c r="E19" s="256">
        <f t="shared" si="1"/>
        <v>0</v>
      </c>
      <c r="F19" s="256">
        <f t="shared" si="2"/>
        <v>22379.467981121063</v>
      </c>
      <c r="G19" s="256">
        <f t="shared" si="3"/>
        <v>0</v>
      </c>
      <c r="H19" s="256" t="str">
        <f t="shared" si="4"/>
        <v>NA</v>
      </c>
      <c r="I19" s="671" t="str">
        <f t="shared" si="5"/>
        <v>NA</v>
      </c>
      <c r="J19" s="388">
        <f t="shared" si="6"/>
        <v>6003.8080481776269</v>
      </c>
      <c r="K19" s="152"/>
      <c r="L19" s="264" t="str">
        <f t="shared" si="7"/>
        <v>Glass</v>
      </c>
      <c r="M19" s="256">
        <f t="shared" si="8"/>
        <v>0</v>
      </c>
      <c r="N19" s="256">
        <f t="shared" si="9"/>
        <v>0</v>
      </c>
      <c r="O19" s="256">
        <f t="shared" si="10"/>
        <v>22379.467981121063</v>
      </c>
      <c r="P19" s="256">
        <f t="shared" si="11"/>
        <v>0</v>
      </c>
      <c r="Q19" s="256" t="str">
        <f t="shared" si="12"/>
        <v>NA</v>
      </c>
      <c r="R19" s="671" t="str">
        <f t="shared" si="13"/>
        <v>NA</v>
      </c>
      <c r="S19" s="388">
        <f t="shared" si="14"/>
        <v>6003.8080481776269</v>
      </c>
      <c r="T19" s="257"/>
      <c r="U19" s="389">
        <f>IF(SUM(E19:I19)&lt;&gt;SUM(M19:R19),"INPUT ERROR",IF(AND('Analysis Inputs'!$N$148=2,S19="INPUT ERROR"),"INPUT ERROR",S19-J19))</f>
        <v>0</v>
      </c>
      <c r="V19" s="174"/>
    </row>
    <row r="20" spans="2:22" ht="12" customHeight="1" x14ac:dyDescent="0.25">
      <c r="B20" s="169"/>
      <c r="C20" s="185">
        <v>5</v>
      </c>
      <c r="D20" s="263" t="str">
        <f t="shared" si="0"/>
        <v>HDPE</v>
      </c>
      <c r="E20" s="256">
        <f t="shared" si="1"/>
        <v>0</v>
      </c>
      <c r="F20" s="256">
        <f t="shared" si="2"/>
        <v>4378.1563584420928</v>
      </c>
      <c r="G20" s="256">
        <f t="shared" si="3"/>
        <v>0</v>
      </c>
      <c r="H20" s="256" t="str">
        <f t="shared" si="4"/>
        <v>NA</v>
      </c>
      <c r="I20" s="671" t="str">
        <f t="shared" si="5"/>
        <v>NA</v>
      </c>
      <c r="J20" s="388">
        <f t="shared" si="6"/>
        <v>1174.5413431261538</v>
      </c>
      <c r="K20" s="152"/>
      <c r="L20" s="264" t="str">
        <f t="shared" si="7"/>
        <v>HDPE</v>
      </c>
      <c r="M20" s="256">
        <f t="shared" si="8"/>
        <v>0</v>
      </c>
      <c r="N20" s="256">
        <f t="shared" si="9"/>
        <v>0</v>
      </c>
      <c r="O20" s="256">
        <f t="shared" si="10"/>
        <v>4378.1563584420928</v>
      </c>
      <c r="P20" s="256">
        <f t="shared" si="11"/>
        <v>0</v>
      </c>
      <c r="Q20" s="256" t="str">
        <f t="shared" si="12"/>
        <v>NA</v>
      </c>
      <c r="R20" s="671" t="str">
        <f t="shared" si="13"/>
        <v>NA</v>
      </c>
      <c r="S20" s="388">
        <f t="shared" si="14"/>
        <v>1174.5413431261538</v>
      </c>
      <c r="T20" s="152"/>
      <c r="U20" s="389">
        <f>IF(SUM(E20:I20)&lt;&gt;SUM(M20:R20),"INPUT ERROR",IF(AND('Analysis Inputs'!$N$148=2,S20="INPUT ERROR"),"INPUT ERROR",S20-J20))</f>
        <v>0</v>
      </c>
      <c r="V20" s="174"/>
    </row>
    <row r="21" spans="2:22" ht="12" customHeight="1" x14ac:dyDescent="0.25">
      <c r="B21" s="169"/>
      <c r="C21" s="185">
        <v>6</v>
      </c>
      <c r="D21" s="263" t="str">
        <f t="shared" si="0"/>
        <v>LDPE</v>
      </c>
      <c r="E21" s="256" t="str">
        <f t="shared" si="1"/>
        <v>NA</v>
      </c>
      <c r="F21" s="256">
        <f t="shared" si="2"/>
        <v>4168.741080644736</v>
      </c>
      <c r="G21" s="256">
        <f t="shared" si="3"/>
        <v>0</v>
      </c>
      <c r="H21" s="256" t="str">
        <f t="shared" si="4"/>
        <v>NA</v>
      </c>
      <c r="I21" s="671" t="str">
        <f t="shared" si="5"/>
        <v>NA</v>
      </c>
      <c r="J21" s="388">
        <f t="shared" si="6"/>
        <v>1118.36086862552</v>
      </c>
      <c r="K21" s="152"/>
      <c r="L21" s="264" t="str">
        <f t="shared" si="7"/>
        <v>LDPE</v>
      </c>
      <c r="M21" s="256">
        <f t="shared" si="8"/>
        <v>0</v>
      </c>
      <c r="N21" s="256" t="str">
        <f t="shared" si="9"/>
        <v>NA</v>
      </c>
      <c r="O21" s="256">
        <f t="shared" si="10"/>
        <v>4168.741080644736</v>
      </c>
      <c r="P21" s="256">
        <f t="shared" si="11"/>
        <v>0</v>
      </c>
      <c r="Q21" s="256" t="str">
        <f t="shared" si="12"/>
        <v>NA</v>
      </c>
      <c r="R21" s="671" t="str">
        <f t="shared" si="13"/>
        <v>NA</v>
      </c>
      <c r="S21" s="388">
        <f t="shared" si="14"/>
        <v>1118.36086862552</v>
      </c>
      <c r="T21" s="152"/>
      <c r="U21" s="389">
        <f>IF(SUM(E21:I21)&lt;&gt;SUM(M21:R21),"INPUT ERROR",IF(AND('Analysis Inputs'!$N$148=2,S21="INPUT ERROR"),"INPUT ERROR",S21-J21))</f>
        <v>0</v>
      </c>
      <c r="V21" s="174"/>
    </row>
    <row r="22" spans="2:22" ht="12" customHeight="1" x14ac:dyDescent="0.25">
      <c r="B22" s="169"/>
      <c r="C22" s="185">
        <v>7</v>
      </c>
      <c r="D22" s="263" t="str">
        <f t="shared" si="0"/>
        <v>PET</v>
      </c>
      <c r="E22" s="256">
        <f t="shared" si="1"/>
        <v>0</v>
      </c>
      <c r="F22" s="256">
        <f t="shared" si="2"/>
        <v>7088.1162615431676</v>
      </c>
      <c r="G22" s="256">
        <f t="shared" si="3"/>
        <v>0</v>
      </c>
      <c r="H22" s="256" t="str">
        <f t="shared" si="4"/>
        <v>NA</v>
      </c>
      <c r="I22" s="671" t="str">
        <f t="shared" si="5"/>
        <v>NA</v>
      </c>
      <c r="J22" s="388">
        <f t="shared" si="6"/>
        <v>1901.5505414771628</v>
      </c>
      <c r="K22" s="152"/>
      <c r="L22" s="264" t="str">
        <f t="shared" si="7"/>
        <v>PET</v>
      </c>
      <c r="M22" s="256">
        <f t="shared" si="8"/>
        <v>0</v>
      </c>
      <c r="N22" s="256">
        <f t="shared" si="9"/>
        <v>0</v>
      </c>
      <c r="O22" s="256">
        <f t="shared" si="10"/>
        <v>7088.1162615431676</v>
      </c>
      <c r="P22" s="256">
        <f t="shared" si="11"/>
        <v>0</v>
      </c>
      <c r="Q22" s="256" t="str">
        <f t="shared" si="12"/>
        <v>NA</v>
      </c>
      <c r="R22" s="671" t="str">
        <f t="shared" si="13"/>
        <v>NA</v>
      </c>
      <c r="S22" s="388">
        <f t="shared" si="14"/>
        <v>1901.5505414771628</v>
      </c>
      <c r="T22" s="152"/>
      <c r="U22" s="389">
        <f>IF(SUM(E22:I22)&lt;&gt;SUM(M22:R22),"INPUT ERROR",IF(AND('Analysis Inputs'!$N$148=2,S22="INPUT ERROR"),"INPUT ERROR",S22-J22))</f>
        <v>0</v>
      </c>
      <c r="V22" s="174"/>
    </row>
    <row r="23" spans="2:22" x14ac:dyDescent="0.25">
      <c r="B23" s="169"/>
      <c r="C23" s="185">
        <v>8</v>
      </c>
      <c r="D23" s="263" t="str">
        <f t="shared" si="0"/>
        <v>LLDPE</v>
      </c>
      <c r="E23" s="256" t="str">
        <f t="shared" si="1"/>
        <v>NA</v>
      </c>
      <c r="F23" s="256">
        <f t="shared" si="2"/>
        <v>12601.65494719689</v>
      </c>
      <c r="G23" s="256">
        <f t="shared" si="3"/>
        <v>0</v>
      </c>
      <c r="H23" s="256" t="str">
        <f t="shared" si="4"/>
        <v>NA</v>
      </c>
      <c r="I23" s="671" t="str">
        <f t="shared" si="5"/>
        <v>NA</v>
      </c>
      <c r="J23" s="388">
        <f t="shared" si="6"/>
        <v>3380.6843601537726</v>
      </c>
      <c r="K23" s="152"/>
      <c r="L23" s="264" t="str">
        <f t="shared" si="7"/>
        <v>LLDPE</v>
      </c>
      <c r="M23" s="256">
        <f t="shared" si="8"/>
        <v>0</v>
      </c>
      <c r="N23" s="256" t="str">
        <f t="shared" si="9"/>
        <v>NA</v>
      </c>
      <c r="O23" s="256">
        <f t="shared" si="10"/>
        <v>12601.65494719689</v>
      </c>
      <c r="P23" s="256">
        <f t="shared" si="11"/>
        <v>0</v>
      </c>
      <c r="Q23" s="256" t="str">
        <f t="shared" si="12"/>
        <v>NA</v>
      </c>
      <c r="R23" s="671" t="str">
        <f t="shared" si="13"/>
        <v>NA</v>
      </c>
      <c r="S23" s="388">
        <f t="shared" si="14"/>
        <v>3380.6843601537726</v>
      </c>
      <c r="T23" s="152"/>
      <c r="U23" s="389">
        <f>IF(SUM(E23:I23)&lt;&gt;SUM(M23:R23),"INPUT ERROR",IF(AND('Analysis Inputs'!$N$148=2,S23="INPUT ERROR"),"INPUT ERROR",S23-J23))</f>
        <v>0</v>
      </c>
      <c r="V23" s="174"/>
    </row>
    <row r="24" spans="2:22" x14ac:dyDescent="0.25">
      <c r="B24" s="169"/>
      <c r="C24" s="185">
        <v>9</v>
      </c>
      <c r="D24" s="263" t="str">
        <f t="shared" si="0"/>
        <v>PS</v>
      </c>
      <c r="E24" s="256" t="str">
        <f t="shared" si="1"/>
        <v>NA</v>
      </c>
      <c r="F24" s="256">
        <f t="shared" si="2"/>
        <v>5327.0221948308408</v>
      </c>
      <c r="G24" s="256">
        <f t="shared" si="3"/>
        <v>0</v>
      </c>
      <c r="H24" s="256" t="str">
        <f t="shared" si="4"/>
        <v>NA</v>
      </c>
      <c r="I24" s="671" t="str">
        <f t="shared" si="5"/>
        <v>NA</v>
      </c>
      <c r="J24" s="388">
        <f t="shared" si="6"/>
        <v>1429.0964715124628</v>
      </c>
      <c r="K24" s="152"/>
      <c r="L24" s="264" t="str">
        <f t="shared" si="7"/>
        <v>PS</v>
      </c>
      <c r="M24" s="256">
        <f t="shared" si="8"/>
        <v>0</v>
      </c>
      <c r="N24" s="256" t="str">
        <f t="shared" si="9"/>
        <v>NA</v>
      </c>
      <c r="O24" s="256">
        <f t="shared" si="10"/>
        <v>5327.0221948308408</v>
      </c>
      <c r="P24" s="256">
        <f t="shared" si="11"/>
        <v>0</v>
      </c>
      <c r="Q24" s="256" t="str">
        <f t="shared" si="12"/>
        <v>NA</v>
      </c>
      <c r="R24" s="671" t="str">
        <f t="shared" si="13"/>
        <v>NA</v>
      </c>
      <c r="S24" s="388">
        <f t="shared" si="14"/>
        <v>1429.0964715124628</v>
      </c>
      <c r="T24" s="152"/>
      <c r="U24" s="389">
        <f>IF(SUM(E24:I24)&lt;&gt;SUM(M24:R24),"INPUT ERROR",IF(AND('Analysis Inputs'!$N$148=2,S24="INPUT ERROR"),"INPUT ERROR",S24-J24))</f>
        <v>0</v>
      </c>
      <c r="V24" s="174"/>
    </row>
    <row r="25" spans="2:22" x14ac:dyDescent="0.25">
      <c r="B25" s="169"/>
      <c r="C25" s="185">
        <v>10</v>
      </c>
      <c r="D25" s="263" t="str">
        <f t="shared" si="0"/>
        <v>Corrugated Containers</v>
      </c>
      <c r="E25" s="256">
        <f t="shared" si="1"/>
        <v>0</v>
      </c>
      <c r="F25" s="256">
        <f t="shared" si="2"/>
        <v>27908.476920644473</v>
      </c>
      <c r="G25" s="256">
        <f t="shared" si="3"/>
        <v>0</v>
      </c>
      <c r="H25" s="256" t="str">
        <f t="shared" si="4"/>
        <v>NA</v>
      </c>
      <c r="I25" s="671" t="str">
        <f t="shared" si="5"/>
        <v>NA</v>
      </c>
      <c r="J25" s="388">
        <f t="shared" si="6"/>
        <v>7487.0921189857227</v>
      </c>
      <c r="K25" s="152"/>
      <c r="L25" s="264" t="str">
        <f t="shared" si="7"/>
        <v>Corrugated Containers</v>
      </c>
      <c r="M25" s="256">
        <f t="shared" si="8"/>
        <v>0</v>
      </c>
      <c r="N25" s="256">
        <f t="shared" si="9"/>
        <v>0</v>
      </c>
      <c r="O25" s="256">
        <f t="shared" si="10"/>
        <v>27908.476920644473</v>
      </c>
      <c r="P25" s="256">
        <f t="shared" si="11"/>
        <v>0</v>
      </c>
      <c r="Q25" s="256" t="str">
        <f t="shared" si="12"/>
        <v>NA</v>
      </c>
      <c r="R25" s="671" t="str">
        <f t="shared" si="13"/>
        <v>NA</v>
      </c>
      <c r="S25" s="388">
        <f t="shared" si="14"/>
        <v>7487.0921189857227</v>
      </c>
      <c r="T25" s="152"/>
      <c r="U25" s="389">
        <f>IF(SUM(E25:I25)&lt;&gt;SUM(M25:R25),"INPUT ERROR",IF(AND('Analysis Inputs'!$N$148=2,S25="INPUT ERROR"),"INPUT ERROR",S25-J25))</f>
        <v>0</v>
      </c>
      <c r="V25" s="174"/>
    </row>
    <row r="26" spans="2:22" x14ac:dyDescent="0.25">
      <c r="B26" s="169"/>
      <c r="C26" s="185">
        <v>11</v>
      </c>
      <c r="D26" s="263" t="str">
        <f t="shared" si="0"/>
        <v>Newspaper</v>
      </c>
      <c r="E26" s="256">
        <f t="shared" si="1"/>
        <v>0</v>
      </c>
      <c r="F26" s="256">
        <f t="shared" si="2"/>
        <v>12962.300300440122</v>
      </c>
      <c r="G26" s="256">
        <f t="shared" si="3"/>
        <v>0</v>
      </c>
      <c r="H26" s="256" t="str">
        <f t="shared" si="4"/>
        <v>NA</v>
      </c>
      <c r="I26" s="671" t="str">
        <f t="shared" si="5"/>
        <v>NA</v>
      </c>
      <c r="J26" s="388">
        <f t="shared" si="6"/>
        <v>3477.4357876750228</v>
      </c>
      <c r="K26" s="152"/>
      <c r="L26" s="264" t="str">
        <f t="shared" si="7"/>
        <v>Newspaper</v>
      </c>
      <c r="M26" s="256">
        <f t="shared" si="8"/>
        <v>0</v>
      </c>
      <c r="N26" s="256">
        <f t="shared" si="9"/>
        <v>0</v>
      </c>
      <c r="O26" s="256">
        <f t="shared" si="10"/>
        <v>12962.300300440122</v>
      </c>
      <c r="P26" s="256">
        <f t="shared" si="11"/>
        <v>0</v>
      </c>
      <c r="Q26" s="256" t="str">
        <f t="shared" si="12"/>
        <v>NA</v>
      </c>
      <c r="R26" s="671" t="str">
        <f t="shared" si="13"/>
        <v>NA</v>
      </c>
      <c r="S26" s="388">
        <f t="shared" si="14"/>
        <v>3477.4357876750228</v>
      </c>
      <c r="T26" s="152"/>
      <c r="U26" s="389">
        <f>IF(SUM(E26:I26)&lt;&gt;SUM(M26:R26),"INPUT ERROR",IF(AND('Analysis Inputs'!$N$148=2,S26="INPUT ERROR"),"INPUT ERROR",S26-J26))</f>
        <v>0</v>
      </c>
      <c r="V26" s="174"/>
    </row>
    <row r="27" spans="2:22" x14ac:dyDescent="0.25">
      <c r="B27" s="169"/>
      <c r="C27" s="185">
        <v>12</v>
      </c>
      <c r="D27" s="263" t="str">
        <f t="shared" si="0"/>
        <v>Office Paper</v>
      </c>
      <c r="E27" s="256">
        <f t="shared" si="1"/>
        <v>0</v>
      </c>
      <c r="F27" s="256">
        <f t="shared" si="2"/>
        <v>6726.271332146167</v>
      </c>
      <c r="G27" s="256">
        <f t="shared" si="3"/>
        <v>0</v>
      </c>
      <c r="H27" s="256" t="str">
        <f t="shared" si="4"/>
        <v>NA</v>
      </c>
      <c r="I27" s="671" t="str">
        <f t="shared" si="5"/>
        <v>NA</v>
      </c>
      <c r="J27" s="388">
        <f t="shared" si="6"/>
        <v>1804.4773000069627</v>
      </c>
      <c r="K27" s="152"/>
      <c r="L27" s="264" t="str">
        <f t="shared" si="7"/>
        <v>Office Paper</v>
      </c>
      <c r="M27" s="256">
        <f t="shared" si="8"/>
        <v>0</v>
      </c>
      <c r="N27" s="256">
        <f t="shared" si="9"/>
        <v>0</v>
      </c>
      <c r="O27" s="256">
        <f t="shared" si="10"/>
        <v>6726.271332146167</v>
      </c>
      <c r="P27" s="256">
        <f t="shared" si="11"/>
        <v>0</v>
      </c>
      <c r="Q27" s="256" t="str">
        <f t="shared" si="12"/>
        <v>NA</v>
      </c>
      <c r="R27" s="671" t="str">
        <f t="shared" si="13"/>
        <v>NA</v>
      </c>
      <c r="S27" s="388">
        <f t="shared" si="14"/>
        <v>1804.4773000069627</v>
      </c>
      <c r="T27" s="152"/>
      <c r="U27" s="389">
        <f>IF(SUM(E27:I27)&lt;&gt;SUM(M27:R27),"INPUT ERROR",IF(AND('Analysis Inputs'!$N$148=2,S27="INPUT ERROR"),"INPUT ERROR",S27-J27))</f>
        <v>0</v>
      </c>
      <c r="V27" s="174"/>
    </row>
    <row r="28" spans="2:22" x14ac:dyDescent="0.25">
      <c r="B28" s="169"/>
      <c r="C28" s="185">
        <v>13</v>
      </c>
      <c r="D28" s="263" t="str">
        <f t="shared" si="0"/>
        <v>Dimensional Lumber</v>
      </c>
      <c r="E28" s="256">
        <f t="shared" si="1"/>
        <v>0</v>
      </c>
      <c r="F28" s="256">
        <f t="shared" si="2"/>
        <v>103846.1137708187</v>
      </c>
      <c r="G28" s="256">
        <f t="shared" si="3"/>
        <v>0</v>
      </c>
      <c r="H28" s="256" t="str">
        <f t="shared" si="4"/>
        <v>NA</v>
      </c>
      <c r="I28" s="671" t="str">
        <f t="shared" si="5"/>
        <v>NA</v>
      </c>
      <c r="J28" s="388">
        <f t="shared" si="6"/>
        <v>27859.113279867121</v>
      </c>
      <c r="K28" s="152"/>
      <c r="L28" s="264" t="str">
        <f t="shared" si="7"/>
        <v>Dimensional Lumber</v>
      </c>
      <c r="M28" s="256">
        <f t="shared" si="8"/>
        <v>0</v>
      </c>
      <c r="N28" s="256">
        <f t="shared" si="9"/>
        <v>0</v>
      </c>
      <c r="O28" s="256">
        <f t="shared" si="10"/>
        <v>103846.1137708187</v>
      </c>
      <c r="P28" s="256">
        <f t="shared" si="11"/>
        <v>0</v>
      </c>
      <c r="Q28" s="256" t="str">
        <f t="shared" si="12"/>
        <v>NA</v>
      </c>
      <c r="R28" s="671" t="str">
        <f t="shared" si="13"/>
        <v>NA</v>
      </c>
      <c r="S28" s="388">
        <f t="shared" si="14"/>
        <v>27859.113279867121</v>
      </c>
      <c r="T28" s="152"/>
      <c r="U28" s="389">
        <f>IF(SUM(E28:I28)&lt;&gt;SUM(M28:R28),"INPUT ERROR",IF(AND('Analysis Inputs'!$N$148=2,S28="INPUT ERROR"),"INPUT ERROR",S28-J28))</f>
        <v>0</v>
      </c>
      <c r="V28" s="174"/>
    </row>
    <row r="29" spans="2:22" x14ac:dyDescent="0.25">
      <c r="B29" s="169"/>
      <c r="C29" s="185">
        <v>14</v>
      </c>
      <c r="D29" s="263" t="str">
        <f t="shared" si="0"/>
        <v>Food Waste (non-meat)</v>
      </c>
      <c r="E29" s="256" t="str">
        <f t="shared" si="1"/>
        <v>NA</v>
      </c>
      <c r="F29" s="256">
        <f t="shared" si="2"/>
        <v>107960.23499957993</v>
      </c>
      <c r="G29" s="256">
        <f t="shared" si="3"/>
        <v>0</v>
      </c>
      <c r="H29" s="256">
        <f t="shared" si="4"/>
        <v>0</v>
      </c>
      <c r="I29" s="671">
        <f t="shared" si="5"/>
        <v>0</v>
      </c>
      <c r="J29" s="388">
        <f t="shared" si="6"/>
        <v>28962.821114443523</v>
      </c>
      <c r="K29" s="152"/>
      <c r="L29" s="264" t="str">
        <f t="shared" si="7"/>
        <v>Food Waste (non-meat)</v>
      </c>
      <c r="M29" s="256">
        <f t="shared" si="8"/>
        <v>0</v>
      </c>
      <c r="N29" s="256" t="str">
        <f t="shared" si="9"/>
        <v>NA</v>
      </c>
      <c r="O29" s="256">
        <f t="shared" si="10"/>
        <v>107960.23499957993</v>
      </c>
      <c r="P29" s="256">
        <f t="shared" si="11"/>
        <v>0</v>
      </c>
      <c r="Q29" s="256">
        <f t="shared" si="12"/>
        <v>0</v>
      </c>
      <c r="R29" s="671">
        <f t="shared" si="13"/>
        <v>0</v>
      </c>
      <c r="S29" s="388">
        <f t="shared" si="14"/>
        <v>28962.821114443523</v>
      </c>
      <c r="T29" s="152"/>
      <c r="U29" s="389">
        <f>IF(SUM(E29:I29)&lt;&gt;SUM(M29:R29),"INPUT ERROR",IF(AND('Analysis Inputs'!$N$148=2,S29="INPUT ERROR"),"INPUT ERROR",S29-J29))</f>
        <v>0</v>
      </c>
      <c r="V29" s="174"/>
    </row>
    <row r="30" spans="2:22" x14ac:dyDescent="0.25">
      <c r="B30" s="169"/>
      <c r="C30" s="185">
        <v>15</v>
      </c>
      <c r="D30" s="263" t="str">
        <f t="shared" si="0"/>
        <v>Food Waste (meat only)</v>
      </c>
      <c r="E30" s="256" t="str">
        <f t="shared" si="1"/>
        <v>NA</v>
      </c>
      <c r="F30" s="256">
        <f t="shared" si="2"/>
        <v>65275.449706659572</v>
      </c>
      <c r="G30" s="256">
        <f t="shared" si="3"/>
        <v>0</v>
      </c>
      <c r="H30" s="256">
        <f t="shared" si="4"/>
        <v>0</v>
      </c>
      <c r="I30" s="671">
        <f t="shared" si="5"/>
        <v>0</v>
      </c>
      <c r="J30" s="388">
        <f t="shared" si="6"/>
        <v>17511.643736475678</v>
      </c>
      <c r="K30" s="152"/>
      <c r="L30" s="264" t="str">
        <f t="shared" si="7"/>
        <v>Food Waste (meat only)</v>
      </c>
      <c r="M30" s="256">
        <f t="shared" si="8"/>
        <v>0</v>
      </c>
      <c r="N30" s="256" t="str">
        <f t="shared" si="9"/>
        <v>NA</v>
      </c>
      <c r="O30" s="256">
        <f t="shared" si="10"/>
        <v>65275.449706659572</v>
      </c>
      <c r="P30" s="256">
        <f t="shared" si="11"/>
        <v>0</v>
      </c>
      <c r="Q30" s="256">
        <f t="shared" si="12"/>
        <v>0</v>
      </c>
      <c r="R30" s="671">
        <f t="shared" si="13"/>
        <v>0</v>
      </c>
      <c r="S30" s="388">
        <f t="shared" si="14"/>
        <v>17511.643736475678</v>
      </c>
      <c r="T30" s="152"/>
      <c r="U30" s="389">
        <f>IF(SUM(E30:I30)&lt;&gt;SUM(M30:R30),"INPUT ERROR",IF(AND('Analysis Inputs'!$N$148=2,S30="INPUT ERROR"),"INPUT ERROR",S30-J30))</f>
        <v>0</v>
      </c>
      <c r="V30" s="174"/>
    </row>
    <row r="31" spans="2:22" x14ac:dyDescent="0.25">
      <c r="B31" s="169"/>
      <c r="C31" s="185">
        <v>16</v>
      </c>
      <c r="D31" s="263" t="str">
        <f t="shared" si="0"/>
        <v>Yard Trimmings</v>
      </c>
      <c r="E31" s="256" t="str">
        <f t="shared" si="1"/>
        <v>NA</v>
      </c>
      <c r="F31" s="256">
        <f t="shared" si="2"/>
        <v>34800.561320441149</v>
      </c>
      <c r="G31" s="256">
        <f t="shared" si="3"/>
        <v>0</v>
      </c>
      <c r="H31" s="256">
        <f t="shared" si="4"/>
        <v>0</v>
      </c>
      <c r="I31" s="671">
        <f t="shared" si="5"/>
        <v>0</v>
      </c>
      <c r="J31" s="388">
        <f t="shared" si="6"/>
        <v>9336.0525957551072</v>
      </c>
      <c r="K31" s="152"/>
      <c r="L31" s="264" t="str">
        <f t="shared" si="7"/>
        <v>Yard Trimmings</v>
      </c>
      <c r="M31" s="256" t="str">
        <f t="shared" si="8"/>
        <v>NA</v>
      </c>
      <c r="N31" s="256" t="str">
        <f t="shared" si="9"/>
        <v>NA</v>
      </c>
      <c r="O31" s="256">
        <f t="shared" si="10"/>
        <v>34800.561320441149</v>
      </c>
      <c r="P31" s="256">
        <f t="shared" si="11"/>
        <v>0</v>
      </c>
      <c r="Q31" s="256">
        <f t="shared" si="12"/>
        <v>0</v>
      </c>
      <c r="R31" s="671">
        <f t="shared" si="13"/>
        <v>0</v>
      </c>
      <c r="S31" s="388">
        <f t="shared" si="14"/>
        <v>9336.0525957551072</v>
      </c>
      <c r="T31" s="152"/>
      <c r="U31" s="389">
        <f>IF(SUM(E31:I31)&lt;&gt;SUM(M31:R31),"INPUT ERROR",IF(AND('Analysis Inputs'!$N$148=2,S31="INPUT ERROR"),"INPUT ERROR",S31-J31))</f>
        <v>0</v>
      </c>
      <c r="V31" s="174"/>
    </row>
    <row r="32" spans="2:22" x14ac:dyDescent="0.25">
      <c r="B32" s="169"/>
      <c r="C32" s="185">
        <v>17</v>
      </c>
      <c r="D32" s="263" t="str">
        <f t="shared" si="0"/>
        <v>Branches</v>
      </c>
      <c r="E32" s="256" t="str">
        <f t="shared" si="1"/>
        <v>NA</v>
      </c>
      <c r="F32" s="256">
        <f t="shared" si="2"/>
        <v>2781.912059757693</v>
      </c>
      <c r="G32" s="256">
        <f t="shared" si="3"/>
        <v>0</v>
      </c>
      <c r="H32" s="256">
        <f t="shared" si="4"/>
        <v>0</v>
      </c>
      <c r="I32" s="671">
        <f t="shared" si="5"/>
        <v>0</v>
      </c>
      <c r="J32" s="388">
        <f t="shared" si="6"/>
        <v>746.3120225996978</v>
      </c>
      <c r="K32" s="152"/>
      <c r="L32" s="264" t="str">
        <f t="shared" si="7"/>
        <v>Branches</v>
      </c>
      <c r="M32" s="256" t="str">
        <f t="shared" si="8"/>
        <v>NA</v>
      </c>
      <c r="N32" s="256" t="str">
        <f t="shared" si="9"/>
        <v>NA</v>
      </c>
      <c r="O32" s="256">
        <f t="shared" si="10"/>
        <v>2781.912059757693</v>
      </c>
      <c r="P32" s="256">
        <f t="shared" si="11"/>
        <v>0</v>
      </c>
      <c r="Q32" s="256">
        <f t="shared" si="12"/>
        <v>0</v>
      </c>
      <c r="R32" s="671">
        <f t="shared" si="13"/>
        <v>0</v>
      </c>
      <c r="S32" s="388">
        <f t="shared" si="14"/>
        <v>746.3120225996978</v>
      </c>
      <c r="T32" s="152"/>
      <c r="U32" s="389">
        <f>IF(SUM(E32:I32)&lt;&gt;SUM(M32:R32),"INPUT ERROR",IF(AND('Analysis Inputs'!$N$148=2,S32="INPUT ERROR"),"INPUT ERROR",S32-J32))</f>
        <v>0</v>
      </c>
      <c r="V32" s="174"/>
    </row>
    <row r="33" spans="2:22" x14ac:dyDescent="0.25">
      <c r="B33" s="169"/>
      <c r="C33" s="185">
        <v>18</v>
      </c>
      <c r="D33" s="263" t="str">
        <f t="shared" si="0"/>
        <v>Mixed Paper (general)</v>
      </c>
      <c r="E33" s="256">
        <f t="shared" si="1"/>
        <v>0</v>
      </c>
      <c r="F33" s="256">
        <f t="shared" si="2"/>
        <v>93768.529977279337</v>
      </c>
      <c r="G33" s="256">
        <f t="shared" si="3"/>
        <v>0</v>
      </c>
      <c r="H33" s="256" t="str">
        <f t="shared" si="4"/>
        <v>NA</v>
      </c>
      <c r="I33" s="671" t="str">
        <f t="shared" si="5"/>
        <v>NA</v>
      </c>
      <c r="J33" s="388">
        <f t="shared" si="6"/>
        <v>25155.569176992285</v>
      </c>
      <c r="K33" s="152"/>
      <c r="L33" s="264" t="str">
        <f t="shared" si="7"/>
        <v>Mixed Paper (general)</v>
      </c>
      <c r="M33" s="256">
        <f t="shared" si="8"/>
        <v>0</v>
      </c>
      <c r="N33" s="256">
        <f t="shared" si="9"/>
        <v>0</v>
      </c>
      <c r="O33" s="256">
        <f t="shared" si="10"/>
        <v>93768.529977279337</v>
      </c>
      <c r="P33" s="256">
        <f t="shared" si="11"/>
        <v>0</v>
      </c>
      <c r="Q33" s="256" t="str">
        <f t="shared" si="12"/>
        <v>NA</v>
      </c>
      <c r="R33" s="671" t="str">
        <f t="shared" si="13"/>
        <v>NA</v>
      </c>
      <c r="S33" s="388">
        <f t="shared" si="14"/>
        <v>25155.569176992285</v>
      </c>
      <c r="T33" s="152"/>
      <c r="U33" s="389">
        <f>IF(SUM(E33:I33)&lt;&gt;SUM(M33:R33),"INPUT ERROR",IF(AND('Analysis Inputs'!$N$148=2,S33="INPUT ERROR"),"INPUT ERROR",S33-J33))</f>
        <v>0</v>
      </c>
      <c r="V33" s="174"/>
    </row>
    <row r="34" spans="2:22" x14ac:dyDescent="0.25">
      <c r="B34" s="169"/>
      <c r="C34" s="185">
        <v>19</v>
      </c>
      <c r="D34" s="263" t="str">
        <f t="shared" si="0"/>
        <v>Mixed Metals</v>
      </c>
      <c r="E34" s="256">
        <f t="shared" si="1"/>
        <v>0</v>
      </c>
      <c r="F34" s="256">
        <f t="shared" si="2"/>
        <v>31048.613761431894</v>
      </c>
      <c r="G34" s="256">
        <f t="shared" si="3"/>
        <v>0</v>
      </c>
      <c r="H34" s="256" t="str">
        <f t="shared" si="4"/>
        <v>NA</v>
      </c>
      <c r="I34" s="671" t="str">
        <f t="shared" si="5"/>
        <v>NA</v>
      </c>
      <c r="J34" s="388">
        <f t="shared" si="6"/>
        <v>8329.5061948253478</v>
      </c>
      <c r="K34" s="152"/>
      <c r="L34" s="264" t="str">
        <f t="shared" si="7"/>
        <v>Mixed Metals</v>
      </c>
      <c r="M34" s="256">
        <f t="shared" si="8"/>
        <v>0</v>
      </c>
      <c r="N34" s="256">
        <f t="shared" si="9"/>
        <v>0</v>
      </c>
      <c r="O34" s="256">
        <f t="shared" si="10"/>
        <v>31048.613761431894</v>
      </c>
      <c r="P34" s="256">
        <f t="shared" si="11"/>
        <v>0</v>
      </c>
      <c r="Q34" s="256" t="str">
        <f t="shared" si="12"/>
        <v>NA</v>
      </c>
      <c r="R34" s="671" t="str">
        <f t="shared" si="13"/>
        <v>NA</v>
      </c>
      <c r="S34" s="388">
        <f t="shared" si="14"/>
        <v>8329.5061948253478</v>
      </c>
      <c r="T34" s="152"/>
      <c r="U34" s="389">
        <f>IF(SUM(E34:I34)&lt;&gt;SUM(M34:R34),"INPUT ERROR",IF(AND('Analysis Inputs'!$N$148=2,S34="INPUT ERROR"),"INPUT ERROR",S34-J34))</f>
        <v>0</v>
      </c>
      <c r="V34" s="174"/>
    </row>
    <row r="35" spans="2:22" x14ac:dyDescent="0.25">
      <c r="B35" s="169"/>
      <c r="C35" s="185">
        <v>20</v>
      </c>
      <c r="D35" s="263" t="str">
        <f t="shared" si="0"/>
        <v>Mixed Plastics</v>
      </c>
      <c r="E35" s="256">
        <f t="shared" si="1"/>
        <v>0</v>
      </c>
      <c r="F35" s="256">
        <f t="shared" si="2"/>
        <v>65431.449481739066</v>
      </c>
      <c r="G35" s="256">
        <f t="shared" si="3"/>
        <v>0</v>
      </c>
      <c r="H35" s="256" t="str">
        <f t="shared" si="4"/>
        <v>NA</v>
      </c>
      <c r="I35" s="671" t="str">
        <f t="shared" si="5"/>
        <v>NA</v>
      </c>
      <c r="J35" s="388">
        <f t="shared" si="6"/>
        <v>17553.494271346583</v>
      </c>
      <c r="K35" s="228"/>
      <c r="L35" s="264" t="str">
        <f t="shared" si="7"/>
        <v>Mixed Plastics</v>
      </c>
      <c r="M35" s="256">
        <f t="shared" si="8"/>
        <v>0</v>
      </c>
      <c r="N35" s="256">
        <f t="shared" si="9"/>
        <v>0</v>
      </c>
      <c r="O35" s="256">
        <f t="shared" si="10"/>
        <v>65431.449481739066</v>
      </c>
      <c r="P35" s="256">
        <f t="shared" si="11"/>
        <v>0</v>
      </c>
      <c r="Q35" s="256" t="str">
        <f t="shared" si="12"/>
        <v>NA</v>
      </c>
      <c r="R35" s="671" t="str">
        <f t="shared" si="13"/>
        <v>NA</v>
      </c>
      <c r="S35" s="388">
        <f t="shared" si="14"/>
        <v>17553.494271346583</v>
      </c>
      <c r="T35" s="152"/>
      <c r="U35" s="389">
        <f>IF(SUM(E35:I35)&lt;&gt;SUM(M35:R35),"INPUT ERROR",IF(AND('Analysis Inputs'!$N$148=2,S35="INPUT ERROR"),"INPUT ERROR",S35-J35))</f>
        <v>0</v>
      </c>
      <c r="V35" s="174"/>
    </row>
    <row r="36" spans="2:22" x14ac:dyDescent="0.25">
      <c r="B36" s="169"/>
      <c r="C36" s="185">
        <v>21</v>
      </c>
      <c r="D36" s="263" t="str">
        <f t="shared" si="0"/>
        <v>Mixed MSW</v>
      </c>
      <c r="E36" s="256" t="str">
        <f t="shared" si="1"/>
        <v>NA</v>
      </c>
      <c r="F36" s="256">
        <f t="shared" si="2"/>
        <v>186408.24273021927</v>
      </c>
      <c r="G36" s="256">
        <f t="shared" si="3"/>
        <v>0</v>
      </c>
      <c r="H36" s="256" t="str">
        <f t="shared" si="4"/>
        <v>NA</v>
      </c>
      <c r="I36" s="671" t="str">
        <f t="shared" si="5"/>
        <v>NA</v>
      </c>
      <c r="J36" s="388">
        <f t="shared" si="6"/>
        <v>50008.307118580422</v>
      </c>
      <c r="K36" s="152"/>
      <c r="L36" s="264" t="str">
        <f t="shared" si="7"/>
        <v>Mixed MSW</v>
      </c>
      <c r="M36" s="256" t="str">
        <f t="shared" si="8"/>
        <v>NA</v>
      </c>
      <c r="N36" s="256" t="str">
        <f t="shared" si="9"/>
        <v>NA</v>
      </c>
      <c r="O36" s="256">
        <f t="shared" si="10"/>
        <v>186408.24273021927</v>
      </c>
      <c r="P36" s="256">
        <f t="shared" si="11"/>
        <v>0</v>
      </c>
      <c r="Q36" s="256" t="str">
        <f t="shared" si="12"/>
        <v>NA</v>
      </c>
      <c r="R36" s="671" t="str">
        <f t="shared" si="13"/>
        <v>NA</v>
      </c>
      <c r="S36" s="388">
        <f t="shared" si="14"/>
        <v>50008.307118580422</v>
      </c>
      <c r="T36" s="152"/>
      <c r="U36" s="389">
        <f>IF(SUM(E36:I36)&lt;&gt;SUM(M36:R36),"INPUT ERROR",IF(AND('Analysis Inputs'!$N$148=2,S36="INPUT ERROR"),"INPUT ERROR",S36-J36))</f>
        <v>0</v>
      </c>
      <c r="V36" s="174"/>
    </row>
    <row r="37" spans="2:22" x14ac:dyDescent="0.25">
      <c r="B37" s="169"/>
      <c r="C37" s="185">
        <v>22</v>
      </c>
      <c r="D37" s="263" t="str">
        <f t="shared" si="0"/>
        <v>Carpet</v>
      </c>
      <c r="E37" s="256">
        <f t="shared" si="1"/>
        <v>0</v>
      </c>
      <c r="F37" s="256">
        <f t="shared" si="2"/>
        <v>17777.945134258178</v>
      </c>
      <c r="G37" s="256">
        <f t="shared" si="3"/>
        <v>0</v>
      </c>
      <c r="H37" s="256" t="str">
        <f t="shared" si="4"/>
        <v>NA</v>
      </c>
      <c r="I37" s="671" t="str">
        <f t="shared" si="5"/>
        <v>NA</v>
      </c>
      <c r="J37" s="388">
        <f t="shared" si="6"/>
        <v>4769.3434967783714</v>
      </c>
      <c r="K37" s="152"/>
      <c r="L37" s="264" t="str">
        <f t="shared" si="7"/>
        <v>Carpet</v>
      </c>
      <c r="M37" s="256">
        <f t="shared" si="8"/>
        <v>0</v>
      </c>
      <c r="N37" s="256">
        <f t="shared" si="9"/>
        <v>0</v>
      </c>
      <c r="O37" s="256">
        <f t="shared" si="10"/>
        <v>17777.945134258178</v>
      </c>
      <c r="P37" s="256">
        <f t="shared" si="11"/>
        <v>0</v>
      </c>
      <c r="Q37" s="256" t="str">
        <f t="shared" si="12"/>
        <v>NA</v>
      </c>
      <c r="R37" s="671" t="str">
        <f t="shared" si="13"/>
        <v>NA</v>
      </c>
      <c r="S37" s="388">
        <f t="shared" si="14"/>
        <v>4769.3434967783714</v>
      </c>
      <c r="T37" s="152"/>
      <c r="U37" s="389">
        <f>IF(SUM(E37:I37)&lt;&gt;SUM(M37:R37),"INPUT ERROR",IF(AND('Analysis Inputs'!$N$148=2,S37="INPUT ERROR"),"INPUT ERROR",S37-J37))</f>
        <v>0</v>
      </c>
      <c r="V37" s="174"/>
    </row>
    <row r="38" spans="2:22" x14ac:dyDescent="0.25">
      <c r="B38" s="169"/>
      <c r="C38" s="185">
        <v>23</v>
      </c>
      <c r="D38" s="263" t="str">
        <f t="shared" si="0"/>
        <v>Personal Computers</v>
      </c>
      <c r="E38" s="256">
        <f t="shared" si="1"/>
        <v>0</v>
      </c>
      <c r="F38" s="256">
        <f t="shared" si="2"/>
        <v>3566.6261698317612</v>
      </c>
      <c r="G38" s="256">
        <f t="shared" si="3"/>
        <v>0</v>
      </c>
      <c r="H38" s="256" t="str">
        <f t="shared" si="4"/>
        <v>NA</v>
      </c>
      <c r="I38" s="671" t="str">
        <f t="shared" si="5"/>
        <v>NA</v>
      </c>
      <c r="J38" s="388">
        <f t="shared" si="6"/>
        <v>956.82966732456725</v>
      </c>
      <c r="K38" s="152"/>
      <c r="L38" s="264" t="str">
        <f t="shared" si="7"/>
        <v>Personal Computers</v>
      </c>
      <c r="M38" s="256">
        <f t="shared" si="8"/>
        <v>0</v>
      </c>
      <c r="N38" s="256">
        <f t="shared" si="9"/>
        <v>0</v>
      </c>
      <c r="O38" s="256">
        <f t="shared" si="10"/>
        <v>3566.6261698317612</v>
      </c>
      <c r="P38" s="256">
        <f t="shared" si="11"/>
        <v>0</v>
      </c>
      <c r="Q38" s="256" t="str">
        <f t="shared" si="12"/>
        <v>NA</v>
      </c>
      <c r="R38" s="671" t="str">
        <f t="shared" si="13"/>
        <v>NA</v>
      </c>
      <c r="S38" s="388">
        <f t="shared" si="14"/>
        <v>956.82966732456725</v>
      </c>
      <c r="T38" s="152"/>
      <c r="U38" s="389">
        <f>IF(SUM(E38:I38)&lt;&gt;SUM(M38:R38),"INPUT ERROR",IF(AND('Analysis Inputs'!$N$148=2,S38="INPUT ERROR"),"INPUT ERROR",S38-J38))</f>
        <v>0</v>
      </c>
      <c r="V38" s="174"/>
    </row>
    <row r="39" spans="2:22" x14ac:dyDescent="0.25">
      <c r="B39" s="169"/>
      <c r="C39" s="185">
        <v>24</v>
      </c>
      <c r="D39" s="263" t="str">
        <f t="shared" si="0"/>
        <v>Fly Ash</v>
      </c>
      <c r="E39" s="256">
        <f t="shared" si="1"/>
        <v>0</v>
      </c>
      <c r="F39" s="256">
        <f t="shared" si="2"/>
        <v>48.934699796860542</v>
      </c>
      <c r="G39" s="256" t="str">
        <f t="shared" si="3"/>
        <v>NA</v>
      </c>
      <c r="H39" s="256" t="str">
        <f t="shared" si="4"/>
        <v>NA</v>
      </c>
      <c r="I39" s="671" t="str">
        <f t="shared" si="5"/>
        <v>NA</v>
      </c>
      <c r="J39" s="388">
        <f t="shared" si="6"/>
        <v>13.127860980582177</v>
      </c>
      <c r="K39" s="152"/>
      <c r="L39" s="264" t="str">
        <f t="shared" si="7"/>
        <v>Fly Ash</v>
      </c>
      <c r="M39" s="256" t="str">
        <f t="shared" si="8"/>
        <v>NA</v>
      </c>
      <c r="N39" s="256">
        <f t="shared" si="9"/>
        <v>0</v>
      </c>
      <c r="O39" s="256">
        <f t="shared" si="10"/>
        <v>48.934699796860542</v>
      </c>
      <c r="P39" s="256" t="str">
        <f t="shared" si="11"/>
        <v>NA</v>
      </c>
      <c r="Q39" s="256" t="str">
        <f t="shared" si="12"/>
        <v>NA</v>
      </c>
      <c r="R39" s="671" t="str">
        <f t="shared" si="13"/>
        <v>NA</v>
      </c>
      <c r="S39" s="388">
        <f t="shared" si="14"/>
        <v>13.127860980582177</v>
      </c>
      <c r="T39" s="152"/>
      <c r="U39" s="389">
        <f>IF(SUM(E39:I39)&lt;&gt;SUM(M39:R39),"INPUT ERROR",IF(AND('Analysis Inputs'!$N$148=2,S39="INPUT ERROR"),"INPUT ERROR",S39-J39))</f>
        <v>0</v>
      </c>
      <c r="V39" s="174"/>
    </row>
    <row r="40" spans="2:22" x14ac:dyDescent="0.25">
      <c r="B40" s="169"/>
      <c r="C40" s="185">
        <v>25</v>
      </c>
      <c r="D40" s="263" t="str">
        <f t="shared" si="0"/>
        <v>Tires</v>
      </c>
      <c r="E40" s="256">
        <f t="shared" si="1"/>
        <v>0</v>
      </c>
      <c r="F40" s="256">
        <f t="shared" si="2"/>
        <v>667.21647161788258</v>
      </c>
      <c r="G40" s="256">
        <f t="shared" si="3"/>
        <v>0</v>
      </c>
      <c r="H40" s="256" t="str">
        <f t="shared" si="4"/>
        <v>NA</v>
      </c>
      <c r="I40" s="671" t="str">
        <f t="shared" si="5"/>
        <v>NA</v>
      </c>
      <c r="J40" s="388">
        <f t="shared" si="6"/>
        <v>178.9961953320508</v>
      </c>
      <c r="K40" s="152"/>
      <c r="L40" s="264" t="str">
        <f t="shared" si="7"/>
        <v>Tires</v>
      </c>
      <c r="M40" s="256">
        <f t="shared" si="8"/>
        <v>0</v>
      </c>
      <c r="N40" s="256">
        <f t="shared" si="9"/>
        <v>0</v>
      </c>
      <c r="O40" s="256">
        <f t="shared" si="10"/>
        <v>667.21647161788258</v>
      </c>
      <c r="P40" s="256">
        <f t="shared" si="11"/>
        <v>0</v>
      </c>
      <c r="Q40" s="256" t="str">
        <f t="shared" si="12"/>
        <v>NA</v>
      </c>
      <c r="R40" s="671" t="str">
        <f t="shared" si="13"/>
        <v>NA</v>
      </c>
      <c r="S40" s="388">
        <f t="shared" si="14"/>
        <v>178.9961953320508</v>
      </c>
      <c r="T40" s="152"/>
      <c r="U40" s="389">
        <f>IF(SUM(E40:I40)&lt;&gt;SUM(M40:R40),"INPUT ERROR",IF(AND('Analysis Inputs'!$N$148=2,S40="INPUT ERROR"),"INPUT ERROR",S40-J40))</f>
        <v>0</v>
      </c>
      <c r="V40" s="174"/>
    </row>
    <row r="41" spans="2:22" x14ac:dyDescent="0.25">
      <c r="B41" s="169"/>
      <c r="C41" s="185">
        <v>26</v>
      </c>
      <c r="D41" s="263" t="str">
        <f t="shared" si="0"/>
        <v>Asphalt Shingles</v>
      </c>
      <c r="E41" s="256">
        <f t="shared" si="1"/>
        <v>0</v>
      </c>
      <c r="F41" s="256">
        <f t="shared" si="2"/>
        <v>3002.42668852621</v>
      </c>
      <c r="G41" s="256">
        <f t="shared" si="3"/>
        <v>0</v>
      </c>
      <c r="H41" s="256" t="str">
        <f t="shared" si="4"/>
        <v>NA</v>
      </c>
      <c r="I41" s="671" t="str">
        <f t="shared" si="5"/>
        <v>NA</v>
      </c>
      <c r="J41" s="388">
        <f t="shared" si="6"/>
        <v>805.47015379647905</v>
      </c>
      <c r="K41" s="152"/>
      <c r="L41" s="264" t="str">
        <f t="shared" si="7"/>
        <v>Asphalt Shingles</v>
      </c>
      <c r="M41" s="256">
        <f t="shared" si="8"/>
        <v>0</v>
      </c>
      <c r="N41" s="256">
        <f t="shared" si="9"/>
        <v>0</v>
      </c>
      <c r="O41" s="256">
        <f t="shared" si="10"/>
        <v>3002.42668852621</v>
      </c>
      <c r="P41" s="256">
        <f t="shared" si="11"/>
        <v>0</v>
      </c>
      <c r="Q41" s="256" t="str">
        <f t="shared" si="12"/>
        <v>NA</v>
      </c>
      <c r="R41" s="671" t="str">
        <f t="shared" si="13"/>
        <v>NA</v>
      </c>
      <c r="S41" s="388">
        <f t="shared" si="14"/>
        <v>805.47015379647905</v>
      </c>
      <c r="T41" s="152"/>
      <c r="U41" s="389">
        <f>IF(SUM(E41:I41)&lt;&gt;SUM(M41:R41),"INPUT ERROR",IF(AND('Analysis Inputs'!$N$148=2,S41="INPUT ERROR"),"INPUT ERROR",S41-J41))</f>
        <v>0</v>
      </c>
      <c r="V41" s="174"/>
    </row>
    <row r="42" spans="2:22" x14ac:dyDescent="0.25">
      <c r="B42" s="169"/>
      <c r="C42" s="185">
        <v>27</v>
      </c>
      <c r="D42" s="263" t="str">
        <f t="shared" si="0"/>
        <v>Drywall</v>
      </c>
      <c r="E42" s="256">
        <f t="shared" si="1"/>
        <v>0</v>
      </c>
      <c r="F42" s="256">
        <f t="shared" si="2"/>
        <v>14797.404669376238</v>
      </c>
      <c r="G42" s="256" t="str">
        <f t="shared" si="3"/>
        <v>NA</v>
      </c>
      <c r="H42" s="256" t="str">
        <f t="shared" si="4"/>
        <v>NA</v>
      </c>
      <c r="I42" s="671" t="str">
        <f t="shared" si="5"/>
        <v>NA</v>
      </c>
      <c r="J42" s="388">
        <f t="shared" si="6"/>
        <v>3969.7448268692901</v>
      </c>
      <c r="K42" s="152"/>
      <c r="L42" s="264" t="str">
        <f t="shared" si="7"/>
        <v>Drywall</v>
      </c>
      <c r="M42" s="256">
        <f t="shared" si="8"/>
        <v>0</v>
      </c>
      <c r="N42" s="256">
        <f t="shared" si="9"/>
        <v>0</v>
      </c>
      <c r="O42" s="256">
        <f t="shared" si="10"/>
        <v>14797.404669376238</v>
      </c>
      <c r="P42" s="256" t="str">
        <f t="shared" si="11"/>
        <v>NA</v>
      </c>
      <c r="Q42" s="256" t="str">
        <f t="shared" si="12"/>
        <v>NA</v>
      </c>
      <c r="R42" s="671" t="str">
        <f t="shared" si="13"/>
        <v>NA</v>
      </c>
      <c r="S42" s="388">
        <f t="shared" si="14"/>
        <v>3969.7448268692901</v>
      </c>
      <c r="T42" s="152"/>
      <c r="U42" s="389">
        <f>IF(SUM(E42:I42)&lt;&gt;SUM(M42:R42),"INPUT ERROR",IF(AND('Analysis Inputs'!$N$148=2,S42="INPUT ERROR"),"INPUT ERROR",S42-J42))</f>
        <v>0</v>
      </c>
      <c r="V42" s="174"/>
    </row>
    <row r="43" spans="2:22" x14ac:dyDescent="0.25">
      <c r="B43" s="169"/>
      <c r="C43" s="185">
        <v>28</v>
      </c>
      <c r="D43" s="263" t="str">
        <f t="shared" si="0"/>
        <v/>
      </c>
      <c r="E43" s="256" t="str">
        <f t="shared" si="1"/>
        <v/>
      </c>
      <c r="F43" s="256" t="str">
        <f t="shared" si="2"/>
        <v/>
      </c>
      <c r="G43" s="256" t="str">
        <f t="shared" si="3"/>
        <v/>
      </c>
      <c r="H43" s="256" t="str">
        <f t="shared" si="4"/>
        <v/>
      </c>
      <c r="I43" s="671" t="str">
        <f t="shared" si="5"/>
        <v/>
      </c>
      <c r="J43" s="388" t="str">
        <f t="shared" si="6"/>
        <v>0</v>
      </c>
      <c r="K43" s="152"/>
      <c r="L43" s="264" t="str">
        <f t="shared" si="7"/>
        <v/>
      </c>
      <c r="M43" s="256" t="str">
        <f t="shared" si="8"/>
        <v/>
      </c>
      <c r="N43" s="256" t="str">
        <f t="shared" si="9"/>
        <v/>
      </c>
      <c r="O43" s="256" t="str">
        <f t="shared" si="10"/>
        <v/>
      </c>
      <c r="P43" s="256" t="str">
        <f t="shared" si="11"/>
        <v/>
      </c>
      <c r="Q43" s="256" t="str">
        <f t="shared" si="12"/>
        <v/>
      </c>
      <c r="R43" s="671" t="str">
        <f t="shared" si="13"/>
        <v/>
      </c>
      <c r="S43" s="388" t="str">
        <f t="shared" si="14"/>
        <v>0</v>
      </c>
      <c r="T43" s="152"/>
      <c r="U43" s="389">
        <f>IF(SUM(E43:I43)&lt;&gt;SUM(M43:R43),"INPUT ERROR",IF(AND('Analysis Inputs'!$N$148=2,S43="INPUT ERROR"),"INPUT ERROR",S43-J43))</f>
        <v>0</v>
      </c>
      <c r="V43" s="174"/>
    </row>
    <row r="44" spans="2:22" x14ac:dyDescent="0.25">
      <c r="B44" s="169"/>
      <c r="C44" s="185">
        <v>29</v>
      </c>
      <c r="D44" s="263" t="str">
        <f t="shared" si="0"/>
        <v/>
      </c>
      <c r="E44" s="256" t="str">
        <f t="shared" si="1"/>
        <v/>
      </c>
      <c r="F44" s="256" t="str">
        <f t="shared" si="2"/>
        <v/>
      </c>
      <c r="G44" s="256" t="str">
        <f t="shared" si="3"/>
        <v/>
      </c>
      <c r="H44" s="256" t="str">
        <f t="shared" si="4"/>
        <v/>
      </c>
      <c r="I44" s="671" t="str">
        <f t="shared" si="5"/>
        <v/>
      </c>
      <c r="J44" s="388" t="str">
        <f t="shared" si="6"/>
        <v>0</v>
      </c>
      <c r="K44" s="152"/>
      <c r="L44" s="264" t="str">
        <f t="shared" si="7"/>
        <v/>
      </c>
      <c r="M44" s="256" t="str">
        <f t="shared" si="8"/>
        <v/>
      </c>
      <c r="N44" s="256" t="str">
        <f t="shared" si="9"/>
        <v/>
      </c>
      <c r="O44" s="256" t="str">
        <f t="shared" si="10"/>
        <v/>
      </c>
      <c r="P44" s="256" t="str">
        <f t="shared" si="11"/>
        <v/>
      </c>
      <c r="Q44" s="256" t="str">
        <f t="shared" si="12"/>
        <v/>
      </c>
      <c r="R44" s="671" t="str">
        <f t="shared" si="13"/>
        <v/>
      </c>
      <c r="S44" s="388" t="str">
        <f t="shared" si="14"/>
        <v>0</v>
      </c>
      <c r="T44" s="152"/>
      <c r="U44" s="389">
        <f>IF(SUM(E44:I44)&lt;&gt;SUM(M44:R44),"INPUT ERROR",IF(AND('Analysis Inputs'!$N$148=2,S44="INPUT ERROR"),"INPUT ERROR",S44-J44))</f>
        <v>0</v>
      </c>
      <c r="V44" s="174"/>
    </row>
    <row r="45" spans="2:22" x14ac:dyDescent="0.25">
      <c r="B45" s="169"/>
      <c r="C45" s="185">
        <v>30</v>
      </c>
      <c r="D45" s="263" t="str">
        <f t="shared" si="0"/>
        <v/>
      </c>
      <c r="E45" s="256" t="str">
        <f t="shared" si="1"/>
        <v/>
      </c>
      <c r="F45" s="256" t="str">
        <f t="shared" si="2"/>
        <v/>
      </c>
      <c r="G45" s="256" t="str">
        <f t="shared" si="3"/>
        <v/>
      </c>
      <c r="H45" s="256" t="str">
        <f t="shared" si="4"/>
        <v/>
      </c>
      <c r="I45" s="671" t="str">
        <f t="shared" si="5"/>
        <v/>
      </c>
      <c r="J45" s="388" t="str">
        <f t="shared" si="6"/>
        <v>0</v>
      </c>
      <c r="K45" s="152"/>
      <c r="L45" s="264" t="str">
        <f t="shared" si="7"/>
        <v/>
      </c>
      <c r="M45" s="256" t="str">
        <f t="shared" si="8"/>
        <v/>
      </c>
      <c r="N45" s="256" t="str">
        <f t="shared" si="9"/>
        <v/>
      </c>
      <c r="O45" s="256" t="str">
        <f t="shared" si="10"/>
        <v/>
      </c>
      <c r="P45" s="256" t="str">
        <f t="shared" si="11"/>
        <v/>
      </c>
      <c r="Q45" s="256" t="str">
        <f t="shared" si="12"/>
        <v/>
      </c>
      <c r="R45" s="671" t="str">
        <f t="shared" si="13"/>
        <v/>
      </c>
      <c r="S45" s="388" t="str">
        <f t="shared" si="14"/>
        <v>0</v>
      </c>
      <c r="T45" s="152"/>
      <c r="U45" s="389">
        <f>IF(SUM(E45:I45)&lt;&gt;SUM(M45:R45),"INPUT ERROR",IF(AND('Analysis Inputs'!$N$148=2,S45="INPUT ERROR"),"INPUT ERROR",S45-J45))</f>
        <v>0</v>
      </c>
      <c r="V45" s="174"/>
    </row>
    <row r="46" spans="2:22" x14ac:dyDescent="0.25">
      <c r="B46" s="169"/>
      <c r="C46" s="185">
        <v>31</v>
      </c>
      <c r="D46" s="263" t="str">
        <f t="shared" si="0"/>
        <v/>
      </c>
      <c r="E46" s="256" t="str">
        <f t="shared" si="1"/>
        <v/>
      </c>
      <c r="F46" s="256" t="str">
        <f t="shared" si="2"/>
        <v/>
      </c>
      <c r="G46" s="256" t="str">
        <f t="shared" si="3"/>
        <v/>
      </c>
      <c r="H46" s="256" t="str">
        <f t="shared" si="4"/>
        <v/>
      </c>
      <c r="I46" s="671" t="str">
        <f t="shared" si="5"/>
        <v/>
      </c>
      <c r="J46" s="388" t="str">
        <f t="shared" si="6"/>
        <v>0</v>
      </c>
      <c r="K46" s="152"/>
      <c r="L46" s="264" t="str">
        <f t="shared" si="7"/>
        <v/>
      </c>
      <c r="M46" s="256" t="str">
        <f t="shared" si="8"/>
        <v/>
      </c>
      <c r="N46" s="256" t="str">
        <f t="shared" si="9"/>
        <v/>
      </c>
      <c r="O46" s="256" t="str">
        <f t="shared" si="10"/>
        <v/>
      </c>
      <c r="P46" s="256" t="str">
        <f t="shared" si="11"/>
        <v/>
      </c>
      <c r="Q46" s="256" t="str">
        <f t="shared" si="12"/>
        <v/>
      </c>
      <c r="R46" s="671" t="str">
        <f t="shared" si="13"/>
        <v/>
      </c>
      <c r="S46" s="388" t="str">
        <f t="shared" si="14"/>
        <v>0</v>
      </c>
      <c r="T46" s="152"/>
      <c r="U46" s="389">
        <f>IF(SUM(E46:I46)&lt;&gt;SUM(M46:R46),"INPUT ERROR",IF(AND('Analysis Inputs'!$N$148=2,S46="INPUT ERROR"),"INPUT ERROR",S46-J46))</f>
        <v>0</v>
      </c>
      <c r="V46" s="174"/>
    </row>
    <row r="47" spans="2:22" x14ac:dyDescent="0.25">
      <c r="B47" s="169"/>
      <c r="C47" s="185">
        <v>32</v>
      </c>
      <c r="D47" s="263" t="str">
        <f t="shared" si="0"/>
        <v/>
      </c>
      <c r="E47" s="256" t="str">
        <f t="shared" si="1"/>
        <v/>
      </c>
      <c r="F47" s="256" t="str">
        <f t="shared" si="2"/>
        <v/>
      </c>
      <c r="G47" s="256" t="str">
        <f t="shared" si="3"/>
        <v/>
      </c>
      <c r="H47" s="256" t="str">
        <f t="shared" si="4"/>
        <v/>
      </c>
      <c r="I47" s="671" t="str">
        <f t="shared" si="5"/>
        <v/>
      </c>
      <c r="J47" s="388" t="str">
        <f t="shared" si="6"/>
        <v>0</v>
      </c>
      <c r="K47" s="152"/>
      <c r="L47" s="264" t="str">
        <f t="shared" si="7"/>
        <v/>
      </c>
      <c r="M47" s="256" t="str">
        <f t="shared" si="8"/>
        <v/>
      </c>
      <c r="N47" s="256" t="str">
        <f t="shared" si="9"/>
        <v/>
      </c>
      <c r="O47" s="256" t="str">
        <f t="shared" si="10"/>
        <v/>
      </c>
      <c r="P47" s="256" t="str">
        <f t="shared" si="11"/>
        <v/>
      </c>
      <c r="Q47" s="256" t="str">
        <f t="shared" si="12"/>
        <v/>
      </c>
      <c r="R47" s="671" t="str">
        <f t="shared" si="13"/>
        <v/>
      </c>
      <c r="S47" s="388" t="str">
        <f t="shared" si="14"/>
        <v>0</v>
      </c>
      <c r="T47" s="152"/>
      <c r="U47" s="389">
        <f>IF(SUM(E47:I47)&lt;&gt;SUM(M47:R47),"INPUT ERROR",IF(AND('Analysis Inputs'!$N$148=2,S47="INPUT ERROR"),"INPUT ERROR",S47-J47))</f>
        <v>0</v>
      </c>
      <c r="V47" s="174"/>
    </row>
    <row r="48" spans="2:22" x14ac:dyDescent="0.25">
      <c r="B48" s="169"/>
      <c r="C48" s="185">
        <v>33</v>
      </c>
      <c r="D48" s="263" t="str">
        <f t="shared" si="0"/>
        <v/>
      </c>
      <c r="E48" s="256" t="str">
        <f t="shared" si="1"/>
        <v/>
      </c>
      <c r="F48" s="256" t="str">
        <f t="shared" si="2"/>
        <v/>
      </c>
      <c r="G48" s="256" t="str">
        <f t="shared" si="3"/>
        <v/>
      </c>
      <c r="H48" s="256" t="str">
        <f t="shared" si="4"/>
        <v/>
      </c>
      <c r="I48" s="671" t="str">
        <f t="shared" ref="I48:I69" si="15">IF(ISERROR(VLOOKUP($C48,EnergyUse_Baseline,12,FALSE)),"",VLOOKUP($C48,EnergyUse_Baseline,12,FALSE))</f>
        <v/>
      </c>
      <c r="J48" s="388" t="str">
        <f t="shared" ref="J48:J69" si="16">IF(ISERROR(VLOOKUP($C48,EnergyUse_Baseline,14,FALSE)),"0",VLOOKUP($C48,EnergyUse_Baseline,14,FALSE))</f>
        <v>0</v>
      </c>
      <c r="K48" s="152"/>
      <c r="L48" s="264" t="str">
        <f t="shared" ref="L48:L69" si="17">IF(ISERROR(VLOOKUP($C106,EnergyUse_Alternative,2,FALSE)),"",VLOOKUP($C106,EnergyUse_Alternative,2,FALSE))</f>
        <v/>
      </c>
      <c r="M48" s="256" t="str">
        <f t="shared" ref="M48:M69" si="18">IF(ISERROR(VLOOKUP($C106,EnergyUse_Alternative,4,FALSE)),"",VLOOKUP($C106,EnergyUse_Alternative,4,FALSE))</f>
        <v/>
      </c>
      <c r="N48" s="256" t="str">
        <f t="shared" ref="N48:N69" si="19">IF(ISERROR(VLOOKUP($C106,EnergyUse_Alternative,6,FALSE)),"",VLOOKUP($C106,EnergyUse_Alternative,6,FALSE))</f>
        <v/>
      </c>
      <c r="O48" s="256" t="str">
        <f t="shared" ref="O48:O69" si="20">IF(ISERROR(VLOOKUP($C106,EnergyUse_Alternative,8,FALSE)),"",VLOOKUP($C106,EnergyUse_Alternative,8,FALSE))</f>
        <v/>
      </c>
      <c r="P48" s="256" t="str">
        <f t="shared" ref="P48:P69" si="21">IF(ISERROR(VLOOKUP($C106,EnergyUse_Alternative,10,FALSE)),"",VLOOKUP($C106,EnergyUse_Alternative,10,FALSE))</f>
        <v/>
      </c>
      <c r="Q48" s="256" t="str">
        <f t="shared" ref="Q48:Q69" si="22">IF(ISERROR(VLOOKUP($C106,EnergyUse_Alternative,12,FALSE)),"",VLOOKUP($C106,EnergyUse_Alternative,12,FALSE))</f>
        <v/>
      </c>
      <c r="R48" s="671" t="str">
        <f t="shared" ref="R48:R69" si="23">IF(ISERROR(VLOOKUP($C106,EnergyUse_Alternative,14,FALSE)),"",VLOOKUP($C106,EnergyUse_Alternative,14,FALSE))</f>
        <v/>
      </c>
      <c r="S48" s="388" t="str">
        <f t="shared" ref="S48:S69" si="24">IF(ISERROR(VLOOKUP($C106,EnergyUse_Alternative,16,FALSE)),"0",VLOOKUP($C106,EnergyUse_Alternative,16,FALSE))</f>
        <v>0</v>
      </c>
      <c r="T48" s="152"/>
      <c r="U48" s="389">
        <f>IF(SUM(E48:I48)&lt;&gt;SUM(M48:R48),"INPUT ERROR",IF(AND('Analysis Inputs'!$N$148=2,S48="INPUT ERROR"),"INPUT ERROR",S48-J48))</f>
        <v>0</v>
      </c>
      <c r="V48" s="174"/>
    </row>
    <row r="49" spans="2:22" x14ac:dyDescent="0.25">
      <c r="B49" s="169"/>
      <c r="C49" s="185">
        <v>34</v>
      </c>
      <c r="D49" s="352" t="str">
        <f t="shared" si="0"/>
        <v/>
      </c>
      <c r="E49" s="256" t="str">
        <f t="shared" si="1"/>
        <v/>
      </c>
      <c r="F49" s="256" t="str">
        <f t="shared" si="2"/>
        <v/>
      </c>
      <c r="G49" s="256" t="str">
        <f t="shared" si="3"/>
        <v/>
      </c>
      <c r="H49" s="256" t="str">
        <f t="shared" si="4"/>
        <v/>
      </c>
      <c r="I49" s="671" t="str">
        <f t="shared" si="15"/>
        <v/>
      </c>
      <c r="J49" s="388" t="str">
        <f t="shared" si="16"/>
        <v>0</v>
      </c>
      <c r="K49" s="152"/>
      <c r="L49" s="353" t="str">
        <f t="shared" si="17"/>
        <v/>
      </c>
      <c r="M49" s="354" t="str">
        <f t="shared" si="18"/>
        <v/>
      </c>
      <c r="N49" s="354" t="str">
        <f t="shared" si="19"/>
        <v/>
      </c>
      <c r="O49" s="354" t="str">
        <f t="shared" si="20"/>
        <v/>
      </c>
      <c r="P49" s="354" t="str">
        <f t="shared" si="21"/>
        <v/>
      </c>
      <c r="Q49" s="354" t="str">
        <f t="shared" si="22"/>
        <v/>
      </c>
      <c r="R49" s="671" t="str">
        <f t="shared" si="23"/>
        <v/>
      </c>
      <c r="S49" s="388" t="str">
        <f t="shared" si="24"/>
        <v>0</v>
      </c>
      <c r="T49" s="152"/>
      <c r="U49" s="389">
        <f>IF(SUM(E49:I49)&lt;&gt;SUM(M49:R49),"INPUT ERROR",IF(AND('Analysis Inputs'!$N$148=2,S49="INPUT ERROR"),"INPUT ERROR",S49-J49))</f>
        <v>0</v>
      </c>
      <c r="V49" s="174"/>
    </row>
    <row r="50" spans="2:22" x14ac:dyDescent="0.25">
      <c r="B50" s="169"/>
      <c r="C50" s="185">
        <v>35</v>
      </c>
      <c r="D50" s="352" t="str">
        <f t="shared" si="0"/>
        <v/>
      </c>
      <c r="E50" s="256" t="str">
        <f t="shared" si="1"/>
        <v/>
      </c>
      <c r="F50" s="256" t="str">
        <f t="shared" si="2"/>
        <v/>
      </c>
      <c r="G50" s="256" t="str">
        <f t="shared" si="3"/>
        <v/>
      </c>
      <c r="H50" s="256" t="str">
        <f t="shared" si="4"/>
        <v/>
      </c>
      <c r="I50" s="671" t="str">
        <f t="shared" si="15"/>
        <v/>
      </c>
      <c r="J50" s="388" t="str">
        <f t="shared" si="16"/>
        <v>0</v>
      </c>
      <c r="K50" s="152"/>
      <c r="L50" s="353" t="str">
        <f t="shared" si="17"/>
        <v/>
      </c>
      <c r="M50" s="354" t="str">
        <f t="shared" si="18"/>
        <v/>
      </c>
      <c r="N50" s="354" t="str">
        <f t="shared" si="19"/>
        <v/>
      </c>
      <c r="O50" s="354" t="str">
        <f t="shared" si="20"/>
        <v/>
      </c>
      <c r="P50" s="354" t="str">
        <f t="shared" si="21"/>
        <v/>
      </c>
      <c r="Q50" s="354" t="str">
        <f t="shared" si="22"/>
        <v/>
      </c>
      <c r="R50" s="671" t="str">
        <f t="shared" si="23"/>
        <v/>
      </c>
      <c r="S50" s="388" t="str">
        <f t="shared" si="24"/>
        <v>0</v>
      </c>
      <c r="T50" s="152"/>
      <c r="U50" s="389">
        <f>IF(SUM(E50:I50)&lt;&gt;SUM(M50:R50),"INPUT ERROR",IF(AND('Analysis Inputs'!$N$148=2,S50="INPUT ERROR"),"INPUT ERROR",S50-J50))</f>
        <v>0</v>
      </c>
      <c r="V50" s="174"/>
    </row>
    <row r="51" spans="2:22" x14ac:dyDescent="0.25">
      <c r="B51" s="169"/>
      <c r="C51" s="185">
        <v>36</v>
      </c>
      <c r="D51" s="352" t="str">
        <f t="shared" si="0"/>
        <v/>
      </c>
      <c r="E51" s="256" t="str">
        <f t="shared" si="1"/>
        <v/>
      </c>
      <c r="F51" s="256" t="str">
        <f t="shared" si="2"/>
        <v/>
      </c>
      <c r="G51" s="256" t="str">
        <f t="shared" si="3"/>
        <v/>
      </c>
      <c r="H51" s="256" t="str">
        <f t="shared" si="4"/>
        <v/>
      </c>
      <c r="I51" s="671" t="str">
        <f t="shared" si="15"/>
        <v/>
      </c>
      <c r="J51" s="388" t="str">
        <f t="shared" si="16"/>
        <v>0</v>
      </c>
      <c r="K51" s="152"/>
      <c r="L51" s="353" t="str">
        <f t="shared" si="17"/>
        <v/>
      </c>
      <c r="M51" s="354" t="str">
        <f t="shared" si="18"/>
        <v/>
      </c>
      <c r="N51" s="354" t="str">
        <f t="shared" si="19"/>
        <v/>
      </c>
      <c r="O51" s="354" t="str">
        <f t="shared" si="20"/>
        <v/>
      </c>
      <c r="P51" s="354" t="str">
        <f t="shared" si="21"/>
        <v/>
      </c>
      <c r="Q51" s="354" t="str">
        <f t="shared" si="22"/>
        <v/>
      </c>
      <c r="R51" s="671" t="str">
        <f t="shared" si="23"/>
        <v/>
      </c>
      <c r="S51" s="388" t="str">
        <f t="shared" si="24"/>
        <v>0</v>
      </c>
      <c r="T51" s="152"/>
      <c r="U51" s="389">
        <f>IF(SUM(E51:I51)&lt;&gt;SUM(M51:R51),"INPUT ERROR",IF(AND('Analysis Inputs'!$N$148=2,S51="INPUT ERROR"),"INPUT ERROR",S51-J51))</f>
        <v>0</v>
      </c>
      <c r="V51" s="174"/>
    </row>
    <row r="52" spans="2:22" x14ac:dyDescent="0.25">
      <c r="B52" s="169"/>
      <c r="C52" s="185">
        <v>37</v>
      </c>
      <c r="D52" s="352" t="str">
        <f t="shared" si="0"/>
        <v/>
      </c>
      <c r="E52" s="256" t="str">
        <f t="shared" si="1"/>
        <v/>
      </c>
      <c r="F52" s="256" t="str">
        <f t="shared" si="2"/>
        <v/>
      </c>
      <c r="G52" s="256" t="str">
        <f t="shared" si="3"/>
        <v/>
      </c>
      <c r="H52" s="256" t="str">
        <f t="shared" si="4"/>
        <v/>
      </c>
      <c r="I52" s="671" t="str">
        <f t="shared" si="15"/>
        <v/>
      </c>
      <c r="J52" s="388" t="str">
        <f t="shared" si="16"/>
        <v>0</v>
      </c>
      <c r="K52" s="152"/>
      <c r="L52" s="353" t="str">
        <f t="shared" si="17"/>
        <v/>
      </c>
      <c r="M52" s="354" t="str">
        <f t="shared" si="18"/>
        <v/>
      </c>
      <c r="N52" s="354" t="str">
        <f t="shared" si="19"/>
        <v/>
      </c>
      <c r="O52" s="354" t="str">
        <f t="shared" si="20"/>
        <v/>
      </c>
      <c r="P52" s="354" t="str">
        <f t="shared" si="21"/>
        <v/>
      </c>
      <c r="Q52" s="354" t="str">
        <f t="shared" si="22"/>
        <v/>
      </c>
      <c r="R52" s="671" t="str">
        <f t="shared" si="23"/>
        <v/>
      </c>
      <c r="S52" s="388" t="str">
        <f t="shared" si="24"/>
        <v>0</v>
      </c>
      <c r="T52" s="152"/>
      <c r="U52" s="389">
        <f>IF(SUM(E52:I52)&lt;&gt;SUM(M52:R52),"INPUT ERROR",IF(AND('Analysis Inputs'!$N$148=2,S52="INPUT ERROR"),"INPUT ERROR",S52-J52))</f>
        <v>0</v>
      </c>
      <c r="V52" s="174"/>
    </row>
    <row r="53" spans="2:22" x14ac:dyDescent="0.25">
      <c r="B53" s="169"/>
      <c r="C53" s="185">
        <v>38</v>
      </c>
      <c r="D53" s="352" t="str">
        <f t="shared" si="0"/>
        <v/>
      </c>
      <c r="E53" s="256" t="str">
        <f t="shared" si="1"/>
        <v/>
      </c>
      <c r="F53" s="256" t="str">
        <f t="shared" si="2"/>
        <v/>
      </c>
      <c r="G53" s="256" t="str">
        <f t="shared" si="3"/>
        <v/>
      </c>
      <c r="H53" s="256" t="str">
        <f t="shared" si="4"/>
        <v/>
      </c>
      <c r="I53" s="671" t="str">
        <f t="shared" si="15"/>
        <v/>
      </c>
      <c r="J53" s="388" t="str">
        <f t="shared" si="16"/>
        <v>0</v>
      </c>
      <c r="K53" s="152"/>
      <c r="L53" s="353" t="str">
        <f t="shared" si="17"/>
        <v/>
      </c>
      <c r="M53" s="354" t="str">
        <f t="shared" si="18"/>
        <v/>
      </c>
      <c r="N53" s="354" t="str">
        <f t="shared" si="19"/>
        <v/>
      </c>
      <c r="O53" s="354" t="str">
        <f t="shared" si="20"/>
        <v/>
      </c>
      <c r="P53" s="354" t="str">
        <f t="shared" si="21"/>
        <v/>
      </c>
      <c r="Q53" s="354" t="str">
        <f t="shared" si="22"/>
        <v/>
      </c>
      <c r="R53" s="671" t="str">
        <f t="shared" si="23"/>
        <v/>
      </c>
      <c r="S53" s="388" t="str">
        <f t="shared" si="24"/>
        <v>0</v>
      </c>
      <c r="T53" s="152"/>
      <c r="U53" s="389">
        <f>IF(SUM(E53:I53)&lt;&gt;SUM(M53:R53),"INPUT ERROR",IF(AND('Analysis Inputs'!$N$148=2,S53="INPUT ERROR"),"INPUT ERROR",S53-J53))</f>
        <v>0</v>
      </c>
      <c r="V53" s="174"/>
    </row>
    <row r="54" spans="2:22" x14ac:dyDescent="0.25">
      <c r="B54" s="169"/>
      <c r="C54" s="185">
        <v>39</v>
      </c>
      <c r="D54" s="352" t="str">
        <f t="shared" si="0"/>
        <v/>
      </c>
      <c r="E54" s="256" t="str">
        <f t="shared" si="1"/>
        <v/>
      </c>
      <c r="F54" s="256" t="str">
        <f t="shared" si="2"/>
        <v/>
      </c>
      <c r="G54" s="256" t="str">
        <f t="shared" si="3"/>
        <v/>
      </c>
      <c r="H54" s="256" t="str">
        <f t="shared" si="4"/>
        <v/>
      </c>
      <c r="I54" s="671" t="str">
        <f t="shared" si="15"/>
        <v/>
      </c>
      <c r="J54" s="388" t="str">
        <f t="shared" si="16"/>
        <v>0</v>
      </c>
      <c r="K54" s="152"/>
      <c r="L54" s="353" t="str">
        <f t="shared" si="17"/>
        <v/>
      </c>
      <c r="M54" s="354" t="str">
        <f t="shared" si="18"/>
        <v/>
      </c>
      <c r="N54" s="354" t="str">
        <f t="shared" si="19"/>
        <v/>
      </c>
      <c r="O54" s="354" t="str">
        <f t="shared" si="20"/>
        <v/>
      </c>
      <c r="P54" s="354" t="str">
        <f t="shared" si="21"/>
        <v/>
      </c>
      <c r="Q54" s="354" t="str">
        <f t="shared" si="22"/>
        <v/>
      </c>
      <c r="R54" s="671" t="str">
        <f t="shared" si="23"/>
        <v/>
      </c>
      <c r="S54" s="388" t="str">
        <f t="shared" si="24"/>
        <v>0</v>
      </c>
      <c r="T54" s="152"/>
      <c r="U54" s="389">
        <f>IF(SUM(E54:I54)&lt;&gt;SUM(M54:R54),"INPUT ERROR",IF(AND('Analysis Inputs'!$N$148=2,S54="INPUT ERROR"),"INPUT ERROR",S54-J54))</f>
        <v>0</v>
      </c>
      <c r="V54" s="174"/>
    </row>
    <row r="55" spans="2:22" x14ac:dyDescent="0.25">
      <c r="B55" s="169"/>
      <c r="C55" s="185">
        <v>40</v>
      </c>
      <c r="D55" s="352" t="str">
        <f t="shared" si="0"/>
        <v/>
      </c>
      <c r="E55" s="256" t="str">
        <f t="shared" si="1"/>
        <v/>
      </c>
      <c r="F55" s="256" t="str">
        <f t="shared" si="2"/>
        <v/>
      </c>
      <c r="G55" s="256" t="str">
        <f t="shared" si="3"/>
        <v/>
      </c>
      <c r="H55" s="256" t="str">
        <f t="shared" si="4"/>
        <v/>
      </c>
      <c r="I55" s="671" t="str">
        <f t="shared" si="15"/>
        <v/>
      </c>
      <c r="J55" s="388" t="str">
        <f t="shared" si="16"/>
        <v>0</v>
      </c>
      <c r="K55" s="152"/>
      <c r="L55" s="353" t="str">
        <f t="shared" si="17"/>
        <v/>
      </c>
      <c r="M55" s="354" t="str">
        <f t="shared" si="18"/>
        <v/>
      </c>
      <c r="N55" s="354" t="str">
        <f t="shared" si="19"/>
        <v/>
      </c>
      <c r="O55" s="354" t="str">
        <f t="shared" si="20"/>
        <v/>
      </c>
      <c r="P55" s="354" t="str">
        <f t="shared" si="21"/>
        <v/>
      </c>
      <c r="Q55" s="354" t="str">
        <f t="shared" si="22"/>
        <v/>
      </c>
      <c r="R55" s="671" t="str">
        <f t="shared" si="23"/>
        <v/>
      </c>
      <c r="S55" s="388" t="str">
        <f t="shared" si="24"/>
        <v>0</v>
      </c>
      <c r="T55" s="152"/>
      <c r="U55" s="389">
        <f>IF(SUM(E55:I55)&lt;&gt;SUM(M55:R55),"INPUT ERROR",IF(AND('Analysis Inputs'!$N$148=2,S55="INPUT ERROR"),"INPUT ERROR",S55-J55))</f>
        <v>0</v>
      </c>
      <c r="V55" s="174"/>
    </row>
    <row r="56" spans="2:22" x14ac:dyDescent="0.25">
      <c r="B56" s="169"/>
      <c r="C56" s="185">
        <v>41</v>
      </c>
      <c r="D56" s="352" t="str">
        <f t="shared" si="0"/>
        <v/>
      </c>
      <c r="E56" s="256" t="str">
        <f t="shared" si="1"/>
        <v/>
      </c>
      <c r="F56" s="256" t="str">
        <f t="shared" si="2"/>
        <v/>
      </c>
      <c r="G56" s="256" t="str">
        <f t="shared" si="3"/>
        <v/>
      </c>
      <c r="H56" s="256" t="str">
        <f t="shared" si="4"/>
        <v/>
      </c>
      <c r="I56" s="671" t="str">
        <f t="shared" si="15"/>
        <v/>
      </c>
      <c r="J56" s="388" t="str">
        <f t="shared" si="16"/>
        <v>0</v>
      </c>
      <c r="K56" s="152"/>
      <c r="L56" s="353" t="str">
        <f t="shared" si="17"/>
        <v/>
      </c>
      <c r="M56" s="354" t="str">
        <f t="shared" si="18"/>
        <v/>
      </c>
      <c r="N56" s="354" t="str">
        <f t="shared" si="19"/>
        <v/>
      </c>
      <c r="O56" s="354" t="str">
        <f t="shared" si="20"/>
        <v/>
      </c>
      <c r="P56" s="354" t="str">
        <f t="shared" si="21"/>
        <v/>
      </c>
      <c r="Q56" s="354" t="str">
        <f t="shared" si="22"/>
        <v/>
      </c>
      <c r="R56" s="671" t="str">
        <f t="shared" si="23"/>
        <v/>
      </c>
      <c r="S56" s="388" t="str">
        <f t="shared" si="24"/>
        <v>0</v>
      </c>
      <c r="T56" s="152"/>
      <c r="U56" s="389">
        <f>IF(SUM(E56:I56)&lt;&gt;SUM(M56:R56),"INPUT ERROR",IF(AND('Analysis Inputs'!$N$148=2,S56="INPUT ERROR"),"INPUT ERROR",S56-J56))</f>
        <v>0</v>
      </c>
      <c r="V56" s="174"/>
    </row>
    <row r="57" spans="2:22" x14ac:dyDescent="0.25">
      <c r="B57" s="169"/>
      <c r="C57" s="185">
        <v>42</v>
      </c>
      <c r="D57" s="352" t="str">
        <f t="shared" si="0"/>
        <v/>
      </c>
      <c r="E57" s="256" t="str">
        <f t="shared" si="1"/>
        <v/>
      </c>
      <c r="F57" s="256" t="str">
        <f t="shared" si="2"/>
        <v/>
      </c>
      <c r="G57" s="256" t="str">
        <f t="shared" si="3"/>
        <v/>
      </c>
      <c r="H57" s="256" t="str">
        <f t="shared" si="4"/>
        <v/>
      </c>
      <c r="I57" s="671" t="str">
        <f t="shared" si="15"/>
        <v/>
      </c>
      <c r="J57" s="388" t="str">
        <f t="shared" si="16"/>
        <v>0</v>
      </c>
      <c r="K57" s="152"/>
      <c r="L57" s="353" t="str">
        <f t="shared" si="17"/>
        <v/>
      </c>
      <c r="M57" s="354" t="str">
        <f t="shared" si="18"/>
        <v/>
      </c>
      <c r="N57" s="354" t="str">
        <f t="shared" si="19"/>
        <v/>
      </c>
      <c r="O57" s="354" t="str">
        <f t="shared" si="20"/>
        <v/>
      </c>
      <c r="P57" s="354" t="str">
        <f t="shared" si="21"/>
        <v/>
      </c>
      <c r="Q57" s="354" t="str">
        <f t="shared" si="22"/>
        <v/>
      </c>
      <c r="R57" s="671" t="str">
        <f t="shared" si="23"/>
        <v/>
      </c>
      <c r="S57" s="388" t="str">
        <f t="shared" si="24"/>
        <v>0</v>
      </c>
      <c r="T57" s="152"/>
      <c r="U57" s="389">
        <f>IF(SUM(E57:I57)&lt;&gt;SUM(M57:R57),"INPUT ERROR",IF(AND('Analysis Inputs'!$N$148=2,S57="INPUT ERROR"),"INPUT ERROR",S57-J57))</f>
        <v>0</v>
      </c>
      <c r="V57" s="174"/>
    </row>
    <row r="58" spans="2:22" x14ac:dyDescent="0.25">
      <c r="B58" s="169"/>
      <c r="C58" s="185">
        <v>43</v>
      </c>
      <c r="D58" s="352" t="str">
        <f t="shared" si="0"/>
        <v/>
      </c>
      <c r="E58" s="256" t="str">
        <f t="shared" si="1"/>
        <v/>
      </c>
      <c r="F58" s="256" t="str">
        <f t="shared" si="2"/>
        <v/>
      </c>
      <c r="G58" s="256" t="str">
        <f t="shared" si="3"/>
        <v/>
      </c>
      <c r="H58" s="256" t="str">
        <f t="shared" si="4"/>
        <v/>
      </c>
      <c r="I58" s="671" t="str">
        <f t="shared" si="15"/>
        <v/>
      </c>
      <c r="J58" s="388" t="str">
        <f t="shared" si="16"/>
        <v>0</v>
      </c>
      <c r="K58" s="152"/>
      <c r="L58" s="353" t="str">
        <f t="shared" si="17"/>
        <v/>
      </c>
      <c r="M58" s="354" t="str">
        <f t="shared" si="18"/>
        <v/>
      </c>
      <c r="N58" s="354" t="str">
        <f t="shared" si="19"/>
        <v/>
      </c>
      <c r="O58" s="354" t="str">
        <f t="shared" si="20"/>
        <v/>
      </c>
      <c r="P58" s="354" t="str">
        <f t="shared" si="21"/>
        <v/>
      </c>
      <c r="Q58" s="354" t="str">
        <f t="shared" si="22"/>
        <v/>
      </c>
      <c r="R58" s="671" t="str">
        <f t="shared" si="23"/>
        <v/>
      </c>
      <c r="S58" s="388" t="str">
        <f t="shared" si="24"/>
        <v>0</v>
      </c>
      <c r="T58" s="152"/>
      <c r="U58" s="389">
        <f>IF(SUM(E58:I58)&lt;&gt;SUM(M58:R58),"INPUT ERROR",IF(AND('Analysis Inputs'!$N$148=2,S58="INPUT ERROR"),"INPUT ERROR",S58-J58))</f>
        <v>0</v>
      </c>
      <c r="V58" s="174"/>
    </row>
    <row r="59" spans="2:22" x14ac:dyDescent="0.25">
      <c r="B59" s="169"/>
      <c r="C59" s="185">
        <v>44</v>
      </c>
      <c r="D59" s="352" t="str">
        <f t="shared" si="0"/>
        <v/>
      </c>
      <c r="E59" s="256" t="str">
        <f t="shared" si="1"/>
        <v/>
      </c>
      <c r="F59" s="256" t="str">
        <f t="shared" si="2"/>
        <v/>
      </c>
      <c r="G59" s="256" t="str">
        <f t="shared" si="3"/>
        <v/>
      </c>
      <c r="H59" s="256" t="str">
        <f t="shared" si="4"/>
        <v/>
      </c>
      <c r="I59" s="671" t="str">
        <f t="shared" si="15"/>
        <v/>
      </c>
      <c r="J59" s="388" t="str">
        <f t="shared" si="16"/>
        <v>0</v>
      </c>
      <c r="K59" s="152"/>
      <c r="L59" s="353" t="str">
        <f t="shared" si="17"/>
        <v/>
      </c>
      <c r="M59" s="354" t="str">
        <f t="shared" si="18"/>
        <v/>
      </c>
      <c r="N59" s="354" t="str">
        <f t="shared" si="19"/>
        <v/>
      </c>
      <c r="O59" s="354" t="str">
        <f t="shared" si="20"/>
        <v/>
      </c>
      <c r="P59" s="354" t="str">
        <f t="shared" si="21"/>
        <v/>
      </c>
      <c r="Q59" s="354" t="str">
        <f t="shared" si="22"/>
        <v/>
      </c>
      <c r="R59" s="671" t="str">
        <f t="shared" si="23"/>
        <v/>
      </c>
      <c r="S59" s="388" t="str">
        <f t="shared" si="24"/>
        <v>0</v>
      </c>
      <c r="T59" s="152"/>
      <c r="U59" s="389">
        <f>IF(SUM(E59:I59)&lt;&gt;SUM(M59:R59),"INPUT ERROR",IF(AND('Analysis Inputs'!$N$148=2,S59="INPUT ERROR"),"INPUT ERROR",S59-J59))</f>
        <v>0</v>
      </c>
      <c r="V59" s="174"/>
    </row>
    <row r="60" spans="2:22" x14ac:dyDescent="0.25">
      <c r="B60" s="169"/>
      <c r="C60" s="185">
        <v>45</v>
      </c>
      <c r="D60" s="352" t="str">
        <f t="shared" si="0"/>
        <v/>
      </c>
      <c r="E60" s="256" t="str">
        <f t="shared" si="1"/>
        <v/>
      </c>
      <c r="F60" s="256" t="str">
        <f t="shared" si="2"/>
        <v/>
      </c>
      <c r="G60" s="256" t="str">
        <f t="shared" si="3"/>
        <v/>
      </c>
      <c r="H60" s="256" t="str">
        <f t="shared" si="4"/>
        <v/>
      </c>
      <c r="I60" s="671" t="str">
        <f t="shared" si="15"/>
        <v/>
      </c>
      <c r="J60" s="388" t="str">
        <f t="shared" si="16"/>
        <v>0</v>
      </c>
      <c r="K60" s="152"/>
      <c r="L60" s="353" t="str">
        <f t="shared" si="17"/>
        <v/>
      </c>
      <c r="M60" s="354" t="str">
        <f t="shared" si="18"/>
        <v/>
      </c>
      <c r="N60" s="354" t="str">
        <f t="shared" si="19"/>
        <v/>
      </c>
      <c r="O60" s="354" t="str">
        <f t="shared" si="20"/>
        <v/>
      </c>
      <c r="P60" s="354" t="str">
        <f t="shared" si="21"/>
        <v/>
      </c>
      <c r="Q60" s="354" t="str">
        <f t="shared" si="22"/>
        <v/>
      </c>
      <c r="R60" s="671" t="str">
        <f t="shared" si="23"/>
        <v/>
      </c>
      <c r="S60" s="388" t="str">
        <f t="shared" si="24"/>
        <v>0</v>
      </c>
      <c r="T60" s="152"/>
      <c r="U60" s="389">
        <f>IF(SUM(E60:I60)&lt;&gt;SUM(M60:R60),"INPUT ERROR",IF(AND('Analysis Inputs'!$N$148=2,S60="INPUT ERROR"),"INPUT ERROR",S60-J60))</f>
        <v>0</v>
      </c>
      <c r="V60" s="174"/>
    </row>
    <row r="61" spans="2:22" x14ac:dyDescent="0.25">
      <c r="B61" s="169"/>
      <c r="C61" s="185">
        <v>46</v>
      </c>
      <c r="D61" s="352" t="str">
        <f t="shared" si="0"/>
        <v/>
      </c>
      <c r="E61" s="256" t="str">
        <f t="shared" si="1"/>
        <v/>
      </c>
      <c r="F61" s="256" t="str">
        <f t="shared" si="2"/>
        <v/>
      </c>
      <c r="G61" s="256" t="str">
        <f t="shared" si="3"/>
        <v/>
      </c>
      <c r="H61" s="256" t="str">
        <f t="shared" si="4"/>
        <v/>
      </c>
      <c r="I61" s="671" t="str">
        <f t="shared" si="15"/>
        <v/>
      </c>
      <c r="J61" s="388" t="str">
        <f t="shared" si="16"/>
        <v>0</v>
      </c>
      <c r="K61" s="152"/>
      <c r="L61" s="353" t="str">
        <f t="shared" si="17"/>
        <v/>
      </c>
      <c r="M61" s="354" t="str">
        <f t="shared" si="18"/>
        <v/>
      </c>
      <c r="N61" s="354" t="str">
        <f t="shared" si="19"/>
        <v/>
      </c>
      <c r="O61" s="354" t="str">
        <f t="shared" si="20"/>
        <v/>
      </c>
      <c r="P61" s="354" t="str">
        <f t="shared" si="21"/>
        <v/>
      </c>
      <c r="Q61" s="354" t="str">
        <f t="shared" si="22"/>
        <v/>
      </c>
      <c r="R61" s="671" t="str">
        <f t="shared" si="23"/>
        <v/>
      </c>
      <c r="S61" s="388" t="str">
        <f t="shared" si="24"/>
        <v>0</v>
      </c>
      <c r="T61" s="152"/>
      <c r="U61" s="389">
        <f>IF(SUM(E61:I61)&lt;&gt;SUM(M61:R61),"INPUT ERROR",IF(AND('Analysis Inputs'!$N$148=2,S61="INPUT ERROR"),"INPUT ERROR",S61-J61))</f>
        <v>0</v>
      </c>
      <c r="V61" s="174"/>
    </row>
    <row r="62" spans="2:22" x14ac:dyDescent="0.25">
      <c r="B62" s="169"/>
      <c r="C62" s="185">
        <v>47</v>
      </c>
      <c r="D62" s="352" t="str">
        <f t="shared" si="0"/>
        <v/>
      </c>
      <c r="E62" s="256" t="str">
        <f t="shared" si="1"/>
        <v/>
      </c>
      <c r="F62" s="256" t="str">
        <f t="shared" si="2"/>
        <v/>
      </c>
      <c r="G62" s="256" t="str">
        <f t="shared" si="3"/>
        <v/>
      </c>
      <c r="H62" s="256" t="str">
        <f t="shared" si="4"/>
        <v/>
      </c>
      <c r="I62" s="671" t="str">
        <f t="shared" si="15"/>
        <v/>
      </c>
      <c r="J62" s="388" t="str">
        <f t="shared" si="16"/>
        <v>0</v>
      </c>
      <c r="K62" s="152"/>
      <c r="L62" s="353" t="str">
        <f t="shared" si="17"/>
        <v/>
      </c>
      <c r="M62" s="354" t="str">
        <f t="shared" si="18"/>
        <v/>
      </c>
      <c r="N62" s="354" t="str">
        <f t="shared" si="19"/>
        <v/>
      </c>
      <c r="O62" s="354" t="str">
        <f t="shared" si="20"/>
        <v/>
      </c>
      <c r="P62" s="354" t="str">
        <f t="shared" si="21"/>
        <v/>
      </c>
      <c r="Q62" s="354" t="str">
        <f t="shared" si="22"/>
        <v/>
      </c>
      <c r="R62" s="671" t="str">
        <f t="shared" si="23"/>
        <v/>
      </c>
      <c r="S62" s="388" t="str">
        <f t="shared" si="24"/>
        <v>0</v>
      </c>
      <c r="T62" s="152"/>
      <c r="U62" s="389">
        <f>IF(SUM(E62:I62)&lt;&gt;SUM(M62:R62),"INPUT ERROR",IF(AND('Analysis Inputs'!$N$148=2,S62="INPUT ERROR"),"INPUT ERROR",S62-J62))</f>
        <v>0</v>
      </c>
      <c r="V62" s="174"/>
    </row>
    <row r="63" spans="2:22" x14ac:dyDescent="0.25">
      <c r="B63" s="169"/>
      <c r="C63" s="185">
        <v>48</v>
      </c>
      <c r="D63" s="352" t="str">
        <f t="shared" si="0"/>
        <v/>
      </c>
      <c r="E63" s="256" t="str">
        <f t="shared" si="1"/>
        <v/>
      </c>
      <c r="F63" s="256" t="str">
        <f t="shared" si="2"/>
        <v/>
      </c>
      <c r="G63" s="256" t="str">
        <f t="shared" si="3"/>
        <v/>
      </c>
      <c r="H63" s="256" t="str">
        <f t="shared" si="4"/>
        <v/>
      </c>
      <c r="I63" s="671" t="str">
        <f t="shared" si="15"/>
        <v/>
      </c>
      <c r="J63" s="388" t="str">
        <f t="shared" si="16"/>
        <v>0</v>
      </c>
      <c r="K63" s="152"/>
      <c r="L63" s="353" t="str">
        <f t="shared" si="17"/>
        <v/>
      </c>
      <c r="M63" s="354" t="str">
        <f t="shared" si="18"/>
        <v/>
      </c>
      <c r="N63" s="354" t="str">
        <f t="shared" si="19"/>
        <v/>
      </c>
      <c r="O63" s="354" t="str">
        <f t="shared" si="20"/>
        <v/>
      </c>
      <c r="P63" s="354" t="str">
        <f t="shared" si="21"/>
        <v/>
      </c>
      <c r="Q63" s="354" t="str">
        <f t="shared" si="22"/>
        <v/>
      </c>
      <c r="R63" s="671" t="str">
        <f t="shared" si="23"/>
        <v/>
      </c>
      <c r="S63" s="388" t="str">
        <f t="shared" si="24"/>
        <v>0</v>
      </c>
      <c r="T63" s="152"/>
      <c r="U63" s="389">
        <f>IF(SUM(E63:I63)&lt;&gt;SUM(M63:R63),"INPUT ERROR",IF(AND('Analysis Inputs'!$N$148=2,S63="INPUT ERROR"),"INPUT ERROR",S63-J63))</f>
        <v>0</v>
      </c>
      <c r="V63" s="174"/>
    </row>
    <row r="64" spans="2:22" x14ac:dyDescent="0.25">
      <c r="B64" s="169"/>
      <c r="C64" s="185">
        <v>49</v>
      </c>
      <c r="D64" s="352" t="str">
        <f t="shared" si="0"/>
        <v/>
      </c>
      <c r="E64" s="256" t="str">
        <f t="shared" si="1"/>
        <v/>
      </c>
      <c r="F64" s="256" t="str">
        <f t="shared" si="2"/>
        <v/>
      </c>
      <c r="G64" s="256" t="str">
        <f t="shared" si="3"/>
        <v/>
      </c>
      <c r="H64" s="256" t="str">
        <f t="shared" si="4"/>
        <v/>
      </c>
      <c r="I64" s="671" t="str">
        <f t="shared" si="15"/>
        <v/>
      </c>
      <c r="J64" s="388" t="str">
        <f t="shared" si="16"/>
        <v>0</v>
      </c>
      <c r="K64" s="152"/>
      <c r="L64" s="353" t="str">
        <f t="shared" si="17"/>
        <v/>
      </c>
      <c r="M64" s="354" t="str">
        <f t="shared" si="18"/>
        <v/>
      </c>
      <c r="N64" s="354" t="str">
        <f t="shared" si="19"/>
        <v/>
      </c>
      <c r="O64" s="354" t="str">
        <f t="shared" si="20"/>
        <v/>
      </c>
      <c r="P64" s="354" t="str">
        <f t="shared" si="21"/>
        <v/>
      </c>
      <c r="Q64" s="354" t="str">
        <f t="shared" si="22"/>
        <v/>
      </c>
      <c r="R64" s="671" t="str">
        <f t="shared" si="23"/>
        <v/>
      </c>
      <c r="S64" s="388" t="str">
        <f t="shared" si="24"/>
        <v>0</v>
      </c>
      <c r="T64" s="152"/>
      <c r="U64" s="389">
        <f>IF(SUM(E64:I64)&lt;&gt;SUM(M64:R64),"INPUT ERROR",IF(AND('Analysis Inputs'!$N$148=2,S64="INPUT ERROR"),"INPUT ERROR",S64-J64))</f>
        <v>0</v>
      </c>
      <c r="V64" s="174"/>
    </row>
    <row r="65" spans="2:22" x14ac:dyDescent="0.25">
      <c r="B65" s="169"/>
      <c r="C65" s="185">
        <v>50</v>
      </c>
      <c r="D65" s="352" t="str">
        <f t="shared" si="0"/>
        <v/>
      </c>
      <c r="E65" s="256" t="str">
        <f t="shared" si="1"/>
        <v/>
      </c>
      <c r="F65" s="256" t="str">
        <f t="shared" si="2"/>
        <v/>
      </c>
      <c r="G65" s="256" t="str">
        <f t="shared" si="3"/>
        <v/>
      </c>
      <c r="H65" s="256" t="str">
        <f t="shared" si="4"/>
        <v/>
      </c>
      <c r="I65" s="671" t="str">
        <f t="shared" si="15"/>
        <v/>
      </c>
      <c r="J65" s="388" t="str">
        <f t="shared" si="16"/>
        <v>0</v>
      </c>
      <c r="K65" s="152"/>
      <c r="L65" s="353" t="str">
        <f t="shared" si="17"/>
        <v/>
      </c>
      <c r="M65" s="354" t="str">
        <f t="shared" si="18"/>
        <v/>
      </c>
      <c r="N65" s="354" t="str">
        <f t="shared" si="19"/>
        <v/>
      </c>
      <c r="O65" s="354" t="str">
        <f t="shared" si="20"/>
        <v/>
      </c>
      <c r="P65" s="354" t="str">
        <f t="shared" si="21"/>
        <v/>
      </c>
      <c r="Q65" s="354" t="str">
        <f t="shared" si="22"/>
        <v/>
      </c>
      <c r="R65" s="671" t="str">
        <f t="shared" si="23"/>
        <v/>
      </c>
      <c r="S65" s="388" t="str">
        <f t="shared" si="24"/>
        <v>0</v>
      </c>
      <c r="T65" s="152"/>
      <c r="U65" s="389">
        <f>IF(SUM(E65:I65)&lt;&gt;SUM(M65:R65),"INPUT ERROR",IF(AND('Analysis Inputs'!$N$148=2,S65="INPUT ERROR"),"INPUT ERROR",S65-J65))</f>
        <v>0</v>
      </c>
      <c r="V65" s="174"/>
    </row>
    <row r="66" spans="2:22" x14ac:dyDescent="0.25">
      <c r="B66" s="169"/>
      <c r="C66" s="185">
        <v>51</v>
      </c>
      <c r="D66" s="352" t="str">
        <f t="shared" si="0"/>
        <v/>
      </c>
      <c r="E66" s="256" t="str">
        <f t="shared" si="1"/>
        <v/>
      </c>
      <c r="F66" s="256" t="str">
        <f t="shared" si="2"/>
        <v/>
      </c>
      <c r="G66" s="256" t="str">
        <f t="shared" si="3"/>
        <v/>
      </c>
      <c r="H66" s="256" t="str">
        <f t="shared" si="4"/>
        <v/>
      </c>
      <c r="I66" s="671" t="str">
        <f t="shared" si="15"/>
        <v/>
      </c>
      <c r="J66" s="388" t="str">
        <f t="shared" si="16"/>
        <v>0</v>
      </c>
      <c r="K66" s="152"/>
      <c r="L66" s="353" t="str">
        <f t="shared" si="17"/>
        <v/>
      </c>
      <c r="M66" s="354" t="str">
        <f t="shared" si="18"/>
        <v/>
      </c>
      <c r="N66" s="354" t="str">
        <f t="shared" si="19"/>
        <v/>
      </c>
      <c r="O66" s="354" t="str">
        <f t="shared" si="20"/>
        <v/>
      </c>
      <c r="P66" s="354" t="str">
        <f t="shared" si="21"/>
        <v/>
      </c>
      <c r="Q66" s="354" t="str">
        <f t="shared" si="22"/>
        <v/>
      </c>
      <c r="R66" s="671" t="str">
        <f t="shared" si="23"/>
        <v/>
      </c>
      <c r="S66" s="388" t="str">
        <f t="shared" si="24"/>
        <v>0</v>
      </c>
      <c r="T66" s="152"/>
      <c r="U66" s="389">
        <f>IF(SUM(E66:I66)&lt;&gt;SUM(M66:R66),"INPUT ERROR",IF(AND('Analysis Inputs'!$N$148=2,S66="INPUT ERROR"),"INPUT ERROR",S66-J66))</f>
        <v>0</v>
      </c>
      <c r="V66" s="174"/>
    </row>
    <row r="67" spans="2:22" x14ac:dyDescent="0.25">
      <c r="B67" s="169"/>
      <c r="C67" s="185">
        <v>52</v>
      </c>
      <c r="D67" s="352" t="str">
        <f t="shared" si="0"/>
        <v/>
      </c>
      <c r="E67" s="256" t="str">
        <f t="shared" si="1"/>
        <v/>
      </c>
      <c r="F67" s="256" t="str">
        <f t="shared" si="2"/>
        <v/>
      </c>
      <c r="G67" s="256" t="str">
        <f t="shared" si="3"/>
        <v/>
      </c>
      <c r="H67" s="256" t="str">
        <f t="shared" si="4"/>
        <v/>
      </c>
      <c r="I67" s="671" t="str">
        <f t="shared" si="15"/>
        <v/>
      </c>
      <c r="J67" s="388" t="str">
        <f t="shared" si="16"/>
        <v>0</v>
      </c>
      <c r="K67" s="152"/>
      <c r="L67" s="353" t="str">
        <f t="shared" si="17"/>
        <v/>
      </c>
      <c r="M67" s="354" t="str">
        <f t="shared" si="18"/>
        <v/>
      </c>
      <c r="N67" s="354" t="str">
        <f t="shared" si="19"/>
        <v/>
      </c>
      <c r="O67" s="354" t="str">
        <f t="shared" si="20"/>
        <v/>
      </c>
      <c r="P67" s="354" t="str">
        <f t="shared" si="21"/>
        <v/>
      </c>
      <c r="Q67" s="354" t="str">
        <f t="shared" si="22"/>
        <v/>
      </c>
      <c r="R67" s="671" t="str">
        <f t="shared" si="23"/>
        <v/>
      </c>
      <c r="S67" s="388" t="str">
        <f t="shared" si="24"/>
        <v>0</v>
      </c>
      <c r="T67" s="152"/>
      <c r="U67" s="389">
        <f>IF(SUM(E67:I67)&lt;&gt;SUM(M67:R67),"INPUT ERROR",IF(AND('Analysis Inputs'!$N$148=2,S67="INPUT ERROR"),"INPUT ERROR",S67-J67))</f>
        <v>0</v>
      </c>
      <c r="V67" s="174"/>
    </row>
    <row r="68" spans="2:22" x14ac:dyDescent="0.25">
      <c r="B68" s="169"/>
      <c r="C68" s="185">
        <v>53</v>
      </c>
      <c r="D68" s="352" t="str">
        <f t="shared" si="0"/>
        <v/>
      </c>
      <c r="E68" s="256" t="str">
        <f t="shared" si="1"/>
        <v/>
      </c>
      <c r="F68" s="256" t="str">
        <f t="shared" si="2"/>
        <v/>
      </c>
      <c r="G68" s="256" t="str">
        <f t="shared" si="3"/>
        <v/>
      </c>
      <c r="H68" s="256" t="str">
        <f t="shared" si="4"/>
        <v/>
      </c>
      <c r="I68" s="671" t="str">
        <f t="shared" si="15"/>
        <v/>
      </c>
      <c r="J68" s="388" t="str">
        <f t="shared" si="16"/>
        <v>0</v>
      </c>
      <c r="K68" s="152"/>
      <c r="L68" s="353" t="str">
        <f t="shared" si="17"/>
        <v/>
      </c>
      <c r="M68" s="354" t="str">
        <f t="shared" si="18"/>
        <v/>
      </c>
      <c r="N68" s="354" t="str">
        <f t="shared" si="19"/>
        <v/>
      </c>
      <c r="O68" s="354" t="str">
        <f t="shared" si="20"/>
        <v/>
      </c>
      <c r="P68" s="354" t="str">
        <f t="shared" si="21"/>
        <v/>
      </c>
      <c r="Q68" s="354" t="str">
        <f t="shared" si="22"/>
        <v/>
      </c>
      <c r="R68" s="671" t="str">
        <f t="shared" si="23"/>
        <v/>
      </c>
      <c r="S68" s="388" t="str">
        <f t="shared" si="24"/>
        <v>0</v>
      </c>
      <c r="T68" s="152"/>
      <c r="U68" s="389">
        <f>IF(SUM(E68:I68)&lt;&gt;SUM(M68:R68),"INPUT ERROR",IF(AND('Analysis Inputs'!$N$148=2,S68="INPUT ERROR"),"INPUT ERROR",S68-J68))</f>
        <v>0</v>
      </c>
      <c r="V68" s="174"/>
    </row>
    <row r="69" spans="2:22" ht="13" thickBot="1" x14ac:dyDescent="0.3">
      <c r="B69" s="169"/>
      <c r="C69" s="185">
        <v>54</v>
      </c>
      <c r="D69" s="265" t="str">
        <f t="shared" si="0"/>
        <v/>
      </c>
      <c r="E69" s="349" t="str">
        <f t="shared" si="1"/>
        <v/>
      </c>
      <c r="F69" s="349" t="str">
        <f t="shared" si="2"/>
        <v/>
      </c>
      <c r="G69" s="349" t="str">
        <f t="shared" si="3"/>
        <v/>
      </c>
      <c r="H69" s="349" t="str">
        <f t="shared" si="4"/>
        <v/>
      </c>
      <c r="I69" s="687" t="str">
        <f t="shared" si="15"/>
        <v/>
      </c>
      <c r="J69" s="736" t="str">
        <f t="shared" si="16"/>
        <v>0</v>
      </c>
      <c r="K69" s="355"/>
      <c r="L69" s="266" t="str">
        <f t="shared" si="17"/>
        <v/>
      </c>
      <c r="M69" s="258" t="str">
        <f t="shared" si="18"/>
        <v/>
      </c>
      <c r="N69" s="258" t="str">
        <f t="shared" si="19"/>
        <v/>
      </c>
      <c r="O69" s="258" t="str">
        <f t="shared" si="20"/>
        <v/>
      </c>
      <c r="P69" s="258" t="str">
        <f t="shared" si="21"/>
        <v/>
      </c>
      <c r="Q69" s="258" t="str">
        <f t="shared" si="22"/>
        <v/>
      </c>
      <c r="R69" s="687" t="str">
        <f t="shared" si="23"/>
        <v/>
      </c>
      <c r="S69" s="736" t="str">
        <f t="shared" si="24"/>
        <v>0</v>
      </c>
      <c r="T69" s="169"/>
      <c r="U69" s="636">
        <f>IF(SUM(E69:I69)&lt;&gt;SUM(M69:R69),"INPUT ERROR",IF(AND('Analysis Inputs'!$N$148=2,S69="INPUT ERROR"),"INPUT ERROR",S69-J69))</f>
        <v>0</v>
      </c>
      <c r="V69" s="174"/>
    </row>
    <row r="70" spans="2:22" ht="12" customHeight="1" x14ac:dyDescent="0.25">
      <c r="B70" s="169"/>
      <c r="C70" s="185"/>
      <c r="D70" s="267"/>
      <c r="E70" s="268"/>
      <c r="F70" s="268"/>
      <c r="G70" s="268"/>
      <c r="H70" s="268"/>
      <c r="I70" s="268"/>
      <c r="J70" s="268"/>
      <c r="K70" s="152"/>
      <c r="L70" s="269"/>
      <c r="M70" s="230"/>
      <c r="N70" s="230"/>
      <c r="O70" s="230"/>
      <c r="P70" s="230"/>
      <c r="Q70" s="230"/>
      <c r="R70" s="230"/>
      <c r="S70" s="230"/>
      <c r="T70" s="152"/>
      <c r="U70" s="270"/>
      <c r="V70" s="174"/>
    </row>
    <row r="71" spans="2:22" ht="21" customHeight="1" x14ac:dyDescent="0.35">
      <c r="B71" s="169"/>
      <c r="C71" s="152"/>
      <c r="D71" s="231"/>
      <c r="E71" s="152"/>
      <c r="F71" s="152"/>
      <c r="G71" s="152"/>
      <c r="H71" s="152"/>
      <c r="I71" s="152"/>
      <c r="J71" s="228"/>
      <c r="K71" s="152"/>
      <c r="L71" s="232" t="s">
        <v>52</v>
      </c>
      <c r="M71" s="152"/>
      <c r="N71" s="152"/>
      <c r="O71" s="313"/>
      <c r="P71" s="743">
        <f>'Analysis Results (energy)'!L6</f>
        <v>0</v>
      </c>
      <c r="Q71" s="152"/>
      <c r="R71" s="152"/>
      <c r="S71" s="152"/>
      <c r="T71" s="152"/>
      <c r="U71" s="152"/>
      <c r="V71" s="174"/>
    </row>
    <row r="72" spans="2:22" ht="27.75" customHeight="1" thickBot="1" x14ac:dyDescent="0.4">
      <c r="B72" s="169"/>
      <c r="C72" s="152"/>
      <c r="D72" s="920" t="s">
        <v>10</v>
      </c>
      <c r="E72" s="920"/>
      <c r="F72" s="920"/>
      <c r="G72" s="920"/>
      <c r="H72" s="920"/>
      <c r="I72" s="920"/>
      <c r="J72" s="920"/>
      <c r="K72" s="920"/>
      <c r="L72" s="232"/>
      <c r="M72" s="152"/>
      <c r="N72" s="152"/>
      <c r="O72" s="152"/>
      <c r="P72" s="152"/>
      <c r="Q72" s="152"/>
      <c r="R72" s="152"/>
      <c r="S72" s="233"/>
      <c r="T72" s="232"/>
      <c r="U72" s="152"/>
      <c r="V72" s="174"/>
    </row>
    <row r="73" spans="2:22" ht="15.5" x14ac:dyDescent="0.35">
      <c r="B73" s="169"/>
      <c r="C73" s="152"/>
      <c r="D73" s="152"/>
      <c r="E73" s="152"/>
      <c r="F73" s="152"/>
      <c r="G73" s="152"/>
      <c r="H73" s="152"/>
      <c r="I73" s="152"/>
      <c r="J73" s="152"/>
      <c r="K73" s="152"/>
      <c r="L73" s="235" t="s">
        <v>127</v>
      </c>
      <c r="M73" s="160"/>
      <c r="N73" s="160"/>
      <c r="O73" s="271"/>
      <c r="P73" s="168"/>
      <c r="Q73" s="233"/>
      <c r="R73" s="233"/>
      <c r="S73" s="232"/>
      <c r="T73" s="152"/>
      <c r="U73" s="152"/>
      <c r="V73" s="174"/>
    </row>
    <row r="74" spans="2:22" ht="27" customHeight="1" x14ac:dyDescent="0.35">
      <c r="B74" s="169"/>
      <c r="C74" s="185">
        <v>1</v>
      </c>
      <c r="D74" s="478" t="s">
        <v>714</v>
      </c>
      <c r="E74" s="152"/>
      <c r="F74" s="152"/>
      <c r="G74" s="152"/>
      <c r="H74" s="152"/>
      <c r="I74" s="152"/>
      <c r="J74" s="152"/>
      <c r="K74" s="152"/>
      <c r="L74" s="169" t="str">
        <f>IF($P$71&lt;=0,"Conserving","Consuming")</f>
        <v>Conserving</v>
      </c>
      <c r="M74" s="744">
        <f>IF(LEFT($P$71,5)="INPUT", "INPUT ERROR",ABS(P71/Equivalencies!$B$18))</f>
        <v>0</v>
      </c>
      <c r="N74" s="924" t="s">
        <v>243</v>
      </c>
      <c r="O74" s="924"/>
      <c r="P74" s="925"/>
      <c r="Q74" s="272"/>
      <c r="R74" s="273"/>
      <c r="S74" s="232"/>
      <c r="T74" s="152"/>
      <c r="U74" s="152"/>
      <c r="V74" s="174"/>
    </row>
    <row r="75" spans="2:22" ht="27" customHeight="1" x14ac:dyDescent="0.35">
      <c r="B75" s="169"/>
      <c r="C75" s="185">
        <v>2</v>
      </c>
      <c r="D75" s="921" t="s">
        <v>712</v>
      </c>
      <c r="E75" s="921"/>
      <c r="F75" s="921"/>
      <c r="G75" s="921"/>
      <c r="H75" s="921"/>
      <c r="I75" s="921"/>
      <c r="J75" s="921"/>
      <c r="K75" s="152"/>
      <c r="L75" s="169" t="str">
        <f>IF($P$71&lt;=0,"Conserving","Consuming")</f>
        <v>Conserving</v>
      </c>
      <c r="M75" s="745">
        <f>IF(LEFT($P$71,5)="INPUT","INPUT ERROR",ABS(P71/Equivalencies!$B$9))</f>
        <v>0</v>
      </c>
      <c r="N75" s="926" t="s">
        <v>125</v>
      </c>
      <c r="O75" s="926"/>
      <c r="P75" s="927"/>
      <c r="Q75" s="273"/>
      <c r="R75" s="273"/>
      <c r="S75" s="232"/>
      <c r="T75" s="152"/>
      <c r="U75" s="152"/>
      <c r="V75" s="174"/>
    </row>
    <row r="76" spans="2:22" ht="27" customHeight="1" thickBot="1" x14ac:dyDescent="0.4">
      <c r="B76" s="169"/>
      <c r="C76" s="185">
        <v>3</v>
      </c>
      <c r="D76" s="922" t="s">
        <v>713</v>
      </c>
      <c r="E76" s="923"/>
      <c r="F76" s="923"/>
      <c r="G76" s="923"/>
      <c r="H76" s="923"/>
      <c r="I76" s="923"/>
      <c r="J76" s="923"/>
      <c r="K76" s="152"/>
      <c r="L76" s="171" t="str">
        <f>IF($P$71&lt;=0,"Conserving","Consuming")</f>
        <v>Conserving</v>
      </c>
      <c r="M76" s="746">
        <f>IF(LEFT($P$71,5)="INPUT","INPUT ERROR",ABS(P71/Equivalencies!$B$14))</f>
        <v>0</v>
      </c>
      <c r="N76" s="928" t="s">
        <v>126</v>
      </c>
      <c r="O76" s="928"/>
      <c r="P76" s="929"/>
      <c r="Q76" s="273"/>
      <c r="R76" s="273"/>
      <c r="S76" s="233"/>
      <c r="T76" s="232"/>
      <c r="U76" s="152"/>
      <c r="V76" s="174"/>
    </row>
    <row r="77" spans="2:22" ht="12" customHeight="1" x14ac:dyDescent="0.35">
      <c r="B77" s="169"/>
      <c r="C77" s="185">
        <v>4</v>
      </c>
      <c r="D77" s="152"/>
      <c r="E77" s="152"/>
      <c r="F77" s="152"/>
      <c r="G77" s="152"/>
      <c r="H77" s="152"/>
      <c r="I77" s="152"/>
      <c r="J77" s="152"/>
      <c r="K77" s="152"/>
      <c r="L77" s="232"/>
      <c r="M77" s="152"/>
      <c r="N77" s="152"/>
      <c r="O77" s="152"/>
      <c r="P77" s="152"/>
      <c r="Q77" s="152"/>
      <c r="R77" s="152"/>
      <c r="S77" s="233"/>
      <c r="T77" s="232"/>
      <c r="U77" s="152"/>
      <c r="V77" s="174"/>
    </row>
    <row r="78" spans="2:22" ht="12" customHeight="1" x14ac:dyDescent="0.35">
      <c r="B78" s="169"/>
      <c r="C78" s="185">
        <v>5</v>
      </c>
      <c r="D78" s="236" t="s">
        <v>7</v>
      </c>
      <c r="E78" s="152"/>
      <c r="F78" s="152"/>
      <c r="G78" s="152"/>
      <c r="H78" s="152"/>
      <c r="I78" s="152"/>
      <c r="J78" s="152"/>
      <c r="K78" s="152"/>
      <c r="L78" s="232"/>
      <c r="M78" s="152"/>
      <c r="N78" s="152"/>
      <c r="O78" s="152"/>
      <c r="P78" s="152"/>
      <c r="Q78" s="152"/>
      <c r="R78" s="152"/>
      <c r="S78" s="233"/>
      <c r="T78" s="232"/>
      <c r="U78" s="152"/>
      <c r="V78" s="174"/>
    </row>
    <row r="79" spans="2:22" ht="12" customHeight="1" x14ac:dyDescent="0.25">
      <c r="B79" s="169"/>
      <c r="C79" s="185">
        <v>6</v>
      </c>
      <c r="D79" s="236" t="s">
        <v>8</v>
      </c>
      <c r="E79" s="152"/>
      <c r="F79" s="152"/>
      <c r="G79" s="152"/>
      <c r="H79" s="152"/>
      <c r="I79" s="152"/>
      <c r="J79" s="152"/>
      <c r="K79" s="152"/>
      <c r="L79" s="152"/>
      <c r="M79" s="152"/>
      <c r="N79" s="152"/>
      <c r="O79" s="152"/>
      <c r="P79" s="152"/>
      <c r="Q79" s="152"/>
      <c r="R79" s="152"/>
      <c r="S79" s="152"/>
      <c r="T79" s="152"/>
      <c r="U79" s="152"/>
      <c r="V79" s="174"/>
    </row>
    <row r="80" spans="2:22" ht="12" customHeight="1" thickBot="1" x14ac:dyDescent="0.3">
      <c r="B80" s="171"/>
      <c r="C80" s="238">
        <v>7</v>
      </c>
      <c r="D80" s="274"/>
      <c r="E80" s="162"/>
      <c r="F80" s="162"/>
      <c r="G80" s="162"/>
      <c r="H80" s="162"/>
      <c r="I80" s="162"/>
      <c r="J80" s="162"/>
      <c r="K80" s="162"/>
      <c r="L80" s="162"/>
      <c r="M80" s="162"/>
      <c r="N80" s="162"/>
      <c r="O80" s="162"/>
      <c r="P80" s="162"/>
      <c r="Q80" s="162"/>
      <c r="R80" s="162"/>
      <c r="S80" s="162"/>
      <c r="T80" s="162"/>
      <c r="U80" s="162"/>
      <c r="V80" s="196"/>
    </row>
    <row r="81" spans="3:21" ht="12" customHeight="1" x14ac:dyDescent="0.25">
      <c r="C81" s="215">
        <v>8</v>
      </c>
    </row>
    <row r="82" spans="3:21" ht="12" customHeight="1" x14ac:dyDescent="0.25">
      <c r="C82" s="215">
        <v>9</v>
      </c>
    </row>
    <row r="83" spans="3:21" ht="12" customHeight="1" x14ac:dyDescent="0.25">
      <c r="C83" s="215">
        <v>10</v>
      </c>
      <c r="U83" s="14"/>
    </row>
    <row r="84" spans="3:21" ht="12" customHeight="1" x14ac:dyDescent="0.25">
      <c r="C84" s="215">
        <v>11</v>
      </c>
      <c r="U84" s="14"/>
    </row>
    <row r="85" spans="3:21" ht="12" customHeight="1" x14ac:dyDescent="0.25">
      <c r="C85" s="215">
        <v>12</v>
      </c>
    </row>
    <row r="86" spans="3:21" ht="12" customHeight="1" x14ac:dyDescent="0.25">
      <c r="C86" s="215">
        <v>13</v>
      </c>
    </row>
    <row r="87" spans="3:21" ht="12" customHeight="1" x14ac:dyDescent="0.25">
      <c r="C87" s="215">
        <v>14</v>
      </c>
    </row>
    <row r="88" spans="3:21" ht="12" customHeight="1" x14ac:dyDescent="0.25">
      <c r="C88" s="215">
        <v>15</v>
      </c>
    </row>
    <row r="89" spans="3:21" ht="12" customHeight="1" x14ac:dyDescent="0.25">
      <c r="C89" s="215">
        <v>16</v>
      </c>
    </row>
    <row r="90" spans="3:21" ht="12" customHeight="1" x14ac:dyDescent="0.25">
      <c r="C90" s="215">
        <v>17</v>
      </c>
    </row>
    <row r="91" spans="3:21" ht="12" customHeight="1" x14ac:dyDescent="0.25">
      <c r="C91" s="215">
        <v>18</v>
      </c>
    </row>
    <row r="92" spans="3:21" ht="12" customHeight="1" x14ac:dyDescent="0.25">
      <c r="C92" s="215">
        <v>19</v>
      </c>
    </row>
    <row r="93" spans="3:21" ht="12" customHeight="1" x14ac:dyDescent="0.25">
      <c r="C93" s="215">
        <v>20</v>
      </c>
    </row>
    <row r="94" spans="3:21" ht="12" customHeight="1" x14ac:dyDescent="0.25">
      <c r="C94" s="215">
        <v>21</v>
      </c>
    </row>
    <row r="95" spans="3:21" ht="12" customHeight="1" x14ac:dyDescent="0.25">
      <c r="C95" s="215">
        <v>22</v>
      </c>
    </row>
    <row r="96" spans="3:21" ht="12" customHeight="1" x14ac:dyDescent="0.25">
      <c r="C96" s="215">
        <v>23</v>
      </c>
    </row>
    <row r="97" spans="3:3" ht="12" customHeight="1" x14ac:dyDescent="0.25">
      <c r="C97" s="215">
        <v>24</v>
      </c>
    </row>
    <row r="98" spans="3:3" ht="12" customHeight="1" x14ac:dyDescent="0.25">
      <c r="C98" s="215">
        <v>25</v>
      </c>
    </row>
    <row r="99" spans="3:3" ht="12" customHeight="1" x14ac:dyDescent="0.25">
      <c r="C99" s="215">
        <v>26</v>
      </c>
    </row>
    <row r="100" spans="3:3" ht="12" customHeight="1" x14ac:dyDescent="0.25">
      <c r="C100" s="215">
        <v>27</v>
      </c>
    </row>
    <row r="101" spans="3:3" ht="12" customHeight="1" x14ac:dyDescent="0.25">
      <c r="C101" s="215">
        <v>28</v>
      </c>
    </row>
    <row r="102" spans="3:3" ht="11.25" customHeight="1" x14ac:dyDescent="0.25">
      <c r="C102" s="215">
        <v>29</v>
      </c>
    </row>
    <row r="103" spans="3:3" ht="12" customHeight="1" x14ac:dyDescent="0.25">
      <c r="C103" s="215">
        <v>30</v>
      </c>
    </row>
    <row r="104" spans="3:3" ht="12" customHeight="1" x14ac:dyDescent="0.25">
      <c r="C104" s="215">
        <v>31</v>
      </c>
    </row>
    <row r="105" spans="3:3" ht="12" customHeight="1" x14ac:dyDescent="0.25">
      <c r="C105" s="215">
        <v>32</v>
      </c>
    </row>
    <row r="106" spans="3:3" ht="12" customHeight="1" x14ac:dyDescent="0.25">
      <c r="C106" s="215">
        <v>33</v>
      </c>
    </row>
    <row r="107" spans="3:3" x14ac:dyDescent="0.25">
      <c r="C107" s="215">
        <v>34</v>
      </c>
    </row>
    <row r="108" spans="3:3" x14ac:dyDescent="0.25">
      <c r="C108" s="215">
        <v>35</v>
      </c>
    </row>
    <row r="109" spans="3:3" x14ac:dyDescent="0.25">
      <c r="C109" s="215">
        <v>36</v>
      </c>
    </row>
    <row r="110" spans="3:3" x14ac:dyDescent="0.25">
      <c r="C110" s="215">
        <v>37</v>
      </c>
    </row>
    <row r="111" spans="3:3" x14ac:dyDescent="0.25">
      <c r="C111" s="215">
        <v>38</v>
      </c>
    </row>
    <row r="112" spans="3:3" x14ac:dyDescent="0.25">
      <c r="C112" s="215">
        <v>39</v>
      </c>
    </row>
    <row r="113" spans="3:3" x14ac:dyDescent="0.25">
      <c r="C113" s="215">
        <v>40</v>
      </c>
    </row>
    <row r="114" spans="3:3" x14ac:dyDescent="0.25">
      <c r="C114" s="215">
        <v>41</v>
      </c>
    </row>
    <row r="115" spans="3:3" x14ac:dyDescent="0.25">
      <c r="C115" s="215">
        <v>42</v>
      </c>
    </row>
    <row r="116" spans="3:3" x14ac:dyDescent="0.25">
      <c r="C116" s="215">
        <v>43</v>
      </c>
    </row>
    <row r="117" spans="3:3" ht="12" customHeight="1" x14ac:dyDescent="0.25">
      <c r="C117" s="215">
        <v>44</v>
      </c>
    </row>
    <row r="118" spans="3:3" hidden="1" x14ac:dyDescent="0.25">
      <c r="C118" s="215">
        <v>45</v>
      </c>
    </row>
    <row r="119" spans="3:3" x14ac:dyDescent="0.25">
      <c r="C119" s="215">
        <v>46</v>
      </c>
    </row>
    <row r="120" spans="3:3" x14ac:dyDescent="0.25">
      <c r="C120" s="215">
        <v>47</v>
      </c>
    </row>
    <row r="121" spans="3:3" x14ac:dyDescent="0.25">
      <c r="C121" s="215">
        <v>48</v>
      </c>
    </row>
    <row r="122" spans="3:3" x14ac:dyDescent="0.25">
      <c r="C122" s="215">
        <v>49</v>
      </c>
    </row>
    <row r="123" spans="3:3" x14ac:dyDescent="0.25">
      <c r="C123" s="215">
        <v>50</v>
      </c>
    </row>
    <row r="124" spans="3:3" x14ac:dyDescent="0.25">
      <c r="C124" s="215">
        <v>51</v>
      </c>
    </row>
    <row r="125" spans="3:3" x14ac:dyDescent="0.25">
      <c r="C125" s="215">
        <v>52</v>
      </c>
    </row>
    <row r="126" spans="3:3" x14ac:dyDescent="0.25">
      <c r="C126" s="215">
        <v>53</v>
      </c>
    </row>
    <row r="127" spans="3:3" x14ac:dyDescent="0.25">
      <c r="C127" s="215">
        <v>54</v>
      </c>
    </row>
  </sheetData>
  <sheetProtection password="CDE6" sheet="1"/>
  <mergeCells count="6">
    <mergeCell ref="D72:K72"/>
    <mergeCell ref="D75:J75"/>
    <mergeCell ref="D76:J76"/>
    <mergeCell ref="N74:P74"/>
    <mergeCell ref="N75:P75"/>
    <mergeCell ref="N76:P76"/>
  </mergeCells>
  <phoneticPr fontId="14" type="noConversion"/>
  <conditionalFormatting sqref="S13 P71 M74:M76">
    <cfRule type="containsText" dxfId="11" priority="17" stopIfTrue="1" operator="containsText" text="INPUT ERROR">
      <formula>NOT(ISERROR(SEARCH("INPUT ERROR",M13)))</formula>
    </cfRule>
  </conditionalFormatting>
  <conditionalFormatting sqref="S16:S69">
    <cfRule type="containsText" dxfId="10" priority="16" stopIfTrue="1" operator="containsText" text="INPUT ERROR">
      <formula>NOT(ISERROR(SEARCH("INPUT ERROR",S16)))</formula>
    </cfRule>
  </conditionalFormatting>
  <conditionalFormatting sqref="J16:J69">
    <cfRule type="containsText" dxfId="9" priority="13" stopIfTrue="1" operator="containsText" text="INPUT ERROR">
      <formula>NOT(ISERROR(SEARCH("INPUT ERROR",J16)))</formula>
    </cfRule>
  </conditionalFormatting>
  <conditionalFormatting sqref="U16:U69">
    <cfRule type="containsText" dxfId="8" priority="10" stopIfTrue="1" operator="containsText" text="INPUT ERROR">
      <formula>NOT(ISERROR(SEARCH("INPUT ERROR",U16)))</formula>
    </cfRule>
  </conditionalFormatting>
  <conditionalFormatting sqref="J13">
    <cfRule type="containsText" dxfId="7" priority="1" stopIfTrue="1" operator="containsText" text="INPUT ERROR">
      <formula>NOT(ISERROR(SEARCH("INPUT ERROR",J13)))</formula>
    </cfRule>
  </conditionalFormatting>
  <printOptions horizontalCentered="1" verticalCentered="1"/>
  <pageMargins left="0.75" right="0.75" top="1" bottom="1" header="0.5" footer="0.5"/>
  <pageSetup scale="53" orientation="portrait" r:id="rId1"/>
  <headerFooter alignWithMargins="0"/>
  <rowBreaks count="1" manualBreakCount="1">
    <brk id="85" min="11" max="1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U245"/>
  <sheetViews>
    <sheetView showGridLines="0" showRowColHeaders="0" zoomScaleNormal="100" zoomScaleSheetLayoutView="75" workbookViewId="0">
      <selection activeCell="A9" sqref="A9"/>
    </sheetView>
  </sheetViews>
  <sheetFormatPr defaultRowHeight="12.5" x14ac:dyDescent="0.25"/>
  <cols>
    <col min="1" max="1" width="3.7265625" customWidth="1"/>
    <col min="2" max="2" width="4.453125" hidden="1" customWidth="1"/>
    <col min="3" max="3" width="4.1796875" hidden="1" customWidth="1"/>
    <col min="4" max="4" width="7.26953125" hidden="1" customWidth="1"/>
    <col min="5" max="5" width="22.54296875" customWidth="1"/>
    <col min="6" max="6" width="10.81640625" customWidth="1"/>
    <col min="7" max="7" width="10.54296875" customWidth="1"/>
    <col min="8" max="8" width="10.81640625" customWidth="1"/>
    <col min="9" max="9" width="11.453125" customWidth="1"/>
    <col min="10" max="10" width="11.1796875" customWidth="1"/>
    <col min="11" max="11" width="12" customWidth="1"/>
    <col min="12" max="12" width="14" customWidth="1"/>
    <col min="13" max="15" width="10.81640625" customWidth="1"/>
    <col min="16" max="16" width="11.81640625" customWidth="1"/>
    <col min="17" max="17" width="12.1796875" customWidth="1"/>
    <col min="18" max="18" width="12.54296875" customWidth="1"/>
    <col min="19" max="19" width="12.453125" customWidth="1"/>
  </cols>
  <sheetData>
    <row r="1" spans="5:14" ht="18" x14ac:dyDescent="0.4">
      <c r="E1" s="105" t="s">
        <v>82</v>
      </c>
      <c r="F1" s="29"/>
      <c r="G1" s="29"/>
      <c r="H1" s="29"/>
      <c r="I1" s="29"/>
      <c r="J1" s="29"/>
      <c r="K1" s="29"/>
      <c r="L1" s="29"/>
      <c r="M1" s="29"/>
      <c r="N1" s="29"/>
    </row>
    <row r="2" spans="5:14" s="41" customFormat="1" ht="17.5" x14ac:dyDescent="0.35">
      <c r="E2" s="43"/>
      <c r="F2" s="43"/>
      <c r="G2" s="43"/>
      <c r="H2" s="43"/>
      <c r="I2" s="44"/>
      <c r="J2" s="43"/>
      <c r="K2" s="42"/>
      <c r="L2" s="42"/>
      <c r="M2" s="42"/>
      <c r="N2" s="42"/>
    </row>
    <row r="3" spans="5:14" ht="16.5" customHeight="1" x14ac:dyDescent="0.4">
      <c r="E3" s="29"/>
      <c r="F3" s="29"/>
      <c r="G3" s="29"/>
      <c r="H3" s="29"/>
      <c r="I3" s="29"/>
      <c r="J3" s="29"/>
      <c r="K3" s="29"/>
      <c r="L3" s="29"/>
      <c r="M3" s="29"/>
      <c r="N3" s="29"/>
    </row>
    <row r="4" spans="5:14" ht="13" x14ac:dyDescent="0.3">
      <c r="E4" s="50" t="s">
        <v>440</v>
      </c>
      <c r="F4" s="51"/>
      <c r="G4" s="51"/>
      <c r="H4" s="51"/>
      <c r="I4" s="51"/>
      <c r="J4" s="51"/>
      <c r="K4" s="52"/>
      <c r="L4" s="279">
        <f>+Q123</f>
        <v>226141.5534075723</v>
      </c>
    </row>
    <row r="5" spans="5:14" ht="13" x14ac:dyDescent="0.3">
      <c r="E5" s="53" t="s">
        <v>441</v>
      </c>
      <c r="F5" s="54"/>
      <c r="G5" s="54"/>
      <c r="H5" s="54"/>
      <c r="I5" s="54"/>
      <c r="J5" s="54"/>
      <c r="K5" s="55"/>
      <c r="L5" s="280">
        <f>+S181</f>
        <v>226141.5534075723</v>
      </c>
    </row>
    <row r="6" spans="5:14" ht="13" x14ac:dyDescent="0.3">
      <c r="E6" s="53" t="s">
        <v>442</v>
      </c>
      <c r="F6" s="54"/>
      <c r="G6" s="54"/>
      <c r="H6" s="54"/>
      <c r="I6" s="54"/>
      <c r="J6" s="54"/>
      <c r="K6" s="55"/>
      <c r="L6" s="280">
        <f>+R239</f>
        <v>0</v>
      </c>
    </row>
    <row r="7" spans="5:14" ht="13" x14ac:dyDescent="0.3">
      <c r="E7" s="56" t="s">
        <v>730</v>
      </c>
      <c r="F7" s="41"/>
      <c r="G7" s="41"/>
      <c r="H7" s="41"/>
      <c r="I7" s="41"/>
      <c r="J7" s="41"/>
      <c r="K7" s="41"/>
    </row>
    <row r="8" spans="5:14" x14ac:dyDescent="0.25">
      <c r="M8" s="47"/>
    </row>
    <row r="10" spans="5:14" ht="13.5" thickBot="1" x14ac:dyDescent="0.35">
      <c r="E10" s="57" t="s">
        <v>20</v>
      </c>
      <c r="F10" s="20"/>
      <c r="G10" s="20"/>
      <c r="H10" s="20"/>
      <c r="I10" s="20"/>
      <c r="J10" s="20"/>
      <c r="K10" s="20"/>
    </row>
    <row r="11" spans="5:14" ht="36" x14ac:dyDescent="0.25">
      <c r="E11" s="130" t="s">
        <v>496</v>
      </c>
      <c r="F11" s="131" t="s">
        <v>509</v>
      </c>
      <c r="G11" s="131" t="s">
        <v>510</v>
      </c>
      <c r="H11" s="131" t="s">
        <v>511</v>
      </c>
      <c r="I11" s="131" t="s">
        <v>512</v>
      </c>
      <c r="J11" s="131" t="s">
        <v>513</v>
      </c>
      <c r="K11" s="748" t="s">
        <v>856</v>
      </c>
      <c r="M11" s="654"/>
    </row>
    <row r="12" spans="5:14" ht="12.75" customHeight="1" x14ac:dyDescent="0.25">
      <c r="E12" s="7" t="s">
        <v>515</v>
      </c>
      <c r="F12" s="98">
        <f>VLOOKUP($E12, 'Summary Data NRG'!$A$2:$J$55,2,FALSE)</f>
        <v>-200.56711325446287</v>
      </c>
      <c r="G12" s="98">
        <f>VLOOKUP($E12, 'Summary Data NRG'!$A$2:$J$55,3,FALSE)</f>
        <v>-152.7644316983795</v>
      </c>
      <c r="H12" s="98">
        <f>VLOOKUP($E12, 'Summary Data NRG'!$A$2:$J$55,4,FALSE)</f>
        <v>0.26827304622443826</v>
      </c>
      <c r="I12" s="98">
        <f>VLOOKUP($E12, 'Summary Data NRG'!$A$2:$J$55,9,FALSE)</f>
        <v>0.54521691033474196</v>
      </c>
      <c r="J12" s="98" t="str">
        <f>VLOOKUP($E12, 'Summary Data NRG'!$A$2:$J$55,10,FALSE)</f>
        <v>NA</v>
      </c>
      <c r="K12" s="24" t="s">
        <v>503</v>
      </c>
    </row>
    <row r="13" spans="5:14" ht="12.75" customHeight="1" x14ac:dyDescent="0.25">
      <c r="E13" s="7" t="s">
        <v>84</v>
      </c>
      <c r="F13" s="98">
        <f>VLOOKUP($E13, 'Summary Data NRG'!$A$2:$J$55,2,FALSE)</f>
        <v>-126.94877293249891</v>
      </c>
      <c r="G13" s="98">
        <f>VLOOKUP($E13, 'Summary Data NRG'!$A$2:$J$55,3,FALSE)</f>
        <v>-113.84671667218909</v>
      </c>
      <c r="H13" s="98">
        <f>VLOOKUP($E13, 'Summary Data NRG'!$A$2:$J$55,4,FALSE)</f>
        <v>0.26827304622443826</v>
      </c>
      <c r="I13" s="98">
        <f>VLOOKUP($E13, 'Summary Data NRG'!$A$2:$J$55,9,FALSE)</f>
        <v>0.54521691033474196</v>
      </c>
      <c r="J13" s="98" t="str">
        <f>VLOOKUP($E13, 'Summary Data NRG'!$A$2:$J$55,10,FALSE)</f>
        <v>NA</v>
      </c>
      <c r="K13" s="24" t="s">
        <v>503</v>
      </c>
    </row>
    <row r="14" spans="5:14" ht="12.75" customHeight="1" x14ac:dyDescent="0.25">
      <c r="E14" s="7" t="s">
        <v>516</v>
      </c>
      <c r="F14" s="98">
        <f>VLOOKUP($E14, 'Summary Data NRG'!$A$2:$J$55,2,FALSE)</f>
        <v>-36.542744907957726</v>
      </c>
      <c r="G14" s="98">
        <f>VLOOKUP($E14, 'Summary Data NRG'!$A$2:$J$55,3,FALSE)</f>
        <v>-19.966201047692305</v>
      </c>
      <c r="H14" s="98">
        <f>VLOOKUP($E14, 'Summary Data NRG'!$A$2:$J$55,4,FALSE)</f>
        <v>0.26827304622443826</v>
      </c>
      <c r="I14" s="98">
        <f>VLOOKUP($E14, 'Summary Data NRG'!$A$2:$J$55,9,FALSE)</f>
        <v>-17.1683096764576</v>
      </c>
      <c r="J14" s="98" t="str">
        <f>VLOOKUP($E14, 'Summary Data NRG'!$A$2:$J$55,10,FALSE)</f>
        <v>NA</v>
      </c>
      <c r="K14" s="24" t="s">
        <v>503</v>
      </c>
    </row>
    <row r="15" spans="5:14" ht="12.75" customHeight="1" x14ac:dyDescent="0.25">
      <c r="E15" s="7" t="s">
        <v>438</v>
      </c>
      <c r="F15" s="98">
        <f>VLOOKUP($E15, 'Summary Data NRG'!$A$2:$J$55,2,FALSE)</f>
        <v>-123.3456153694962</v>
      </c>
      <c r="G15" s="98">
        <f>VLOOKUP($E15, 'Summary Data NRG'!$A$2:$J$55,3,FALSE)</f>
        <v>-82.589644210684924</v>
      </c>
      <c r="H15" s="98">
        <f>VLOOKUP($E15, 'Summary Data NRG'!$A$2:$J$55,4,FALSE)</f>
        <v>0.26827304622443826</v>
      </c>
      <c r="I15" s="98">
        <f>VLOOKUP($E15, 'Summary Data NRG'!$A$2:$J$55,9,FALSE)</f>
        <v>0.49354827897087927</v>
      </c>
      <c r="J15" s="98" t="str">
        <f>VLOOKUP($E15, 'Summary Data NRG'!$A$2:$J$55,10,FALSE)</f>
        <v>NA</v>
      </c>
      <c r="K15" s="24" t="s">
        <v>503</v>
      </c>
    </row>
    <row r="16" spans="5:14" ht="12.75" customHeight="1" x14ac:dyDescent="0.25">
      <c r="E16" s="7" t="s">
        <v>517</v>
      </c>
      <c r="F16" s="98">
        <f>VLOOKUP($E16, 'Summary Data NRG'!$A$2:$J$55,2,FALSE)</f>
        <v>-7.4630021214459079</v>
      </c>
      <c r="G16" s="98">
        <f>VLOOKUP($E16, 'Summary Data NRG'!$A$2:$J$55,3,FALSE)</f>
        <v>-2.125409819699291</v>
      </c>
      <c r="H16" s="98">
        <f>VLOOKUP($E16, 'Summary Data NRG'!$A$2:$J$55,4,FALSE)</f>
        <v>0.26827304622443826</v>
      </c>
      <c r="I16" s="98">
        <f>VLOOKUP($E16, 'Summary Data NRG'!$A$2:$J$55,9,FALSE)</f>
        <v>0.46254710015256167</v>
      </c>
      <c r="J16" s="98" t="str">
        <f>VLOOKUP($E16, 'Summary Data NRG'!$A$2:$J$55,10,FALSE)</f>
        <v>NA</v>
      </c>
      <c r="K16" s="24" t="s">
        <v>503</v>
      </c>
    </row>
    <row r="17" spans="5:11" ht="12.75" customHeight="1" x14ac:dyDescent="0.25">
      <c r="E17" s="7" t="s">
        <v>518</v>
      </c>
      <c r="F17" s="98">
        <f>VLOOKUP($E17, 'Summary Data NRG'!$A$2:$J$55,2,FALSE)</f>
        <v>-67.080552618168909</v>
      </c>
      <c r="G17" s="98">
        <f>VLOOKUP($E17, 'Summary Data NRG'!$A$2:$J$55,3,FALSE)</f>
        <v>-50.202595116398498</v>
      </c>
      <c r="H17" s="98">
        <f>VLOOKUP($E17, 'Summary Data NRG'!$A$2:$J$55,4,FALSE)</f>
        <v>0.26827304622443826</v>
      </c>
      <c r="I17" s="98">
        <f>VLOOKUP($E17, 'Summary Data NRG'!$A$2:$J$55,9,FALSE)</f>
        <v>-16.253288518684272</v>
      </c>
      <c r="J17" s="98" t="str">
        <f>VLOOKUP($E17, 'Summary Data NRG'!$A$2:$J$55,10,FALSE)</f>
        <v>NA</v>
      </c>
      <c r="K17" s="24" t="s">
        <v>503</v>
      </c>
    </row>
    <row r="18" spans="5:11" ht="12.75" customHeight="1" x14ac:dyDescent="0.25">
      <c r="E18" s="7" t="s">
        <v>519</v>
      </c>
      <c r="F18" s="98">
        <f>VLOOKUP($E18, 'Summary Data NRG'!$A$2:$J$55,2,FALSE)</f>
        <v>-71.015275961446619</v>
      </c>
      <c r="G18" s="98" t="str">
        <f>VLOOKUP($E18, 'Summary Data NRG'!$A$2:$J$55,3,FALSE)</f>
        <v>NA</v>
      </c>
      <c r="H18" s="98">
        <f>VLOOKUP($E18, 'Summary Data NRG'!$A$2:$J$55,4,FALSE)</f>
        <v>0.26827304622443826</v>
      </c>
      <c r="I18" s="98">
        <f>VLOOKUP($E18, 'Summary Data NRG'!$A$2:$J$55,9,FALSE)</f>
        <v>-16.164005123687517</v>
      </c>
      <c r="J18" s="98" t="str">
        <f>VLOOKUP($E18, 'Summary Data NRG'!$A$2:$J$55,10,FALSE)</f>
        <v>NA</v>
      </c>
      <c r="K18" s="24" t="s">
        <v>503</v>
      </c>
    </row>
    <row r="19" spans="5:11" ht="12.75" customHeight="1" x14ac:dyDescent="0.25">
      <c r="E19" s="7" t="s">
        <v>520</v>
      </c>
      <c r="F19" s="98">
        <f>VLOOKUP($E19, 'Summary Data NRG'!$A$2:$J$55,2,FALSE)</f>
        <v>-51.327238882170633</v>
      </c>
      <c r="G19" s="98">
        <f>VLOOKUP($E19, 'Summary Data NRG'!$A$2:$J$55,3,FALSE)</f>
        <v>-31.871174900862655</v>
      </c>
      <c r="H19" s="98">
        <f>VLOOKUP($E19, 'Summary Data NRG'!$A$2:$J$55,4,FALSE)</f>
        <v>0.26827304622443826</v>
      </c>
      <c r="I19" s="98">
        <f>VLOOKUP($E19, 'Summary Data NRG'!$A$2:$J$55,9,FALSE)</f>
        <v>-8.494726833086661</v>
      </c>
      <c r="J19" s="98" t="str">
        <f>VLOOKUP($E19, 'Summary Data NRG'!$A$2:$J$55,10,FALSE)</f>
        <v>NA</v>
      </c>
      <c r="K19" s="24" t="s">
        <v>503</v>
      </c>
    </row>
    <row r="20" spans="5:11" ht="12.75" customHeight="1" x14ac:dyDescent="0.25">
      <c r="E20" s="7" t="s">
        <v>86</v>
      </c>
      <c r="F20" s="98">
        <f>VLOOKUP($E20, 'Summary Data NRG'!$A$2:$J$55,2,FALSE)</f>
        <v>-66.366112170201077</v>
      </c>
      <c r="G20" s="98" t="str">
        <f>VLOOKUP($E20, 'Summary Data NRG'!$A$2:$J$55,3,FALSE)</f>
        <v>NA</v>
      </c>
      <c r="H20" s="98">
        <f>VLOOKUP($E20, 'Summary Data NRG'!$A$2:$J$55,4,FALSE)</f>
        <v>0.26827304622443826</v>
      </c>
      <c r="I20" s="98">
        <f>VLOOKUP($E20, 'Summary Data NRG'!$A$2:$J$55,9,FALSE)</f>
        <v>-16.221047292713223</v>
      </c>
      <c r="J20" s="98" t="str">
        <f>VLOOKUP($E20, 'Summary Data NRG'!$A$2:$J$55,10,FALSE)</f>
        <v>NA</v>
      </c>
      <c r="K20" s="24" t="s">
        <v>503</v>
      </c>
    </row>
    <row r="21" spans="5:11" ht="12.75" customHeight="1" x14ac:dyDescent="0.25">
      <c r="E21" s="7" t="s">
        <v>87</v>
      </c>
      <c r="F21" s="98">
        <f>VLOOKUP($E21, 'Summary Data NRG'!$A$2:$J$55,2,FALSE)</f>
        <v>-66.589347135656709</v>
      </c>
      <c r="G21" s="98" t="str">
        <f>VLOOKUP($E21, 'Summary Data NRG'!$A$2:$J$55,3,FALSE)</f>
        <v>NA</v>
      </c>
      <c r="H21" s="98">
        <f>VLOOKUP($E21, 'Summary Data NRG'!$A$2:$J$55,4,FALSE)</f>
        <v>0.26827304622443826</v>
      </c>
      <c r="I21" s="98">
        <f>VLOOKUP($E21, 'Summary Data NRG'!$A$2:$J$55,9,FALSE)</f>
        <v>-16.222700688916866</v>
      </c>
      <c r="J21" s="98" t="str">
        <f>VLOOKUP($E21, 'Summary Data NRG'!$A$2:$J$55,10,FALSE)</f>
        <v>NA</v>
      </c>
      <c r="K21" s="24" t="s">
        <v>503</v>
      </c>
    </row>
    <row r="22" spans="5:11" ht="12.75" customHeight="1" x14ac:dyDescent="0.25">
      <c r="E22" s="7" t="s">
        <v>88</v>
      </c>
      <c r="F22" s="98">
        <f>VLOOKUP($E22, 'Summary Data NRG'!$A$2:$J$55,2,FALSE)</f>
        <v>-74.988253481395404</v>
      </c>
      <c r="G22" s="98" t="str">
        <f>VLOOKUP($E22, 'Summary Data NRG'!$A$2:$J$55,3,FALSE)</f>
        <v>NA</v>
      </c>
      <c r="H22" s="98">
        <f>VLOOKUP($E22, 'Summary Data NRG'!$A$2:$J$55,4,FALSE)</f>
        <v>0.26827304622443826</v>
      </c>
      <c r="I22" s="98">
        <f>VLOOKUP($E22, 'Summary Data NRG'!$A$2:$J$55,9,FALSE)</f>
        <v>-14.612292786567995</v>
      </c>
      <c r="J22" s="98" t="str">
        <f>VLOOKUP($E22, 'Summary Data NRG'!$A$2:$J$55,10,FALSE)</f>
        <v>NA</v>
      </c>
      <c r="K22" s="24" t="s">
        <v>503</v>
      </c>
    </row>
    <row r="23" spans="5:11" ht="12.75" customHeight="1" x14ac:dyDescent="0.25">
      <c r="E23" s="7" t="s">
        <v>89</v>
      </c>
      <c r="F23" s="98">
        <f>VLOOKUP($E23, 'Summary Data NRG'!$A$2:$J$55,2,FALSE)</f>
        <v>-48.339669074902645</v>
      </c>
      <c r="G23" s="98" t="str">
        <f>VLOOKUP($E23, 'Summary Data NRG'!$A$2:$J$55,3,FALSE)</f>
        <v>NA</v>
      </c>
      <c r="H23" s="98">
        <f>VLOOKUP($E23, 'Summary Data NRG'!$A$2:$J$55,4,FALSE)</f>
        <v>0.26827304622443826</v>
      </c>
      <c r="I23" s="98">
        <f>VLOOKUP($E23, 'Summary Data NRG'!$A$2:$J$55,9,FALSE)</f>
        <v>-6.2419745056222515</v>
      </c>
      <c r="J23" s="98" t="str">
        <f>VLOOKUP($E23, 'Summary Data NRG'!$A$2:$J$55,10,FALSE)</f>
        <v>NA</v>
      </c>
      <c r="K23" s="24" t="s">
        <v>503</v>
      </c>
    </row>
    <row r="24" spans="5:11" ht="12.75" customHeight="1" x14ac:dyDescent="0.25">
      <c r="E24" s="7" t="s">
        <v>85</v>
      </c>
      <c r="F24" s="98">
        <f>VLOOKUP($E24, 'Summary Data NRG'!$A$2:$J$55,2,FALSE)</f>
        <v>-30.693159400792101</v>
      </c>
      <c r="G24" s="98" t="str">
        <f>VLOOKUP($E24, 'Summary Data NRG'!$A$2:$J$55,3,FALSE)</f>
        <v>NA</v>
      </c>
      <c r="H24" s="98">
        <f>VLOOKUP($E24, 'Summary Data NRG'!$A$2:$J$55,4,FALSE)</f>
        <v>0.26827304622443826</v>
      </c>
      <c r="I24" s="98">
        <f>VLOOKUP($E24, 'Summary Data NRG'!$A$2:$J$55,9,FALSE)</f>
        <v>-6.6495366698204004</v>
      </c>
      <c r="J24" s="98">
        <f>VLOOKUP($E24, 'Summary Data NRG'!$A$2:$J$55,10,FALSE)</f>
        <v>0.58399999999999996</v>
      </c>
      <c r="K24" s="24" t="s">
        <v>503</v>
      </c>
    </row>
    <row r="25" spans="5:11" ht="12.75" customHeight="1" x14ac:dyDescent="0.25">
      <c r="E25" s="117" t="s">
        <v>59</v>
      </c>
      <c r="F25" s="98">
        <f>VLOOKUP($E25, 'Summary Data NRG'!$A$2:$J$55,2,FALSE)</f>
        <v>-27.175692842518995</v>
      </c>
      <c r="G25" s="98">
        <f>VLOOKUP($E25, 'Summary Data NRG'!$A$2:$J$55,3,FALSE)</f>
        <v>-15.074420877698142</v>
      </c>
      <c r="H25" s="98">
        <f>VLOOKUP($E25, 'Summary Data NRG'!$A$2:$J$55,4,FALSE)</f>
        <v>0.26827304622443826</v>
      </c>
      <c r="I25" s="98">
        <f>VLOOKUP($E25, 'Summary Data NRG'!$A$2:$J$55,9,FALSE)</f>
        <v>-5.5541616849065125</v>
      </c>
      <c r="J25" s="98" t="str">
        <f>VLOOKUP($E25, 'Summary Data NRG'!$A$2:$J$55,10,FALSE)</f>
        <v>NA</v>
      </c>
      <c r="K25" s="24" t="s">
        <v>503</v>
      </c>
    </row>
    <row r="26" spans="5:11" ht="12.75" customHeight="1" x14ac:dyDescent="0.25">
      <c r="E26" s="128" t="s">
        <v>290</v>
      </c>
      <c r="F26" s="98">
        <f>VLOOKUP($E26, 'Summary Data NRG'!$A$2:$J$55,2,FALSE)</f>
        <v>-33.267474482017683</v>
      </c>
      <c r="G26" s="98">
        <f>VLOOKUP($E26, 'Summary Data NRG'!$A$2:$J$55,3,FALSE)</f>
        <v>-0.68565151603619501</v>
      </c>
      <c r="H26" s="98">
        <f>VLOOKUP($E26, 'Summary Data NRG'!$A$2:$J$55,4,FALSE)</f>
        <v>0.26827304622443826</v>
      </c>
      <c r="I26" s="98">
        <f>VLOOKUP($E26, 'Summary Data NRG'!$A$2:$J$55,9,FALSE)</f>
        <v>-4.0785055731545965</v>
      </c>
      <c r="J26" s="98" t="str">
        <f>VLOOKUP($E26, 'Summary Data NRG'!$A$2:$J$55,10,FALSE)</f>
        <v>NA</v>
      </c>
      <c r="K26" s="24" t="s">
        <v>503</v>
      </c>
    </row>
    <row r="27" spans="5:11" ht="12.75" customHeight="1" x14ac:dyDescent="0.25">
      <c r="E27" s="129" t="s">
        <v>502</v>
      </c>
      <c r="F27" s="98">
        <f>VLOOKUP($E27, 'Summary Data NRG'!$A$2:$J$55,2,FALSE)</f>
        <v>-40.699353438892402</v>
      </c>
      <c r="G27" s="98">
        <f>VLOOKUP($E27, 'Summary Data NRG'!$A$2:$J$55,3,FALSE)</f>
        <v>-16.485950938072122</v>
      </c>
      <c r="H27" s="98">
        <f>VLOOKUP($E27, 'Summary Data NRG'!$A$2:$J$55,4,FALSE)</f>
        <v>0.26827304622443826</v>
      </c>
      <c r="I27" s="98">
        <f>VLOOKUP($E27, 'Summary Data NRG'!$A$2:$J$55,9,FALSE)</f>
        <v>-6.3039768632588871</v>
      </c>
      <c r="J27" s="747" t="str">
        <f>VLOOKUP($E27, 'Summary Data NRG'!$A$2:$J$55,10,FALSE)</f>
        <v>NA</v>
      </c>
      <c r="K27" s="24" t="s">
        <v>503</v>
      </c>
    </row>
    <row r="28" spans="5:11" ht="12.75" customHeight="1" x14ac:dyDescent="0.25">
      <c r="E28" s="129" t="s">
        <v>514</v>
      </c>
      <c r="F28" s="98">
        <f>VLOOKUP($E28, 'Summary Data NRG'!$A$2:$J$55,2,FALSE)</f>
        <v>-37.290868697497764</v>
      </c>
      <c r="G28" s="98">
        <f>VLOOKUP($E28, 'Summary Data NRG'!$A$2:$J$55,3,FALSE)</f>
        <v>-10.081037231692992</v>
      </c>
      <c r="H28" s="98">
        <f>VLOOKUP($E28, 'Summary Data NRG'!$A$2:$J$55,4,FALSE)</f>
        <v>0.26827304622443826</v>
      </c>
      <c r="I28" s="98">
        <f>VLOOKUP($E28, 'Summary Data NRG'!$A$2:$J$55,9,FALSE)</f>
        <v>-5.353274046163814</v>
      </c>
      <c r="J28" s="747" t="str">
        <f>VLOOKUP($E28, 'Summary Data NRG'!$A$2:$J$55,10,FALSE)</f>
        <v>NA</v>
      </c>
      <c r="K28" s="24" t="s">
        <v>503</v>
      </c>
    </row>
    <row r="29" spans="5:11" ht="12.75" customHeight="1" x14ac:dyDescent="0.25">
      <c r="E29" s="129" t="s">
        <v>383</v>
      </c>
      <c r="F29" s="98">
        <f>VLOOKUP($E29, 'Summary Data NRG'!$A$2:$J$55,2,FALSE)</f>
        <v>-40.198908550451655</v>
      </c>
      <c r="G29" s="98">
        <f>VLOOKUP($E29, 'Summary Data NRG'!$A$2:$J$55,3,FALSE)</f>
        <v>-11.931006857682895</v>
      </c>
      <c r="H29" s="98">
        <f>VLOOKUP($E29, 'Summary Data NRG'!$A$2:$J$55,4,FALSE)</f>
        <v>0.26827304622443826</v>
      </c>
      <c r="I29" s="98">
        <f>VLOOKUP($E29, 'Summary Data NRG'!$A$2:$J$55,9,FALSE)</f>
        <v>-6.3039768632588871</v>
      </c>
      <c r="J29" s="747" t="str">
        <f>VLOOKUP($E29, 'Summary Data NRG'!$A$2:$J$55,10,FALSE)</f>
        <v>NA</v>
      </c>
      <c r="K29" s="24" t="s">
        <v>503</v>
      </c>
    </row>
    <row r="30" spans="5:11" ht="12.75" customHeight="1" x14ac:dyDescent="0.25">
      <c r="E30" s="129" t="s">
        <v>384</v>
      </c>
      <c r="F30" s="98">
        <f>VLOOKUP($E30, 'Summary Data NRG'!$A$2:$J$55,2,FALSE)</f>
        <v>-35.663559250647594</v>
      </c>
      <c r="G30" s="98">
        <f>VLOOKUP($E30, 'Summary Data NRG'!$A$2:$J$55,3,FALSE)</f>
        <v>-1.0271952983229131</v>
      </c>
      <c r="H30" s="98">
        <f>VLOOKUP($E30, 'Summary Data NRG'!$A$2:$J$55,4,FALSE)</f>
        <v>0.26827304622443826</v>
      </c>
      <c r="I30" s="98">
        <f>VLOOKUP($E30, 'Summary Data NRG'!$A$2:$J$55,9,FALSE)</f>
        <v>-5.353274046163814</v>
      </c>
      <c r="J30" s="747" t="str">
        <f>VLOOKUP($E30, 'Summary Data NRG'!$A$2:$J$55,10,FALSE)</f>
        <v>NA</v>
      </c>
      <c r="K30" s="24" t="s">
        <v>503</v>
      </c>
    </row>
    <row r="31" spans="5:11" ht="12.75" customHeight="1" x14ac:dyDescent="0.25">
      <c r="E31" s="117" t="s">
        <v>4</v>
      </c>
      <c r="F31" s="98">
        <f>VLOOKUP($E31, 'Summary Data NRG'!$A$2:$J$55,2,FALSE)</f>
        <v>-3.6749756764231494</v>
      </c>
      <c r="G31" s="98">
        <f>VLOOKUP($E31, 'Summary Data NRG'!$A$2:$J$55,3,FALSE)</f>
        <v>0.58794120000000016</v>
      </c>
      <c r="H31" s="98">
        <f>VLOOKUP($E31, 'Summary Data NRG'!$A$2:$J$55,4,FALSE)</f>
        <v>0.26827304622443826</v>
      </c>
      <c r="I31" s="98">
        <f>VLOOKUP($E31, 'Summary Data NRG'!$A$2:$J$55,9,FALSE)</f>
        <v>-6.5933211988965184</v>
      </c>
      <c r="J31" s="98" t="str">
        <f>VLOOKUP($E31, 'Summary Data NRG'!$A$2:$J$55,10,FALSE)</f>
        <v>NA</v>
      </c>
      <c r="K31" s="24" t="s">
        <v>503</v>
      </c>
    </row>
    <row r="32" spans="5:11" ht="12.75" customHeight="1" x14ac:dyDescent="0.25">
      <c r="E32" s="117" t="s">
        <v>558</v>
      </c>
      <c r="F32" s="98">
        <f>VLOOKUP($E32, 'Summary Data NRG'!$A$2:$J$55,2,FALSE)</f>
        <v>-11.920555209697666</v>
      </c>
      <c r="G32" s="98">
        <f>VLOOKUP($E32, 'Summary Data NRG'!$A$2:$J$55,3,FALSE)</f>
        <v>0.85831415999999972</v>
      </c>
      <c r="H32" s="98">
        <f>VLOOKUP($E32, 'Summary Data NRG'!$A$2:$J$55,4,FALSE)</f>
        <v>0.26827304622443826</v>
      </c>
      <c r="I32" s="98">
        <f>VLOOKUP($E32, 'Summary Data NRG'!$A$2:$J$55,9,FALSE)</f>
        <v>-6.5933211988965184</v>
      </c>
      <c r="J32" s="98" t="str">
        <f>VLOOKUP($E32, 'Summary Data NRG'!$A$2:$J$55,10,FALSE)</f>
        <v>NA</v>
      </c>
      <c r="K32" s="24" t="s">
        <v>503</v>
      </c>
    </row>
    <row r="33" spans="5:11" ht="12.75" customHeight="1" x14ac:dyDescent="0.25">
      <c r="E33" s="7" t="s">
        <v>646</v>
      </c>
      <c r="F33" s="98">
        <f>VLOOKUP($E33, 'Summary Data NRG'!$A$2:$J$55,2,FALSE)</f>
        <v>-7.201574287141435</v>
      </c>
      <c r="G33" s="98" t="str">
        <f>VLOOKUP($E33, 'Summary Data NRG'!$A$2:$J$55,3,FALSE)</f>
        <v>NA</v>
      </c>
      <c r="H33" s="98">
        <f>VLOOKUP($E33, 'Summary Data NRG'!$A$2:$J$55,4,FALSE)</f>
        <v>0.26827304622443826</v>
      </c>
      <c r="I33" s="98">
        <f>VLOOKUP($E33, 'Summary Data NRG'!$A$2:$J$55,9,FALSE)</f>
        <v>-1.6910014550932322</v>
      </c>
      <c r="J33" s="98">
        <f>VLOOKUP($E33, 'Summary Data NRG'!$A$2:$J$55,10,FALSE)</f>
        <v>0.58399999999999996</v>
      </c>
      <c r="K33" s="24">
        <f>(IF(AND('Analysis Inputs'!$N$146=1,'Analysis Inputs'!$N$156=1),VLOOKUP($E33,'Summary Data NRG'!$A$2:$Q$55,11,FALSE), IF(AND('Analysis Inputs'!$N$146=1,'Analysis Inputs'!$N$156=2),VLOOKUP($E33,'Summary Data NRG'!$A$2:$Q$55,12, FALSE), IF(AND('Analysis Inputs'!$N$146=2,'Analysis Inputs'!$N$156=1),VLOOKUP($E33,'Summary Data NRG'!$A$2:$Q$55,13,FALSE), IF(AND('Analysis Inputs'!$N$146=2,'Analysis Inputs'!$N$156=2),VLOOKUP($E33,'Summary Data NRG'!$A$2:$Q$55,14,FALSE), 0)))))</f>
        <v>-1.158378318065886</v>
      </c>
    </row>
    <row r="34" spans="5:11" ht="12.75" customHeight="1" x14ac:dyDescent="0.25">
      <c r="E34" s="7" t="s">
        <v>744</v>
      </c>
      <c r="F34" s="98">
        <f>VLOOKUP($E34, 'Summary Data NRG'!$A$2:$J$55,2,FALSE)</f>
        <v>-43.602496945352172</v>
      </c>
      <c r="G34" s="98" t="str">
        <f>VLOOKUP($E34, 'Summary Data NRG'!$A$2:$J$55,3,FALSE)</f>
        <v>NA</v>
      </c>
      <c r="H34" s="98">
        <f>VLOOKUP($E34, 'Summary Data NRG'!$A$2:$J$55,4,FALSE)</f>
        <v>0.26827304622443826</v>
      </c>
      <c r="I34" s="98">
        <f>VLOOKUP($E34, 'Summary Data NRG'!$A$2:$J$55,9,FALSE)</f>
        <v>-1.6910014550932322</v>
      </c>
      <c r="J34" s="98">
        <f>VLOOKUP($E34, 'Summary Data NRG'!$A$2:$J$55,10,FALSE)</f>
        <v>0.58399999999999996</v>
      </c>
      <c r="K34" s="24">
        <f>(IF(AND('Analysis Inputs'!$N$146=1,'Analysis Inputs'!$N$156=1),VLOOKUP($E34,'Summary Data NRG'!$A$2:$Q$55,11,FALSE), IF(AND('Analysis Inputs'!$N$146=1,'Analysis Inputs'!$N$156=2),VLOOKUP($E34,'Summary Data NRG'!$A$2:$Q$55,12, FALSE), IF(AND('Analysis Inputs'!$N$146=2,'Analysis Inputs'!$N$156=1),VLOOKUP($E34,'Summary Data NRG'!$A$2:$Q$55,13,FALSE), IF(AND('Analysis Inputs'!$N$146=2,'Analysis Inputs'!$N$156=2),VLOOKUP($E34,'Summary Data NRG'!$A$2:$Q$55,14,FALSE), 0)))))</f>
        <v>-1.158378318065886</v>
      </c>
    </row>
    <row r="35" spans="5:11" ht="12.75" customHeight="1" x14ac:dyDescent="0.25">
      <c r="E35" s="7" t="s">
        <v>741</v>
      </c>
      <c r="F35" s="98">
        <f>VLOOKUP($E35, 'Summary Data NRG'!$A$2:$J$55,2,FALSE)</f>
        <v>-63.882874067756674</v>
      </c>
      <c r="G35" s="98" t="str">
        <f>VLOOKUP($E35, 'Summary Data NRG'!$A$2:$J$55,3,FALSE)</f>
        <v>NA</v>
      </c>
      <c r="H35" s="98">
        <f>VLOOKUP($E35, 'Summary Data NRG'!$A$2:$J$55,4,FALSE)</f>
        <v>0.26827304622443826</v>
      </c>
      <c r="I35" s="98">
        <f>VLOOKUP($E35, 'Summary Data NRG'!$A$2:$J$55,9,FALSE)</f>
        <v>-1.6910014550932322</v>
      </c>
      <c r="J35" s="98">
        <f>VLOOKUP($E35, 'Summary Data NRG'!$A$2:$J$55,10,FALSE)</f>
        <v>0.58399999999999996</v>
      </c>
      <c r="K35" s="24">
        <f>(IF(AND('Analysis Inputs'!$N$146=1,'Analysis Inputs'!$N$156=1),VLOOKUP($E35,'Summary Data NRG'!$A$2:$Q$55,11,FALSE), IF(AND('Analysis Inputs'!$N$146=1,'Analysis Inputs'!$N$156=2),VLOOKUP($E35,'Summary Data NRG'!$A$2:$Q$55,12, FALSE), IF(AND('Analysis Inputs'!$N$146=2,'Analysis Inputs'!$N$156=1),VLOOKUP($E35,'Summary Data NRG'!$A$2:$Q$55,13,FALSE), IF(AND('Analysis Inputs'!$N$146=2,'Analysis Inputs'!$N$156=2),VLOOKUP($E35,'Summary Data NRG'!$A$2:$Q$55,14,FALSE), 0)))))</f>
        <v>-1.158378318065886</v>
      </c>
    </row>
    <row r="36" spans="5:11" ht="12.75" customHeight="1" x14ac:dyDescent="0.25">
      <c r="E36" s="7" t="s">
        <v>742</v>
      </c>
      <c r="F36" s="98">
        <f>VLOOKUP($E36, 'Summary Data NRG'!$A$2:$J$55,2,FALSE)</f>
        <v>-26.480489517117867</v>
      </c>
      <c r="G36" s="98" t="str">
        <f>VLOOKUP($E36, 'Summary Data NRG'!$A$2:$J$55,3,FALSE)</f>
        <v>NA</v>
      </c>
      <c r="H36" s="98">
        <f>VLOOKUP($E36, 'Summary Data NRG'!$A$2:$J$55,4,FALSE)</f>
        <v>0.26827304622443826</v>
      </c>
      <c r="I36" s="98">
        <f>VLOOKUP($E36, 'Summary Data NRG'!$A$2:$J$55,9,FALSE)</f>
        <v>-1.6910014550932322</v>
      </c>
      <c r="J36" s="98">
        <f>VLOOKUP($E36, 'Summary Data NRG'!$A$2:$J$55,10,FALSE)</f>
        <v>0.58399999999999996</v>
      </c>
      <c r="K36" s="24">
        <f>(IF(AND('Analysis Inputs'!$N$146=1,'Analysis Inputs'!$N$156=1),VLOOKUP($E36,'Summary Data NRG'!$A$2:$Q$55,11,FALSE), IF(AND('Analysis Inputs'!$N$146=1,'Analysis Inputs'!$N$156=2),VLOOKUP($E36,'Summary Data NRG'!$A$2:$Q$55,12, FALSE), IF(AND('Analysis Inputs'!$N$146=2,'Analysis Inputs'!$N$156=1),VLOOKUP($E36,'Summary Data NRG'!$A$2:$Q$55,13,FALSE), IF(AND('Analysis Inputs'!$N$146=2,'Analysis Inputs'!$N$156=2),VLOOKUP($E36,'Summary Data NRG'!$A$2:$Q$55,14,FALSE), 0)))))</f>
        <v>-1.158378318065886</v>
      </c>
    </row>
    <row r="37" spans="5:11" ht="12.75" customHeight="1" x14ac:dyDescent="0.25">
      <c r="E37" s="117" t="s">
        <v>649</v>
      </c>
      <c r="F37" s="98">
        <f>VLOOKUP($E37, 'Summary Data NRG'!$A$2:$J$55,2,FALSE)</f>
        <v>-5.642138563263372</v>
      </c>
      <c r="G37" s="98" t="str">
        <f>VLOOKUP($E37, 'Summary Data NRG'!$A$2:$J$55,3,FALSE)</f>
        <v>NA</v>
      </c>
      <c r="H37" s="98">
        <f>VLOOKUP($E37, 'Summary Data NRG'!$A$2:$J$55,4,FALSE)</f>
        <v>0.26827304622443826</v>
      </c>
      <c r="I37" s="98">
        <f>VLOOKUP($E37, 'Summary Data NRG'!$A$2:$J$55,9,FALSE)</f>
        <v>-1.6910014550932322</v>
      </c>
      <c r="J37" s="98">
        <f>VLOOKUP($E37, 'Summary Data NRG'!$A$2:$J$55,10,FALSE)</f>
        <v>0.58399999999999996</v>
      </c>
      <c r="K37" s="24">
        <f>(IF(AND('Analysis Inputs'!$N$146=1,'Analysis Inputs'!$N$156=1),VLOOKUP($E37,'Summary Data NRG'!$A$2:$Q$55,11,FALSE), IF(AND('Analysis Inputs'!$N$146=1,'Analysis Inputs'!$N$156=2),VLOOKUP($E37,'Summary Data NRG'!$A$2:$Q$55,12, FALSE), IF(AND('Analysis Inputs'!$N$146=2,'Analysis Inputs'!$N$156=1),VLOOKUP($E37,'Summary Data NRG'!$A$2:$Q$55,13,FALSE), IF(AND('Analysis Inputs'!$N$146=2,'Analysis Inputs'!$N$156=2),VLOOKUP($E37,'Summary Data NRG'!$A$2:$Q$55,14,FALSE), 0)))))</f>
        <v>-1.158378318065886</v>
      </c>
    </row>
    <row r="38" spans="5:11" ht="12.75" customHeight="1" x14ac:dyDescent="0.25">
      <c r="E38" s="117" t="s">
        <v>645</v>
      </c>
      <c r="F38" s="98">
        <f>VLOOKUP($E38, 'Summary Data NRG'!$A$2:$J$55,2,FALSE)</f>
        <v>-6.5221665213326432</v>
      </c>
      <c r="G38" s="98" t="str">
        <f>VLOOKUP($E38, 'Summary Data NRG'!$A$2:$J$55,3,FALSE)</f>
        <v>NA</v>
      </c>
      <c r="H38" s="98">
        <f>VLOOKUP($E38, 'Summary Data NRG'!$A$2:$J$55,4,FALSE)</f>
        <v>0.26827304622443826</v>
      </c>
      <c r="I38" s="98">
        <f>VLOOKUP($E38, 'Summary Data NRG'!$A$2:$J$55,9,FALSE)</f>
        <v>-1.6910014550932322</v>
      </c>
      <c r="J38" s="98">
        <f>VLOOKUP($E38, 'Summary Data NRG'!$A$2:$J$55,10,FALSE)</f>
        <v>0.58399999999999996</v>
      </c>
      <c r="K38" s="24">
        <f>(IF(AND('Analysis Inputs'!$N$146=1,'Analysis Inputs'!$N$156=1),VLOOKUP($E38,'Summary Data NRG'!$A$2:$Q$55,11,FALSE), IF(AND('Analysis Inputs'!$N$146=1,'Analysis Inputs'!$N$156=2),VLOOKUP($E38,'Summary Data NRG'!$A$2:$Q$55,12, FALSE), IF(AND('Analysis Inputs'!$N$146=2,'Analysis Inputs'!$N$156=1),VLOOKUP($E38,'Summary Data NRG'!$A$2:$Q$55,13,FALSE), IF(AND('Analysis Inputs'!$N$146=2,'Analysis Inputs'!$N$156=2),VLOOKUP($E38,'Summary Data NRG'!$A$2:$Q$55,14,FALSE), 0)))))</f>
        <v>-1.158378318065886</v>
      </c>
    </row>
    <row r="39" spans="5:11" ht="12.75" customHeight="1" x14ac:dyDescent="0.25">
      <c r="E39" s="117" t="s">
        <v>647</v>
      </c>
      <c r="F39" s="98">
        <f>VLOOKUP($E39, 'Summary Data NRG'!$A$2:$J$55,2,FALSE)</f>
        <v>-5.0692234436343391</v>
      </c>
      <c r="G39" s="98" t="str">
        <f>VLOOKUP($E39, 'Summary Data NRG'!$A$2:$J$55,3,FALSE)</f>
        <v>NA</v>
      </c>
      <c r="H39" s="98">
        <f>VLOOKUP($E39, 'Summary Data NRG'!$A$2:$J$55,4,FALSE)</f>
        <v>0.26827304622443826</v>
      </c>
      <c r="I39" s="98">
        <f>VLOOKUP($E39, 'Summary Data NRG'!$A$2:$J$55,9,FALSE)</f>
        <v>-1.6910014550932322</v>
      </c>
      <c r="J39" s="98">
        <f>VLOOKUP($E39, 'Summary Data NRG'!$A$2:$J$55,10,FALSE)</f>
        <v>0.58399999999999996</v>
      </c>
      <c r="K39" s="24">
        <f>(IF(AND('Analysis Inputs'!$N$146=1,'Analysis Inputs'!$N$156=1),VLOOKUP($E39,'Summary Data NRG'!$A$2:$Q$55,11,FALSE), IF(AND('Analysis Inputs'!$N$146=1,'Analysis Inputs'!$N$156=2),VLOOKUP($E39,'Summary Data NRG'!$A$2:$Q$55,12, FALSE), IF(AND('Analysis Inputs'!$N$146=2,'Analysis Inputs'!$N$156=1),VLOOKUP($E39,'Summary Data NRG'!$A$2:$Q$55,13,FALSE), IF(AND('Analysis Inputs'!$N$146=2,'Analysis Inputs'!$N$156=2),VLOOKUP($E39,'Summary Data NRG'!$A$2:$Q$55,14,FALSE), 0)))))</f>
        <v>-1.158378318065886</v>
      </c>
    </row>
    <row r="40" spans="5:11" ht="12.75" customHeight="1" x14ac:dyDescent="0.25">
      <c r="E40" s="117" t="s">
        <v>648</v>
      </c>
      <c r="F40" s="98">
        <f>VLOOKUP($E40, 'Summary Data NRG'!$A$2:$J$55,2,FALSE)</f>
        <v>-14.267376488498567</v>
      </c>
      <c r="G40" s="98" t="str">
        <f>VLOOKUP($E40, 'Summary Data NRG'!$A$2:$J$55,3,FALSE)</f>
        <v>NA</v>
      </c>
      <c r="H40" s="98">
        <f>VLOOKUP($E40, 'Summary Data NRG'!$A$2:$J$55,4,FALSE)</f>
        <v>0.26827304622443826</v>
      </c>
      <c r="I40" s="98">
        <f>VLOOKUP($E40, 'Summary Data NRG'!$A$2:$J$55,9,FALSE)</f>
        <v>-1.6910014550932322</v>
      </c>
      <c r="J40" s="98">
        <f>VLOOKUP($E40, 'Summary Data NRG'!$A$2:$J$55,10,FALSE)</f>
        <v>0.58399999999999996</v>
      </c>
      <c r="K40" s="24">
        <f>(IF(AND('Analysis Inputs'!$N$146=1,'Analysis Inputs'!$N$156=1),VLOOKUP($E40,'Summary Data NRG'!$A$2:$Q$55,11,FALSE), IF(AND('Analysis Inputs'!$N$146=1,'Analysis Inputs'!$N$156=2),VLOOKUP($E40,'Summary Data NRG'!$A$2:$Q$55,12, FALSE), IF(AND('Analysis Inputs'!$N$146=2,'Analysis Inputs'!$N$156=1),VLOOKUP($E40,'Summary Data NRG'!$A$2:$Q$55,13,FALSE), IF(AND('Analysis Inputs'!$N$146=2,'Analysis Inputs'!$N$156=2),VLOOKUP($E40,'Summary Data NRG'!$A$2:$Q$55,14,FALSE), 0)))))</f>
        <v>-1.158378318065886</v>
      </c>
    </row>
    <row r="41" spans="5:11" ht="12.75" customHeight="1" x14ac:dyDescent="0.25">
      <c r="E41" s="117" t="s">
        <v>580</v>
      </c>
      <c r="F41" s="98">
        <f>VLOOKUP($E41, 'Summary Data NRG'!$A$2:$J$55,2,FALSE)</f>
        <v>0</v>
      </c>
      <c r="G41" s="98" t="str">
        <f>VLOOKUP($E41, 'Summary Data NRG'!$A$2:$J$55,3,FALSE)</f>
        <v>NA</v>
      </c>
      <c r="H41" s="98">
        <f>VLOOKUP($E41, 'Summary Data NRG'!$A$2:$J$55,4,FALSE)</f>
        <v>0.26827304622443826</v>
      </c>
      <c r="I41" s="98">
        <f>VLOOKUP($E41, 'Summary Data NRG'!$A$2:$J$55,9,FALSE)</f>
        <v>-2.0464816388766067</v>
      </c>
      <c r="J41" s="98">
        <f>VLOOKUP($E41, 'Summary Data NRG'!$A$2:$J$55,10,FALSE)</f>
        <v>0.58399999999999996</v>
      </c>
      <c r="K41" s="24" t="str">
        <f>(IF(AND('Analysis Inputs'!$N$146=2,'Analysis Inputs'!$N$156=1),VLOOKUP($E41,'Summary Data NRG'!$A$2:$Q$55,13,FALSE), IF(AND('Analysis Inputs'!$N$146=2,'Analysis Inputs'!$N$156=2),VLOOKUP($E41,'Summary Data NRG'!$A$2:$Q$55,14,FALSE), "NA")))</f>
        <v>NA</v>
      </c>
    </row>
    <row r="42" spans="5:11" ht="12.75" customHeight="1" x14ac:dyDescent="0.25">
      <c r="E42" s="117" t="s">
        <v>521</v>
      </c>
      <c r="F42" s="98">
        <f>VLOOKUP($E42, 'Summary Data NRG'!$A$2:$J$55,2,FALSE)</f>
        <v>0</v>
      </c>
      <c r="G42" s="98" t="str">
        <f>VLOOKUP($E42, 'Summary Data NRG'!$A$2:$J$55,3,FALSE)</f>
        <v>NA</v>
      </c>
      <c r="H42" s="98">
        <f>VLOOKUP($E42, 'Summary Data NRG'!$A$2:$J$55,4,FALSE)</f>
        <v>0.26827304622443826</v>
      </c>
      <c r="I42" s="98">
        <f>VLOOKUP($E42, 'Summary Data NRG'!$A$2:$J$55,9,FALSE)</f>
        <v>-2.0464816388766067</v>
      </c>
      <c r="J42" s="98">
        <f>VLOOKUP($E42, 'Summary Data NRG'!$A$2:$J$55,10,FALSE)</f>
        <v>0.58399999999999996</v>
      </c>
      <c r="K42" s="24" t="str">
        <f>(IF(AND('Analysis Inputs'!$N$146=2,'Analysis Inputs'!$N$156=1),VLOOKUP($E42,'Summary Data NRG'!$A$2:$Q$55,13,FALSE), IF(AND('Analysis Inputs'!$N$146=2,'Analysis Inputs'!$N$156=2),VLOOKUP($E42,'Summary Data NRG'!$A$2:$Q$55,14,FALSE), "NA")))</f>
        <v>NA</v>
      </c>
    </row>
    <row r="43" spans="5:11" ht="12.75" customHeight="1" x14ac:dyDescent="0.25">
      <c r="E43" s="117" t="s">
        <v>522</v>
      </c>
      <c r="F43" s="98">
        <f>VLOOKUP($E43, 'Summary Data NRG'!$A$2:$J$55,2,FALSE)</f>
        <v>0</v>
      </c>
      <c r="G43" s="98" t="str">
        <f>VLOOKUP($E43, 'Summary Data NRG'!$A$2:$J$55,3,FALSE)</f>
        <v>NA</v>
      </c>
      <c r="H43" s="98">
        <f>VLOOKUP($E43, 'Summary Data NRG'!$A$2:$J$55,4,FALSE)</f>
        <v>0.26827304622443826</v>
      </c>
      <c r="I43" s="98">
        <f>VLOOKUP($E43, 'Summary Data NRG'!$A$2:$J$55,9,FALSE)</f>
        <v>-2.0464816388766067</v>
      </c>
      <c r="J43" s="98">
        <f>VLOOKUP($E43, 'Summary Data NRG'!$A$2:$J$55,10,FALSE)</f>
        <v>0.58399999999999996</v>
      </c>
      <c r="K43" s="24" t="str">
        <f>(IF(AND('Analysis Inputs'!$N$146=2,'Analysis Inputs'!$N$156=1),VLOOKUP($E43,'Summary Data NRG'!$A$2:$Q$55,13,FALSE), IF(AND('Analysis Inputs'!$N$146=2,'Analysis Inputs'!$N$156=2),VLOOKUP($E43,'Summary Data NRG'!$A$2:$Q$55,14,FALSE), "NA")))</f>
        <v>NA</v>
      </c>
    </row>
    <row r="44" spans="5:11" ht="12.75" customHeight="1" x14ac:dyDescent="0.25">
      <c r="E44" s="117" t="s">
        <v>523</v>
      </c>
      <c r="F44" s="98">
        <f>VLOOKUP($E44, 'Summary Data NRG'!$A$2:$J$55,2,FALSE)</f>
        <v>0</v>
      </c>
      <c r="G44" s="98" t="str">
        <f>VLOOKUP($E44, 'Summary Data NRG'!$A$2:$J$55,3,FALSE)</f>
        <v>NA</v>
      </c>
      <c r="H44" s="98">
        <f>VLOOKUP($E44, 'Summary Data NRG'!$A$2:$J$55,4,FALSE)</f>
        <v>0.26827304622443826</v>
      </c>
      <c r="I44" s="98">
        <f>VLOOKUP($E44, 'Summary Data NRG'!$A$2:$J$55,9,FALSE)</f>
        <v>-2.0464816388766067</v>
      </c>
      <c r="J44" s="98">
        <f>VLOOKUP($E44, 'Summary Data NRG'!$A$2:$J$55,10,FALSE)</f>
        <v>0.58399999999999996</v>
      </c>
      <c r="K44" s="24" t="str">
        <f>(IF(AND('Analysis Inputs'!$N$146=2,'Analysis Inputs'!$N$156=1),VLOOKUP($E44,'Summary Data NRG'!$A$2:$Q$55,13,FALSE), IF(AND('Analysis Inputs'!$N$146=2,'Analysis Inputs'!$N$156=2),VLOOKUP($E44,'Summary Data NRG'!$A$2:$Q$55,14,FALSE), "NA")))</f>
        <v>NA</v>
      </c>
    </row>
    <row r="45" spans="5:11" ht="12.75" customHeight="1" x14ac:dyDescent="0.25">
      <c r="E45" s="117" t="s">
        <v>583</v>
      </c>
      <c r="F45" s="98">
        <f>VLOOKUP($E45, 'Summary Data NRG'!$A$2:$J$55,2,FALSE)</f>
        <v>-32.931749087804263</v>
      </c>
      <c r="G45" s="98">
        <f>VLOOKUP($E45, 'Summary Data NRG'!$A$2:$J$55,3,FALSE)</f>
        <v>-20.451481173499502</v>
      </c>
      <c r="H45" s="98">
        <f>VLOOKUP($E45, 'Summary Data NRG'!$A$2:$J$55,4,FALSE)</f>
        <v>0.26827304622443826</v>
      </c>
      <c r="I45" s="98">
        <f>VLOOKUP($E45, 'Summary Data NRG'!$A$2:$J$55,9,FALSE)</f>
        <v>-5.575887311022389</v>
      </c>
      <c r="J45" s="98" t="str">
        <f>VLOOKUP($E45, 'Summary Data NRG'!$A$2:$J$55,10,FALSE)</f>
        <v>NA</v>
      </c>
      <c r="K45" s="24" t="s">
        <v>503</v>
      </c>
    </row>
    <row r="46" spans="5:11" ht="12.75" customHeight="1" x14ac:dyDescent="0.25">
      <c r="E46" s="117" t="s">
        <v>584</v>
      </c>
      <c r="F46" s="98">
        <f>VLOOKUP($E46, 'Summary Data NRG'!$A$2:$J$55,2,FALSE)</f>
        <v>-32.311437563331779</v>
      </c>
      <c r="G46" s="98">
        <f>VLOOKUP($E46, 'Summary Data NRG'!$A$2:$J$55,3,FALSE)</f>
        <v>-20.451481173499502</v>
      </c>
      <c r="H46" s="98">
        <f>VLOOKUP($E46, 'Summary Data NRG'!$A$2:$J$55,4,FALSE)</f>
        <v>0.26827304622443826</v>
      </c>
      <c r="I46" s="98">
        <f>VLOOKUP($E46, 'Summary Data NRG'!$A$2:$J$55,9,FALSE)</f>
        <v>-5.5509292953283893</v>
      </c>
      <c r="J46" s="98" t="str">
        <f>VLOOKUP($E46, 'Summary Data NRG'!$A$2:$J$55,10,FALSE)</f>
        <v>NA</v>
      </c>
      <c r="K46" s="24" t="s">
        <v>503</v>
      </c>
    </row>
    <row r="47" spans="5:11" ht="12.75" customHeight="1" x14ac:dyDescent="0.25">
      <c r="E47" s="117" t="s">
        <v>585</v>
      </c>
      <c r="F47" s="98">
        <f>VLOOKUP($E47, 'Summary Data NRG'!$A$2:$J$55,2,FALSE)</f>
        <v>-36.052469782868869</v>
      </c>
      <c r="G47" s="98">
        <f>VLOOKUP($E47, 'Summary Data NRG'!$A$2:$J$55,3,FALSE)</f>
        <v>-20.850283999999998</v>
      </c>
      <c r="H47" s="98">
        <f>VLOOKUP($E47, 'Summary Data NRG'!$A$2:$J$55,4,FALSE)</f>
        <v>0.26827304622443826</v>
      </c>
      <c r="I47" s="98">
        <f>VLOOKUP($E47, 'Summary Data NRG'!$A$2:$J$55,9,FALSE)</f>
        <v>-5.1040493694075959</v>
      </c>
      <c r="J47" s="98" t="str">
        <f>VLOOKUP($E47, 'Summary Data NRG'!$A$2:$J$55,10,FALSE)</f>
        <v>NA</v>
      </c>
      <c r="K47" s="24" t="s">
        <v>503</v>
      </c>
    </row>
    <row r="48" spans="5:11" ht="12.75" customHeight="1" x14ac:dyDescent="0.25">
      <c r="E48" s="117" t="s">
        <v>633</v>
      </c>
      <c r="F48" s="98">
        <f>VLOOKUP($E48, 'Summary Data NRG'!$A$2:$J$55,2,FALSE)</f>
        <v>-88.339173603856906</v>
      </c>
      <c r="G48" s="98">
        <f>VLOOKUP($E48, 'Summary Data NRG'!$A$2:$J$55,3,FALSE)</f>
        <v>-65.985389887039346</v>
      </c>
      <c r="H48" s="98">
        <f>VLOOKUP($E48, 'Summary Data NRG'!$A$2:$J$55,4,FALSE)</f>
        <v>0.26827304622443826</v>
      </c>
      <c r="I48" s="98">
        <f>VLOOKUP($E48, 'Summary Data NRG'!$A$2:$J$55,9,FALSE)</f>
        <v>-11.029958879054311</v>
      </c>
      <c r="J48" s="98" t="str">
        <f>VLOOKUP($E48, 'Summary Data NRG'!$A$2:$J$55,10,FALSE)</f>
        <v>NA</v>
      </c>
      <c r="K48" s="24" t="s">
        <v>503</v>
      </c>
    </row>
    <row r="49" spans="5:17" ht="12.75" customHeight="1" x14ac:dyDescent="0.25">
      <c r="E49" s="117" t="s">
        <v>386</v>
      </c>
      <c r="F49" s="98">
        <f>VLOOKUP($E49, 'Summary Data NRG'!$A$2:$J$55,2,FALSE)</f>
        <v>-28.980898101849977</v>
      </c>
      <c r="G49" s="98">
        <f>VLOOKUP($E49, 'Summary Data NRG'!$A$2:$J$55,3,FALSE)</f>
        <v>-38.837114582766276</v>
      </c>
      <c r="H49" s="98">
        <f>VLOOKUP($E49, 'Summary Data NRG'!$A$2:$J$55,4,FALSE)</f>
        <v>0.26827304622443826</v>
      </c>
      <c r="I49" s="98">
        <f>VLOOKUP($E49, 'Summary Data NRG'!$A$2:$J$55,9,FALSE)</f>
        <v>-11.442980273613752</v>
      </c>
      <c r="J49" s="98" t="str">
        <f>VLOOKUP($E49, 'Summary Data NRG'!$A$2:$J$55,10,FALSE)</f>
        <v>NA</v>
      </c>
      <c r="K49" s="24" t="s">
        <v>503</v>
      </c>
    </row>
    <row r="50" spans="5:17" ht="12.75" customHeight="1" x14ac:dyDescent="0.25">
      <c r="E50" s="117" t="s">
        <v>272</v>
      </c>
      <c r="F50" s="98" t="str">
        <f>VLOOKUP($E50, 'Summary Data NRG'!$A$2:$J$55,2,FALSE)</f>
        <v>NA</v>
      </c>
      <c r="G50" s="98">
        <f>VLOOKUP($E50, 'Summary Data NRG'!$A$2:$J$55,3,FALSE)</f>
        <v>-14.824133262566331</v>
      </c>
      <c r="H50" s="98">
        <f>VLOOKUP($E50, 'Summary Data NRG'!$A$2:$J$55,4,FALSE)</f>
        <v>0.26827304622443826</v>
      </c>
      <c r="I50" s="98">
        <f>VLOOKUP($E50, 'Summary Data NRG'!$A$2:$J$55,9,FALSE)</f>
        <v>-5.578163115609569</v>
      </c>
      <c r="J50" s="98" t="str">
        <f>VLOOKUP($E50, 'Summary Data NRG'!$A$2:$J$55,10,FALSE)</f>
        <v>NA</v>
      </c>
      <c r="K50" s="24" t="s">
        <v>503</v>
      </c>
    </row>
    <row r="51" spans="5:17" ht="12.75" customHeight="1" x14ac:dyDescent="0.25">
      <c r="E51" s="117" t="s">
        <v>740</v>
      </c>
      <c r="F51" s="98">
        <f>VLOOKUP($E51, 'Summary Data NRG'!$A$2:$J$55,2,FALSE)</f>
        <v>-14.559042837202703</v>
      </c>
      <c r="G51" s="98" t="str">
        <f>VLOOKUP($E51, 'Summary Data NRG'!$A$2:$J$55,3,FALSE)</f>
        <v>NA</v>
      </c>
      <c r="H51" s="98">
        <f>VLOOKUP($E51, 'Summary Data NRG'!$A$2:$J$55,4,FALSE)</f>
        <v>0.26827304622443826</v>
      </c>
      <c r="I51" s="98">
        <f>VLOOKUP($E51, 'Summary Data NRG'!$A$2:$J$55,9,FALSE)</f>
        <v>-1.6910014550932322</v>
      </c>
      <c r="J51" s="98">
        <f>VLOOKUP($E51, 'Summary Data NRG'!$A$2:$J$55,10,FALSE)</f>
        <v>0.58399999999999996</v>
      </c>
      <c r="K51" s="24">
        <f>(IF(AND('Analysis Inputs'!$N$146=1,'Analysis Inputs'!$N$156=1),VLOOKUP($E51,'Summary Data NRG'!$A$2:$Q$55,11,FALSE), IF(AND('Analysis Inputs'!$N$146=1,'Analysis Inputs'!$N$156=2),VLOOKUP($E51,'Summary Data NRG'!$A$2:$Q$55,12, FALSE), IF(AND('Analysis Inputs'!$N$146=2,'Analysis Inputs'!$N$156=1),VLOOKUP($E51,'Summary Data NRG'!$A$2:$Q$55,13,FALSE), IF(AND('Analysis Inputs'!$N$146=2,'Analysis Inputs'!$N$156=2),VLOOKUP($E51,'Summary Data NRG'!$A$2:$Q$55,14,FALSE), 0)))))</f>
        <v>-1.158378318065886</v>
      </c>
    </row>
    <row r="52" spans="5:17" ht="12.75" customHeight="1" x14ac:dyDescent="0.25">
      <c r="E52" s="117" t="s">
        <v>385</v>
      </c>
      <c r="F52" s="98" t="str">
        <f>VLOOKUP($E52, 'Summary Data NRG'!$A$2:$J$55,2,FALSE)</f>
        <v>NA</v>
      </c>
      <c r="G52" s="98" t="str">
        <f>VLOOKUP($E52, 'Summary Data NRG'!$A$2:$J$55,3,FALSE)</f>
        <v>NA</v>
      </c>
      <c r="H52" s="98">
        <f>VLOOKUP($E52, 'Summary Data NRG'!$A$2:$J$55,4,FALSE)</f>
        <v>0.26827304622443826</v>
      </c>
      <c r="I52" s="98">
        <f>VLOOKUP($E52, 'Summary Data NRG'!$A$2:$J$55,9,FALSE)</f>
        <v>-1.8616079985312259</v>
      </c>
      <c r="J52" s="98">
        <f>VLOOKUP($E52, 'Summary Data NRG'!$A$2:$J$55,10,FALSE)</f>
        <v>0.58399999999999996</v>
      </c>
      <c r="K52" s="24" t="str">
        <f>(IF(AND('Analysis Inputs'!$N$146=2,'Analysis Inputs'!$N$156=1),VLOOKUP($E52,'Summary Data NRG'!$A$2:$Q$55,13,FALSE), IF(AND('Analysis Inputs'!$N$146=2,'Analysis Inputs'!$N$156=2),VLOOKUP($E52,'Summary Data NRG'!$A$2:$Q$55,14,FALSE), "NA")))</f>
        <v>NA</v>
      </c>
    </row>
    <row r="53" spans="5:17" s="3" customFormat="1" ht="12.75" customHeight="1" x14ac:dyDescent="0.25">
      <c r="E53" s="117" t="s">
        <v>574</v>
      </c>
      <c r="F53" s="98" t="str">
        <f>VLOOKUP($E53, 'Summary Data NRG'!$A$2:$J$55,2,FALSE)</f>
        <v>NA</v>
      </c>
      <c r="G53" s="98" t="str">
        <f>VLOOKUP($E53, 'Summary Data NRG'!$A$2:$J$55,3,FALSE)</f>
        <v>NA</v>
      </c>
      <c r="H53" s="98">
        <f>VLOOKUP($E53, 'Summary Data NRG'!$A$2:$J$55,4,FALSE)</f>
        <v>0.26827304622443826</v>
      </c>
      <c r="I53" s="98">
        <f>VLOOKUP($E53, 'Summary Data NRG'!$A$2:$J$55,9,FALSE)</f>
        <v>-3.865217462884571</v>
      </c>
      <c r="J53" s="98" t="str">
        <f>VLOOKUP($E53, 'Summary Data NRG'!$A$2:$J$55,10,FALSE)</f>
        <v>NA</v>
      </c>
      <c r="K53" s="24" t="s">
        <v>503</v>
      </c>
    </row>
    <row r="54" spans="5:17" ht="12.75" customHeight="1" x14ac:dyDescent="0.25">
      <c r="E54" s="117" t="s">
        <v>573</v>
      </c>
      <c r="F54" s="98">
        <f>VLOOKUP($E54, 'Summary Data NRG'!$A$2:$J$55,2,FALSE)</f>
        <v>-91.064720000000023</v>
      </c>
      <c r="G54" s="98">
        <f>VLOOKUP($E54, 'Summary Data NRG'!$A$2:$J$55,3,FALSE)</f>
        <v>-21.473523219143274</v>
      </c>
      <c r="H54" s="98">
        <f>VLOOKUP($E54, 'Summary Data NRG'!$A$2:$J$55,4,FALSE)</f>
        <v>0.26827304622443826</v>
      </c>
      <c r="I54" s="98">
        <f>VLOOKUP($E54, 'Summary Data NRG'!$A$2:$J$55,9,FALSE)</f>
        <v>-6.0146325276212558</v>
      </c>
      <c r="J54" s="98" t="str">
        <f>VLOOKUP($E54, 'Summary Data NRG'!$A$2:$J$55,10,FALSE)</f>
        <v>NA</v>
      </c>
      <c r="K54" s="24" t="s">
        <v>503</v>
      </c>
    </row>
    <row r="55" spans="5:17" ht="12.75" customHeight="1" x14ac:dyDescent="0.25">
      <c r="E55" s="117" t="s">
        <v>423</v>
      </c>
      <c r="F55" s="98">
        <f>VLOOKUP($E55, 'Summary Data NRG'!$A$2:$J$55,2,FALSE)</f>
        <v>-956.74208205372872</v>
      </c>
      <c r="G55" s="98">
        <f>VLOOKUP($E55, 'Summary Data NRG'!$A$2:$J$55,3,FALSE)</f>
        <v>-29.154004151975091</v>
      </c>
      <c r="H55" s="98">
        <f>VLOOKUP($E55, 'Summary Data NRG'!$A$2:$J$55,4,FALSE)</f>
        <v>0.26827304622443826</v>
      </c>
      <c r="I55" s="98">
        <f>VLOOKUP($E55, 'Summary Data NRG'!$A$2:$J$55,9,FALSE)</f>
        <v>-6.035844856584804</v>
      </c>
      <c r="J55" s="98" t="str">
        <f>VLOOKUP($E55, 'Summary Data NRG'!$A$2:$J$55,10,FALSE)</f>
        <v>NA</v>
      </c>
      <c r="K55" s="24" t="s">
        <v>503</v>
      </c>
    </row>
    <row r="56" spans="5:17" ht="12.75" customHeight="1" x14ac:dyDescent="0.25">
      <c r="E56" s="117" t="s">
        <v>455</v>
      </c>
      <c r="F56" s="98">
        <f>VLOOKUP($E56, 'Summary Data NRG'!$A$2:$J$55,2,FALSE)</f>
        <v>-5.1314789596929602</v>
      </c>
      <c r="G56" s="98" t="str">
        <f>VLOOKUP($E56, 'Summary Data NRG'!$A$2:$J$55,3,FALSE)</f>
        <v>NA</v>
      </c>
      <c r="H56" s="98">
        <f>VLOOKUP($E56, 'Summary Data NRG'!$A$2:$J$55,4,FALSE)</f>
        <v>0.26827304622443826</v>
      </c>
      <c r="I56" s="98" t="str">
        <f>VLOOKUP($E56, 'Summary Data NRG'!$A$2:$J$55,9,FALSE)</f>
        <v>NA</v>
      </c>
      <c r="J56" s="98" t="str">
        <f>VLOOKUP($E56, 'Summary Data NRG'!$A$2:$J$55,10,FALSE)</f>
        <v>NA</v>
      </c>
      <c r="K56" s="24" t="s">
        <v>503</v>
      </c>
    </row>
    <row r="57" spans="5:17" ht="12.75" customHeight="1" x14ac:dyDescent="0.25">
      <c r="E57" s="117" t="s">
        <v>476</v>
      </c>
      <c r="F57" s="98" t="str">
        <f>VLOOKUP($E57, 'Summary Data NRG'!$A$2:$J$55,2,FALSE)</f>
        <v>NA</v>
      </c>
      <c r="G57" s="98">
        <f>VLOOKUP($E57, 'Summary Data NRG'!$A$2:$J$55,3,FALSE)</f>
        <v>-0.10682211567448255</v>
      </c>
      <c r="H57" s="98">
        <f>VLOOKUP($E57, 'Summary Data NRG'!$A$2:$J$55,4,FALSE)</f>
        <v>0.26827304622443826</v>
      </c>
      <c r="I57" s="98" t="str">
        <f>VLOOKUP($E57, 'Summary Data NRG'!$A$2:$J$55,9,FALSE)</f>
        <v>NA</v>
      </c>
      <c r="J57" s="98" t="str">
        <f>VLOOKUP($E57, 'Summary Data NRG'!$A$2:$J$55,10,FALSE)</f>
        <v>NA</v>
      </c>
      <c r="K57" s="24" t="s">
        <v>503</v>
      </c>
    </row>
    <row r="58" spans="5:17" ht="12.75" customHeight="1" x14ac:dyDescent="0.25">
      <c r="E58" s="117" t="s">
        <v>131</v>
      </c>
      <c r="F58" s="98" t="str">
        <f>VLOOKUP($E58, 'Summary Data NRG'!$A$2:$J$55,2,FALSE)</f>
        <v>NA</v>
      </c>
      <c r="G58" s="98">
        <f>VLOOKUP($E58, 'Summary Data NRG'!$A$2:$J$55,3,FALSE)</f>
        <v>-4.7666763130925007</v>
      </c>
      <c r="H58" s="98">
        <f>VLOOKUP($E58, 'Summary Data NRG'!$A$2:$J$55,4,FALSE)</f>
        <v>0.26827304622443826</v>
      </c>
      <c r="I58" s="98" t="str">
        <f>VLOOKUP($E58, 'Summary Data NRG'!$A$2:$J$55,9,FALSE)</f>
        <v>NA</v>
      </c>
      <c r="J58" s="98" t="str">
        <f>VLOOKUP($E58, 'Summary Data NRG'!$A$2:$J$55,10,FALSE)</f>
        <v>NA</v>
      </c>
      <c r="K58" s="24" t="s">
        <v>503</v>
      </c>
    </row>
    <row r="59" spans="5:17" ht="12.75" customHeight="1" x14ac:dyDescent="0.25">
      <c r="E59" s="117" t="s">
        <v>444</v>
      </c>
      <c r="F59" s="98">
        <f>VLOOKUP($E59, 'Summary Data NRG'!$A$2:$J$55,2,FALSE)</f>
        <v>-74.326977160364933</v>
      </c>
      <c r="G59" s="98">
        <f>VLOOKUP($E59, 'Summary Data NRG'!$A$2:$J$55,3,FALSE)</f>
        <v>-3.5602948558483529</v>
      </c>
      <c r="H59" s="98">
        <f>VLOOKUP($E59, 'Summary Data NRG'!$A$2:$J$55,4,FALSE)</f>
        <v>0.26827304622443826</v>
      </c>
      <c r="I59" s="98">
        <f>VLOOKUP($E59, 'Summary Data NRG'!$A$2:$J$55,9,FALSE)</f>
        <v>-28.520246356755237</v>
      </c>
      <c r="J59" s="98" t="str">
        <f>VLOOKUP($E59, 'Summary Data NRG'!$A$2:$J$55,10,FALSE)</f>
        <v>NA</v>
      </c>
      <c r="K59" s="24" t="s">
        <v>503</v>
      </c>
      <c r="O59" s="16"/>
      <c r="P59" s="16"/>
      <c r="Q59" s="16"/>
    </row>
    <row r="60" spans="5:17" ht="12.75" customHeight="1" x14ac:dyDescent="0.25">
      <c r="E60" s="97" t="s">
        <v>53</v>
      </c>
      <c r="F60" s="98">
        <f>VLOOKUP($E60, 'Summary Data NRG'!$A$2:$J$55,2,FALSE)</f>
        <v>-1.6794485293324295</v>
      </c>
      <c r="G60" s="98">
        <f>VLOOKUP($E60, 'Summary Data NRG'!$A$2:$J$55,3,FALSE)</f>
        <v>-1.2205762377670069</v>
      </c>
      <c r="H60" s="98">
        <f>VLOOKUP($E60, 'Summary Data NRG'!$A$2:$J$55,4,FALSE)</f>
        <v>0.26827304622443826</v>
      </c>
      <c r="I60" s="98" t="str">
        <f>VLOOKUP($E60, 'Summary Data NRG'!$A$2:$J$55,9,FALSE)</f>
        <v>NA</v>
      </c>
      <c r="J60" s="98" t="str">
        <f>VLOOKUP($E60, 'Summary Data NRG'!$A$2:$J$55,10,FALSE)</f>
        <v>NA</v>
      </c>
      <c r="K60" s="24" t="s">
        <v>503</v>
      </c>
      <c r="O60" s="16"/>
      <c r="P60" s="16"/>
      <c r="Q60" s="16"/>
    </row>
    <row r="61" spans="5:17" ht="12.75" customHeight="1" x14ac:dyDescent="0.25">
      <c r="E61" s="97" t="s">
        <v>54</v>
      </c>
      <c r="F61" s="98">
        <f>VLOOKUP($E61, 'Summary Data NRG'!$A$2:$J$55,2,FALSE)</f>
        <v>-3.1290380094721417</v>
      </c>
      <c r="G61" s="98">
        <f>VLOOKUP($E61, 'Summary Data NRG'!$A$2:$J$55,3,FALSE)</f>
        <v>-2.4334558234493109</v>
      </c>
      <c r="H61" s="98">
        <f>VLOOKUP($E61, 'Summary Data NRG'!$A$2:$J$55,4,FALSE)</f>
        <v>0.26827304622443826</v>
      </c>
      <c r="I61" s="98">
        <f>VLOOKUP($E61, 'Summary Data NRG'!$A$2:$J$55,9,FALSE)</f>
        <v>-8.5317269537755607</v>
      </c>
      <c r="J61" s="98" t="str">
        <f>VLOOKUP($E61, 'Summary Data NRG'!$A$2:$J$55,10,FALSE)</f>
        <v>NA</v>
      </c>
      <c r="K61" s="24" t="s">
        <v>503</v>
      </c>
      <c r="O61" s="16"/>
      <c r="P61" s="16"/>
      <c r="Q61" s="16"/>
    </row>
    <row r="62" spans="5:17" ht="12.75" customHeight="1" x14ac:dyDescent="0.25">
      <c r="E62" s="97" t="s">
        <v>55</v>
      </c>
      <c r="F62" s="98">
        <f>VLOOKUP($E62, 'Summary Data NRG'!$A$2:$J$55,2,FALSE)</f>
        <v>-3.5601579633859353</v>
      </c>
      <c r="G62" s="98">
        <f>VLOOKUP($E62, 'Summary Data NRG'!$A$2:$J$55,3,FALSE)</f>
        <v>-2.6170139135801853</v>
      </c>
      <c r="H62" s="98">
        <f>VLOOKUP($E62, 'Summary Data NRG'!$A$2:$J$55,4,FALSE)</f>
        <v>0.26827304622443826</v>
      </c>
      <c r="I62" s="98" t="str">
        <f>VLOOKUP($E62, 'Summary Data NRG'!$A$2:$J$55,9,FALSE)</f>
        <v>NA</v>
      </c>
      <c r="J62" s="98" t="str">
        <f>VLOOKUP($E62, 'Summary Data NRG'!$A$2:$J$55,10,FALSE)</f>
        <v>NA</v>
      </c>
      <c r="K62" s="24" t="s">
        <v>503</v>
      </c>
      <c r="O62" s="16"/>
      <c r="P62" s="16"/>
      <c r="Q62" s="16"/>
    </row>
    <row r="63" spans="5:17" ht="12.75" customHeight="1" x14ac:dyDescent="0.25">
      <c r="E63" s="97" t="s">
        <v>56</v>
      </c>
      <c r="F63" s="98">
        <f>VLOOKUP($E63, 'Summary Data NRG'!$A$2:$J$55,2,FALSE)</f>
        <v>-5.5630471655475819</v>
      </c>
      <c r="G63" s="98" t="str">
        <f>VLOOKUP($E63, 'Summary Data NRG'!$A$2:$J$55,3,FALSE)</f>
        <v>NA</v>
      </c>
      <c r="H63" s="98">
        <f>VLOOKUP($E63, 'Summary Data NRG'!$A$2:$J$55,4,FALSE)</f>
        <v>0.26827304622443826</v>
      </c>
      <c r="I63" s="98" t="str">
        <f>VLOOKUP($E63, 'Summary Data NRG'!$A$2:$J$55,9,FALSE)</f>
        <v>NA</v>
      </c>
      <c r="J63" s="98" t="str">
        <f>VLOOKUP($E63, 'Summary Data NRG'!$A$2:$J$55,10,FALSE)</f>
        <v>NA</v>
      </c>
      <c r="K63" s="24" t="s">
        <v>503</v>
      </c>
      <c r="O63" s="16"/>
      <c r="P63" s="16"/>
      <c r="Q63" s="16"/>
    </row>
    <row r="64" spans="5:17" ht="12.75" customHeight="1" x14ac:dyDescent="0.25">
      <c r="E64" s="97" t="s">
        <v>57</v>
      </c>
      <c r="F64" s="98">
        <f>VLOOKUP($E64, 'Summary Data NRG'!$A$2:$J$55,2,FALSE)</f>
        <v>-10.726430452626698</v>
      </c>
      <c r="G64" s="98" t="str">
        <f>VLOOKUP($E64, 'Summary Data NRG'!$A$2:$J$55,3,FALSE)</f>
        <v>NA</v>
      </c>
      <c r="H64" s="98">
        <f>VLOOKUP($E64, 'Summary Data NRG'!$A$2:$J$55,4,FALSE)</f>
        <v>0.26827304622443826</v>
      </c>
      <c r="I64" s="98">
        <f>VLOOKUP($E64, 'Summary Data NRG'!$A$2:$J$55,9,FALSE)</f>
        <v>-6.2419745056222515</v>
      </c>
      <c r="J64" s="98" t="str">
        <f>VLOOKUP($E64, 'Summary Data NRG'!$A$2:$J$55,10,FALSE)</f>
        <v>NA</v>
      </c>
      <c r="K64" s="24" t="s">
        <v>503</v>
      </c>
      <c r="O64" s="16"/>
      <c r="P64" s="16"/>
      <c r="Q64" s="16"/>
    </row>
    <row r="65" spans="2:20" ht="12.75" customHeight="1" thickBot="1" x14ac:dyDescent="0.3">
      <c r="E65" s="70" t="s">
        <v>58</v>
      </c>
      <c r="F65" s="99">
        <f>VLOOKUP($E65, 'Summary Data NRG'!$A$2:$J$55,2,FALSE)</f>
        <v>-14.449222251883416</v>
      </c>
      <c r="G65" s="99" t="str">
        <f>VLOOKUP($E65, 'Summary Data NRG'!$A$2:$J$55,3,FALSE)</f>
        <v>NA</v>
      </c>
      <c r="H65" s="99">
        <f>VLOOKUP($E65, 'Summary Data NRG'!$A$2:$J$55,4,FALSE)</f>
        <v>0.26827304622443826</v>
      </c>
      <c r="I65" s="99">
        <f>VLOOKUP($E65, 'Summary Data NRG'!$A$2:$J$55,9,FALSE)</f>
        <v>-8.7116644488512716</v>
      </c>
      <c r="J65" s="99" t="str">
        <f>VLOOKUP($E65, 'Summary Data NRG'!$A$2:$J$55,10,FALSE)</f>
        <v>NA</v>
      </c>
      <c r="K65" s="749" t="s">
        <v>503</v>
      </c>
      <c r="O65" s="16"/>
      <c r="P65" s="16"/>
      <c r="Q65" s="16"/>
    </row>
    <row r="66" spans="2:20" x14ac:dyDescent="0.25">
      <c r="E66" s="15"/>
      <c r="F66" s="16"/>
      <c r="G66" s="16"/>
      <c r="H66" s="16"/>
      <c r="I66" s="16"/>
      <c r="J66" s="16"/>
      <c r="K66" s="16"/>
      <c r="L66" s="16"/>
      <c r="M66" s="16"/>
      <c r="N66" s="16"/>
      <c r="O66" s="16"/>
      <c r="P66" s="2"/>
      <c r="Q66" s="1"/>
      <c r="R66" s="2"/>
      <c r="S66" s="2"/>
      <c r="T66" s="2"/>
    </row>
    <row r="67" spans="2:20" ht="13.5" thickBot="1" x14ac:dyDescent="0.35">
      <c r="E67" s="741" t="s">
        <v>21</v>
      </c>
      <c r="F67" s="2"/>
      <c r="G67" s="2"/>
      <c r="H67" s="2"/>
      <c r="I67" s="2"/>
      <c r="J67" s="2"/>
      <c r="K67" s="2"/>
      <c r="L67" s="2"/>
      <c r="M67" s="2"/>
      <c r="N67" s="2"/>
      <c r="O67" s="2"/>
      <c r="P67" s="1"/>
      <c r="Q67" s="2"/>
      <c r="R67" s="2"/>
      <c r="S67" s="2"/>
    </row>
    <row r="68" spans="2:20" ht="36" x14ac:dyDescent="0.25">
      <c r="B68" t="s">
        <v>11</v>
      </c>
      <c r="C68" t="s">
        <v>12</v>
      </c>
      <c r="D68" t="s">
        <v>13</v>
      </c>
      <c r="E68" s="58" t="s">
        <v>496</v>
      </c>
      <c r="F68" s="59" t="s">
        <v>525</v>
      </c>
      <c r="G68" s="60" t="s">
        <v>851</v>
      </c>
      <c r="H68" s="61" t="s">
        <v>797</v>
      </c>
      <c r="I68" s="61" t="s">
        <v>847</v>
      </c>
      <c r="J68" s="61" t="s">
        <v>798</v>
      </c>
      <c r="K68" s="61" t="s">
        <v>848</v>
      </c>
      <c r="L68" s="61" t="s">
        <v>799</v>
      </c>
      <c r="M68" s="60" t="s">
        <v>849</v>
      </c>
      <c r="N68" s="61" t="s">
        <v>800</v>
      </c>
      <c r="O68" s="664" t="s">
        <v>850</v>
      </c>
      <c r="P68" s="664" t="s">
        <v>852</v>
      </c>
      <c r="Q68" s="62" t="s">
        <v>796</v>
      </c>
    </row>
    <row r="69" spans="2:20" ht="12.75" customHeight="1" x14ac:dyDescent="0.25">
      <c r="B69" s="47">
        <f>IF(SUM(G69,I69,K69,M69,O69)=0,0,1)</f>
        <v>1</v>
      </c>
      <c r="C69" s="47">
        <f>B69</f>
        <v>1</v>
      </c>
      <c r="D69">
        <f>C69*B69</f>
        <v>1</v>
      </c>
      <c r="E69" s="411" t="s">
        <v>515</v>
      </c>
      <c r="F69" s="200">
        <f>VLOOKUP($E69,'Analysis Inputs'!$D$14:$M$67,10,FALSE)</f>
        <v>2581.9310711278504</v>
      </c>
      <c r="G69" s="203">
        <f>VLOOKUP($E69,'Analysis Inputs'!$D$14:$M$67,4,FALSE)</f>
        <v>0</v>
      </c>
      <c r="H69" s="201">
        <f t="shared" ref="H69:H74" si="0">+G69*G12</f>
        <v>0</v>
      </c>
      <c r="I69" s="200">
        <f>VLOOKUP($E69,'Analysis Inputs'!$D$14:$M$67,5,FALSE)</f>
        <v>2581.9310711278504</v>
      </c>
      <c r="J69" s="200">
        <f t="shared" ref="J69:J100" si="1">+I69*H12</f>
        <v>692.6625135929952</v>
      </c>
      <c r="K69" s="202">
        <f>VLOOKUP($E69,'Analysis Inputs'!$D$14:$M$67,6,FALSE)</f>
        <v>0</v>
      </c>
      <c r="L69" s="200">
        <f t="shared" ref="L69:L112" si="2">+K69*I12</f>
        <v>0</v>
      </c>
      <c r="M69" s="202" t="str">
        <f>VLOOKUP($E69,'Analysis Inputs'!$D$14:$M$67,7,FALSE)</f>
        <v>NA</v>
      </c>
      <c r="N69" s="202" t="s">
        <v>503</v>
      </c>
      <c r="O69" s="415" t="str">
        <f>VLOOKUP(E69,'Analysis Inputs'!$D$14:$U$67,8,FALSE)</f>
        <v>NA</v>
      </c>
      <c r="P69" s="676" t="s">
        <v>503</v>
      </c>
      <c r="Q69" s="405">
        <f>IF(P69="INPUT ERROR", "INPUT ERROR", SUM(H69,J69,L69,N69,P69))</f>
        <v>692.6625135929952</v>
      </c>
    </row>
    <row r="70" spans="2:20" ht="12.75" customHeight="1" x14ac:dyDescent="0.25">
      <c r="B70" s="47">
        <f t="shared" ref="B70:B122" si="3">IF(SUM(G70,I70,K70,M70,O70)=0,0,1)</f>
        <v>1</v>
      </c>
      <c r="C70" s="47">
        <f>C69+B70</f>
        <v>2</v>
      </c>
      <c r="D70">
        <f>C70*B70</f>
        <v>2</v>
      </c>
      <c r="E70" s="117" t="s">
        <v>84</v>
      </c>
      <c r="F70" s="200">
        <f>VLOOKUP($E70,'Analysis Inputs'!$D$14:$M$67,10,FALSE)</f>
        <v>1647.4287121844873</v>
      </c>
      <c r="G70" s="203">
        <f>VLOOKUP($E70,'Analysis Inputs'!$D$14:$M$67,4,FALSE)</f>
        <v>0</v>
      </c>
      <c r="H70" s="201">
        <f t="shared" si="0"/>
        <v>0</v>
      </c>
      <c r="I70" s="200">
        <f>VLOOKUP($E70,'Analysis Inputs'!$D$14:$M$67,5,FALSE)</f>
        <v>1647.4287121844873</v>
      </c>
      <c r="J70" s="200">
        <f t="shared" si="1"/>
        <v>441.96071905533574</v>
      </c>
      <c r="K70" s="202">
        <f>VLOOKUP($E70,'Analysis Inputs'!$D$14:$M$67,6,FALSE)</f>
        <v>0</v>
      </c>
      <c r="L70" s="200">
        <f t="shared" si="2"/>
        <v>0</v>
      </c>
      <c r="M70" s="202" t="str">
        <f>VLOOKUP($E70,'Analysis Inputs'!$D$14:$M$67,7,FALSE)</f>
        <v>NA</v>
      </c>
      <c r="N70" s="202" t="s">
        <v>503</v>
      </c>
      <c r="O70" s="415" t="str">
        <f>VLOOKUP(E70,'Analysis Inputs'!$D$14:$U$67,8,FALSE)</f>
        <v>NA</v>
      </c>
      <c r="P70" s="477" t="s">
        <v>503</v>
      </c>
      <c r="Q70" s="405">
        <f t="shared" ref="Q70:Q122" si="4">IF(P70="INPUT ERROR", "INPUT ERROR", SUM(H70,J70,L70,N70,P70))</f>
        <v>441.96071905533574</v>
      </c>
    </row>
    <row r="71" spans="2:20" ht="12.75" customHeight="1" x14ac:dyDescent="0.25">
      <c r="B71" s="47">
        <f t="shared" si="3"/>
        <v>1</v>
      </c>
      <c r="C71" s="47">
        <f t="shared" ref="C71:C89" si="5">C70+B71</f>
        <v>3</v>
      </c>
      <c r="D71">
        <f t="shared" ref="D71:D89" si="6">C71*B71</f>
        <v>3</v>
      </c>
      <c r="E71" s="117" t="s">
        <v>516</v>
      </c>
      <c r="F71" s="200">
        <f>VLOOKUP($E71,'Analysis Inputs'!$D$14:$M$67,10,FALSE)</f>
        <v>4001.7125772610179</v>
      </c>
      <c r="G71" s="203">
        <f>VLOOKUP($E71,'Analysis Inputs'!$D$14:$M$67,4,FALSE)</f>
        <v>0</v>
      </c>
      <c r="H71" s="201">
        <f t="shared" si="0"/>
        <v>0</v>
      </c>
      <c r="I71" s="200">
        <f>VLOOKUP($E71,'Analysis Inputs'!$D$14:$M$67,5,FALSE)</f>
        <v>4001.7125772610179</v>
      </c>
      <c r="J71" s="200">
        <f t="shared" si="1"/>
        <v>1073.5516232164609</v>
      </c>
      <c r="K71" s="202">
        <f>VLOOKUP($E71,'Analysis Inputs'!$D$14:$M$67,6,FALSE)</f>
        <v>0</v>
      </c>
      <c r="L71" s="200">
        <f t="shared" si="2"/>
        <v>0</v>
      </c>
      <c r="M71" s="202" t="str">
        <f>VLOOKUP($E71,'Analysis Inputs'!$D$14:$M$67,7,FALSE)</f>
        <v>NA</v>
      </c>
      <c r="N71" s="202" t="s">
        <v>503</v>
      </c>
      <c r="O71" s="415" t="str">
        <f>VLOOKUP(E71,'Analysis Inputs'!$D$14:$U$67,8,FALSE)</f>
        <v>NA</v>
      </c>
      <c r="P71" s="477" t="s">
        <v>503</v>
      </c>
      <c r="Q71" s="405">
        <f t="shared" si="4"/>
        <v>1073.5516232164609</v>
      </c>
    </row>
    <row r="72" spans="2:20" ht="12.75" customHeight="1" x14ac:dyDescent="0.25">
      <c r="B72" s="47">
        <f t="shared" si="3"/>
        <v>0</v>
      </c>
      <c r="C72" s="47">
        <f t="shared" si="5"/>
        <v>3</v>
      </c>
      <c r="D72">
        <f t="shared" si="6"/>
        <v>0</v>
      </c>
      <c r="E72" s="117" t="s">
        <v>438</v>
      </c>
      <c r="F72" s="200">
        <f>VLOOKUP($E72,'Analysis Inputs'!$D$14:$M$67,10,FALSE)</f>
        <v>0</v>
      </c>
      <c r="G72" s="203">
        <f>VLOOKUP($E72,'Analysis Inputs'!$D$14:$M$67,4,FALSE)</f>
        <v>0</v>
      </c>
      <c r="H72" s="201">
        <f t="shared" si="0"/>
        <v>0</v>
      </c>
      <c r="I72" s="200">
        <f>VLOOKUP($E72,'Analysis Inputs'!$D$14:$M$67,5,FALSE)</f>
        <v>0</v>
      </c>
      <c r="J72" s="200">
        <f t="shared" si="1"/>
        <v>0</v>
      </c>
      <c r="K72" s="202">
        <f>VLOOKUP($E72,'Analysis Inputs'!$D$14:$M$67,6,FALSE)</f>
        <v>0</v>
      </c>
      <c r="L72" s="200">
        <f t="shared" si="2"/>
        <v>0</v>
      </c>
      <c r="M72" s="202" t="str">
        <f>VLOOKUP($E72,'Analysis Inputs'!$D$14:$M$67,7,FALSE)</f>
        <v>NA</v>
      </c>
      <c r="N72" s="202" t="s">
        <v>503</v>
      </c>
      <c r="O72" s="415" t="str">
        <f>VLOOKUP(E72,'Analysis Inputs'!$D$14:$U$67,8,FALSE)</f>
        <v>NA</v>
      </c>
      <c r="P72" s="477" t="s">
        <v>503</v>
      </c>
      <c r="Q72" s="405">
        <f t="shared" si="4"/>
        <v>0</v>
      </c>
    </row>
    <row r="73" spans="2:20" ht="12.75" customHeight="1" x14ac:dyDescent="0.25">
      <c r="B73" s="47">
        <f t="shared" si="3"/>
        <v>1</v>
      </c>
      <c r="C73" s="47">
        <f t="shared" si="5"/>
        <v>4</v>
      </c>
      <c r="D73">
        <f t="shared" si="6"/>
        <v>4</v>
      </c>
      <c r="E73" s="117" t="s">
        <v>517</v>
      </c>
      <c r="F73" s="200">
        <f>VLOOKUP($E73,'Analysis Inputs'!$D$14:$M$67,10,FALSE)</f>
        <v>22379.467981121063</v>
      </c>
      <c r="G73" s="203">
        <f>VLOOKUP($E73,'Analysis Inputs'!$D$14:$M$67,4,FALSE)</f>
        <v>0</v>
      </c>
      <c r="H73" s="201">
        <f t="shared" si="0"/>
        <v>0</v>
      </c>
      <c r="I73" s="200">
        <f>VLOOKUP($E73,'Analysis Inputs'!$D$14:$M$67,5,FALSE)</f>
        <v>22379.467981121063</v>
      </c>
      <c r="J73" s="200">
        <f t="shared" si="1"/>
        <v>6003.8080481776269</v>
      </c>
      <c r="K73" s="202">
        <f>VLOOKUP($E73,'Analysis Inputs'!$D$14:$M$67,6,FALSE)</f>
        <v>0</v>
      </c>
      <c r="L73" s="200">
        <f t="shared" si="2"/>
        <v>0</v>
      </c>
      <c r="M73" s="202" t="str">
        <f>VLOOKUP($E73,'Analysis Inputs'!$D$14:$M$67,7,FALSE)</f>
        <v>NA</v>
      </c>
      <c r="N73" s="202" t="s">
        <v>503</v>
      </c>
      <c r="O73" s="415" t="str">
        <f>VLOOKUP(E73,'Analysis Inputs'!$D$14:$U$67,8,FALSE)</f>
        <v>NA</v>
      </c>
      <c r="P73" s="477" t="s">
        <v>503</v>
      </c>
      <c r="Q73" s="405">
        <f t="shared" si="4"/>
        <v>6003.8080481776269</v>
      </c>
    </row>
    <row r="74" spans="2:20" ht="12.75" customHeight="1" x14ac:dyDescent="0.25">
      <c r="B74" s="47">
        <f t="shared" si="3"/>
        <v>1</v>
      </c>
      <c r="C74" s="47">
        <f t="shared" si="5"/>
        <v>5</v>
      </c>
      <c r="D74">
        <f t="shared" si="6"/>
        <v>5</v>
      </c>
      <c r="E74" s="117" t="s">
        <v>518</v>
      </c>
      <c r="F74" s="200">
        <f>VLOOKUP($E74,'Analysis Inputs'!$D$14:$M$67,10,FALSE)</f>
        <v>4378.1563584420928</v>
      </c>
      <c r="G74" s="203">
        <f>VLOOKUP($E74,'Analysis Inputs'!$D$14:$M$67,4,FALSE)</f>
        <v>0</v>
      </c>
      <c r="H74" s="201">
        <f t="shared" si="0"/>
        <v>0</v>
      </c>
      <c r="I74" s="200">
        <f>VLOOKUP($E74,'Analysis Inputs'!$D$14:$M$67,5,FALSE)</f>
        <v>4378.1563584420928</v>
      </c>
      <c r="J74" s="200">
        <f t="shared" si="1"/>
        <v>1174.5413431261538</v>
      </c>
      <c r="K74" s="202">
        <f>VLOOKUP($E74,'Analysis Inputs'!$D$14:$M$67,6,FALSE)</f>
        <v>0</v>
      </c>
      <c r="L74" s="200">
        <f t="shared" si="2"/>
        <v>0</v>
      </c>
      <c r="M74" s="202" t="str">
        <f>VLOOKUP($E74,'Analysis Inputs'!$D$14:$M$67,7,FALSE)</f>
        <v>NA</v>
      </c>
      <c r="N74" s="202" t="s">
        <v>503</v>
      </c>
      <c r="O74" s="415" t="str">
        <f>VLOOKUP(E74,'Analysis Inputs'!$D$14:$U$67,8,FALSE)</f>
        <v>NA</v>
      </c>
      <c r="P74" s="477" t="s">
        <v>503</v>
      </c>
      <c r="Q74" s="405">
        <f t="shared" si="4"/>
        <v>1174.5413431261538</v>
      </c>
    </row>
    <row r="75" spans="2:20" ht="12.75" customHeight="1" x14ac:dyDescent="0.25">
      <c r="B75" s="47">
        <f t="shared" si="3"/>
        <v>1</v>
      </c>
      <c r="C75" s="47">
        <f t="shared" si="5"/>
        <v>6</v>
      </c>
      <c r="D75">
        <f t="shared" si="6"/>
        <v>6</v>
      </c>
      <c r="E75" s="117" t="s">
        <v>519</v>
      </c>
      <c r="F75" s="200">
        <f>VLOOKUP($E75,'Analysis Inputs'!$D$14:$M$67,10,FALSE)</f>
        <v>4168.741080644736</v>
      </c>
      <c r="G75" s="203" t="str">
        <f>VLOOKUP($E75,'Analysis Inputs'!$D$14:$M$67,4,FALSE)</f>
        <v>NA</v>
      </c>
      <c r="H75" s="203" t="s">
        <v>503</v>
      </c>
      <c r="I75" s="200">
        <f>VLOOKUP($E75,'Analysis Inputs'!$D$14:$M$67,5,FALSE)</f>
        <v>4168.741080644736</v>
      </c>
      <c r="J75" s="200">
        <f t="shared" si="1"/>
        <v>1118.36086862552</v>
      </c>
      <c r="K75" s="202">
        <f>VLOOKUP($E75,'Analysis Inputs'!$D$14:$M$67,6,FALSE)</f>
        <v>0</v>
      </c>
      <c r="L75" s="200">
        <f t="shared" si="2"/>
        <v>0</v>
      </c>
      <c r="M75" s="202" t="str">
        <f>VLOOKUP($E75,'Analysis Inputs'!$D$14:$M$67,7,FALSE)</f>
        <v>NA</v>
      </c>
      <c r="N75" s="202" t="s">
        <v>503</v>
      </c>
      <c r="O75" s="415" t="str">
        <f>VLOOKUP(E75,'Analysis Inputs'!$D$14:$U$67,8,FALSE)</f>
        <v>NA</v>
      </c>
      <c r="P75" s="477" t="s">
        <v>503</v>
      </c>
      <c r="Q75" s="405">
        <f t="shared" si="4"/>
        <v>1118.36086862552</v>
      </c>
    </row>
    <row r="76" spans="2:20" ht="12.75" customHeight="1" x14ac:dyDescent="0.25">
      <c r="B76" s="47">
        <f t="shared" si="3"/>
        <v>1</v>
      </c>
      <c r="C76" s="47">
        <f t="shared" si="5"/>
        <v>7</v>
      </c>
      <c r="D76">
        <f t="shared" si="6"/>
        <v>7</v>
      </c>
      <c r="E76" s="117" t="s">
        <v>520</v>
      </c>
      <c r="F76" s="200">
        <f>VLOOKUP($E76,'Analysis Inputs'!$D$14:$M$67,10,FALSE)</f>
        <v>7088.1162615431676</v>
      </c>
      <c r="G76" s="203">
        <f>VLOOKUP($E76,'Analysis Inputs'!$D$14:$M$67,4,FALSE)</f>
        <v>0</v>
      </c>
      <c r="H76" s="201">
        <f>+G76*G19</f>
        <v>0</v>
      </c>
      <c r="I76" s="200">
        <f>VLOOKUP($E76,'Analysis Inputs'!$D$14:$M$67,5,FALSE)</f>
        <v>7088.1162615431676</v>
      </c>
      <c r="J76" s="200">
        <f t="shared" si="1"/>
        <v>1901.5505414771628</v>
      </c>
      <c r="K76" s="202">
        <f>VLOOKUP($E76,'Analysis Inputs'!$D$14:$M$67,6,FALSE)</f>
        <v>0</v>
      </c>
      <c r="L76" s="200">
        <f t="shared" si="2"/>
        <v>0</v>
      </c>
      <c r="M76" s="202" t="str">
        <f>VLOOKUP($E76,'Analysis Inputs'!$D$14:$M$67,7,FALSE)</f>
        <v>NA</v>
      </c>
      <c r="N76" s="202" t="s">
        <v>503</v>
      </c>
      <c r="O76" s="415" t="str">
        <f>VLOOKUP(E76,'Analysis Inputs'!$D$14:$U$67,8,FALSE)</f>
        <v>NA</v>
      </c>
      <c r="P76" s="477" t="s">
        <v>503</v>
      </c>
      <c r="Q76" s="405">
        <f t="shared" si="4"/>
        <v>1901.5505414771628</v>
      </c>
    </row>
    <row r="77" spans="2:20" ht="12.75" customHeight="1" x14ac:dyDescent="0.25">
      <c r="B77" s="47">
        <f t="shared" si="3"/>
        <v>1</v>
      </c>
      <c r="C77" s="47">
        <f t="shared" si="5"/>
        <v>8</v>
      </c>
      <c r="D77">
        <f t="shared" si="6"/>
        <v>8</v>
      </c>
      <c r="E77" s="117" t="s">
        <v>86</v>
      </c>
      <c r="F77" s="200">
        <f>VLOOKUP($E77,'Analysis Inputs'!$D$14:$M$67,10,FALSE)</f>
        <v>12601.65494719689</v>
      </c>
      <c r="G77" s="203" t="str">
        <f>VLOOKUP($E77,'Analysis Inputs'!$D$14:$M$67,4,FALSE)</f>
        <v>NA</v>
      </c>
      <c r="H77" s="203" t="s">
        <v>503</v>
      </c>
      <c r="I77" s="200">
        <f>VLOOKUP($E77,'Analysis Inputs'!$D$14:$M$67,5,FALSE)</f>
        <v>12601.65494719689</v>
      </c>
      <c r="J77" s="200">
        <f t="shared" si="1"/>
        <v>3380.6843601537726</v>
      </c>
      <c r="K77" s="202">
        <f>VLOOKUP($E77,'Analysis Inputs'!$D$14:$M$67,6,FALSE)</f>
        <v>0</v>
      </c>
      <c r="L77" s="200">
        <f t="shared" si="2"/>
        <v>0</v>
      </c>
      <c r="M77" s="202" t="str">
        <f>VLOOKUP($E77,'Analysis Inputs'!$D$14:$M$67,7,FALSE)</f>
        <v>NA</v>
      </c>
      <c r="N77" s="202" t="s">
        <v>503</v>
      </c>
      <c r="O77" s="415" t="str">
        <f>VLOOKUP(E77,'Analysis Inputs'!$D$14:$U$67,8,FALSE)</f>
        <v>NA</v>
      </c>
      <c r="P77" s="477" t="s">
        <v>503</v>
      </c>
      <c r="Q77" s="405">
        <f t="shared" si="4"/>
        <v>3380.6843601537726</v>
      </c>
    </row>
    <row r="78" spans="2:20" ht="12.75" customHeight="1" x14ac:dyDescent="0.25">
      <c r="B78" s="47">
        <f t="shared" si="3"/>
        <v>0</v>
      </c>
      <c r="C78" s="47">
        <f t="shared" si="5"/>
        <v>8</v>
      </c>
      <c r="D78">
        <f t="shared" si="6"/>
        <v>0</v>
      </c>
      <c r="E78" s="117" t="s">
        <v>87</v>
      </c>
      <c r="F78" s="200">
        <f>VLOOKUP($E78,'Analysis Inputs'!$D$14:$M$67,10,FALSE)</f>
        <v>0</v>
      </c>
      <c r="G78" s="203" t="str">
        <f>VLOOKUP($E78,'Analysis Inputs'!$D$14:$M$67,4,FALSE)</f>
        <v>NA</v>
      </c>
      <c r="H78" s="203" t="s">
        <v>503</v>
      </c>
      <c r="I78" s="200">
        <f>VLOOKUP($E78,'Analysis Inputs'!$D$14:$M$67,5,FALSE)</f>
        <v>0</v>
      </c>
      <c r="J78" s="200">
        <f t="shared" si="1"/>
        <v>0</v>
      </c>
      <c r="K78" s="202">
        <f>VLOOKUP($E78,'Analysis Inputs'!$D$14:$M$67,6,FALSE)</f>
        <v>0</v>
      </c>
      <c r="L78" s="200">
        <f t="shared" si="2"/>
        <v>0</v>
      </c>
      <c r="M78" s="202" t="str">
        <f>VLOOKUP($E78,'Analysis Inputs'!$D$14:$M$67,7,FALSE)</f>
        <v>NA</v>
      </c>
      <c r="N78" s="202" t="s">
        <v>503</v>
      </c>
      <c r="O78" s="415" t="str">
        <f>VLOOKUP(E78,'Analysis Inputs'!$D$14:$U$67,8,FALSE)</f>
        <v>NA</v>
      </c>
      <c r="P78" s="477" t="s">
        <v>503</v>
      </c>
      <c r="Q78" s="405">
        <f t="shared" si="4"/>
        <v>0</v>
      </c>
    </row>
    <row r="79" spans="2:20" ht="12.75" customHeight="1" x14ac:dyDescent="0.25">
      <c r="B79" s="47">
        <f t="shared" si="3"/>
        <v>1</v>
      </c>
      <c r="C79" s="47">
        <f t="shared" si="5"/>
        <v>9</v>
      </c>
      <c r="D79">
        <f t="shared" si="6"/>
        <v>9</v>
      </c>
      <c r="E79" s="117" t="s">
        <v>88</v>
      </c>
      <c r="F79" s="200">
        <f>VLOOKUP($E79,'Analysis Inputs'!$D$14:$M$67,10,FALSE)</f>
        <v>5327.0221948308408</v>
      </c>
      <c r="G79" s="203" t="str">
        <f>VLOOKUP($E79,'Analysis Inputs'!$D$14:$M$67,4,FALSE)</f>
        <v>NA</v>
      </c>
      <c r="H79" s="203" t="s">
        <v>503</v>
      </c>
      <c r="I79" s="200">
        <f>VLOOKUP($E79,'Analysis Inputs'!$D$14:$M$67,5,FALSE)</f>
        <v>5327.0221948308408</v>
      </c>
      <c r="J79" s="200">
        <f t="shared" si="1"/>
        <v>1429.0964715124628</v>
      </c>
      <c r="K79" s="202">
        <f>VLOOKUP($E79,'Analysis Inputs'!$D$14:$M$67,6,FALSE)</f>
        <v>0</v>
      </c>
      <c r="L79" s="200">
        <f t="shared" si="2"/>
        <v>0</v>
      </c>
      <c r="M79" s="202" t="str">
        <f>VLOOKUP($E79,'Analysis Inputs'!$D$14:$M$67,7,FALSE)</f>
        <v>NA</v>
      </c>
      <c r="N79" s="202" t="s">
        <v>503</v>
      </c>
      <c r="O79" s="415" t="str">
        <f>VLOOKUP(E79,'Analysis Inputs'!$D$14:$U$67,8,FALSE)</f>
        <v>NA</v>
      </c>
      <c r="P79" s="477" t="s">
        <v>503</v>
      </c>
      <c r="Q79" s="405">
        <f t="shared" si="4"/>
        <v>1429.0964715124628</v>
      </c>
    </row>
    <row r="80" spans="2:20" ht="12.75" customHeight="1" x14ac:dyDescent="0.25">
      <c r="B80" s="47">
        <f t="shared" si="3"/>
        <v>0</v>
      </c>
      <c r="C80" s="47">
        <f t="shared" si="5"/>
        <v>9</v>
      </c>
      <c r="D80">
        <f t="shared" si="6"/>
        <v>0</v>
      </c>
      <c r="E80" s="117" t="s">
        <v>89</v>
      </c>
      <c r="F80" s="200">
        <f>VLOOKUP($E80,'Analysis Inputs'!$D$14:$M$67,10,FALSE)</f>
        <v>0</v>
      </c>
      <c r="G80" s="203" t="str">
        <f>VLOOKUP($E80,'Analysis Inputs'!$D$14:$M$67,4,FALSE)</f>
        <v>NA</v>
      </c>
      <c r="H80" s="203" t="s">
        <v>503</v>
      </c>
      <c r="I80" s="200">
        <f>VLOOKUP($E80,'Analysis Inputs'!$D$14:$M$67,5,FALSE)</f>
        <v>0</v>
      </c>
      <c r="J80" s="200">
        <f t="shared" si="1"/>
        <v>0</v>
      </c>
      <c r="K80" s="202">
        <f>VLOOKUP($E80,'Analysis Inputs'!$D$14:$M$67,6,FALSE)</f>
        <v>0</v>
      </c>
      <c r="L80" s="200">
        <f t="shared" si="2"/>
        <v>0</v>
      </c>
      <c r="M80" s="202" t="str">
        <f>VLOOKUP($E80,'Analysis Inputs'!$D$14:$M$67,7,FALSE)</f>
        <v>NA</v>
      </c>
      <c r="N80" s="202" t="s">
        <v>503</v>
      </c>
      <c r="O80" s="415" t="str">
        <f>VLOOKUP(E80,'Analysis Inputs'!$D$14:$U$67,8,FALSE)</f>
        <v>NA</v>
      </c>
      <c r="P80" s="477" t="s">
        <v>503</v>
      </c>
      <c r="Q80" s="405">
        <f t="shared" si="4"/>
        <v>0</v>
      </c>
    </row>
    <row r="81" spans="2:17" ht="12.75" customHeight="1" x14ac:dyDescent="0.25">
      <c r="B81" s="47">
        <f t="shared" si="3"/>
        <v>0</v>
      </c>
      <c r="C81" s="47">
        <f t="shared" si="5"/>
        <v>9</v>
      </c>
      <c r="D81">
        <f t="shared" si="6"/>
        <v>0</v>
      </c>
      <c r="E81" s="117" t="s">
        <v>85</v>
      </c>
      <c r="F81" s="200">
        <f>VLOOKUP($E81,'Analysis Inputs'!$D$14:$M$67,10,FALSE)</f>
        <v>0</v>
      </c>
      <c r="G81" s="203" t="str">
        <f>VLOOKUP($E81,'Analysis Inputs'!$D$14:$M$67,4,FALSE)</f>
        <v>NA</v>
      </c>
      <c r="H81" s="203" t="s">
        <v>503</v>
      </c>
      <c r="I81" s="200">
        <f>VLOOKUP($E81,'Analysis Inputs'!$D$14:$M$67,5,FALSE)</f>
        <v>0</v>
      </c>
      <c r="J81" s="200">
        <f t="shared" si="1"/>
        <v>0</v>
      </c>
      <c r="K81" s="202">
        <f>VLOOKUP($E81,'Analysis Inputs'!$D$14:$M$67,6,FALSE)</f>
        <v>0</v>
      </c>
      <c r="L81" s="200">
        <f t="shared" si="2"/>
        <v>0</v>
      </c>
      <c r="M81" s="202">
        <f>VLOOKUP($E81,'Analysis Inputs'!$D$14:$M$67,7,FALSE)</f>
        <v>0</v>
      </c>
      <c r="N81" s="200">
        <f>+M81*J24</f>
        <v>0</v>
      </c>
      <c r="O81" s="415" t="str">
        <f>VLOOKUP(E81,'Analysis Inputs'!$D$14:$U$67,8,FALSE)</f>
        <v>NA</v>
      </c>
      <c r="P81" s="477" t="s">
        <v>503</v>
      </c>
      <c r="Q81" s="405">
        <f t="shared" si="4"/>
        <v>0</v>
      </c>
    </row>
    <row r="82" spans="2:17" ht="12.75" customHeight="1" x14ac:dyDescent="0.25">
      <c r="B82" s="47">
        <f t="shared" si="3"/>
        <v>1</v>
      </c>
      <c r="C82" s="47">
        <f t="shared" si="5"/>
        <v>10</v>
      </c>
      <c r="D82">
        <f t="shared" si="6"/>
        <v>10</v>
      </c>
      <c r="E82" s="117" t="s">
        <v>59</v>
      </c>
      <c r="F82" s="200">
        <f>VLOOKUP($E82,'Analysis Inputs'!$D$14:$M$67,10,FALSE)</f>
        <v>27908.476920644473</v>
      </c>
      <c r="G82" s="203">
        <f>VLOOKUP($E82,'Analysis Inputs'!$D$14:$M$67,4,FALSE)</f>
        <v>0</v>
      </c>
      <c r="H82" s="201">
        <f t="shared" ref="H82:H89" si="7">+G82*G25</f>
        <v>0</v>
      </c>
      <c r="I82" s="200">
        <f>VLOOKUP($E82,'Analysis Inputs'!$D$14:$M$67,5,FALSE)</f>
        <v>27908.476920644473</v>
      </c>
      <c r="J82" s="200">
        <f t="shared" si="1"/>
        <v>7487.0921189857227</v>
      </c>
      <c r="K82" s="202">
        <f>VLOOKUP($E82,'Analysis Inputs'!$D$14:$M$67,6,FALSE)</f>
        <v>0</v>
      </c>
      <c r="L82" s="200">
        <f t="shared" si="2"/>
        <v>0</v>
      </c>
      <c r="M82" s="202" t="str">
        <f>VLOOKUP($E82,'Analysis Inputs'!$D$14:$M$67,7,FALSE)</f>
        <v>NA</v>
      </c>
      <c r="N82" s="202" t="s">
        <v>503</v>
      </c>
      <c r="O82" s="415" t="str">
        <f>VLOOKUP(E82,'Analysis Inputs'!$D$14:$U$67,8,FALSE)</f>
        <v>NA</v>
      </c>
      <c r="P82" s="477" t="s">
        <v>503</v>
      </c>
      <c r="Q82" s="405">
        <f t="shared" si="4"/>
        <v>7487.0921189857227</v>
      </c>
    </row>
    <row r="83" spans="2:17" ht="12.75" customHeight="1" x14ac:dyDescent="0.25">
      <c r="B83" s="47">
        <f t="shared" si="3"/>
        <v>0</v>
      </c>
      <c r="C83" s="47">
        <f t="shared" si="5"/>
        <v>10</v>
      </c>
      <c r="D83">
        <f t="shared" si="6"/>
        <v>0</v>
      </c>
      <c r="E83" s="128" t="s">
        <v>290</v>
      </c>
      <c r="F83" s="200">
        <f>VLOOKUP($E83,'Analysis Inputs'!$D$14:$M$67,10,FALSE)</f>
        <v>0</v>
      </c>
      <c r="G83" s="203">
        <f>VLOOKUP($E83,'Analysis Inputs'!$D$14:$M$67,4,FALSE)</f>
        <v>0</v>
      </c>
      <c r="H83" s="201">
        <f t="shared" si="7"/>
        <v>0</v>
      </c>
      <c r="I83" s="200">
        <f>VLOOKUP($E83,'Analysis Inputs'!$D$14:$M$67,5,FALSE)</f>
        <v>0</v>
      </c>
      <c r="J83" s="200">
        <f t="shared" si="1"/>
        <v>0</v>
      </c>
      <c r="K83" s="202">
        <f>VLOOKUP($E83,'Analysis Inputs'!$D$14:$M$67,6,FALSE)</f>
        <v>0</v>
      </c>
      <c r="L83" s="200">
        <f t="shared" si="2"/>
        <v>0</v>
      </c>
      <c r="M83" s="202" t="str">
        <f>VLOOKUP($E83,'Analysis Inputs'!$D$14:$M$67,7,FALSE)</f>
        <v>NA</v>
      </c>
      <c r="N83" s="202" t="s">
        <v>503</v>
      </c>
      <c r="O83" s="415" t="str">
        <f>VLOOKUP(E83,'Analysis Inputs'!$D$14:$U$67,8,FALSE)</f>
        <v>NA</v>
      </c>
      <c r="P83" s="477" t="s">
        <v>503</v>
      </c>
      <c r="Q83" s="405">
        <f t="shared" si="4"/>
        <v>0</v>
      </c>
    </row>
    <row r="84" spans="2:17" ht="12.75" customHeight="1" x14ac:dyDescent="0.25">
      <c r="B84" s="47">
        <f t="shared" si="3"/>
        <v>1</v>
      </c>
      <c r="C84" s="47">
        <f t="shared" si="5"/>
        <v>11</v>
      </c>
      <c r="D84">
        <f t="shared" si="6"/>
        <v>11</v>
      </c>
      <c r="E84" s="129" t="s">
        <v>502</v>
      </c>
      <c r="F84" s="200">
        <f>VLOOKUP($E84,'Analysis Inputs'!$D$14:$M$67,10,FALSE)</f>
        <v>12962.300300440122</v>
      </c>
      <c r="G84" s="203">
        <f>VLOOKUP($E84,'Analysis Inputs'!$D$14:$M$67,4,FALSE)</f>
        <v>0</v>
      </c>
      <c r="H84" s="201">
        <f t="shared" si="7"/>
        <v>0</v>
      </c>
      <c r="I84" s="200">
        <f>VLOOKUP($E84,'Analysis Inputs'!$D$14:$M$67,5,FALSE)</f>
        <v>12962.300300440122</v>
      </c>
      <c r="J84" s="200">
        <f t="shared" si="1"/>
        <v>3477.4357876750228</v>
      </c>
      <c r="K84" s="202">
        <f>VLOOKUP($E84,'Analysis Inputs'!$D$14:$M$67,6,FALSE)</f>
        <v>0</v>
      </c>
      <c r="L84" s="200">
        <f t="shared" si="2"/>
        <v>0</v>
      </c>
      <c r="M84" s="202" t="str">
        <f>VLOOKUP($E84,'Analysis Inputs'!$D$14:$M$67,7,FALSE)</f>
        <v>NA</v>
      </c>
      <c r="N84" s="202" t="s">
        <v>503</v>
      </c>
      <c r="O84" s="415" t="str">
        <f>VLOOKUP(E84,'Analysis Inputs'!$D$14:$U$67,8,FALSE)</f>
        <v>NA</v>
      </c>
      <c r="P84" s="477" t="s">
        <v>503</v>
      </c>
      <c r="Q84" s="405">
        <f t="shared" si="4"/>
        <v>3477.4357876750228</v>
      </c>
    </row>
    <row r="85" spans="2:17" ht="12.75" customHeight="1" x14ac:dyDescent="0.25">
      <c r="B85" s="47">
        <f t="shared" si="3"/>
        <v>1</v>
      </c>
      <c r="C85" s="47">
        <f t="shared" si="5"/>
        <v>12</v>
      </c>
      <c r="D85">
        <f t="shared" si="6"/>
        <v>12</v>
      </c>
      <c r="E85" s="129" t="s">
        <v>514</v>
      </c>
      <c r="F85" s="200">
        <f>VLOOKUP($E85,'Analysis Inputs'!$D$14:$M$67,10,FALSE)</f>
        <v>6726.271332146167</v>
      </c>
      <c r="G85" s="203">
        <f>VLOOKUP($E85,'Analysis Inputs'!$D$14:$M$67,4,FALSE)</f>
        <v>0</v>
      </c>
      <c r="H85" s="201">
        <f t="shared" si="7"/>
        <v>0</v>
      </c>
      <c r="I85" s="200">
        <f>VLOOKUP($E85,'Analysis Inputs'!$D$14:$M$67,5,FALSE)</f>
        <v>6726.271332146167</v>
      </c>
      <c r="J85" s="200">
        <f t="shared" si="1"/>
        <v>1804.4773000069627</v>
      </c>
      <c r="K85" s="202">
        <f>VLOOKUP($E85,'Analysis Inputs'!$D$14:$M$67,6,FALSE)</f>
        <v>0</v>
      </c>
      <c r="L85" s="200">
        <f t="shared" si="2"/>
        <v>0</v>
      </c>
      <c r="M85" s="202" t="str">
        <f>VLOOKUP($E85,'Analysis Inputs'!$D$14:$M$67,7,FALSE)</f>
        <v>NA</v>
      </c>
      <c r="N85" s="202" t="s">
        <v>503</v>
      </c>
      <c r="O85" s="415" t="str">
        <f>VLOOKUP(E85,'Analysis Inputs'!$D$14:$U$67,8,FALSE)</f>
        <v>NA</v>
      </c>
      <c r="P85" s="477" t="s">
        <v>503</v>
      </c>
      <c r="Q85" s="405">
        <f t="shared" si="4"/>
        <v>1804.4773000069627</v>
      </c>
    </row>
    <row r="86" spans="2:17" ht="12.75" customHeight="1" x14ac:dyDescent="0.25">
      <c r="B86" s="47">
        <f t="shared" si="3"/>
        <v>0</v>
      </c>
      <c r="C86" s="47">
        <f t="shared" si="5"/>
        <v>12</v>
      </c>
      <c r="D86">
        <f t="shared" si="6"/>
        <v>0</v>
      </c>
      <c r="E86" s="117" t="s">
        <v>383</v>
      </c>
      <c r="F86" s="200">
        <f>VLOOKUP($E86,'Analysis Inputs'!$D$14:$M$67,10,FALSE)</f>
        <v>0</v>
      </c>
      <c r="G86" s="203">
        <f>VLOOKUP($E86,'Analysis Inputs'!$D$14:$M$67,4,FALSE)</f>
        <v>0</v>
      </c>
      <c r="H86" s="201">
        <f t="shared" si="7"/>
        <v>0</v>
      </c>
      <c r="I86" s="200">
        <f>VLOOKUP($E86,'Analysis Inputs'!$D$14:$M$67,5,FALSE)</f>
        <v>0</v>
      </c>
      <c r="J86" s="200">
        <f t="shared" si="1"/>
        <v>0</v>
      </c>
      <c r="K86" s="202">
        <f>VLOOKUP($E86,'Analysis Inputs'!$D$14:$M$67,6,FALSE)</f>
        <v>0</v>
      </c>
      <c r="L86" s="200">
        <f t="shared" si="2"/>
        <v>0</v>
      </c>
      <c r="M86" s="202" t="str">
        <f>VLOOKUP($E86,'Analysis Inputs'!$D$14:$M$67,7,FALSE)</f>
        <v>NA</v>
      </c>
      <c r="N86" s="202" t="s">
        <v>503</v>
      </c>
      <c r="O86" s="415" t="str">
        <f>VLOOKUP(E86,'Analysis Inputs'!$D$14:$U$67,8,FALSE)</f>
        <v>NA</v>
      </c>
      <c r="P86" s="477" t="s">
        <v>503</v>
      </c>
      <c r="Q86" s="405">
        <f t="shared" si="4"/>
        <v>0</v>
      </c>
    </row>
    <row r="87" spans="2:17" ht="12.75" customHeight="1" x14ac:dyDescent="0.25">
      <c r="B87" s="47">
        <f t="shared" si="3"/>
        <v>0</v>
      </c>
      <c r="C87" s="47">
        <f t="shared" si="5"/>
        <v>12</v>
      </c>
      <c r="D87">
        <f t="shared" si="6"/>
        <v>0</v>
      </c>
      <c r="E87" s="117" t="s">
        <v>384</v>
      </c>
      <c r="F87" s="200">
        <f>VLOOKUP($E87,'Analysis Inputs'!$D$14:$M$67,10,FALSE)</f>
        <v>0</v>
      </c>
      <c r="G87" s="203">
        <f>VLOOKUP($E87,'Analysis Inputs'!$D$14:$M$67,4,FALSE)</f>
        <v>0</v>
      </c>
      <c r="H87" s="201">
        <f t="shared" si="7"/>
        <v>0</v>
      </c>
      <c r="I87" s="200">
        <f>VLOOKUP($E87,'Analysis Inputs'!$D$14:$M$67,5,FALSE)</f>
        <v>0</v>
      </c>
      <c r="J87" s="200">
        <f t="shared" si="1"/>
        <v>0</v>
      </c>
      <c r="K87" s="202">
        <f>VLOOKUP($E87,'Analysis Inputs'!$D$14:$M$67,6,FALSE)</f>
        <v>0</v>
      </c>
      <c r="L87" s="200">
        <f t="shared" si="2"/>
        <v>0</v>
      </c>
      <c r="M87" s="202" t="str">
        <f>VLOOKUP($E87,'Analysis Inputs'!$D$14:$M$67,7,FALSE)</f>
        <v>NA</v>
      </c>
      <c r="N87" s="202" t="s">
        <v>503</v>
      </c>
      <c r="O87" s="415" t="str">
        <f>VLOOKUP(E87,'Analysis Inputs'!$D$14:$U$67,8,FALSE)</f>
        <v>NA</v>
      </c>
      <c r="P87" s="477" t="s">
        <v>503</v>
      </c>
      <c r="Q87" s="405">
        <f t="shared" si="4"/>
        <v>0</v>
      </c>
    </row>
    <row r="88" spans="2:17" ht="12.75" customHeight="1" x14ac:dyDescent="0.25">
      <c r="B88" s="47">
        <f t="shared" si="3"/>
        <v>1</v>
      </c>
      <c r="C88" s="47">
        <f t="shared" si="5"/>
        <v>13</v>
      </c>
      <c r="D88">
        <f t="shared" si="6"/>
        <v>13</v>
      </c>
      <c r="E88" s="117" t="s">
        <v>4</v>
      </c>
      <c r="F88" s="200">
        <f>VLOOKUP($E88,'Analysis Inputs'!$D$14:$M$67,10,FALSE)</f>
        <v>103846.1137708187</v>
      </c>
      <c r="G88" s="203">
        <f>VLOOKUP($E88,'Analysis Inputs'!$D$14:$M$67,4,FALSE)</f>
        <v>0</v>
      </c>
      <c r="H88" s="201">
        <f t="shared" si="7"/>
        <v>0</v>
      </c>
      <c r="I88" s="200">
        <f>VLOOKUP($E88,'Analysis Inputs'!$D$14:$M$67,5,FALSE)</f>
        <v>103846.1137708187</v>
      </c>
      <c r="J88" s="200">
        <f t="shared" si="1"/>
        <v>27859.113279867121</v>
      </c>
      <c r="K88" s="202">
        <f>VLOOKUP($E88,'Analysis Inputs'!$D$14:$M$67,6,FALSE)</f>
        <v>0</v>
      </c>
      <c r="L88" s="200">
        <f t="shared" si="2"/>
        <v>0</v>
      </c>
      <c r="M88" s="202" t="str">
        <f>VLOOKUP($E88,'Analysis Inputs'!$D$14:$M$67,7,FALSE)</f>
        <v>NA</v>
      </c>
      <c r="N88" s="202" t="s">
        <v>503</v>
      </c>
      <c r="O88" s="415" t="str">
        <f>VLOOKUP(E88,'Analysis Inputs'!$D$14:$U$67,8,FALSE)</f>
        <v>NA</v>
      </c>
      <c r="P88" s="477" t="s">
        <v>503</v>
      </c>
      <c r="Q88" s="405">
        <f t="shared" si="4"/>
        <v>27859.113279867121</v>
      </c>
    </row>
    <row r="89" spans="2:17" ht="12.75" customHeight="1" x14ac:dyDescent="0.25">
      <c r="B89" s="47">
        <f t="shared" si="3"/>
        <v>0</v>
      </c>
      <c r="C89" s="47">
        <f t="shared" si="5"/>
        <v>13</v>
      </c>
      <c r="D89">
        <f t="shared" si="6"/>
        <v>0</v>
      </c>
      <c r="E89" s="117" t="s">
        <v>558</v>
      </c>
      <c r="F89" s="200">
        <f>VLOOKUP($E89,'Analysis Inputs'!$D$14:$M$67,10,FALSE)</f>
        <v>0</v>
      </c>
      <c r="G89" s="203">
        <f>VLOOKUP($E89,'Analysis Inputs'!$D$14:$M$67,4,FALSE)</f>
        <v>0</v>
      </c>
      <c r="H89" s="201">
        <f t="shared" si="7"/>
        <v>0</v>
      </c>
      <c r="I89" s="200">
        <f>VLOOKUP($E89,'Analysis Inputs'!$D$14:$M$67,5,FALSE)</f>
        <v>0</v>
      </c>
      <c r="J89" s="200">
        <f t="shared" si="1"/>
        <v>0</v>
      </c>
      <c r="K89" s="202">
        <f>VLOOKUP($E89,'Analysis Inputs'!$D$14:$M$67,6,FALSE)</f>
        <v>0</v>
      </c>
      <c r="L89" s="200">
        <f t="shared" si="2"/>
        <v>0</v>
      </c>
      <c r="M89" s="202" t="str">
        <f>VLOOKUP($E89,'Analysis Inputs'!$D$14:$M$67,7,FALSE)</f>
        <v>NA</v>
      </c>
      <c r="N89" s="202" t="s">
        <v>503</v>
      </c>
      <c r="O89" s="415" t="str">
        <f>VLOOKUP(E89,'Analysis Inputs'!$D$14:$U$67,8,FALSE)</f>
        <v>NA</v>
      </c>
      <c r="P89" s="477" t="s">
        <v>503</v>
      </c>
      <c r="Q89" s="405">
        <f t="shared" si="4"/>
        <v>0</v>
      </c>
    </row>
    <row r="90" spans="2:17" ht="12.75" customHeight="1" x14ac:dyDescent="0.25">
      <c r="B90" s="47">
        <f t="shared" si="3"/>
        <v>1</v>
      </c>
      <c r="C90" s="47">
        <f t="shared" ref="C90:C122" si="8">C89+B90</f>
        <v>14</v>
      </c>
      <c r="D90">
        <f t="shared" ref="D90:D122" si="9">C90*B90</f>
        <v>14</v>
      </c>
      <c r="E90" s="7" t="s">
        <v>646</v>
      </c>
      <c r="F90" s="200">
        <f>VLOOKUP($E90,'Analysis Inputs'!$D$14:$M$67,10,FALSE)</f>
        <v>107960.23499957993</v>
      </c>
      <c r="G90" s="203" t="str">
        <f>VLOOKUP($E90,'Analysis Inputs'!$D$14:$M$67,4,FALSE)</f>
        <v>NA</v>
      </c>
      <c r="H90" s="203" t="s">
        <v>503</v>
      </c>
      <c r="I90" s="200">
        <f>VLOOKUP($E90,'Analysis Inputs'!$D$14:$M$67,5,FALSE)</f>
        <v>107960.23499957993</v>
      </c>
      <c r="J90" s="200">
        <f t="shared" si="1"/>
        <v>28962.821114443523</v>
      </c>
      <c r="K90" s="202">
        <f>VLOOKUP($E90,'Analysis Inputs'!$D$14:$M$67,6,FALSE)</f>
        <v>0</v>
      </c>
      <c r="L90" s="200">
        <f t="shared" si="2"/>
        <v>0</v>
      </c>
      <c r="M90" s="202">
        <f>VLOOKUP($E90,'Analysis Inputs'!$D$14:$M$67,7,FALSE)</f>
        <v>0</v>
      </c>
      <c r="N90" s="200">
        <f t="shared" ref="N90:N101" si="10">+M90*J33</f>
        <v>0</v>
      </c>
      <c r="O90" s="415">
        <f>VLOOKUP(E90,'Analysis Inputs'!$D$14:$U$67,8,FALSE)</f>
        <v>0</v>
      </c>
      <c r="P90" s="477">
        <f>IF(AND(K33="NA",O90&lt;&gt;0),"INPUT ERROR",IF(AND(K33="NA",O90=0),"NA",+O90*K33))</f>
        <v>0</v>
      </c>
      <c r="Q90" s="407">
        <f t="shared" si="4"/>
        <v>28962.821114443523</v>
      </c>
    </row>
    <row r="91" spans="2:17" ht="12.75" customHeight="1" x14ac:dyDescent="0.25">
      <c r="B91" s="47">
        <f t="shared" si="3"/>
        <v>1</v>
      </c>
      <c r="C91" s="47">
        <f t="shared" si="8"/>
        <v>15</v>
      </c>
      <c r="D91">
        <f t="shared" si="9"/>
        <v>15</v>
      </c>
      <c r="E91" s="7" t="s">
        <v>744</v>
      </c>
      <c r="F91" s="200">
        <f>VLOOKUP($E91,'Analysis Inputs'!$D$14:$M$67,10,FALSE)</f>
        <v>65275.449706659572</v>
      </c>
      <c r="G91" s="203" t="str">
        <f>VLOOKUP($E91,'Analysis Inputs'!$D$14:$M$67,4,FALSE)</f>
        <v>NA</v>
      </c>
      <c r="H91" s="203" t="s">
        <v>503</v>
      </c>
      <c r="I91" s="200">
        <f>VLOOKUP($E91,'Analysis Inputs'!$D$14:$M$67,5,FALSE)</f>
        <v>65275.449706659572</v>
      </c>
      <c r="J91" s="200">
        <f t="shared" si="1"/>
        <v>17511.643736475678</v>
      </c>
      <c r="K91" s="202">
        <f>VLOOKUP($E91,'Analysis Inputs'!$D$14:$M$67,6,FALSE)</f>
        <v>0</v>
      </c>
      <c r="L91" s="200">
        <f t="shared" si="2"/>
        <v>0</v>
      </c>
      <c r="M91" s="202">
        <f>VLOOKUP($E91,'Analysis Inputs'!$D$14:$M$67,7,FALSE)</f>
        <v>0</v>
      </c>
      <c r="N91" s="200">
        <f t="shared" si="10"/>
        <v>0</v>
      </c>
      <c r="O91" s="415">
        <f>VLOOKUP(E91,'Analysis Inputs'!$D$14:$U$67,8,FALSE)</f>
        <v>0</v>
      </c>
      <c r="P91" s="477">
        <f t="shared" ref="P91:P109" si="11">IF(AND(K34="NA",O91&lt;&gt;0),"INPUT ERROR",IF(AND(K34="NA",O91=0),"NA",+O91*K34))</f>
        <v>0</v>
      </c>
      <c r="Q91" s="407">
        <f t="shared" si="4"/>
        <v>17511.643736475678</v>
      </c>
    </row>
    <row r="92" spans="2:17" ht="12.75" customHeight="1" x14ac:dyDescent="0.25">
      <c r="B92" s="47">
        <f t="shared" si="3"/>
        <v>0</v>
      </c>
      <c r="C92" s="47">
        <f t="shared" si="8"/>
        <v>15</v>
      </c>
      <c r="D92">
        <f t="shared" si="9"/>
        <v>0</v>
      </c>
      <c r="E92" s="7" t="s">
        <v>741</v>
      </c>
      <c r="F92" s="200">
        <f>VLOOKUP($E92,'Analysis Inputs'!$D$14:$M$67,10,FALSE)</f>
        <v>0</v>
      </c>
      <c r="G92" s="203" t="str">
        <f>VLOOKUP($E92,'Analysis Inputs'!$D$14:$M$67,4,FALSE)</f>
        <v>NA</v>
      </c>
      <c r="H92" s="203" t="s">
        <v>503</v>
      </c>
      <c r="I92" s="200">
        <f>VLOOKUP($E92,'Analysis Inputs'!$D$14:$M$67,5,FALSE)</f>
        <v>0</v>
      </c>
      <c r="J92" s="200">
        <f t="shared" si="1"/>
        <v>0</v>
      </c>
      <c r="K92" s="202">
        <f>VLOOKUP($E92,'Analysis Inputs'!$D$14:$M$67,6,FALSE)</f>
        <v>0</v>
      </c>
      <c r="L92" s="200">
        <f t="shared" si="2"/>
        <v>0</v>
      </c>
      <c r="M92" s="202">
        <f>VLOOKUP($E92,'Analysis Inputs'!$D$14:$M$67,7,FALSE)</f>
        <v>0</v>
      </c>
      <c r="N92" s="200">
        <f t="shared" si="10"/>
        <v>0</v>
      </c>
      <c r="O92" s="415">
        <f>VLOOKUP(E92,'Analysis Inputs'!$D$14:$U$67,8,FALSE)</f>
        <v>0</v>
      </c>
      <c r="P92" s="477">
        <f t="shared" si="11"/>
        <v>0</v>
      </c>
      <c r="Q92" s="407">
        <f t="shared" si="4"/>
        <v>0</v>
      </c>
    </row>
    <row r="93" spans="2:17" ht="12.75" customHeight="1" x14ac:dyDescent="0.25">
      <c r="B93" s="47">
        <f t="shared" si="3"/>
        <v>0</v>
      </c>
      <c r="C93" s="47">
        <f t="shared" si="8"/>
        <v>15</v>
      </c>
      <c r="D93">
        <f t="shared" si="9"/>
        <v>0</v>
      </c>
      <c r="E93" s="7" t="s">
        <v>742</v>
      </c>
      <c r="F93" s="200">
        <f>VLOOKUP($E93,'Analysis Inputs'!$D$14:$M$67,10,FALSE)</f>
        <v>0</v>
      </c>
      <c r="G93" s="203" t="str">
        <f>VLOOKUP($E93,'Analysis Inputs'!$D$14:$M$67,4,FALSE)</f>
        <v>NA</v>
      </c>
      <c r="H93" s="203" t="s">
        <v>503</v>
      </c>
      <c r="I93" s="200">
        <f>VLOOKUP($E93,'Analysis Inputs'!$D$14:$M$67,5,FALSE)</f>
        <v>0</v>
      </c>
      <c r="J93" s="200">
        <f t="shared" si="1"/>
        <v>0</v>
      </c>
      <c r="K93" s="202">
        <f>VLOOKUP($E93,'Analysis Inputs'!$D$14:$M$67,6,FALSE)</f>
        <v>0</v>
      </c>
      <c r="L93" s="200">
        <f t="shared" si="2"/>
        <v>0</v>
      </c>
      <c r="M93" s="202">
        <f>VLOOKUP($E93,'Analysis Inputs'!$D$14:$M$67,7,FALSE)</f>
        <v>0</v>
      </c>
      <c r="N93" s="200">
        <f t="shared" si="10"/>
        <v>0</v>
      </c>
      <c r="O93" s="415">
        <f>VLOOKUP(E93,'Analysis Inputs'!$D$14:$U$67,8,FALSE)</f>
        <v>0</v>
      </c>
      <c r="P93" s="477">
        <f t="shared" si="11"/>
        <v>0</v>
      </c>
      <c r="Q93" s="407">
        <f t="shared" si="4"/>
        <v>0</v>
      </c>
    </row>
    <row r="94" spans="2:17" ht="12.75" customHeight="1" x14ac:dyDescent="0.25">
      <c r="B94" s="47">
        <f t="shared" si="3"/>
        <v>0</v>
      </c>
      <c r="C94" s="47">
        <f t="shared" si="8"/>
        <v>15</v>
      </c>
      <c r="D94">
        <f t="shared" si="9"/>
        <v>0</v>
      </c>
      <c r="E94" s="117" t="s">
        <v>649</v>
      </c>
      <c r="F94" s="200">
        <f>VLOOKUP($E94,'Analysis Inputs'!$D$14:$M$67,10,FALSE)</f>
        <v>0</v>
      </c>
      <c r="G94" s="203" t="str">
        <f>VLOOKUP($E94,'Analysis Inputs'!$D$14:$M$67,4,FALSE)</f>
        <v>NA</v>
      </c>
      <c r="H94" s="203" t="s">
        <v>503</v>
      </c>
      <c r="I94" s="200">
        <f>VLOOKUP($E94,'Analysis Inputs'!$D$14:$M$67,5,FALSE)</f>
        <v>0</v>
      </c>
      <c r="J94" s="200">
        <f t="shared" si="1"/>
        <v>0</v>
      </c>
      <c r="K94" s="202">
        <f>VLOOKUP($E94,'Analysis Inputs'!$D$14:$M$67,6,FALSE)</f>
        <v>0</v>
      </c>
      <c r="L94" s="200">
        <f t="shared" si="2"/>
        <v>0</v>
      </c>
      <c r="M94" s="202">
        <f>VLOOKUP($E94,'Analysis Inputs'!$D$14:$M$67,7,FALSE)</f>
        <v>0</v>
      </c>
      <c r="N94" s="200">
        <f t="shared" si="10"/>
        <v>0</v>
      </c>
      <c r="O94" s="415">
        <f>VLOOKUP(E94,'Analysis Inputs'!$D$14:$U$67,8,FALSE)</f>
        <v>0</v>
      </c>
      <c r="P94" s="477">
        <f t="shared" si="11"/>
        <v>0</v>
      </c>
      <c r="Q94" s="407">
        <f t="shared" si="4"/>
        <v>0</v>
      </c>
    </row>
    <row r="95" spans="2:17" ht="12.75" customHeight="1" x14ac:dyDescent="0.25">
      <c r="B95" s="47">
        <f t="shared" si="3"/>
        <v>0</v>
      </c>
      <c r="C95" s="47">
        <f t="shared" si="8"/>
        <v>15</v>
      </c>
      <c r="D95">
        <f t="shared" si="9"/>
        <v>0</v>
      </c>
      <c r="E95" s="117" t="s">
        <v>645</v>
      </c>
      <c r="F95" s="200">
        <f>VLOOKUP($E95,'Analysis Inputs'!$D$14:$M$67,10,FALSE)</f>
        <v>0</v>
      </c>
      <c r="G95" s="203" t="str">
        <f>VLOOKUP($E95,'Analysis Inputs'!$D$14:$M$67,4,FALSE)</f>
        <v>NA</v>
      </c>
      <c r="H95" s="203" t="s">
        <v>503</v>
      </c>
      <c r="I95" s="200">
        <f>VLOOKUP($E95,'Analysis Inputs'!$D$14:$M$67,5,FALSE)</f>
        <v>0</v>
      </c>
      <c r="J95" s="200">
        <f t="shared" si="1"/>
        <v>0</v>
      </c>
      <c r="K95" s="202">
        <f>VLOOKUP($E95,'Analysis Inputs'!$D$14:$M$67,6,FALSE)</f>
        <v>0</v>
      </c>
      <c r="L95" s="200">
        <f t="shared" si="2"/>
        <v>0</v>
      </c>
      <c r="M95" s="202">
        <f>VLOOKUP($E95,'Analysis Inputs'!$D$14:$M$67,7,FALSE)</f>
        <v>0</v>
      </c>
      <c r="N95" s="200">
        <f t="shared" si="10"/>
        <v>0</v>
      </c>
      <c r="O95" s="415">
        <f>VLOOKUP(E95,'Analysis Inputs'!$D$14:$U$67,8,FALSE)</f>
        <v>0</v>
      </c>
      <c r="P95" s="477">
        <f t="shared" si="11"/>
        <v>0</v>
      </c>
      <c r="Q95" s="407">
        <f t="shared" si="4"/>
        <v>0</v>
      </c>
    </row>
    <row r="96" spans="2:17" ht="12.75" customHeight="1" x14ac:dyDescent="0.25">
      <c r="B96" s="47">
        <f t="shared" si="3"/>
        <v>0</v>
      </c>
      <c r="C96" s="47">
        <f t="shared" si="8"/>
        <v>15</v>
      </c>
      <c r="D96">
        <f t="shared" si="9"/>
        <v>0</v>
      </c>
      <c r="E96" s="117" t="s">
        <v>647</v>
      </c>
      <c r="F96" s="200">
        <f>VLOOKUP($E96,'Analysis Inputs'!$D$14:$M$67,10,FALSE)</f>
        <v>0</v>
      </c>
      <c r="G96" s="203" t="str">
        <f>VLOOKUP($E96,'Analysis Inputs'!$D$14:$M$67,4,FALSE)</f>
        <v>NA</v>
      </c>
      <c r="H96" s="203" t="s">
        <v>503</v>
      </c>
      <c r="I96" s="200">
        <f>VLOOKUP($E96,'Analysis Inputs'!$D$14:$M$67,5,FALSE)</f>
        <v>0</v>
      </c>
      <c r="J96" s="200">
        <f t="shared" si="1"/>
        <v>0</v>
      </c>
      <c r="K96" s="202">
        <f>VLOOKUP($E96,'Analysis Inputs'!$D$14:$M$67,6,FALSE)</f>
        <v>0</v>
      </c>
      <c r="L96" s="200">
        <f t="shared" si="2"/>
        <v>0</v>
      </c>
      <c r="M96" s="202">
        <f>VLOOKUP($E96,'Analysis Inputs'!$D$14:$M$67,7,FALSE)</f>
        <v>0</v>
      </c>
      <c r="N96" s="200">
        <f t="shared" si="10"/>
        <v>0</v>
      </c>
      <c r="O96" s="415">
        <f>VLOOKUP(E96,'Analysis Inputs'!$D$14:$U$67,8,FALSE)</f>
        <v>0</v>
      </c>
      <c r="P96" s="477">
        <f t="shared" si="11"/>
        <v>0</v>
      </c>
      <c r="Q96" s="407">
        <f t="shared" si="4"/>
        <v>0</v>
      </c>
    </row>
    <row r="97" spans="2:17" ht="12.75" customHeight="1" x14ac:dyDescent="0.25">
      <c r="B97" s="47">
        <f t="shared" si="3"/>
        <v>0</v>
      </c>
      <c r="C97" s="47">
        <f t="shared" si="8"/>
        <v>15</v>
      </c>
      <c r="D97">
        <f t="shared" si="9"/>
        <v>0</v>
      </c>
      <c r="E97" s="117" t="s">
        <v>648</v>
      </c>
      <c r="F97" s="200">
        <f>VLOOKUP($E97,'Analysis Inputs'!$D$14:$M$67,10,FALSE)</f>
        <v>0</v>
      </c>
      <c r="G97" s="203" t="str">
        <f>VLOOKUP($E97,'Analysis Inputs'!$D$14:$M$67,4,FALSE)</f>
        <v>NA</v>
      </c>
      <c r="H97" s="203" t="s">
        <v>503</v>
      </c>
      <c r="I97" s="200">
        <f>VLOOKUP($E97,'Analysis Inputs'!$D$14:$M$67,5,FALSE)</f>
        <v>0</v>
      </c>
      <c r="J97" s="200">
        <f t="shared" si="1"/>
        <v>0</v>
      </c>
      <c r="K97" s="202">
        <f>VLOOKUP($E97,'Analysis Inputs'!$D$14:$M$67,6,FALSE)</f>
        <v>0</v>
      </c>
      <c r="L97" s="200">
        <f t="shared" si="2"/>
        <v>0</v>
      </c>
      <c r="M97" s="202">
        <f>VLOOKUP($E97,'Analysis Inputs'!$D$14:$M$67,7,FALSE)</f>
        <v>0</v>
      </c>
      <c r="N97" s="200">
        <f t="shared" si="10"/>
        <v>0</v>
      </c>
      <c r="O97" s="415">
        <f>VLOOKUP(E97,'Analysis Inputs'!$D$14:$U$67,8,FALSE)</f>
        <v>0</v>
      </c>
      <c r="P97" s="477">
        <f t="shared" si="11"/>
        <v>0</v>
      </c>
      <c r="Q97" s="407">
        <f t="shared" si="4"/>
        <v>0</v>
      </c>
    </row>
    <row r="98" spans="2:17" ht="12.75" customHeight="1" x14ac:dyDescent="0.25">
      <c r="B98" s="47">
        <f t="shared" si="3"/>
        <v>1</v>
      </c>
      <c r="C98" s="47">
        <f t="shared" si="8"/>
        <v>16</v>
      </c>
      <c r="D98">
        <f t="shared" si="9"/>
        <v>16</v>
      </c>
      <c r="E98" s="117" t="s">
        <v>580</v>
      </c>
      <c r="F98" s="200">
        <f>VLOOKUP($E98,'Analysis Inputs'!$D$14:$M$67,10,FALSE)</f>
        <v>34800.561320441149</v>
      </c>
      <c r="G98" s="203" t="str">
        <f>VLOOKUP($E98,'Analysis Inputs'!$D$14:$M$67,4,FALSE)</f>
        <v>NA</v>
      </c>
      <c r="H98" s="203" t="s">
        <v>503</v>
      </c>
      <c r="I98" s="200">
        <f>VLOOKUP($E98,'Analysis Inputs'!$D$14:$M$67,5,FALSE)</f>
        <v>34800.561320441149</v>
      </c>
      <c r="J98" s="200">
        <f t="shared" si="1"/>
        <v>9336.0525957551072</v>
      </c>
      <c r="K98" s="202">
        <f>VLOOKUP($E98,'Analysis Inputs'!$D$14:$M$67,6,FALSE)</f>
        <v>0</v>
      </c>
      <c r="L98" s="200">
        <f t="shared" si="2"/>
        <v>0</v>
      </c>
      <c r="M98" s="202">
        <f>VLOOKUP($E98,'Analysis Inputs'!$D$14:$M$67,7,FALSE)</f>
        <v>0</v>
      </c>
      <c r="N98" s="200">
        <f t="shared" si="10"/>
        <v>0</v>
      </c>
      <c r="O98" s="415">
        <f>VLOOKUP(E98,'Analysis Inputs'!$D$14:$U$67,8,FALSE)</f>
        <v>0</v>
      </c>
      <c r="P98" s="477" t="str">
        <f t="shared" si="11"/>
        <v>NA</v>
      </c>
      <c r="Q98" s="407">
        <f t="shared" si="4"/>
        <v>9336.0525957551072</v>
      </c>
    </row>
    <row r="99" spans="2:17" ht="12.75" customHeight="1" x14ac:dyDescent="0.25">
      <c r="B99" s="47">
        <f t="shared" si="3"/>
        <v>0</v>
      </c>
      <c r="C99" s="47">
        <f t="shared" si="8"/>
        <v>16</v>
      </c>
      <c r="D99">
        <f t="shared" si="9"/>
        <v>0</v>
      </c>
      <c r="E99" s="117" t="s">
        <v>521</v>
      </c>
      <c r="F99" s="200">
        <f>VLOOKUP($E99,'Analysis Inputs'!$D$14:$M$67,10,FALSE)</f>
        <v>0</v>
      </c>
      <c r="G99" s="203" t="str">
        <f>VLOOKUP($E99,'Analysis Inputs'!$D$14:$M$67,4,FALSE)</f>
        <v>NA</v>
      </c>
      <c r="H99" s="203" t="s">
        <v>503</v>
      </c>
      <c r="I99" s="200">
        <f>VLOOKUP($E99,'Analysis Inputs'!$D$14:$M$67,5,FALSE)</f>
        <v>0</v>
      </c>
      <c r="J99" s="200">
        <f t="shared" si="1"/>
        <v>0</v>
      </c>
      <c r="K99" s="202">
        <f>VLOOKUP($E99,'Analysis Inputs'!$D$14:$M$67,6,FALSE)</f>
        <v>0</v>
      </c>
      <c r="L99" s="200">
        <f t="shared" si="2"/>
        <v>0</v>
      </c>
      <c r="M99" s="202">
        <f>VLOOKUP($E99,'Analysis Inputs'!$D$14:$M$67,7,FALSE)</f>
        <v>0</v>
      </c>
      <c r="N99" s="200">
        <f t="shared" si="10"/>
        <v>0</v>
      </c>
      <c r="O99" s="415">
        <f>VLOOKUP(E99,'Analysis Inputs'!$D$14:$U$67,8,FALSE)</f>
        <v>0</v>
      </c>
      <c r="P99" s="477" t="str">
        <f t="shared" si="11"/>
        <v>NA</v>
      </c>
      <c r="Q99" s="407">
        <f t="shared" si="4"/>
        <v>0</v>
      </c>
    </row>
    <row r="100" spans="2:17" ht="12.75" customHeight="1" x14ac:dyDescent="0.25">
      <c r="B100" s="47">
        <f t="shared" si="3"/>
        <v>0</v>
      </c>
      <c r="C100" s="47">
        <f t="shared" si="8"/>
        <v>16</v>
      </c>
      <c r="D100">
        <f t="shared" si="9"/>
        <v>0</v>
      </c>
      <c r="E100" s="117" t="s">
        <v>522</v>
      </c>
      <c r="F100" s="200">
        <f>VLOOKUP($E100,'Analysis Inputs'!$D$14:$M$67,10,FALSE)</f>
        <v>0</v>
      </c>
      <c r="G100" s="203" t="str">
        <f>VLOOKUP($E100,'Analysis Inputs'!$D$14:$M$67,4,FALSE)</f>
        <v>NA</v>
      </c>
      <c r="H100" s="203" t="s">
        <v>503</v>
      </c>
      <c r="I100" s="200">
        <f>VLOOKUP($E100,'Analysis Inputs'!$D$14:$M$67,5,FALSE)</f>
        <v>0</v>
      </c>
      <c r="J100" s="200">
        <f t="shared" si="1"/>
        <v>0</v>
      </c>
      <c r="K100" s="202">
        <f>VLOOKUP($E100,'Analysis Inputs'!$D$14:$M$67,6,FALSE)</f>
        <v>0</v>
      </c>
      <c r="L100" s="200">
        <f t="shared" si="2"/>
        <v>0</v>
      </c>
      <c r="M100" s="202">
        <f>VLOOKUP($E100,'Analysis Inputs'!$D$14:$M$67,7,FALSE)</f>
        <v>0</v>
      </c>
      <c r="N100" s="200">
        <f t="shared" si="10"/>
        <v>0</v>
      </c>
      <c r="O100" s="415">
        <f>VLOOKUP(E100,'Analysis Inputs'!$D$14:$U$67,8,FALSE)</f>
        <v>0</v>
      </c>
      <c r="P100" s="477" t="str">
        <f t="shared" si="11"/>
        <v>NA</v>
      </c>
      <c r="Q100" s="407">
        <f t="shared" si="4"/>
        <v>0</v>
      </c>
    </row>
    <row r="101" spans="2:17" ht="12.75" customHeight="1" x14ac:dyDescent="0.25">
      <c r="B101" s="47">
        <f t="shared" si="3"/>
        <v>1</v>
      </c>
      <c r="C101" s="47">
        <f t="shared" si="8"/>
        <v>17</v>
      </c>
      <c r="D101">
        <f t="shared" si="9"/>
        <v>17</v>
      </c>
      <c r="E101" s="117" t="s">
        <v>523</v>
      </c>
      <c r="F101" s="200">
        <f>VLOOKUP($E101,'Analysis Inputs'!$D$14:$M$67,10,FALSE)</f>
        <v>2781.912059757693</v>
      </c>
      <c r="G101" s="203" t="str">
        <f>VLOOKUP($E101,'Analysis Inputs'!$D$14:$M$67,4,FALSE)</f>
        <v>NA</v>
      </c>
      <c r="H101" s="203" t="s">
        <v>503</v>
      </c>
      <c r="I101" s="200">
        <f>VLOOKUP($E101,'Analysis Inputs'!$D$14:$M$67,5,FALSE)</f>
        <v>2781.912059757693</v>
      </c>
      <c r="J101" s="200">
        <f t="shared" ref="J101:J122" si="12">+I101*H44</f>
        <v>746.3120225996978</v>
      </c>
      <c r="K101" s="202">
        <f>VLOOKUP($E101,'Analysis Inputs'!$D$14:$M$67,6,FALSE)</f>
        <v>0</v>
      </c>
      <c r="L101" s="200">
        <f t="shared" si="2"/>
        <v>0</v>
      </c>
      <c r="M101" s="202">
        <f>VLOOKUP($E101,'Analysis Inputs'!$D$14:$M$67,7,FALSE)</f>
        <v>0</v>
      </c>
      <c r="N101" s="200">
        <f t="shared" si="10"/>
        <v>0</v>
      </c>
      <c r="O101" s="415">
        <f>VLOOKUP(E101,'Analysis Inputs'!$D$14:$U$67,8,FALSE)</f>
        <v>0</v>
      </c>
      <c r="P101" s="477" t="str">
        <f t="shared" si="11"/>
        <v>NA</v>
      </c>
      <c r="Q101" s="407">
        <f t="shared" si="4"/>
        <v>746.3120225996978</v>
      </c>
    </row>
    <row r="102" spans="2:17" ht="12.75" customHeight="1" x14ac:dyDescent="0.25">
      <c r="B102" s="47">
        <f t="shared" si="3"/>
        <v>1</v>
      </c>
      <c r="C102" s="47">
        <f t="shared" si="8"/>
        <v>18</v>
      </c>
      <c r="D102">
        <f t="shared" si="9"/>
        <v>18</v>
      </c>
      <c r="E102" s="117" t="s">
        <v>583</v>
      </c>
      <c r="F102" s="200">
        <f>VLOOKUP($E102,'Analysis Inputs'!$D$14:$M$67,10,FALSE)</f>
        <v>93768.529977279337</v>
      </c>
      <c r="G102" s="203">
        <f>VLOOKUP($E102,'Analysis Inputs'!$D$14:$M$67,4,FALSE)</f>
        <v>0</v>
      </c>
      <c r="H102" s="201">
        <f t="shared" ref="H102:H107" si="13">+G102*G45</f>
        <v>0</v>
      </c>
      <c r="I102" s="200">
        <f>VLOOKUP($E102,'Analysis Inputs'!$D$14:$M$67,5,FALSE)</f>
        <v>93768.529977279337</v>
      </c>
      <c r="J102" s="200">
        <f t="shared" si="12"/>
        <v>25155.569176992285</v>
      </c>
      <c r="K102" s="202">
        <f>VLOOKUP($E102,'Analysis Inputs'!$D$14:$M$67,6,FALSE)</f>
        <v>0</v>
      </c>
      <c r="L102" s="200">
        <f t="shared" si="2"/>
        <v>0</v>
      </c>
      <c r="M102" s="202" t="str">
        <f>VLOOKUP($E102,'Analysis Inputs'!$D$14:$M$67,7,FALSE)</f>
        <v>NA</v>
      </c>
      <c r="N102" s="202" t="s">
        <v>503</v>
      </c>
      <c r="O102" s="415" t="str">
        <f>VLOOKUP(E102,'Analysis Inputs'!$D$14:$U$67,8,FALSE)</f>
        <v>NA</v>
      </c>
      <c r="P102" s="477" t="s">
        <v>503</v>
      </c>
      <c r="Q102" s="407">
        <f t="shared" si="4"/>
        <v>25155.569176992285</v>
      </c>
    </row>
    <row r="103" spans="2:17" ht="12.75" customHeight="1" x14ac:dyDescent="0.25">
      <c r="B103" s="47">
        <f t="shared" si="3"/>
        <v>0</v>
      </c>
      <c r="C103" s="47">
        <f t="shared" si="8"/>
        <v>18</v>
      </c>
      <c r="D103">
        <f t="shared" si="9"/>
        <v>0</v>
      </c>
      <c r="E103" s="117" t="s">
        <v>584</v>
      </c>
      <c r="F103" s="200">
        <f>VLOOKUP($E103,'Analysis Inputs'!$D$14:$M$67,10,FALSE)</f>
        <v>0</v>
      </c>
      <c r="G103" s="203">
        <f>VLOOKUP($E103,'Analysis Inputs'!$D$14:$M$67,4,FALSE)</f>
        <v>0</v>
      </c>
      <c r="H103" s="201">
        <f t="shared" si="13"/>
        <v>0</v>
      </c>
      <c r="I103" s="200">
        <f>VLOOKUP($E103,'Analysis Inputs'!$D$14:$M$67,5,FALSE)</f>
        <v>0</v>
      </c>
      <c r="J103" s="200">
        <f t="shared" si="12"/>
        <v>0</v>
      </c>
      <c r="K103" s="202">
        <f>VLOOKUP($E103,'Analysis Inputs'!$D$14:$M$67,6,FALSE)</f>
        <v>0</v>
      </c>
      <c r="L103" s="200">
        <f t="shared" si="2"/>
        <v>0</v>
      </c>
      <c r="M103" s="202" t="str">
        <f>VLOOKUP($E103,'Analysis Inputs'!$D$14:$M$67,7,FALSE)</f>
        <v>NA</v>
      </c>
      <c r="N103" s="202" t="s">
        <v>503</v>
      </c>
      <c r="O103" s="415" t="str">
        <f>VLOOKUP(E103,'Analysis Inputs'!$D$14:$U$67,8,FALSE)</f>
        <v>NA</v>
      </c>
      <c r="P103" s="477" t="s">
        <v>503</v>
      </c>
      <c r="Q103" s="407">
        <f t="shared" si="4"/>
        <v>0</v>
      </c>
    </row>
    <row r="104" spans="2:17" ht="12.75" customHeight="1" x14ac:dyDescent="0.25">
      <c r="B104" s="47">
        <f t="shared" si="3"/>
        <v>0</v>
      </c>
      <c r="C104" s="47">
        <f t="shared" si="8"/>
        <v>18</v>
      </c>
      <c r="D104">
        <f t="shared" si="9"/>
        <v>0</v>
      </c>
      <c r="E104" s="117" t="s">
        <v>585</v>
      </c>
      <c r="F104" s="200">
        <f>VLOOKUP($E104,'Analysis Inputs'!$D$14:$M$67,10,FALSE)</f>
        <v>0</v>
      </c>
      <c r="G104" s="203">
        <f>VLOOKUP($E104,'Analysis Inputs'!$D$14:$M$67,4,FALSE)</f>
        <v>0</v>
      </c>
      <c r="H104" s="201">
        <f t="shared" si="13"/>
        <v>0</v>
      </c>
      <c r="I104" s="200">
        <f>VLOOKUP($E104,'Analysis Inputs'!$D$14:$M$67,5,FALSE)</f>
        <v>0</v>
      </c>
      <c r="J104" s="200">
        <f t="shared" si="12"/>
        <v>0</v>
      </c>
      <c r="K104" s="202">
        <f>VLOOKUP($E104,'Analysis Inputs'!$D$14:$M$67,6,FALSE)</f>
        <v>0</v>
      </c>
      <c r="L104" s="200">
        <f t="shared" si="2"/>
        <v>0</v>
      </c>
      <c r="M104" s="202" t="str">
        <f>VLOOKUP($E104,'Analysis Inputs'!$D$14:$M$67,7,FALSE)</f>
        <v>NA</v>
      </c>
      <c r="N104" s="202" t="s">
        <v>503</v>
      </c>
      <c r="O104" s="415" t="str">
        <f>VLOOKUP(E104,'Analysis Inputs'!$D$14:$U$67,8,FALSE)</f>
        <v>NA</v>
      </c>
      <c r="P104" s="477" t="s">
        <v>503</v>
      </c>
      <c r="Q104" s="407">
        <f t="shared" si="4"/>
        <v>0</v>
      </c>
    </row>
    <row r="105" spans="2:17" ht="12.75" customHeight="1" x14ac:dyDescent="0.25">
      <c r="B105" s="47">
        <f t="shared" si="3"/>
        <v>1</v>
      </c>
      <c r="C105" s="47">
        <f t="shared" si="8"/>
        <v>19</v>
      </c>
      <c r="D105">
        <f t="shared" si="9"/>
        <v>19</v>
      </c>
      <c r="E105" s="117" t="s">
        <v>633</v>
      </c>
      <c r="F105" s="200">
        <f>VLOOKUP($E105,'Analysis Inputs'!$D$14:$M$67,10,FALSE)</f>
        <v>31048.613761431894</v>
      </c>
      <c r="G105" s="203">
        <f>VLOOKUP($E105,'Analysis Inputs'!$D$14:$M$67,4,FALSE)</f>
        <v>0</v>
      </c>
      <c r="H105" s="201">
        <f t="shared" si="13"/>
        <v>0</v>
      </c>
      <c r="I105" s="200">
        <f>VLOOKUP($E105,'Analysis Inputs'!$D$14:$M$67,5,FALSE)</f>
        <v>31048.613761431894</v>
      </c>
      <c r="J105" s="200">
        <f t="shared" si="12"/>
        <v>8329.5061948253478</v>
      </c>
      <c r="K105" s="202">
        <f>VLOOKUP($E105,'Analysis Inputs'!$D$14:$M$67,6,FALSE)</f>
        <v>0</v>
      </c>
      <c r="L105" s="200">
        <f t="shared" si="2"/>
        <v>0</v>
      </c>
      <c r="M105" s="202" t="str">
        <f>VLOOKUP($E105,'Analysis Inputs'!$D$14:$M$67,7,FALSE)</f>
        <v>NA</v>
      </c>
      <c r="N105" s="202" t="s">
        <v>503</v>
      </c>
      <c r="O105" s="415" t="str">
        <f>VLOOKUP(E105,'Analysis Inputs'!$D$14:$U$67,8,FALSE)</f>
        <v>NA</v>
      </c>
      <c r="P105" s="477" t="s">
        <v>503</v>
      </c>
      <c r="Q105" s="407">
        <f t="shared" si="4"/>
        <v>8329.5061948253478</v>
      </c>
    </row>
    <row r="106" spans="2:17" ht="12.75" customHeight="1" x14ac:dyDescent="0.25">
      <c r="B106" s="47">
        <f t="shared" si="3"/>
        <v>1</v>
      </c>
      <c r="C106" s="47">
        <f t="shared" si="8"/>
        <v>20</v>
      </c>
      <c r="D106">
        <f t="shared" si="9"/>
        <v>20</v>
      </c>
      <c r="E106" s="117" t="s">
        <v>386</v>
      </c>
      <c r="F106" s="200">
        <f>VLOOKUP($E106,'Analysis Inputs'!$D$14:$M$67,10,FALSE)</f>
        <v>65431.449481739066</v>
      </c>
      <c r="G106" s="203">
        <f>VLOOKUP($E106,'Analysis Inputs'!$D$14:$M$67,4,FALSE)</f>
        <v>0</v>
      </c>
      <c r="H106" s="201">
        <f t="shared" si="13"/>
        <v>0</v>
      </c>
      <c r="I106" s="200">
        <f>VLOOKUP($E106,'Analysis Inputs'!$D$14:$M$67,5,FALSE)</f>
        <v>65431.449481739066</v>
      </c>
      <c r="J106" s="200">
        <f t="shared" si="12"/>
        <v>17553.494271346583</v>
      </c>
      <c r="K106" s="202">
        <f>VLOOKUP($E106,'Analysis Inputs'!$D$14:$M$67,6,FALSE)</f>
        <v>0</v>
      </c>
      <c r="L106" s="200">
        <f t="shared" si="2"/>
        <v>0</v>
      </c>
      <c r="M106" s="202" t="str">
        <f>VLOOKUP($E106,'Analysis Inputs'!$D$14:$M$67,7,FALSE)</f>
        <v>NA</v>
      </c>
      <c r="N106" s="202" t="s">
        <v>503</v>
      </c>
      <c r="O106" s="415" t="str">
        <f>VLOOKUP(E106,'Analysis Inputs'!$D$14:$U$67,8,FALSE)</f>
        <v>NA</v>
      </c>
      <c r="P106" s="477" t="s">
        <v>503</v>
      </c>
      <c r="Q106" s="407">
        <f t="shared" si="4"/>
        <v>17553.494271346583</v>
      </c>
    </row>
    <row r="107" spans="2:17" ht="12.75" customHeight="1" x14ac:dyDescent="0.25">
      <c r="B107" s="47">
        <f t="shared" si="3"/>
        <v>0</v>
      </c>
      <c r="C107" s="47">
        <f t="shared" si="8"/>
        <v>20</v>
      </c>
      <c r="D107">
        <f t="shared" si="9"/>
        <v>0</v>
      </c>
      <c r="E107" s="117" t="s">
        <v>272</v>
      </c>
      <c r="F107" s="200">
        <f>VLOOKUP($E107,'Analysis Inputs'!$D$14:$M$67,10,FALSE)</f>
        <v>0</v>
      </c>
      <c r="G107" s="203">
        <f>VLOOKUP($E107,'Analysis Inputs'!$D$14:$M$67,4,FALSE)</f>
        <v>0</v>
      </c>
      <c r="H107" s="201">
        <f t="shared" si="13"/>
        <v>0</v>
      </c>
      <c r="I107" s="200">
        <f>VLOOKUP($E107,'Analysis Inputs'!$D$14:$M$67,5,FALSE)</f>
        <v>0</v>
      </c>
      <c r="J107" s="200">
        <f t="shared" si="12"/>
        <v>0</v>
      </c>
      <c r="K107" s="202">
        <f>VLOOKUP($E107,'Analysis Inputs'!$D$14:$M$67,6,FALSE)</f>
        <v>0</v>
      </c>
      <c r="L107" s="200">
        <f t="shared" si="2"/>
        <v>0</v>
      </c>
      <c r="M107" s="202" t="str">
        <f>VLOOKUP($E107,'Analysis Inputs'!$D$14:$M$67,7,FALSE)</f>
        <v>NA</v>
      </c>
      <c r="N107" s="202" t="s">
        <v>503</v>
      </c>
      <c r="O107" s="415" t="str">
        <f>VLOOKUP(E107,'Analysis Inputs'!$D$14:$U$67,8,FALSE)</f>
        <v>NA</v>
      </c>
      <c r="P107" s="477" t="s">
        <v>503</v>
      </c>
      <c r="Q107" s="407">
        <f t="shared" si="4"/>
        <v>0</v>
      </c>
    </row>
    <row r="108" spans="2:17" ht="12.75" customHeight="1" x14ac:dyDescent="0.25">
      <c r="B108" s="47">
        <f t="shared" si="3"/>
        <v>0</v>
      </c>
      <c r="C108" s="47">
        <f t="shared" si="8"/>
        <v>20</v>
      </c>
      <c r="D108">
        <f t="shared" si="9"/>
        <v>0</v>
      </c>
      <c r="E108" s="117" t="s">
        <v>740</v>
      </c>
      <c r="F108" s="200">
        <f>VLOOKUP($E108,'Analysis Inputs'!$D$14:$M$67,10,FALSE)</f>
        <v>0</v>
      </c>
      <c r="G108" s="203" t="str">
        <f>VLOOKUP($E108,'Analysis Inputs'!$D$14:$M$67,4,FALSE)</f>
        <v>NA</v>
      </c>
      <c r="H108" s="203" t="s">
        <v>503</v>
      </c>
      <c r="I108" s="200">
        <f>VLOOKUP($E108,'Analysis Inputs'!$D$14:$M$67,5,FALSE)</f>
        <v>0</v>
      </c>
      <c r="J108" s="200">
        <f t="shared" si="12"/>
        <v>0</v>
      </c>
      <c r="K108" s="202">
        <f>VLOOKUP($E108,'Analysis Inputs'!$D$14:$M$67,6,FALSE)</f>
        <v>0</v>
      </c>
      <c r="L108" s="200">
        <f t="shared" si="2"/>
        <v>0</v>
      </c>
      <c r="M108" s="202">
        <f>VLOOKUP($E108,'Analysis Inputs'!$D$14:$M$67,7,FALSE)</f>
        <v>0</v>
      </c>
      <c r="N108" s="200">
        <f>+M108*J51</f>
        <v>0</v>
      </c>
      <c r="O108" s="415">
        <f>VLOOKUP(E108,'Analysis Inputs'!$D$14:$U$67,8,FALSE)</f>
        <v>0</v>
      </c>
      <c r="P108" s="477">
        <f t="shared" si="11"/>
        <v>0</v>
      </c>
      <c r="Q108" s="407">
        <f t="shared" si="4"/>
        <v>0</v>
      </c>
    </row>
    <row r="109" spans="2:17" ht="12.75" customHeight="1" x14ac:dyDescent="0.25">
      <c r="B109" s="47">
        <f t="shared" si="3"/>
        <v>0</v>
      </c>
      <c r="C109" s="47">
        <f t="shared" si="8"/>
        <v>20</v>
      </c>
      <c r="D109">
        <f t="shared" si="9"/>
        <v>0</v>
      </c>
      <c r="E109" s="117" t="s">
        <v>385</v>
      </c>
      <c r="F109" s="200">
        <f>VLOOKUP($E109,'Analysis Inputs'!$D$14:$M$67,10,FALSE)</f>
        <v>0</v>
      </c>
      <c r="G109" s="203" t="str">
        <f>VLOOKUP($E109,'Analysis Inputs'!$D$14:$M$67,4,FALSE)</f>
        <v>NA</v>
      </c>
      <c r="H109" s="203" t="s">
        <v>503</v>
      </c>
      <c r="I109" s="202">
        <f>VLOOKUP($E109,'Analysis Inputs'!$D$14:$M$67,5,FALSE)</f>
        <v>0</v>
      </c>
      <c r="J109" s="202">
        <f t="shared" si="12"/>
        <v>0</v>
      </c>
      <c r="K109" s="202">
        <f>VLOOKUP($E109,'Analysis Inputs'!$D$14:$M$67,6,FALSE)</f>
        <v>0</v>
      </c>
      <c r="L109" s="202">
        <f t="shared" si="2"/>
        <v>0</v>
      </c>
      <c r="M109" s="202">
        <f>VLOOKUP($E109,'Analysis Inputs'!$D$14:$M$67,7,FALSE)</f>
        <v>0</v>
      </c>
      <c r="N109" s="200">
        <f>+M109*J52</f>
        <v>0</v>
      </c>
      <c r="O109" s="415">
        <f>VLOOKUP(E109,'Analysis Inputs'!$D$14:$U$67,8,FALSE)</f>
        <v>0</v>
      </c>
      <c r="P109" s="477" t="str">
        <f t="shared" si="11"/>
        <v>NA</v>
      </c>
      <c r="Q109" s="407">
        <f t="shared" si="4"/>
        <v>0</v>
      </c>
    </row>
    <row r="110" spans="2:17" ht="12.75" customHeight="1" x14ac:dyDescent="0.25">
      <c r="B110" s="47">
        <f t="shared" si="3"/>
        <v>1</v>
      </c>
      <c r="C110" s="47">
        <f t="shared" si="8"/>
        <v>21</v>
      </c>
      <c r="D110">
        <f t="shared" si="9"/>
        <v>21</v>
      </c>
      <c r="E110" s="117" t="s">
        <v>574</v>
      </c>
      <c r="F110" s="200">
        <f>VLOOKUP($E110,'Analysis Inputs'!$D$14:$M$67,10,FALSE)</f>
        <v>186408.24273021927</v>
      </c>
      <c r="G110" s="203" t="str">
        <f>VLOOKUP($E110,'Analysis Inputs'!$D$14:$M$67,4,FALSE)</f>
        <v>NA</v>
      </c>
      <c r="H110" s="203" t="s">
        <v>503</v>
      </c>
      <c r="I110" s="202">
        <f>VLOOKUP($E110,'Analysis Inputs'!$D$14:$M$67,5,FALSE)</f>
        <v>186408.24273021927</v>
      </c>
      <c r="J110" s="202">
        <f t="shared" si="12"/>
        <v>50008.307118580422</v>
      </c>
      <c r="K110" s="202">
        <f>VLOOKUP($E110,'Analysis Inputs'!$D$14:$M$67,6,FALSE)</f>
        <v>0</v>
      </c>
      <c r="L110" s="202">
        <f t="shared" si="2"/>
        <v>0</v>
      </c>
      <c r="M110" s="202" t="str">
        <f>VLOOKUP($E110,'Analysis Inputs'!$D$14:$M$67,7,FALSE)</f>
        <v>NA</v>
      </c>
      <c r="N110" s="202" t="s">
        <v>503</v>
      </c>
      <c r="O110" s="415" t="str">
        <f>VLOOKUP(E110,'Analysis Inputs'!$D$14:$U$67,8,FALSE)</f>
        <v>NA</v>
      </c>
      <c r="P110" s="477" t="s">
        <v>503</v>
      </c>
      <c r="Q110" s="407">
        <f t="shared" si="4"/>
        <v>50008.307118580422</v>
      </c>
    </row>
    <row r="111" spans="2:17" ht="12.75" customHeight="1" x14ac:dyDescent="0.25">
      <c r="B111" s="47">
        <f t="shared" si="3"/>
        <v>1</v>
      </c>
      <c r="C111" s="47">
        <f t="shared" si="8"/>
        <v>22</v>
      </c>
      <c r="D111">
        <f t="shared" si="9"/>
        <v>22</v>
      </c>
      <c r="E111" s="117" t="s">
        <v>573</v>
      </c>
      <c r="F111" s="200">
        <f>VLOOKUP($E111,'Analysis Inputs'!$D$14:$M$67,10,FALSE)</f>
        <v>17777.945134258178</v>
      </c>
      <c r="G111" s="203">
        <f>VLOOKUP($E111,'Analysis Inputs'!$D$14:$M$67,4,FALSE)</f>
        <v>0</v>
      </c>
      <c r="H111" s="203">
        <f>+G111*G54</f>
        <v>0</v>
      </c>
      <c r="I111" s="202">
        <f>VLOOKUP($E111,'Analysis Inputs'!$D$14:$M$67,5,FALSE)</f>
        <v>17777.945134258178</v>
      </c>
      <c r="J111" s="202">
        <f t="shared" si="12"/>
        <v>4769.3434967783714</v>
      </c>
      <c r="K111" s="202">
        <f>VLOOKUP($E111,'Analysis Inputs'!$D$14:$M$67,6,FALSE)</f>
        <v>0</v>
      </c>
      <c r="L111" s="202">
        <f t="shared" si="2"/>
        <v>0</v>
      </c>
      <c r="M111" s="202" t="str">
        <f>VLOOKUP($E111,'Analysis Inputs'!$D$14:$M$67,7,FALSE)</f>
        <v>NA</v>
      </c>
      <c r="N111" s="202" t="s">
        <v>503</v>
      </c>
      <c r="O111" s="415" t="str">
        <f>VLOOKUP(E111,'Analysis Inputs'!$D$14:$U$67,8,FALSE)</f>
        <v>NA</v>
      </c>
      <c r="P111" s="477" t="s">
        <v>503</v>
      </c>
      <c r="Q111" s="407">
        <f t="shared" si="4"/>
        <v>4769.3434967783714</v>
      </c>
    </row>
    <row r="112" spans="2:17" ht="12.75" customHeight="1" x14ac:dyDescent="0.25">
      <c r="B112" s="47">
        <f t="shared" si="3"/>
        <v>1</v>
      </c>
      <c r="C112" s="47">
        <f t="shared" si="8"/>
        <v>23</v>
      </c>
      <c r="D112">
        <f t="shared" si="9"/>
        <v>23</v>
      </c>
      <c r="E112" s="117" t="s">
        <v>423</v>
      </c>
      <c r="F112" s="200">
        <f>VLOOKUP($E112,'Analysis Inputs'!$D$14:$M$67,10,FALSE)</f>
        <v>3566.6261698317612</v>
      </c>
      <c r="G112" s="203">
        <f>VLOOKUP($E112,'Analysis Inputs'!$D$14:$M$67,4,FALSE)</f>
        <v>0</v>
      </c>
      <c r="H112" s="203">
        <f>+G112*G55</f>
        <v>0</v>
      </c>
      <c r="I112" s="202">
        <f>VLOOKUP($E112,'Analysis Inputs'!$D$14:$M$67,5,FALSE)</f>
        <v>3566.6261698317612</v>
      </c>
      <c r="J112" s="202">
        <f t="shared" si="12"/>
        <v>956.82966732456725</v>
      </c>
      <c r="K112" s="202">
        <f>VLOOKUP($E112,'Analysis Inputs'!$D$14:$M$67,6,FALSE)</f>
        <v>0</v>
      </c>
      <c r="L112" s="202">
        <f t="shared" si="2"/>
        <v>0</v>
      </c>
      <c r="M112" s="202" t="str">
        <f>VLOOKUP($E112,'Analysis Inputs'!$D$14:$M$67,7,FALSE)</f>
        <v>NA</v>
      </c>
      <c r="N112" s="202" t="s">
        <v>503</v>
      </c>
      <c r="O112" s="415" t="str">
        <f>VLOOKUP(E112,'Analysis Inputs'!$D$14:$U$67,8,FALSE)</f>
        <v>NA</v>
      </c>
      <c r="P112" s="477" t="s">
        <v>503</v>
      </c>
      <c r="Q112" s="407">
        <f t="shared" si="4"/>
        <v>956.82966732456725</v>
      </c>
    </row>
    <row r="113" spans="2:19" ht="12.75" customHeight="1" x14ac:dyDescent="0.25">
      <c r="B113" s="47">
        <f t="shared" si="3"/>
        <v>0</v>
      </c>
      <c r="C113" s="47">
        <f t="shared" si="8"/>
        <v>23</v>
      </c>
      <c r="D113">
        <f t="shared" si="9"/>
        <v>0</v>
      </c>
      <c r="E113" s="117" t="s">
        <v>455</v>
      </c>
      <c r="F113" s="200">
        <f>VLOOKUP($E113,'Analysis Inputs'!$D$14:$M$67,10,FALSE)</f>
        <v>0</v>
      </c>
      <c r="G113" s="203" t="str">
        <f>VLOOKUP($E113,'Analysis Inputs'!$D$14:$M$67,4,FALSE)</f>
        <v>NA</v>
      </c>
      <c r="H113" s="203" t="s">
        <v>503</v>
      </c>
      <c r="I113" s="202">
        <f>VLOOKUP($E113,'Analysis Inputs'!$D$14:$M$67,5,FALSE)</f>
        <v>0</v>
      </c>
      <c r="J113" s="202">
        <f t="shared" si="12"/>
        <v>0</v>
      </c>
      <c r="K113" s="202" t="str">
        <f>VLOOKUP($E113,'Analysis Inputs'!$D$14:$M$67,6,FALSE)</f>
        <v>NA</v>
      </c>
      <c r="L113" s="202" t="s">
        <v>503</v>
      </c>
      <c r="M113" s="202" t="str">
        <f>VLOOKUP($E113,'Analysis Inputs'!$D$14:$M$67,7,FALSE)</f>
        <v>NA</v>
      </c>
      <c r="N113" s="202" t="s">
        <v>503</v>
      </c>
      <c r="O113" s="415" t="str">
        <f>VLOOKUP(E113,'Analysis Inputs'!$D$14:$U$67,8,FALSE)</f>
        <v>NA</v>
      </c>
      <c r="P113" s="477" t="s">
        <v>503</v>
      </c>
      <c r="Q113" s="407">
        <f t="shared" si="4"/>
        <v>0</v>
      </c>
    </row>
    <row r="114" spans="2:19" ht="12.75" customHeight="1" x14ac:dyDescent="0.25">
      <c r="B114" s="47">
        <f t="shared" si="3"/>
        <v>0</v>
      </c>
      <c r="C114" s="47">
        <f t="shared" si="8"/>
        <v>23</v>
      </c>
      <c r="D114">
        <f t="shared" si="9"/>
        <v>0</v>
      </c>
      <c r="E114" s="117" t="s">
        <v>476</v>
      </c>
      <c r="F114" s="200">
        <f>VLOOKUP($E114,'Analysis Inputs'!$D$14:$M$67,10,FALSE)</f>
        <v>0</v>
      </c>
      <c r="G114" s="203">
        <f>VLOOKUP($E114,'Analysis Inputs'!$D$14:$M$67,4,FALSE)</f>
        <v>0</v>
      </c>
      <c r="H114" s="203">
        <f t="shared" ref="H114:H119" si="14">+G114*G57</f>
        <v>0</v>
      </c>
      <c r="I114" s="202">
        <f>VLOOKUP($E114,'Analysis Inputs'!$D$14:$M$67,5,FALSE)</f>
        <v>0</v>
      </c>
      <c r="J114" s="202">
        <f t="shared" si="12"/>
        <v>0</v>
      </c>
      <c r="K114" s="202" t="str">
        <f>VLOOKUP($E114,'Analysis Inputs'!$D$14:$M$67,6,FALSE)</f>
        <v>NA</v>
      </c>
      <c r="L114" s="202" t="s">
        <v>503</v>
      </c>
      <c r="M114" s="202" t="str">
        <f>VLOOKUP($E114,'Analysis Inputs'!$D$14:$M$67,7,FALSE)</f>
        <v>NA</v>
      </c>
      <c r="N114" s="202" t="s">
        <v>503</v>
      </c>
      <c r="O114" s="415" t="str">
        <f>VLOOKUP(E114,'Analysis Inputs'!$D$14:$U$67,8,FALSE)</f>
        <v>NA</v>
      </c>
      <c r="P114" s="477" t="s">
        <v>503</v>
      </c>
      <c r="Q114" s="407">
        <f t="shared" si="4"/>
        <v>0</v>
      </c>
    </row>
    <row r="115" spans="2:19" ht="12.75" customHeight="1" x14ac:dyDescent="0.25">
      <c r="B115" s="47">
        <f t="shared" si="3"/>
        <v>1</v>
      </c>
      <c r="C115" s="47">
        <f t="shared" si="8"/>
        <v>24</v>
      </c>
      <c r="D115">
        <f t="shared" si="9"/>
        <v>24</v>
      </c>
      <c r="E115" s="117" t="s">
        <v>131</v>
      </c>
      <c r="F115" s="200">
        <f>VLOOKUP($E115,'Analysis Inputs'!$D$14:$M$67,10,FALSE)</f>
        <v>48.934699796860542</v>
      </c>
      <c r="G115" s="203">
        <f>VLOOKUP($E115,'Analysis Inputs'!$D$14:$M$67,4,FALSE)</f>
        <v>0</v>
      </c>
      <c r="H115" s="203">
        <f t="shared" si="14"/>
        <v>0</v>
      </c>
      <c r="I115" s="202">
        <f>VLOOKUP($E115,'Analysis Inputs'!$D$14:$M$67,5,FALSE)</f>
        <v>48.934699796860542</v>
      </c>
      <c r="J115" s="202">
        <f t="shared" si="12"/>
        <v>13.127860980582177</v>
      </c>
      <c r="K115" s="202" t="str">
        <f>VLOOKUP($E115,'Analysis Inputs'!$D$14:$M$67,6,FALSE)</f>
        <v>NA</v>
      </c>
      <c r="L115" s="202" t="s">
        <v>503</v>
      </c>
      <c r="M115" s="202" t="str">
        <f>VLOOKUP($E115,'Analysis Inputs'!$D$14:$M$67,7,FALSE)</f>
        <v>NA</v>
      </c>
      <c r="N115" s="202" t="s">
        <v>503</v>
      </c>
      <c r="O115" s="415" t="str">
        <f>VLOOKUP(E115,'Analysis Inputs'!$D$14:$U$67,8,FALSE)</f>
        <v>NA</v>
      </c>
      <c r="P115" s="477" t="s">
        <v>503</v>
      </c>
      <c r="Q115" s="407">
        <f t="shared" si="4"/>
        <v>13.127860980582177</v>
      </c>
    </row>
    <row r="116" spans="2:19" ht="12.75" customHeight="1" x14ac:dyDescent="0.25">
      <c r="B116" s="47">
        <f t="shared" si="3"/>
        <v>1</v>
      </c>
      <c r="C116" s="47">
        <f t="shared" si="8"/>
        <v>25</v>
      </c>
      <c r="D116">
        <f t="shared" si="9"/>
        <v>25</v>
      </c>
      <c r="E116" s="117" t="s">
        <v>444</v>
      </c>
      <c r="F116" s="200">
        <f>VLOOKUP($E116,'Analysis Inputs'!$D$14:$M$67,10,FALSE)</f>
        <v>667.21647161788258</v>
      </c>
      <c r="G116" s="203">
        <f>VLOOKUP($E116,'Analysis Inputs'!$D$14:$M$67,4,FALSE)</f>
        <v>0</v>
      </c>
      <c r="H116" s="203">
        <f t="shared" si="14"/>
        <v>0</v>
      </c>
      <c r="I116" s="202">
        <f>VLOOKUP($E116,'Analysis Inputs'!$D$14:$M$67,5,FALSE)</f>
        <v>667.21647161788258</v>
      </c>
      <c r="J116" s="202">
        <f t="shared" si="12"/>
        <v>178.9961953320508</v>
      </c>
      <c r="K116" s="202">
        <f>VLOOKUP($E116,'Analysis Inputs'!$D$14:$M$67,6,FALSE)</f>
        <v>0</v>
      </c>
      <c r="L116" s="202">
        <f>+K116*I59</f>
        <v>0</v>
      </c>
      <c r="M116" s="202" t="str">
        <f>VLOOKUP($E116,'Analysis Inputs'!$D$14:$M$67,7,FALSE)</f>
        <v>NA</v>
      </c>
      <c r="N116" s="202" t="s">
        <v>503</v>
      </c>
      <c r="O116" s="415" t="str">
        <f>VLOOKUP(E116,'Analysis Inputs'!$D$14:$U$67,8,FALSE)</f>
        <v>NA</v>
      </c>
      <c r="P116" s="477" t="s">
        <v>503</v>
      </c>
      <c r="Q116" s="407">
        <f t="shared" si="4"/>
        <v>178.9961953320508</v>
      </c>
    </row>
    <row r="117" spans="2:19" ht="12.75" customHeight="1" x14ac:dyDescent="0.25">
      <c r="B117" s="47">
        <f t="shared" si="3"/>
        <v>0</v>
      </c>
      <c r="C117" s="47">
        <f t="shared" si="8"/>
        <v>25</v>
      </c>
      <c r="D117">
        <f t="shared" si="9"/>
        <v>0</v>
      </c>
      <c r="E117" s="117" t="s">
        <v>53</v>
      </c>
      <c r="F117" s="200">
        <f>VLOOKUP($E117,'Analysis Inputs'!$D$14:$M$67,10,FALSE)</f>
        <v>0</v>
      </c>
      <c r="G117" s="203">
        <f>VLOOKUP($E117,'Analysis Inputs'!$D$14:$M$67,4,FALSE)</f>
        <v>0</v>
      </c>
      <c r="H117" s="203">
        <f t="shared" si="14"/>
        <v>0</v>
      </c>
      <c r="I117" s="202">
        <f>VLOOKUP($E117,'Analysis Inputs'!$D$14:$M$67,5,FALSE)</f>
        <v>0</v>
      </c>
      <c r="J117" s="202">
        <f t="shared" si="12"/>
        <v>0</v>
      </c>
      <c r="K117" s="202" t="str">
        <f>VLOOKUP($E117,'Analysis Inputs'!$D$14:$M$67,6,FALSE)</f>
        <v>NA</v>
      </c>
      <c r="L117" s="202" t="s">
        <v>503</v>
      </c>
      <c r="M117" s="202" t="str">
        <f>VLOOKUP($E117,'Analysis Inputs'!$D$14:$M$67,7,FALSE)</f>
        <v>NA</v>
      </c>
      <c r="N117" s="202" t="s">
        <v>503</v>
      </c>
      <c r="O117" s="415" t="str">
        <f>VLOOKUP(E117,'Analysis Inputs'!$D$14:$U$67,8,FALSE)</f>
        <v>NA</v>
      </c>
      <c r="P117" s="477" t="s">
        <v>503</v>
      </c>
      <c r="Q117" s="407">
        <f t="shared" si="4"/>
        <v>0</v>
      </c>
    </row>
    <row r="118" spans="2:19" ht="12.75" customHeight="1" x14ac:dyDescent="0.25">
      <c r="B118" s="47">
        <f t="shared" si="3"/>
        <v>1</v>
      </c>
      <c r="C118" s="47">
        <f t="shared" si="8"/>
        <v>26</v>
      </c>
      <c r="D118">
        <f t="shared" si="9"/>
        <v>26</v>
      </c>
      <c r="E118" s="117" t="s">
        <v>54</v>
      </c>
      <c r="F118" s="200">
        <f>VLOOKUP($E118,'Analysis Inputs'!$D$14:$M$67,10,FALSE)</f>
        <v>3002.42668852621</v>
      </c>
      <c r="G118" s="203">
        <f>VLOOKUP($E118,'Analysis Inputs'!$D$14:$M$67,4,FALSE)</f>
        <v>0</v>
      </c>
      <c r="H118" s="203">
        <f t="shared" si="14"/>
        <v>0</v>
      </c>
      <c r="I118" s="202">
        <f>VLOOKUP($E118,'Analysis Inputs'!$D$14:$M$67,5,FALSE)</f>
        <v>3002.42668852621</v>
      </c>
      <c r="J118" s="202">
        <f t="shared" si="12"/>
        <v>805.47015379647905</v>
      </c>
      <c r="K118" s="202">
        <f>VLOOKUP($E118,'Analysis Inputs'!$D$14:$M$67,6,FALSE)</f>
        <v>0</v>
      </c>
      <c r="L118" s="202">
        <f>+K118*I61</f>
        <v>0</v>
      </c>
      <c r="M118" s="202" t="str">
        <f>VLOOKUP($E118,'Analysis Inputs'!$D$14:$M$67,7,FALSE)</f>
        <v>NA</v>
      </c>
      <c r="N118" s="202" t="s">
        <v>503</v>
      </c>
      <c r="O118" s="415" t="str">
        <f>VLOOKUP(E118,'Analysis Inputs'!$D$14:$U$67,8,FALSE)</f>
        <v>NA</v>
      </c>
      <c r="P118" s="477" t="s">
        <v>503</v>
      </c>
      <c r="Q118" s="407">
        <f t="shared" si="4"/>
        <v>805.47015379647905</v>
      </c>
    </row>
    <row r="119" spans="2:19" ht="12.75" customHeight="1" x14ac:dyDescent="0.25">
      <c r="B119" s="47">
        <f t="shared" si="3"/>
        <v>1</v>
      </c>
      <c r="C119" s="47">
        <f t="shared" si="8"/>
        <v>27</v>
      </c>
      <c r="D119">
        <f t="shared" si="9"/>
        <v>27</v>
      </c>
      <c r="E119" s="117" t="s">
        <v>55</v>
      </c>
      <c r="F119" s="200">
        <f>VLOOKUP($E119,'Analysis Inputs'!$D$14:$M$67,10,FALSE)</f>
        <v>14797.404669376238</v>
      </c>
      <c r="G119" s="203">
        <f>VLOOKUP($E119,'Analysis Inputs'!$D$14:$M$67,4,FALSE)</f>
        <v>0</v>
      </c>
      <c r="H119" s="203">
        <f t="shared" si="14"/>
        <v>0</v>
      </c>
      <c r="I119" s="202">
        <f>VLOOKUP($E119,'Analysis Inputs'!$D$14:$M$67,5,FALSE)</f>
        <v>14797.404669376238</v>
      </c>
      <c r="J119" s="202">
        <f t="shared" si="12"/>
        <v>3969.7448268692901</v>
      </c>
      <c r="K119" s="202" t="str">
        <f>VLOOKUP($E119,'Analysis Inputs'!$D$14:$M$67,6,FALSE)</f>
        <v>NA</v>
      </c>
      <c r="L119" s="202" t="s">
        <v>503</v>
      </c>
      <c r="M119" s="202" t="str">
        <f>VLOOKUP($E119,'Analysis Inputs'!$D$14:$M$67,7,FALSE)</f>
        <v>NA</v>
      </c>
      <c r="N119" s="202" t="s">
        <v>503</v>
      </c>
      <c r="O119" s="415" t="str">
        <f>VLOOKUP(E119,'Analysis Inputs'!$D$14:$U$67,8,FALSE)</f>
        <v>NA</v>
      </c>
      <c r="P119" s="477" t="s">
        <v>503</v>
      </c>
      <c r="Q119" s="407">
        <f t="shared" si="4"/>
        <v>3969.7448268692901</v>
      </c>
    </row>
    <row r="120" spans="2:19" ht="12.75" customHeight="1" x14ac:dyDescent="0.25">
      <c r="B120" s="47">
        <f t="shared" si="3"/>
        <v>0</v>
      </c>
      <c r="C120" s="47">
        <f t="shared" si="8"/>
        <v>27</v>
      </c>
      <c r="D120">
        <f t="shared" si="9"/>
        <v>0</v>
      </c>
      <c r="E120" s="117" t="s">
        <v>56</v>
      </c>
      <c r="F120" s="200">
        <f>VLOOKUP($E120,'Analysis Inputs'!$D$14:$M$67,10,FALSE)</f>
        <v>0</v>
      </c>
      <c r="G120" s="203" t="str">
        <f>VLOOKUP($E120,'Analysis Inputs'!$D$14:$M$67,4,FALSE)</f>
        <v>NA</v>
      </c>
      <c r="H120" s="203" t="s">
        <v>503</v>
      </c>
      <c r="I120" s="202">
        <f>VLOOKUP($E120,'Analysis Inputs'!$D$14:$M$67,5,FALSE)</f>
        <v>0</v>
      </c>
      <c r="J120" s="202">
        <f t="shared" si="12"/>
        <v>0</v>
      </c>
      <c r="K120" s="202" t="str">
        <f>VLOOKUP($E120,'Analysis Inputs'!$D$14:$M$67,6,FALSE)</f>
        <v>NA</v>
      </c>
      <c r="L120" s="202" t="s">
        <v>503</v>
      </c>
      <c r="M120" s="202" t="str">
        <f>VLOOKUP($E120,'Analysis Inputs'!$D$14:$M$67,7,FALSE)</f>
        <v>NA</v>
      </c>
      <c r="N120" s="202" t="s">
        <v>503</v>
      </c>
      <c r="O120" s="415" t="str">
        <f>VLOOKUP(E120,'Analysis Inputs'!$D$14:$U$67,8,FALSE)</f>
        <v>NA</v>
      </c>
      <c r="P120" s="477" t="s">
        <v>503</v>
      </c>
      <c r="Q120" s="407">
        <f t="shared" si="4"/>
        <v>0</v>
      </c>
    </row>
    <row r="121" spans="2:19" ht="12.75" customHeight="1" x14ac:dyDescent="0.25">
      <c r="B121" s="47">
        <f t="shared" si="3"/>
        <v>0</v>
      </c>
      <c r="C121" s="47">
        <f t="shared" si="8"/>
        <v>27</v>
      </c>
      <c r="D121">
        <f t="shared" si="9"/>
        <v>0</v>
      </c>
      <c r="E121" s="117" t="s">
        <v>57</v>
      </c>
      <c r="F121" s="200">
        <f>VLOOKUP($E121,'Analysis Inputs'!$D$14:$M$67,10,FALSE)</f>
        <v>0</v>
      </c>
      <c r="G121" s="203" t="str">
        <f>VLOOKUP($E121,'Analysis Inputs'!$D$14:$M$67,4,FALSE)</f>
        <v>NA</v>
      </c>
      <c r="H121" s="203" t="s">
        <v>503</v>
      </c>
      <c r="I121" s="202">
        <f>VLOOKUP($E121,'Analysis Inputs'!$D$14:$M$67,5,FALSE)</f>
        <v>0</v>
      </c>
      <c r="J121" s="202">
        <f t="shared" si="12"/>
        <v>0</v>
      </c>
      <c r="K121" s="202">
        <f>VLOOKUP($E121,'Analysis Inputs'!$D$14:$M$67,6,FALSE)</f>
        <v>0</v>
      </c>
      <c r="L121" s="202">
        <f>+K121*I64</f>
        <v>0</v>
      </c>
      <c r="M121" s="202" t="str">
        <f>VLOOKUP($E121,'Analysis Inputs'!$D$14:$M$67,7,FALSE)</f>
        <v>NA</v>
      </c>
      <c r="N121" s="202" t="s">
        <v>503</v>
      </c>
      <c r="O121" s="415" t="str">
        <f>VLOOKUP(E121,'Analysis Inputs'!$D$14:$U$67,8,FALSE)</f>
        <v>NA</v>
      </c>
      <c r="P121" s="477" t="s">
        <v>503</v>
      </c>
      <c r="Q121" s="407">
        <f t="shared" si="4"/>
        <v>0</v>
      </c>
    </row>
    <row r="122" spans="2:19" ht="12.75" customHeight="1" x14ac:dyDescent="0.25">
      <c r="B122" s="47">
        <f t="shared" si="3"/>
        <v>0</v>
      </c>
      <c r="C122" s="47">
        <f t="shared" si="8"/>
        <v>27</v>
      </c>
      <c r="D122">
        <f t="shared" si="9"/>
        <v>0</v>
      </c>
      <c r="E122" s="117" t="s">
        <v>58</v>
      </c>
      <c r="F122" s="200">
        <f>VLOOKUP($E122,'Analysis Inputs'!$D$14:$M$67,10,FALSE)</f>
        <v>0</v>
      </c>
      <c r="G122" s="203" t="str">
        <f>VLOOKUP($E122,'Analysis Inputs'!$D$14:$M$67,4,FALSE)</f>
        <v>NA</v>
      </c>
      <c r="H122" s="203" t="s">
        <v>503</v>
      </c>
      <c r="I122" s="202">
        <f>VLOOKUP($E122,'Analysis Inputs'!$D$14:$M$67,5,FALSE)</f>
        <v>0</v>
      </c>
      <c r="J122" s="202">
        <f t="shared" si="12"/>
        <v>0</v>
      </c>
      <c r="K122" s="202">
        <f>VLOOKUP($E122,'Analysis Inputs'!$D$14:$M$67,6,FALSE)</f>
        <v>0</v>
      </c>
      <c r="L122" s="202">
        <f>+K122*I65</f>
        <v>0</v>
      </c>
      <c r="M122" s="202" t="str">
        <f>VLOOKUP($E122,'Analysis Inputs'!$D$14:$M$67,7,FALSE)</f>
        <v>NA</v>
      </c>
      <c r="N122" s="202" t="s">
        <v>503</v>
      </c>
      <c r="O122" s="415" t="str">
        <f>VLOOKUP(E122,'Analysis Inputs'!$D$14:$U$67,8,FALSE)</f>
        <v>NA</v>
      </c>
      <c r="P122" s="477" t="s">
        <v>503</v>
      </c>
      <c r="Q122" s="407">
        <f t="shared" si="4"/>
        <v>0</v>
      </c>
    </row>
    <row r="123" spans="2:19" ht="13.5" customHeight="1" thickBot="1" x14ac:dyDescent="0.3">
      <c r="E123" s="141" t="s">
        <v>526</v>
      </c>
      <c r="F123" s="410">
        <f t="shared" ref="F123:O123" si="15">SUM(F69:F122)</f>
        <v>842952.9413789165</v>
      </c>
      <c r="G123" s="399">
        <f t="shared" si="15"/>
        <v>0</v>
      </c>
      <c r="H123" s="399">
        <f t="shared" si="15"/>
        <v>0</v>
      </c>
      <c r="I123" s="399">
        <f t="shared" si="15"/>
        <v>842952.9413789165</v>
      </c>
      <c r="J123" s="399">
        <f t="shared" si="15"/>
        <v>226141.5534075723</v>
      </c>
      <c r="K123" s="399">
        <f t="shared" si="15"/>
        <v>0</v>
      </c>
      <c r="L123" s="399">
        <f t="shared" si="15"/>
        <v>0</v>
      </c>
      <c r="M123" s="399">
        <f t="shared" si="15"/>
        <v>0</v>
      </c>
      <c r="N123" s="399">
        <f t="shared" si="15"/>
        <v>0</v>
      </c>
      <c r="O123" s="399">
        <f t="shared" si="15"/>
        <v>0</v>
      </c>
      <c r="P123" s="675">
        <f>IF(AND('Analysis Inputs'!$N$150=3,SUM(O98:O101,O109)&lt;&gt;0),"INPUT ERROR",SUM(P69:P122))</f>
        <v>0</v>
      </c>
      <c r="Q123" s="408">
        <f>IF(AND('Analysis Inputs'!$N$150=3,SUM(O98:O101,O109)&lt;&gt;0),"INPUT ERROR: Please select dry digestion",SUM(H123,J123,L123,N123,P123))</f>
        <v>226141.5534075723</v>
      </c>
    </row>
    <row r="125" spans="2:19" ht="13.5" thickBot="1" x14ac:dyDescent="0.35">
      <c r="E125" s="741" t="s">
        <v>793</v>
      </c>
      <c r="F125" s="2"/>
      <c r="G125" s="27"/>
      <c r="H125" s="27"/>
      <c r="I125" s="2"/>
      <c r="J125" s="2"/>
      <c r="K125" s="2"/>
      <c r="L125" s="2"/>
      <c r="M125" s="2"/>
      <c r="N125" s="2"/>
      <c r="O125" s="2"/>
      <c r="P125" s="2"/>
      <c r="Q125" s="2"/>
      <c r="R125" s="2"/>
      <c r="S125" s="2"/>
    </row>
    <row r="126" spans="2:19" ht="36" x14ac:dyDescent="0.25">
      <c r="E126" s="58" t="s">
        <v>496</v>
      </c>
      <c r="F126" s="59" t="s">
        <v>525</v>
      </c>
      <c r="G126" s="60" t="s">
        <v>783</v>
      </c>
      <c r="H126" s="61" t="s">
        <v>801</v>
      </c>
      <c r="I126" s="60" t="s">
        <v>784</v>
      </c>
      <c r="J126" s="61" t="s">
        <v>797</v>
      </c>
      <c r="K126" s="61" t="s">
        <v>785</v>
      </c>
      <c r="L126" s="61" t="s">
        <v>798</v>
      </c>
      <c r="M126" s="61" t="s">
        <v>786</v>
      </c>
      <c r="N126" s="61" t="s">
        <v>799</v>
      </c>
      <c r="O126" s="416" t="s">
        <v>787</v>
      </c>
      <c r="P126" s="673" t="s">
        <v>800</v>
      </c>
      <c r="Q126" s="754" t="s">
        <v>788</v>
      </c>
      <c r="R126" s="61" t="s">
        <v>795</v>
      </c>
      <c r="S126" s="62" t="s">
        <v>796</v>
      </c>
    </row>
    <row r="127" spans="2:19" ht="12.75" customHeight="1" x14ac:dyDescent="0.25">
      <c r="B127" s="47">
        <f>IF(SUM(G127,I127,K127,M127,O127,Q127)=0,0,1)</f>
        <v>1</v>
      </c>
      <c r="C127" s="47">
        <f>B127</f>
        <v>1</v>
      </c>
      <c r="D127">
        <f>C127*B127</f>
        <v>1</v>
      </c>
      <c r="E127" s="7" t="s">
        <v>515</v>
      </c>
      <c r="F127" s="200">
        <f>VLOOKUP($E127,'Analysis Inputs'!$D$14:$U$67,10,FALSE)</f>
        <v>2581.9310711278504</v>
      </c>
      <c r="G127" s="203">
        <f>VLOOKUP($E127,'Analysis Inputs'!$D$14:$U$67,13,FALSE)</f>
        <v>0</v>
      </c>
      <c r="H127" s="201">
        <f t="shared" ref="H127:H155" si="16">+G127*F12</f>
        <v>0</v>
      </c>
      <c r="I127" s="202">
        <f>VLOOKUP($E127,'Analysis Inputs'!$D$14:$U$67,14,FALSE)</f>
        <v>0</v>
      </c>
      <c r="J127" s="200">
        <f t="shared" ref="J127:J132" si="17">+I127*G12</f>
        <v>0</v>
      </c>
      <c r="K127" s="200">
        <f>VLOOKUP($E127,'Analysis Inputs'!$D$14:$U$67,15,FALSE)</f>
        <v>2581.9310711278504</v>
      </c>
      <c r="L127" s="200">
        <f t="shared" ref="L127:L158" si="18">+K127*H12</f>
        <v>692.6625135929952</v>
      </c>
      <c r="M127" s="202">
        <f>VLOOKUP($E127,'Analysis Inputs'!$D$14:$U$67,16,FALSE)</f>
        <v>0</v>
      </c>
      <c r="N127" s="415">
        <f t="shared" ref="N127:N170" si="19">+M127*I12</f>
        <v>0</v>
      </c>
      <c r="O127" s="418" t="str">
        <f>VLOOKUP($E127,'Analysis Inputs'!$D$14:$U$67,17,FALSE)</f>
        <v>NA</v>
      </c>
      <c r="P127" s="674" t="s">
        <v>503</v>
      </c>
      <c r="Q127" s="418" t="str">
        <f>VLOOKUP($E127,'Analysis Inputs'!$D$14:$U$67,18,FALSE)</f>
        <v>NA</v>
      </c>
      <c r="R127" s="406" t="s">
        <v>503</v>
      </c>
      <c r="S127" s="405">
        <f>IF(R127="INPUT ERROR","INPUT ERROR",SUM(H127,J127,L127,N127,P127,R127))</f>
        <v>692.6625135929952</v>
      </c>
    </row>
    <row r="128" spans="2:19" ht="12.75" customHeight="1" x14ac:dyDescent="0.25">
      <c r="B128" s="47">
        <f t="shared" ref="B128:B180" si="20">IF(SUM(G128,I128,K128,M128,O128,Q128)=0,0,1)</f>
        <v>1</v>
      </c>
      <c r="C128" s="47">
        <f>C127+B128</f>
        <v>2</v>
      </c>
      <c r="D128">
        <f>C128*B128</f>
        <v>2</v>
      </c>
      <c r="E128" s="7" t="s">
        <v>84</v>
      </c>
      <c r="F128" s="200">
        <f>VLOOKUP($E128,'Analysis Inputs'!$D$14:$U$67,10,FALSE)</f>
        <v>1647.4287121844873</v>
      </c>
      <c r="G128" s="203">
        <f>VLOOKUP($E128,'Analysis Inputs'!$D$14:$U$67,13,FALSE)</f>
        <v>0</v>
      </c>
      <c r="H128" s="201">
        <f t="shared" si="16"/>
        <v>0</v>
      </c>
      <c r="I128" s="202">
        <f>VLOOKUP($E128,'Analysis Inputs'!$D$14:$U$67,14,FALSE)</f>
        <v>0</v>
      </c>
      <c r="J128" s="200">
        <f t="shared" si="17"/>
        <v>0</v>
      </c>
      <c r="K128" s="200">
        <f>VLOOKUP($E128,'Analysis Inputs'!$D$14:$U$67,15,FALSE)</f>
        <v>1647.4287121844873</v>
      </c>
      <c r="L128" s="200">
        <f t="shared" si="18"/>
        <v>441.96071905533574</v>
      </c>
      <c r="M128" s="202">
        <f>VLOOKUP($E128,'Analysis Inputs'!$D$14:$U$67,16,FALSE)</f>
        <v>0</v>
      </c>
      <c r="N128" s="415">
        <f t="shared" si="19"/>
        <v>0</v>
      </c>
      <c r="O128" s="419" t="str">
        <f>VLOOKUP($E128,'Analysis Inputs'!$D$14:$U$67,17,FALSE)</f>
        <v>NA</v>
      </c>
      <c r="P128" s="674" t="s">
        <v>503</v>
      </c>
      <c r="Q128" s="419" t="str">
        <f>VLOOKUP($E128,'Analysis Inputs'!$D$14:$U$67,18,FALSE)</f>
        <v>NA</v>
      </c>
      <c r="R128" s="406" t="s">
        <v>503</v>
      </c>
      <c r="S128" s="405">
        <f t="shared" ref="S128:S180" si="21">IF(R128="INPUT ERROR","INPUT ERROR",SUM(H128,J128,L128,N128,P128,R128))</f>
        <v>441.96071905533574</v>
      </c>
    </row>
    <row r="129" spans="2:19" ht="12.75" customHeight="1" x14ac:dyDescent="0.25">
      <c r="B129" s="47">
        <f t="shared" si="20"/>
        <v>1</v>
      </c>
      <c r="C129" s="47">
        <f t="shared" ref="C129:C147" si="22">C128+B129</f>
        <v>3</v>
      </c>
      <c r="D129">
        <f t="shared" ref="D129:D147" si="23">C129*B129</f>
        <v>3</v>
      </c>
      <c r="E129" s="7" t="s">
        <v>516</v>
      </c>
      <c r="F129" s="200">
        <f>VLOOKUP($E129,'Analysis Inputs'!$D$14:$U$67,10,FALSE)</f>
        <v>4001.7125772610179</v>
      </c>
      <c r="G129" s="203">
        <f>VLOOKUP($E129,'Analysis Inputs'!$D$14:$U$67,13,FALSE)</f>
        <v>0</v>
      </c>
      <c r="H129" s="201">
        <f t="shared" si="16"/>
        <v>0</v>
      </c>
      <c r="I129" s="202">
        <f>VLOOKUP($E129,'Analysis Inputs'!$D$14:$U$67,14,FALSE)</f>
        <v>0</v>
      </c>
      <c r="J129" s="200">
        <f t="shared" si="17"/>
        <v>0</v>
      </c>
      <c r="K129" s="200">
        <f>VLOOKUP($E129,'Analysis Inputs'!$D$14:$U$67,15,FALSE)</f>
        <v>4001.7125772610179</v>
      </c>
      <c r="L129" s="200">
        <f t="shared" si="18"/>
        <v>1073.5516232164609</v>
      </c>
      <c r="M129" s="202">
        <f>VLOOKUP($E129,'Analysis Inputs'!$D$14:$U$67,16,FALSE)</f>
        <v>0</v>
      </c>
      <c r="N129" s="415">
        <f t="shared" si="19"/>
        <v>0</v>
      </c>
      <c r="O129" s="419" t="str">
        <f>VLOOKUP($E129,'Analysis Inputs'!$D$14:$U$67,17,FALSE)</f>
        <v>NA</v>
      </c>
      <c r="P129" s="674" t="s">
        <v>503</v>
      </c>
      <c r="Q129" s="419" t="str">
        <f>VLOOKUP($E129,'Analysis Inputs'!$D$14:$U$67,18,FALSE)</f>
        <v>NA</v>
      </c>
      <c r="R129" s="406" t="s">
        <v>503</v>
      </c>
      <c r="S129" s="405">
        <f t="shared" si="21"/>
        <v>1073.5516232164609</v>
      </c>
    </row>
    <row r="130" spans="2:19" ht="12.75" customHeight="1" x14ac:dyDescent="0.25">
      <c r="B130" s="47">
        <f t="shared" si="20"/>
        <v>0</v>
      </c>
      <c r="C130" s="47">
        <f t="shared" si="22"/>
        <v>3</v>
      </c>
      <c r="D130">
        <f t="shared" si="23"/>
        <v>0</v>
      </c>
      <c r="E130" s="7" t="s">
        <v>438</v>
      </c>
      <c r="F130" s="200">
        <f>VLOOKUP($E130,'Analysis Inputs'!$D$14:$U$67,10,FALSE)</f>
        <v>0</v>
      </c>
      <c r="G130" s="203">
        <f>VLOOKUP($E130,'Analysis Inputs'!$D$14:$U$67,13,FALSE)</f>
        <v>0</v>
      </c>
      <c r="H130" s="201">
        <f t="shared" si="16"/>
        <v>0</v>
      </c>
      <c r="I130" s="202">
        <f>VLOOKUP($E130,'Analysis Inputs'!$D$14:$U$67,14,FALSE)</f>
        <v>0</v>
      </c>
      <c r="J130" s="200">
        <f t="shared" si="17"/>
        <v>0</v>
      </c>
      <c r="K130" s="200">
        <f>VLOOKUP($E130,'Analysis Inputs'!$D$14:$U$67,15,FALSE)</f>
        <v>0</v>
      </c>
      <c r="L130" s="200">
        <f t="shared" si="18"/>
        <v>0</v>
      </c>
      <c r="M130" s="202">
        <f>VLOOKUP($E130,'Analysis Inputs'!$D$14:$U$67,16,FALSE)</f>
        <v>0</v>
      </c>
      <c r="N130" s="415">
        <f t="shared" si="19"/>
        <v>0</v>
      </c>
      <c r="O130" s="419" t="str">
        <f>VLOOKUP($E130,'Analysis Inputs'!$D$14:$U$67,17,FALSE)</f>
        <v>NA</v>
      </c>
      <c r="P130" s="674" t="s">
        <v>503</v>
      </c>
      <c r="Q130" s="419" t="str">
        <f>VLOOKUP($E130,'Analysis Inputs'!$D$14:$U$67,18,FALSE)</f>
        <v>NA</v>
      </c>
      <c r="R130" s="406" t="s">
        <v>503</v>
      </c>
      <c r="S130" s="405">
        <f t="shared" si="21"/>
        <v>0</v>
      </c>
    </row>
    <row r="131" spans="2:19" ht="12.75" customHeight="1" x14ac:dyDescent="0.25">
      <c r="B131" s="47">
        <f t="shared" si="20"/>
        <v>1</v>
      </c>
      <c r="C131" s="47">
        <f t="shared" si="22"/>
        <v>4</v>
      </c>
      <c r="D131">
        <f t="shared" si="23"/>
        <v>4</v>
      </c>
      <c r="E131" s="7" t="s">
        <v>517</v>
      </c>
      <c r="F131" s="200">
        <f>VLOOKUP($E131,'Analysis Inputs'!$D$14:$U$67,10,FALSE)</f>
        <v>22379.467981121063</v>
      </c>
      <c r="G131" s="203">
        <f>VLOOKUP($E131,'Analysis Inputs'!$D$14:$U$67,13,FALSE)</f>
        <v>0</v>
      </c>
      <c r="H131" s="201">
        <f t="shared" si="16"/>
        <v>0</v>
      </c>
      <c r="I131" s="202">
        <f>VLOOKUP($E131,'Analysis Inputs'!$D$14:$U$67,14,FALSE)</f>
        <v>0</v>
      </c>
      <c r="J131" s="200">
        <f t="shared" si="17"/>
        <v>0</v>
      </c>
      <c r="K131" s="200">
        <f>VLOOKUP($E131,'Analysis Inputs'!$D$14:$U$67,15,FALSE)</f>
        <v>22379.467981121063</v>
      </c>
      <c r="L131" s="200">
        <f t="shared" si="18"/>
        <v>6003.8080481776269</v>
      </c>
      <c r="M131" s="202">
        <f>VLOOKUP($E131,'Analysis Inputs'!$D$14:$U$67,16,FALSE)</f>
        <v>0</v>
      </c>
      <c r="N131" s="415">
        <f t="shared" si="19"/>
        <v>0</v>
      </c>
      <c r="O131" s="419" t="str">
        <f>VLOOKUP($E131,'Analysis Inputs'!$D$14:$U$67,17,FALSE)</f>
        <v>NA</v>
      </c>
      <c r="P131" s="674" t="s">
        <v>503</v>
      </c>
      <c r="Q131" s="419" t="str">
        <f>VLOOKUP($E131,'Analysis Inputs'!$D$14:$U$67,18,FALSE)</f>
        <v>NA</v>
      </c>
      <c r="R131" s="406" t="s">
        <v>503</v>
      </c>
      <c r="S131" s="405">
        <f t="shared" si="21"/>
        <v>6003.8080481776269</v>
      </c>
    </row>
    <row r="132" spans="2:19" ht="12.75" customHeight="1" x14ac:dyDescent="0.25">
      <c r="B132" s="47">
        <f t="shared" si="20"/>
        <v>1</v>
      </c>
      <c r="C132" s="47">
        <f t="shared" si="22"/>
        <v>5</v>
      </c>
      <c r="D132">
        <f t="shared" si="23"/>
        <v>5</v>
      </c>
      <c r="E132" s="7" t="s">
        <v>518</v>
      </c>
      <c r="F132" s="200">
        <f>VLOOKUP($E132,'Analysis Inputs'!$D$14:$U$67,10,FALSE)</f>
        <v>4378.1563584420928</v>
      </c>
      <c r="G132" s="203">
        <f>VLOOKUP($E132,'Analysis Inputs'!$D$14:$U$67,13,FALSE)</f>
        <v>0</v>
      </c>
      <c r="H132" s="201">
        <f t="shared" si="16"/>
        <v>0</v>
      </c>
      <c r="I132" s="202">
        <f>VLOOKUP($E132,'Analysis Inputs'!$D$14:$U$67,14,FALSE)</f>
        <v>0</v>
      </c>
      <c r="J132" s="200">
        <f t="shared" si="17"/>
        <v>0</v>
      </c>
      <c r="K132" s="200">
        <f>VLOOKUP($E132,'Analysis Inputs'!$D$14:$U$67,15,FALSE)</f>
        <v>4378.1563584420928</v>
      </c>
      <c r="L132" s="200">
        <f t="shared" si="18"/>
        <v>1174.5413431261538</v>
      </c>
      <c r="M132" s="202">
        <f>VLOOKUP($E132,'Analysis Inputs'!$D$14:$U$67,16,FALSE)</f>
        <v>0</v>
      </c>
      <c r="N132" s="415">
        <f t="shared" si="19"/>
        <v>0</v>
      </c>
      <c r="O132" s="419" t="str">
        <f>VLOOKUP($E132,'Analysis Inputs'!$D$14:$U$67,17,FALSE)</f>
        <v>NA</v>
      </c>
      <c r="P132" s="674" t="s">
        <v>503</v>
      </c>
      <c r="Q132" s="419" t="str">
        <f>VLOOKUP($E132,'Analysis Inputs'!$D$14:$U$67,18,FALSE)</f>
        <v>NA</v>
      </c>
      <c r="R132" s="406" t="s">
        <v>503</v>
      </c>
      <c r="S132" s="405">
        <f t="shared" si="21"/>
        <v>1174.5413431261538</v>
      </c>
    </row>
    <row r="133" spans="2:19" ht="12.75" customHeight="1" x14ac:dyDescent="0.25">
      <c r="B133" s="47">
        <f t="shared" si="20"/>
        <v>1</v>
      </c>
      <c r="C133" s="47">
        <f t="shared" si="22"/>
        <v>6</v>
      </c>
      <c r="D133">
        <f t="shared" si="23"/>
        <v>6</v>
      </c>
      <c r="E133" s="7" t="s">
        <v>519</v>
      </c>
      <c r="F133" s="200">
        <f>VLOOKUP($E133,'Analysis Inputs'!$D$14:$U$67,10,FALSE)</f>
        <v>4168.741080644736</v>
      </c>
      <c r="G133" s="203">
        <f>VLOOKUP($E133,'Analysis Inputs'!$D$14:$U$67,13,FALSE)</f>
        <v>0</v>
      </c>
      <c r="H133" s="201">
        <f t="shared" si="16"/>
        <v>0</v>
      </c>
      <c r="I133" s="202" t="str">
        <f>VLOOKUP($E133,'Analysis Inputs'!$D$14:$U$67,14,FALSE)</f>
        <v>NA</v>
      </c>
      <c r="J133" s="202" t="s">
        <v>503</v>
      </c>
      <c r="K133" s="200">
        <f>VLOOKUP($E133,'Analysis Inputs'!$D$14:$U$67,15,FALSE)</f>
        <v>4168.741080644736</v>
      </c>
      <c r="L133" s="200">
        <f t="shared" si="18"/>
        <v>1118.36086862552</v>
      </c>
      <c r="M133" s="202">
        <f>VLOOKUP($E133,'Analysis Inputs'!$D$14:$U$67,16,FALSE)</f>
        <v>0</v>
      </c>
      <c r="N133" s="415">
        <f t="shared" si="19"/>
        <v>0</v>
      </c>
      <c r="O133" s="419" t="str">
        <f>VLOOKUP($E133,'Analysis Inputs'!$D$14:$U$67,17,FALSE)</f>
        <v>NA</v>
      </c>
      <c r="P133" s="674" t="s">
        <v>503</v>
      </c>
      <c r="Q133" s="419" t="str">
        <f>VLOOKUP($E133,'Analysis Inputs'!$D$14:$U$67,18,FALSE)</f>
        <v>NA</v>
      </c>
      <c r="R133" s="406" t="s">
        <v>503</v>
      </c>
      <c r="S133" s="405">
        <f t="shared" si="21"/>
        <v>1118.36086862552</v>
      </c>
    </row>
    <row r="134" spans="2:19" ht="12.75" customHeight="1" x14ac:dyDescent="0.25">
      <c r="B134" s="47">
        <f t="shared" si="20"/>
        <v>1</v>
      </c>
      <c r="C134" s="47">
        <f t="shared" si="22"/>
        <v>7</v>
      </c>
      <c r="D134">
        <f t="shared" si="23"/>
        <v>7</v>
      </c>
      <c r="E134" s="7" t="s">
        <v>520</v>
      </c>
      <c r="F134" s="200">
        <f>VLOOKUP($E134,'Analysis Inputs'!$D$14:$U$67,10,FALSE)</f>
        <v>7088.1162615431676</v>
      </c>
      <c r="G134" s="203">
        <f>VLOOKUP($E134,'Analysis Inputs'!$D$14:$U$67,13,FALSE)</f>
        <v>0</v>
      </c>
      <c r="H134" s="201">
        <f t="shared" si="16"/>
        <v>0</v>
      </c>
      <c r="I134" s="202">
        <f>VLOOKUP($E134,'Analysis Inputs'!$D$14:$U$67,14,FALSE)</f>
        <v>0</v>
      </c>
      <c r="J134" s="200">
        <f>+I134*G19</f>
        <v>0</v>
      </c>
      <c r="K134" s="200">
        <f>VLOOKUP($E134,'Analysis Inputs'!$D$14:$U$67,15,FALSE)</f>
        <v>7088.1162615431676</v>
      </c>
      <c r="L134" s="200">
        <f t="shared" si="18"/>
        <v>1901.5505414771628</v>
      </c>
      <c r="M134" s="202">
        <f>VLOOKUP($E134,'Analysis Inputs'!$D$14:$U$67,16,FALSE)</f>
        <v>0</v>
      </c>
      <c r="N134" s="415">
        <f t="shared" si="19"/>
        <v>0</v>
      </c>
      <c r="O134" s="419" t="str">
        <f>VLOOKUP($E134,'Analysis Inputs'!$D$14:$U$67,17,FALSE)</f>
        <v>NA</v>
      </c>
      <c r="P134" s="674" t="s">
        <v>503</v>
      </c>
      <c r="Q134" s="419" t="str">
        <f>VLOOKUP($E134,'Analysis Inputs'!$D$14:$U$67,18,FALSE)</f>
        <v>NA</v>
      </c>
      <c r="R134" s="406" t="s">
        <v>503</v>
      </c>
      <c r="S134" s="405">
        <f t="shared" si="21"/>
        <v>1901.5505414771628</v>
      </c>
    </row>
    <row r="135" spans="2:19" ht="12.75" customHeight="1" x14ac:dyDescent="0.25">
      <c r="B135" s="47">
        <f t="shared" si="20"/>
        <v>1</v>
      </c>
      <c r="C135" s="47">
        <f t="shared" si="22"/>
        <v>8</v>
      </c>
      <c r="D135">
        <f t="shared" si="23"/>
        <v>8</v>
      </c>
      <c r="E135" s="7" t="s">
        <v>86</v>
      </c>
      <c r="F135" s="200">
        <f>VLOOKUP($E135,'Analysis Inputs'!$D$14:$U$67,10,FALSE)</f>
        <v>12601.65494719689</v>
      </c>
      <c r="G135" s="203">
        <f>VLOOKUP($E135,'Analysis Inputs'!$D$14:$U$67,13,FALSE)</f>
        <v>0</v>
      </c>
      <c r="H135" s="201">
        <f t="shared" si="16"/>
        <v>0</v>
      </c>
      <c r="I135" s="202" t="str">
        <f>VLOOKUP($E135,'Analysis Inputs'!$D$14:$U$67,14,FALSE)</f>
        <v>NA</v>
      </c>
      <c r="J135" s="202" t="s">
        <v>503</v>
      </c>
      <c r="K135" s="200">
        <f>VLOOKUP($E135,'Analysis Inputs'!$D$14:$U$67,15,FALSE)</f>
        <v>12601.65494719689</v>
      </c>
      <c r="L135" s="200">
        <f t="shared" si="18"/>
        <v>3380.6843601537726</v>
      </c>
      <c r="M135" s="202">
        <f>VLOOKUP($E135,'Analysis Inputs'!$D$14:$U$67,16,FALSE)</f>
        <v>0</v>
      </c>
      <c r="N135" s="415">
        <f t="shared" si="19"/>
        <v>0</v>
      </c>
      <c r="O135" s="419" t="str">
        <f>VLOOKUP($E135,'Analysis Inputs'!$D$14:$U$67,17,FALSE)</f>
        <v>NA</v>
      </c>
      <c r="P135" s="674" t="s">
        <v>503</v>
      </c>
      <c r="Q135" s="419" t="str">
        <f>VLOOKUP($E135,'Analysis Inputs'!$D$14:$U$67,18,FALSE)</f>
        <v>NA</v>
      </c>
      <c r="R135" s="406" t="s">
        <v>503</v>
      </c>
      <c r="S135" s="405">
        <f t="shared" si="21"/>
        <v>3380.6843601537726</v>
      </c>
    </row>
    <row r="136" spans="2:19" ht="12.75" customHeight="1" x14ac:dyDescent="0.25">
      <c r="B136" s="47">
        <f t="shared" si="20"/>
        <v>0</v>
      </c>
      <c r="C136" s="47">
        <f t="shared" si="22"/>
        <v>8</v>
      </c>
      <c r="D136">
        <f t="shared" si="23"/>
        <v>0</v>
      </c>
      <c r="E136" s="7" t="s">
        <v>87</v>
      </c>
      <c r="F136" s="200">
        <f>VLOOKUP($E136,'Analysis Inputs'!$D$14:$U$67,10,FALSE)</f>
        <v>0</v>
      </c>
      <c r="G136" s="203">
        <f>VLOOKUP($E136,'Analysis Inputs'!$D$14:$U$67,13,FALSE)</f>
        <v>0</v>
      </c>
      <c r="H136" s="201">
        <f t="shared" si="16"/>
        <v>0</v>
      </c>
      <c r="I136" s="202" t="str">
        <f>VLOOKUP($E136,'Analysis Inputs'!$D$14:$U$67,14,FALSE)</f>
        <v>NA</v>
      </c>
      <c r="J136" s="202" t="s">
        <v>503</v>
      </c>
      <c r="K136" s="200">
        <f>VLOOKUP($E136,'Analysis Inputs'!$D$14:$U$67,15,FALSE)</f>
        <v>0</v>
      </c>
      <c r="L136" s="200">
        <f t="shared" si="18"/>
        <v>0</v>
      </c>
      <c r="M136" s="202">
        <f>VLOOKUP($E136,'Analysis Inputs'!$D$14:$U$67,16,FALSE)</f>
        <v>0</v>
      </c>
      <c r="N136" s="415">
        <f t="shared" si="19"/>
        <v>0</v>
      </c>
      <c r="O136" s="419" t="str">
        <f>VLOOKUP($E136,'Analysis Inputs'!$D$14:$U$67,17,FALSE)</f>
        <v>NA</v>
      </c>
      <c r="P136" s="674" t="s">
        <v>503</v>
      </c>
      <c r="Q136" s="419" t="str">
        <f>VLOOKUP($E136,'Analysis Inputs'!$D$14:$U$67,18,FALSE)</f>
        <v>NA</v>
      </c>
      <c r="R136" s="406" t="s">
        <v>503</v>
      </c>
      <c r="S136" s="405">
        <f t="shared" si="21"/>
        <v>0</v>
      </c>
    </row>
    <row r="137" spans="2:19" ht="12.75" customHeight="1" x14ac:dyDescent="0.25">
      <c r="B137" s="47">
        <f t="shared" si="20"/>
        <v>1</v>
      </c>
      <c r="C137" s="47">
        <f t="shared" si="22"/>
        <v>9</v>
      </c>
      <c r="D137">
        <f t="shared" si="23"/>
        <v>9</v>
      </c>
      <c r="E137" s="7" t="s">
        <v>88</v>
      </c>
      <c r="F137" s="200">
        <f>VLOOKUP($E137,'Analysis Inputs'!$D$14:$U$67,10,FALSE)</f>
        <v>5327.0221948308408</v>
      </c>
      <c r="G137" s="203">
        <f>VLOOKUP($E137,'Analysis Inputs'!$D$14:$U$67,13,FALSE)</f>
        <v>0</v>
      </c>
      <c r="H137" s="201">
        <f t="shared" si="16"/>
        <v>0</v>
      </c>
      <c r="I137" s="202" t="str">
        <f>VLOOKUP($E137,'Analysis Inputs'!$D$14:$U$67,14,FALSE)</f>
        <v>NA</v>
      </c>
      <c r="J137" s="202" t="s">
        <v>503</v>
      </c>
      <c r="K137" s="200">
        <f>VLOOKUP($E137,'Analysis Inputs'!$D$14:$U$67,15,FALSE)</f>
        <v>5327.0221948308408</v>
      </c>
      <c r="L137" s="200">
        <f t="shared" si="18"/>
        <v>1429.0964715124628</v>
      </c>
      <c r="M137" s="202">
        <f>VLOOKUP($E137,'Analysis Inputs'!$D$14:$U$67,16,FALSE)</f>
        <v>0</v>
      </c>
      <c r="N137" s="415">
        <f t="shared" si="19"/>
        <v>0</v>
      </c>
      <c r="O137" s="419" t="str">
        <f>VLOOKUP($E137,'Analysis Inputs'!$D$14:$U$67,17,FALSE)</f>
        <v>NA</v>
      </c>
      <c r="P137" s="674" t="s">
        <v>503</v>
      </c>
      <c r="Q137" s="419" t="str">
        <f>VLOOKUP($E137,'Analysis Inputs'!$D$14:$U$67,18,FALSE)</f>
        <v>NA</v>
      </c>
      <c r="R137" s="406" t="s">
        <v>503</v>
      </c>
      <c r="S137" s="405">
        <f t="shared" si="21"/>
        <v>1429.0964715124628</v>
      </c>
    </row>
    <row r="138" spans="2:19" ht="12.75" customHeight="1" x14ac:dyDescent="0.25">
      <c r="B138" s="47">
        <f t="shared" si="20"/>
        <v>0</v>
      </c>
      <c r="C138" s="47">
        <f t="shared" si="22"/>
        <v>9</v>
      </c>
      <c r="D138">
        <f t="shared" si="23"/>
        <v>0</v>
      </c>
      <c r="E138" s="7" t="s">
        <v>89</v>
      </c>
      <c r="F138" s="200">
        <f>VLOOKUP($E138,'Analysis Inputs'!$D$14:$U$67,10,FALSE)</f>
        <v>0</v>
      </c>
      <c r="G138" s="203">
        <f>VLOOKUP($E138,'Analysis Inputs'!$D$14:$U$67,13,FALSE)</f>
        <v>0</v>
      </c>
      <c r="H138" s="201">
        <f t="shared" si="16"/>
        <v>0</v>
      </c>
      <c r="I138" s="202" t="str">
        <f>VLOOKUP($E138,'Analysis Inputs'!$D$14:$U$67,14,FALSE)</f>
        <v>NA</v>
      </c>
      <c r="J138" s="202" t="s">
        <v>503</v>
      </c>
      <c r="K138" s="200">
        <f>VLOOKUP($E138,'Analysis Inputs'!$D$14:$U$67,15,FALSE)</f>
        <v>0</v>
      </c>
      <c r="L138" s="200">
        <f t="shared" si="18"/>
        <v>0</v>
      </c>
      <c r="M138" s="202">
        <f>VLOOKUP($E138,'Analysis Inputs'!$D$14:$U$67,16,FALSE)</f>
        <v>0</v>
      </c>
      <c r="N138" s="415">
        <f t="shared" si="19"/>
        <v>0</v>
      </c>
      <c r="O138" s="419" t="str">
        <f>VLOOKUP($E138,'Analysis Inputs'!$D$14:$U$67,17,FALSE)</f>
        <v>NA</v>
      </c>
      <c r="P138" s="674" t="s">
        <v>503</v>
      </c>
      <c r="Q138" s="419" t="str">
        <f>VLOOKUP($E138,'Analysis Inputs'!$D$14:$U$67,18,FALSE)</f>
        <v>NA</v>
      </c>
      <c r="R138" s="406" t="s">
        <v>503</v>
      </c>
      <c r="S138" s="405">
        <f t="shared" si="21"/>
        <v>0</v>
      </c>
    </row>
    <row r="139" spans="2:19" ht="12.75" customHeight="1" x14ac:dyDescent="0.25">
      <c r="B139" s="47">
        <f t="shared" si="20"/>
        <v>0</v>
      </c>
      <c r="C139" s="47">
        <f t="shared" si="22"/>
        <v>9</v>
      </c>
      <c r="D139">
        <f t="shared" si="23"/>
        <v>0</v>
      </c>
      <c r="E139" s="7" t="s">
        <v>85</v>
      </c>
      <c r="F139" s="200">
        <f>VLOOKUP($E139,'Analysis Inputs'!$D$14:$U$67,10,FALSE)</f>
        <v>0</v>
      </c>
      <c r="G139" s="203">
        <f>VLOOKUP($E139,'Analysis Inputs'!$D$14:$U$67,13,FALSE)</f>
        <v>0</v>
      </c>
      <c r="H139" s="201">
        <f t="shared" si="16"/>
        <v>0</v>
      </c>
      <c r="I139" s="202" t="str">
        <f>VLOOKUP($E139,'Analysis Inputs'!$D$14:$U$67,14,FALSE)</f>
        <v>NA</v>
      </c>
      <c r="J139" s="202" t="s">
        <v>503</v>
      </c>
      <c r="K139" s="200">
        <f>VLOOKUP($E139,'Analysis Inputs'!$D$14:$U$67,15,FALSE)</f>
        <v>0</v>
      </c>
      <c r="L139" s="200">
        <f t="shared" si="18"/>
        <v>0</v>
      </c>
      <c r="M139" s="202">
        <f>VLOOKUP($E139,'Analysis Inputs'!$D$14:$U$67,16,FALSE)</f>
        <v>0</v>
      </c>
      <c r="N139" s="415">
        <f t="shared" si="19"/>
        <v>0</v>
      </c>
      <c r="O139" s="419">
        <f>VLOOKUP($E139,'Analysis Inputs'!$D$14:$U$67,17,FALSE)</f>
        <v>0</v>
      </c>
      <c r="P139" s="674">
        <f>O139*J24</f>
        <v>0</v>
      </c>
      <c r="Q139" s="419" t="str">
        <f>VLOOKUP($E139,'Analysis Inputs'!$D$14:$U$67,18,FALSE)</f>
        <v>NA</v>
      </c>
      <c r="R139" s="406" t="s">
        <v>503</v>
      </c>
      <c r="S139" s="405">
        <f t="shared" si="21"/>
        <v>0</v>
      </c>
    </row>
    <row r="140" spans="2:19" ht="12.75" customHeight="1" x14ac:dyDescent="0.25">
      <c r="B140" s="47">
        <f t="shared" si="20"/>
        <v>1</v>
      </c>
      <c r="C140" s="47">
        <f t="shared" si="22"/>
        <v>10</v>
      </c>
      <c r="D140">
        <f t="shared" si="23"/>
        <v>10</v>
      </c>
      <c r="E140" s="7" t="s">
        <v>59</v>
      </c>
      <c r="F140" s="200">
        <f>VLOOKUP($E140,'Analysis Inputs'!$D$14:$U$67,10,FALSE)</f>
        <v>27908.476920644473</v>
      </c>
      <c r="G140" s="203">
        <f>VLOOKUP($E140,'Analysis Inputs'!$D$14:$U$67,13,FALSE)</f>
        <v>0</v>
      </c>
      <c r="H140" s="201">
        <f t="shared" si="16"/>
        <v>0</v>
      </c>
      <c r="I140" s="202">
        <f>VLOOKUP($E140,'Analysis Inputs'!$D$14:$U$67,14,FALSE)</f>
        <v>0</v>
      </c>
      <c r="J140" s="200">
        <f t="shared" ref="J140:J147" si="24">+I140*G25</f>
        <v>0</v>
      </c>
      <c r="K140" s="200">
        <f>VLOOKUP($E140,'Analysis Inputs'!$D$14:$U$67,15,FALSE)</f>
        <v>27908.476920644473</v>
      </c>
      <c r="L140" s="200">
        <f t="shared" si="18"/>
        <v>7487.0921189857227</v>
      </c>
      <c r="M140" s="202">
        <f>VLOOKUP($E140,'Analysis Inputs'!$D$14:$U$67,16,FALSE)</f>
        <v>0</v>
      </c>
      <c r="N140" s="415">
        <f t="shared" si="19"/>
        <v>0</v>
      </c>
      <c r="O140" s="419" t="str">
        <f>VLOOKUP($E140,'Analysis Inputs'!$D$14:$U$67,17,FALSE)</f>
        <v>NA</v>
      </c>
      <c r="P140" s="674" t="s">
        <v>503</v>
      </c>
      <c r="Q140" s="419" t="str">
        <f>VLOOKUP($E140,'Analysis Inputs'!$D$14:$U$67,18,FALSE)</f>
        <v>NA</v>
      </c>
      <c r="R140" s="406" t="s">
        <v>503</v>
      </c>
      <c r="S140" s="405">
        <f t="shared" si="21"/>
        <v>7487.0921189857227</v>
      </c>
    </row>
    <row r="141" spans="2:19" ht="12.75" customHeight="1" x14ac:dyDescent="0.25">
      <c r="B141" s="47">
        <f t="shared" si="20"/>
        <v>0</v>
      </c>
      <c r="C141" s="47">
        <f t="shared" si="22"/>
        <v>10</v>
      </c>
      <c r="D141">
        <f t="shared" si="23"/>
        <v>0</v>
      </c>
      <c r="E141" s="7" t="s">
        <v>290</v>
      </c>
      <c r="F141" s="200">
        <f>VLOOKUP($E141,'Analysis Inputs'!$D$14:$U$67,10,FALSE)</f>
        <v>0</v>
      </c>
      <c r="G141" s="203">
        <f>VLOOKUP($E141,'Analysis Inputs'!$D$14:$U$67,13,FALSE)</f>
        <v>0</v>
      </c>
      <c r="H141" s="201">
        <f t="shared" si="16"/>
        <v>0</v>
      </c>
      <c r="I141" s="202">
        <f>VLOOKUP($E141,'Analysis Inputs'!$D$14:$U$67,14,FALSE)</f>
        <v>0</v>
      </c>
      <c r="J141" s="200">
        <f t="shared" si="24"/>
        <v>0</v>
      </c>
      <c r="K141" s="200">
        <f>VLOOKUP($E141,'Analysis Inputs'!$D$14:$U$67,15,FALSE)</f>
        <v>0</v>
      </c>
      <c r="L141" s="200">
        <f t="shared" si="18"/>
        <v>0</v>
      </c>
      <c r="M141" s="202">
        <f>VLOOKUP($E141,'Analysis Inputs'!$D$14:$U$67,16,FALSE)</f>
        <v>0</v>
      </c>
      <c r="N141" s="415">
        <f t="shared" si="19"/>
        <v>0</v>
      </c>
      <c r="O141" s="419" t="str">
        <f>VLOOKUP($E141,'Analysis Inputs'!$D$14:$U$67,17,FALSE)</f>
        <v>NA</v>
      </c>
      <c r="P141" s="674" t="s">
        <v>503</v>
      </c>
      <c r="Q141" s="419" t="str">
        <f>VLOOKUP($E141,'Analysis Inputs'!$D$14:$U$67,18,FALSE)</f>
        <v>NA</v>
      </c>
      <c r="R141" s="406" t="s">
        <v>503</v>
      </c>
      <c r="S141" s="405">
        <f t="shared" si="21"/>
        <v>0</v>
      </c>
    </row>
    <row r="142" spans="2:19" ht="12.75" customHeight="1" x14ac:dyDescent="0.25">
      <c r="B142" s="47">
        <f t="shared" si="20"/>
        <v>1</v>
      </c>
      <c r="C142" s="47">
        <f t="shared" si="22"/>
        <v>11</v>
      </c>
      <c r="D142">
        <f t="shared" si="23"/>
        <v>11</v>
      </c>
      <c r="E142" s="7" t="s">
        <v>502</v>
      </c>
      <c r="F142" s="200">
        <f>VLOOKUP($E142,'Analysis Inputs'!$D$14:$U$67,10,FALSE)</f>
        <v>12962.300300440122</v>
      </c>
      <c r="G142" s="203">
        <f>VLOOKUP($E142,'Analysis Inputs'!$D$14:$U$67,13,FALSE)</f>
        <v>0</v>
      </c>
      <c r="H142" s="201">
        <f t="shared" si="16"/>
        <v>0</v>
      </c>
      <c r="I142" s="202">
        <f>VLOOKUP($E142,'Analysis Inputs'!$D$14:$U$67,14,FALSE)</f>
        <v>0</v>
      </c>
      <c r="J142" s="200">
        <f t="shared" si="24"/>
        <v>0</v>
      </c>
      <c r="K142" s="200">
        <f>VLOOKUP($E142,'Analysis Inputs'!$D$14:$U$67,15,FALSE)</f>
        <v>12962.300300440122</v>
      </c>
      <c r="L142" s="200">
        <f t="shared" si="18"/>
        <v>3477.4357876750228</v>
      </c>
      <c r="M142" s="202">
        <f>VLOOKUP($E142,'Analysis Inputs'!$D$14:$U$67,16,FALSE)</f>
        <v>0</v>
      </c>
      <c r="N142" s="415">
        <f t="shared" si="19"/>
        <v>0</v>
      </c>
      <c r="O142" s="419" t="str">
        <f>VLOOKUP($E142,'Analysis Inputs'!$D$14:$U$67,17,FALSE)</f>
        <v>NA</v>
      </c>
      <c r="P142" s="674" t="s">
        <v>503</v>
      </c>
      <c r="Q142" s="419" t="str">
        <f>VLOOKUP($E142,'Analysis Inputs'!$D$14:$U$67,18,FALSE)</f>
        <v>NA</v>
      </c>
      <c r="R142" s="406" t="s">
        <v>503</v>
      </c>
      <c r="S142" s="405">
        <f t="shared" si="21"/>
        <v>3477.4357876750228</v>
      </c>
    </row>
    <row r="143" spans="2:19" ht="12.75" customHeight="1" x14ac:dyDescent="0.25">
      <c r="B143" s="47">
        <f t="shared" si="20"/>
        <v>1</v>
      </c>
      <c r="C143" s="47">
        <f t="shared" si="22"/>
        <v>12</v>
      </c>
      <c r="D143">
        <f t="shared" si="23"/>
        <v>12</v>
      </c>
      <c r="E143" s="7" t="s">
        <v>514</v>
      </c>
      <c r="F143" s="200">
        <f>VLOOKUP($E143,'Analysis Inputs'!$D$14:$U$67,10,FALSE)</f>
        <v>6726.271332146167</v>
      </c>
      <c r="G143" s="203">
        <f>VLOOKUP($E143,'Analysis Inputs'!$D$14:$U$67,13,FALSE)</f>
        <v>0</v>
      </c>
      <c r="H143" s="201">
        <f t="shared" si="16"/>
        <v>0</v>
      </c>
      <c r="I143" s="202">
        <f>VLOOKUP($E143,'Analysis Inputs'!$D$14:$U$67,14,FALSE)</f>
        <v>0</v>
      </c>
      <c r="J143" s="200">
        <f t="shared" si="24"/>
        <v>0</v>
      </c>
      <c r="K143" s="200">
        <f>VLOOKUP($E143,'Analysis Inputs'!$D$14:$U$67,15,FALSE)</f>
        <v>6726.271332146167</v>
      </c>
      <c r="L143" s="200">
        <f t="shared" si="18"/>
        <v>1804.4773000069627</v>
      </c>
      <c r="M143" s="202">
        <f>VLOOKUP($E143,'Analysis Inputs'!$D$14:$U$67,16,FALSE)</f>
        <v>0</v>
      </c>
      <c r="N143" s="415">
        <f t="shared" si="19"/>
        <v>0</v>
      </c>
      <c r="O143" s="419" t="str">
        <f>VLOOKUP($E143,'Analysis Inputs'!$D$14:$U$67,17,FALSE)</f>
        <v>NA</v>
      </c>
      <c r="P143" s="674" t="s">
        <v>503</v>
      </c>
      <c r="Q143" s="419" t="str">
        <f>VLOOKUP($E143,'Analysis Inputs'!$D$14:$U$67,18,FALSE)</f>
        <v>NA</v>
      </c>
      <c r="R143" s="406" t="s">
        <v>503</v>
      </c>
      <c r="S143" s="405">
        <f t="shared" si="21"/>
        <v>1804.4773000069627</v>
      </c>
    </row>
    <row r="144" spans="2:19" ht="12.75" customHeight="1" x14ac:dyDescent="0.25">
      <c r="B144" s="47">
        <f t="shared" si="20"/>
        <v>0</v>
      </c>
      <c r="C144" s="47">
        <f t="shared" si="22"/>
        <v>12</v>
      </c>
      <c r="D144">
        <f t="shared" si="23"/>
        <v>0</v>
      </c>
      <c r="E144" s="7" t="s">
        <v>383</v>
      </c>
      <c r="F144" s="200">
        <f>VLOOKUP($E144,'Analysis Inputs'!$D$14:$U$67,10,FALSE)</f>
        <v>0</v>
      </c>
      <c r="G144" s="203">
        <f>VLOOKUP($E144,'Analysis Inputs'!$D$14:$U$67,13,FALSE)</f>
        <v>0</v>
      </c>
      <c r="H144" s="201">
        <f t="shared" si="16"/>
        <v>0</v>
      </c>
      <c r="I144" s="202">
        <f>VLOOKUP($E144,'Analysis Inputs'!$D$14:$U$67,14,FALSE)</f>
        <v>0</v>
      </c>
      <c r="J144" s="200">
        <f t="shared" si="24"/>
        <v>0</v>
      </c>
      <c r="K144" s="200">
        <f>VLOOKUP($E144,'Analysis Inputs'!$D$14:$U$67,15,FALSE)</f>
        <v>0</v>
      </c>
      <c r="L144" s="200">
        <f t="shared" si="18"/>
        <v>0</v>
      </c>
      <c r="M144" s="202">
        <f>VLOOKUP($E144,'Analysis Inputs'!$D$14:$U$67,16,FALSE)</f>
        <v>0</v>
      </c>
      <c r="N144" s="415">
        <f t="shared" si="19"/>
        <v>0</v>
      </c>
      <c r="O144" s="419" t="str">
        <f>VLOOKUP($E144,'Analysis Inputs'!$D$14:$U$67,17,FALSE)</f>
        <v>NA</v>
      </c>
      <c r="P144" s="674" t="s">
        <v>503</v>
      </c>
      <c r="Q144" s="419" t="str">
        <f>VLOOKUP($E144,'Analysis Inputs'!$D$14:$U$67,18,FALSE)</f>
        <v>NA</v>
      </c>
      <c r="R144" s="406" t="s">
        <v>503</v>
      </c>
      <c r="S144" s="405">
        <f t="shared" si="21"/>
        <v>0</v>
      </c>
    </row>
    <row r="145" spans="2:21" ht="12.75" customHeight="1" x14ac:dyDescent="0.25">
      <c r="B145" s="47">
        <f t="shared" si="20"/>
        <v>0</v>
      </c>
      <c r="C145" s="47">
        <f t="shared" si="22"/>
        <v>12</v>
      </c>
      <c r="D145">
        <f t="shared" si="23"/>
        <v>0</v>
      </c>
      <c r="E145" s="7" t="s">
        <v>384</v>
      </c>
      <c r="F145" s="200">
        <f>VLOOKUP($E145,'Analysis Inputs'!$D$14:$U$67,10,FALSE)</f>
        <v>0</v>
      </c>
      <c r="G145" s="203">
        <f>VLOOKUP($E145,'Analysis Inputs'!$D$14:$U$67,13,FALSE)</f>
        <v>0</v>
      </c>
      <c r="H145" s="203">
        <f t="shared" si="16"/>
        <v>0</v>
      </c>
      <c r="I145" s="202">
        <f>VLOOKUP($E145,'Analysis Inputs'!$D$14:$U$67,14,FALSE)</f>
        <v>0</v>
      </c>
      <c r="J145" s="202">
        <f t="shared" si="24"/>
        <v>0</v>
      </c>
      <c r="K145" s="200">
        <f>VLOOKUP($E145,'Analysis Inputs'!$D$14:$U$67,15,FALSE)</f>
        <v>0</v>
      </c>
      <c r="L145" s="202">
        <f t="shared" si="18"/>
        <v>0</v>
      </c>
      <c r="M145" s="202">
        <f>VLOOKUP($E145,'Analysis Inputs'!$D$14:$U$67,16,FALSE)</f>
        <v>0</v>
      </c>
      <c r="N145" s="415">
        <f t="shared" si="19"/>
        <v>0</v>
      </c>
      <c r="O145" s="419" t="str">
        <f>VLOOKUP($E145,'Analysis Inputs'!$D$14:$U$67,17,FALSE)</f>
        <v>NA</v>
      </c>
      <c r="P145" s="674" t="s">
        <v>503</v>
      </c>
      <c r="Q145" s="419" t="str">
        <f>VLOOKUP($E145,'Analysis Inputs'!$D$14:$U$67,18,FALSE)</f>
        <v>NA</v>
      </c>
      <c r="R145" s="406" t="s">
        <v>503</v>
      </c>
      <c r="S145" s="405">
        <f t="shared" si="21"/>
        <v>0</v>
      </c>
    </row>
    <row r="146" spans="2:21" ht="12.75" customHeight="1" x14ac:dyDescent="0.25">
      <c r="B146" s="47">
        <f t="shared" si="20"/>
        <v>1</v>
      </c>
      <c r="C146" s="47">
        <f t="shared" si="22"/>
        <v>13</v>
      </c>
      <c r="D146">
        <f t="shared" si="23"/>
        <v>13</v>
      </c>
      <c r="E146" s="7" t="s">
        <v>4</v>
      </c>
      <c r="F146" s="200">
        <f>VLOOKUP($E146,'Analysis Inputs'!$D$14:$U$67,10,FALSE)</f>
        <v>103846.1137708187</v>
      </c>
      <c r="G146" s="203">
        <f>VLOOKUP($E146,'Analysis Inputs'!$D$14:$U$67,13,FALSE)</f>
        <v>0</v>
      </c>
      <c r="H146" s="203">
        <f t="shared" si="16"/>
        <v>0</v>
      </c>
      <c r="I146" s="202">
        <f>VLOOKUP($E146,'Analysis Inputs'!$D$14:$U$67,14,FALSE)</f>
        <v>0</v>
      </c>
      <c r="J146" s="202">
        <f t="shared" si="24"/>
        <v>0</v>
      </c>
      <c r="K146" s="200">
        <f>VLOOKUP($E146,'Analysis Inputs'!$D$14:$U$67,15,FALSE)</f>
        <v>103846.1137708187</v>
      </c>
      <c r="L146" s="202">
        <f t="shared" si="18"/>
        <v>27859.113279867121</v>
      </c>
      <c r="M146" s="202">
        <f>VLOOKUP($E146,'Analysis Inputs'!$D$14:$U$67,16,FALSE)</f>
        <v>0</v>
      </c>
      <c r="N146" s="415">
        <f t="shared" si="19"/>
        <v>0</v>
      </c>
      <c r="O146" s="419" t="str">
        <f>VLOOKUP($E146,'Analysis Inputs'!$D$14:$U$67,17,FALSE)</f>
        <v>NA</v>
      </c>
      <c r="P146" s="415" t="s">
        <v>503</v>
      </c>
      <c r="Q146" s="477" t="str">
        <f>VLOOKUP($E146,'Analysis Inputs'!$D$14:$U$67,18,FALSE)</f>
        <v>NA</v>
      </c>
      <c r="R146" s="406" t="s">
        <v>503</v>
      </c>
      <c r="S146" s="405">
        <f t="shared" si="21"/>
        <v>27859.113279867121</v>
      </c>
      <c r="T146" s="8"/>
      <c r="U146" s="8"/>
    </row>
    <row r="147" spans="2:21" ht="12.75" customHeight="1" x14ac:dyDescent="0.25">
      <c r="B147" s="47">
        <f t="shared" si="20"/>
        <v>0</v>
      </c>
      <c r="C147" s="47">
        <f t="shared" si="22"/>
        <v>13</v>
      </c>
      <c r="D147">
        <f t="shared" si="23"/>
        <v>0</v>
      </c>
      <c r="E147" s="117" t="s">
        <v>558</v>
      </c>
      <c r="F147" s="200">
        <f>VLOOKUP($E147,'Analysis Inputs'!$D$14:$U$67,10,FALSE)</f>
        <v>0</v>
      </c>
      <c r="G147" s="203">
        <f>VLOOKUP($E147,'Analysis Inputs'!$D$14:$U$67,13,FALSE)</f>
        <v>0</v>
      </c>
      <c r="H147" s="203">
        <f t="shared" si="16"/>
        <v>0</v>
      </c>
      <c r="I147" s="202">
        <f>VLOOKUP($E147,'Analysis Inputs'!$D$14:$U$67,14,FALSE)</f>
        <v>0</v>
      </c>
      <c r="J147" s="202">
        <f t="shared" si="24"/>
        <v>0</v>
      </c>
      <c r="K147" s="200">
        <f>VLOOKUP($E147,'Analysis Inputs'!$D$14:$U$67,15,FALSE)</f>
        <v>0</v>
      </c>
      <c r="L147" s="202">
        <f t="shared" si="18"/>
        <v>0</v>
      </c>
      <c r="M147" s="202">
        <f>VLOOKUP($E147,'Analysis Inputs'!$D$14:$U$67,16,FALSE)</f>
        <v>0</v>
      </c>
      <c r="N147" s="415">
        <f t="shared" si="19"/>
        <v>0</v>
      </c>
      <c r="O147" s="419" t="str">
        <f>VLOOKUP($E147,'Analysis Inputs'!$D$14:$U$67,17,FALSE)</f>
        <v>NA</v>
      </c>
      <c r="P147" s="415" t="s">
        <v>503</v>
      </c>
      <c r="Q147" s="477" t="str">
        <f>VLOOKUP($E147,'Analysis Inputs'!$D$14:$U$67,18,FALSE)</f>
        <v>NA</v>
      </c>
      <c r="R147" s="406" t="s">
        <v>503</v>
      </c>
      <c r="S147" s="405">
        <f t="shared" si="21"/>
        <v>0</v>
      </c>
      <c r="T147" s="8"/>
      <c r="U147" s="8"/>
    </row>
    <row r="148" spans="2:21" ht="12.75" customHeight="1" x14ac:dyDescent="0.25">
      <c r="B148" s="47">
        <f t="shared" si="20"/>
        <v>1</v>
      </c>
      <c r="C148" s="47">
        <f t="shared" ref="C148:C180" si="25">C147+B148</f>
        <v>14</v>
      </c>
      <c r="D148">
        <f t="shared" ref="D148:D180" si="26">C148*B148</f>
        <v>14</v>
      </c>
      <c r="E148" s="7" t="s">
        <v>646</v>
      </c>
      <c r="F148" s="200">
        <f>VLOOKUP($E148,'Analysis Inputs'!$D$14:$U$67,10,FALSE)</f>
        <v>107960.23499957993</v>
      </c>
      <c r="G148" s="203">
        <f>VLOOKUP($E148,'Analysis Inputs'!$D$14:$U$67,13,FALSE)</f>
        <v>0</v>
      </c>
      <c r="H148" s="203">
        <f t="shared" si="16"/>
        <v>0</v>
      </c>
      <c r="I148" s="202" t="str">
        <f>VLOOKUP($E148,'Analysis Inputs'!$D$14:$U$67,14,FALSE)</f>
        <v>NA</v>
      </c>
      <c r="J148" s="202" t="s">
        <v>503</v>
      </c>
      <c r="K148" s="200">
        <f>VLOOKUP($E148,'Analysis Inputs'!$D$14:$U$67,15,FALSE)</f>
        <v>107960.23499957993</v>
      </c>
      <c r="L148" s="202">
        <f t="shared" si="18"/>
        <v>28962.821114443523</v>
      </c>
      <c r="M148" s="202">
        <f>VLOOKUP($E148,'Analysis Inputs'!$D$14:$U$67,16,FALSE)</f>
        <v>0</v>
      </c>
      <c r="N148" s="415">
        <f t="shared" si="19"/>
        <v>0</v>
      </c>
      <c r="O148" s="419">
        <f>VLOOKUP($E148,'Analysis Inputs'!$D$14:$U$67,17,FALSE)</f>
        <v>0</v>
      </c>
      <c r="P148" s="415">
        <f t="shared" ref="P148:P159" si="27">O148*J33</f>
        <v>0</v>
      </c>
      <c r="Q148" s="477">
        <f>VLOOKUP($E148,'Analysis Inputs'!$D$14:$U$67,18,FALSE)</f>
        <v>0</v>
      </c>
      <c r="R148" s="406">
        <f>IF(AND(K33="NA",Q148&lt;&gt;0),"INPUT ERROR",IF(AND(K33="NA",Q148=0),"NA",+Q148*K33))</f>
        <v>0</v>
      </c>
      <c r="S148" s="405">
        <f t="shared" si="21"/>
        <v>28962.821114443523</v>
      </c>
      <c r="T148" s="8"/>
      <c r="U148" s="8"/>
    </row>
    <row r="149" spans="2:21" ht="12.75" customHeight="1" x14ac:dyDescent="0.25">
      <c r="B149" s="47">
        <f t="shared" si="20"/>
        <v>1</v>
      </c>
      <c r="C149" s="47">
        <f t="shared" si="25"/>
        <v>15</v>
      </c>
      <c r="D149">
        <f t="shared" si="26"/>
        <v>15</v>
      </c>
      <c r="E149" s="7" t="s">
        <v>744</v>
      </c>
      <c r="F149" s="200">
        <f>VLOOKUP($E149,'Analysis Inputs'!$D$14:$U$67,10,FALSE)</f>
        <v>65275.449706659572</v>
      </c>
      <c r="G149" s="203">
        <f>VLOOKUP($E149,'Analysis Inputs'!$D$14:$U$67,13,FALSE)</f>
        <v>0</v>
      </c>
      <c r="H149" s="203">
        <f t="shared" si="16"/>
        <v>0</v>
      </c>
      <c r="I149" s="202" t="str">
        <f>VLOOKUP($E149,'Analysis Inputs'!$D$14:$U$67,14,FALSE)</f>
        <v>NA</v>
      </c>
      <c r="J149" s="202" t="s">
        <v>503</v>
      </c>
      <c r="K149" s="200">
        <f>VLOOKUP($E149,'Analysis Inputs'!$D$14:$U$67,15,FALSE)</f>
        <v>65275.449706659572</v>
      </c>
      <c r="L149" s="202">
        <f t="shared" si="18"/>
        <v>17511.643736475678</v>
      </c>
      <c r="M149" s="202">
        <f>VLOOKUP($E149,'Analysis Inputs'!$D$14:$U$67,16,FALSE)</f>
        <v>0</v>
      </c>
      <c r="N149" s="415">
        <f t="shared" si="19"/>
        <v>0</v>
      </c>
      <c r="O149" s="419">
        <f>VLOOKUP($E149,'Analysis Inputs'!$D$14:$U$67,17,FALSE)</f>
        <v>0</v>
      </c>
      <c r="P149" s="415">
        <f t="shared" si="27"/>
        <v>0</v>
      </c>
      <c r="Q149" s="477">
        <f>VLOOKUP($E149,'Analysis Inputs'!$D$14:$U$67,18,FALSE)</f>
        <v>0</v>
      </c>
      <c r="R149" s="406">
        <f t="shared" ref="R149:R167" si="28">IF(AND(K34="NA",Q149&lt;&gt;0),"INPUT ERROR",IF(AND(K34="NA",Q149=0),"NA",+Q149*K34))</f>
        <v>0</v>
      </c>
      <c r="S149" s="405">
        <f t="shared" si="21"/>
        <v>17511.643736475678</v>
      </c>
      <c r="T149" s="8"/>
      <c r="U149" s="8"/>
    </row>
    <row r="150" spans="2:21" ht="12.75" customHeight="1" x14ac:dyDescent="0.25">
      <c r="B150" s="47">
        <f t="shared" si="20"/>
        <v>0</v>
      </c>
      <c r="C150" s="47">
        <f t="shared" si="25"/>
        <v>15</v>
      </c>
      <c r="D150">
        <f t="shared" si="26"/>
        <v>0</v>
      </c>
      <c r="E150" s="7" t="s">
        <v>741</v>
      </c>
      <c r="F150" s="200">
        <f>VLOOKUP($E150,'Analysis Inputs'!$D$14:$U$67,10,FALSE)</f>
        <v>0</v>
      </c>
      <c r="G150" s="203">
        <f>VLOOKUP($E150,'Analysis Inputs'!$D$14:$U$67,13,FALSE)</f>
        <v>0</v>
      </c>
      <c r="H150" s="203">
        <f t="shared" si="16"/>
        <v>0</v>
      </c>
      <c r="I150" s="202" t="str">
        <f>VLOOKUP($E150,'Analysis Inputs'!$D$14:$U$67,14,FALSE)</f>
        <v>NA</v>
      </c>
      <c r="J150" s="202" t="s">
        <v>503</v>
      </c>
      <c r="K150" s="200">
        <f>VLOOKUP($E150,'Analysis Inputs'!$D$14:$U$67,15,FALSE)</f>
        <v>0</v>
      </c>
      <c r="L150" s="202">
        <f t="shared" si="18"/>
        <v>0</v>
      </c>
      <c r="M150" s="202">
        <f>VLOOKUP($E150,'Analysis Inputs'!$D$14:$U$67,16,FALSE)</f>
        <v>0</v>
      </c>
      <c r="N150" s="415">
        <f t="shared" si="19"/>
        <v>0</v>
      </c>
      <c r="O150" s="419">
        <f>VLOOKUP($E150,'Analysis Inputs'!$D$14:$U$67,17,FALSE)</f>
        <v>0</v>
      </c>
      <c r="P150" s="415">
        <f t="shared" si="27"/>
        <v>0</v>
      </c>
      <c r="Q150" s="477">
        <f>VLOOKUP($E150,'Analysis Inputs'!$D$14:$U$67,18,FALSE)</f>
        <v>0</v>
      </c>
      <c r="R150" s="406">
        <f t="shared" si="28"/>
        <v>0</v>
      </c>
      <c r="S150" s="405">
        <f t="shared" si="21"/>
        <v>0</v>
      </c>
      <c r="T150" s="8"/>
      <c r="U150" s="8"/>
    </row>
    <row r="151" spans="2:21" ht="12.75" customHeight="1" x14ac:dyDescent="0.25">
      <c r="B151" s="47">
        <f t="shared" si="20"/>
        <v>0</v>
      </c>
      <c r="C151" s="47">
        <f t="shared" si="25"/>
        <v>15</v>
      </c>
      <c r="D151">
        <f t="shared" si="26"/>
        <v>0</v>
      </c>
      <c r="E151" s="7" t="s">
        <v>742</v>
      </c>
      <c r="F151" s="200">
        <f>VLOOKUP($E151,'Analysis Inputs'!$D$14:$U$67,10,FALSE)</f>
        <v>0</v>
      </c>
      <c r="G151" s="203">
        <f>VLOOKUP($E151,'Analysis Inputs'!$D$14:$U$67,13,FALSE)</f>
        <v>0</v>
      </c>
      <c r="H151" s="203">
        <f t="shared" si="16"/>
        <v>0</v>
      </c>
      <c r="I151" s="202" t="str">
        <f>VLOOKUP($E151,'Analysis Inputs'!$D$14:$U$67,14,FALSE)</f>
        <v>NA</v>
      </c>
      <c r="J151" s="202" t="s">
        <v>503</v>
      </c>
      <c r="K151" s="200">
        <f>VLOOKUP($E151,'Analysis Inputs'!$D$14:$U$67,15,FALSE)</f>
        <v>0</v>
      </c>
      <c r="L151" s="202">
        <f t="shared" si="18"/>
        <v>0</v>
      </c>
      <c r="M151" s="202">
        <f>VLOOKUP($E151,'Analysis Inputs'!$D$14:$U$67,16,FALSE)</f>
        <v>0</v>
      </c>
      <c r="N151" s="415">
        <f t="shared" si="19"/>
        <v>0</v>
      </c>
      <c r="O151" s="419">
        <f>VLOOKUP($E151,'Analysis Inputs'!$D$14:$U$67,17,FALSE)</f>
        <v>0</v>
      </c>
      <c r="P151" s="415">
        <f t="shared" si="27"/>
        <v>0</v>
      </c>
      <c r="Q151" s="477">
        <f>VLOOKUP($E151,'Analysis Inputs'!$D$14:$U$67,18,FALSE)</f>
        <v>0</v>
      </c>
      <c r="R151" s="406">
        <f t="shared" si="28"/>
        <v>0</v>
      </c>
      <c r="S151" s="405">
        <f t="shared" si="21"/>
        <v>0</v>
      </c>
      <c r="T151" s="8"/>
      <c r="U151" s="8"/>
    </row>
    <row r="152" spans="2:21" ht="12.75" customHeight="1" x14ac:dyDescent="0.25">
      <c r="B152" s="47">
        <f t="shared" si="20"/>
        <v>0</v>
      </c>
      <c r="C152" s="47">
        <f t="shared" si="25"/>
        <v>15</v>
      </c>
      <c r="D152">
        <f t="shared" si="26"/>
        <v>0</v>
      </c>
      <c r="E152" s="117" t="s">
        <v>649</v>
      </c>
      <c r="F152" s="200">
        <f>VLOOKUP($E152,'Analysis Inputs'!$D$14:$U$67,10,FALSE)</f>
        <v>0</v>
      </c>
      <c r="G152" s="203">
        <f>VLOOKUP($E152,'Analysis Inputs'!$D$14:$U$67,13,FALSE)</f>
        <v>0</v>
      </c>
      <c r="H152" s="203">
        <f t="shared" si="16"/>
        <v>0</v>
      </c>
      <c r="I152" s="202" t="str">
        <f>VLOOKUP($E152,'Analysis Inputs'!$D$14:$U$67,14,FALSE)</f>
        <v>NA</v>
      </c>
      <c r="J152" s="202" t="s">
        <v>503</v>
      </c>
      <c r="K152" s="200">
        <f>VLOOKUP($E152,'Analysis Inputs'!$D$14:$U$67,15,FALSE)</f>
        <v>0</v>
      </c>
      <c r="L152" s="202">
        <f t="shared" si="18"/>
        <v>0</v>
      </c>
      <c r="M152" s="202">
        <f>VLOOKUP($E152,'Analysis Inputs'!$D$14:$U$67,16,FALSE)</f>
        <v>0</v>
      </c>
      <c r="N152" s="415">
        <f t="shared" si="19"/>
        <v>0</v>
      </c>
      <c r="O152" s="419">
        <f>VLOOKUP($E152,'Analysis Inputs'!$D$14:$U$67,17,FALSE)</f>
        <v>0</v>
      </c>
      <c r="P152" s="415">
        <f t="shared" si="27"/>
        <v>0</v>
      </c>
      <c r="Q152" s="477">
        <f>VLOOKUP($E152,'Analysis Inputs'!$D$14:$U$67,18,FALSE)</f>
        <v>0</v>
      </c>
      <c r="R152" s="406">
        <f t="shared" si="28"/>
        <v>0</v>
      </c>
      <c r="S152" s="405">
        <f t="shared" si="21"/>
        <v>0</v>
      </c>
      <c r="T152" s="8"/>
      <c r="U152" s="8"/>
    </row>
    <row r="153" spans="2:21" ht="12.75" customHeight="1" x14ac:dyDescent="0.25">
      <c r="B153" s="47">
        <f t="shared" si="20"/>
        <v>0</v>
      </c>
      <c r="C153" s="47">
        <f t="shared" si="25"/>
        <v>15</v>
      </c>
      <c r="D153">
        <f t="shared" si="26"/>
        <v>0</v>
      </c>
      <c r="E153" s="117" t="s">
        <v>645</v>
      </c>
      <c r="F153" s="200">
        <f>VLOOKUP($E153,'Analysis Inputs'!$D$14:$U$67,10,FALSE)</f>
        <v>0</v>
      </c>
      <c r="G153" s="203">
        <f>VLOOKUP($E153,'Analysis Inputs'!$D$14:$U$67,13,FALSE)</f>
        <v>0</v>
      </c>
      <c r="H153" s="203">
        <f t="shared" si="16"/>
        <v>0</v>
      </c>
      <c r="I153" s="202" t="str">
        <f>VLOOKUP($E153,'Analysis Inputs'!$D$14:$U$67,14,FALSE)</f>
        <v>NA</v>
      </c>
      <c r="J153" s="202" t="s">
        <v>503</v>
      </c>
      <c r="K153" s="200">
        <f>VLOOKUP($E153,'Analysis Inputs'!$D$14:$U$67,15,FALSE)</f>
        <v>0</v>
      </c>
      <c r="L153" s="202">
        <f t="shared" si="18"/>
        <v>0</v>
      </c>
      <c r="M153" s="202">
        <f>VLOOKUP($E153,'Analysis Inputs'!$D$14:$U$67,16,FALSE)</f>
        <v>0</v>
      </c>
      <c r="N153" s="415">
        <f t="shared" si="19"/>
        <v>0</v>
      </c>
      <c r="O153" s="419">
        <f>VLOOKUP($E153,'Analysis Inputs'!$D$14:$U$67,17,FALSE)</f>
        <v>0</v>
      </c>
      <c r="P153" s="415">
        <f t="shared" si="27"/>
        <v>0</v>
      </c>
      <c r="Q153" s="477">
        <f>VLOOKUP($E153,'Analysis Inputs'!$D$14:$U$67,18,FALSE)</f>
        <v>0</v>
      </c>
      <c r="R153" s="406">
        <f t="shared" si="28"/>
        <v>0</v>
      </c>
      <c r="S153" s="405">
        <f t="shared" si="21"/>
        <v>0</v>
      </c>
      <c r="T153" s="8"/>
      <c r="U153" s="8"/>
    </row>
    <row r="154" spans="2:21" ht="12.75" customHeight="1" x14ac:dyDescent="0.25">
      <c r="B154" s="47">
        <f t="shared" si="20"/>
        <v>0</v>
      </c>
      <c r="C154" s="47">
        <f t="shared" si="25"/>
        <v>15</v>
      </c>
      <c r="D154">
        <f t="shared" si="26"/>
        <v>0</v>
      </c>
      <c r="E154" s="117" t="s">
        <v>647</v>
      </c>
      <c r="F154" s="200">
        <f>VLOOKUP($E154,'Analysis Inputs'!$D$14:$U$67,10,FALSE)</f>
        <v>0</v>
      </c>
      <c r="G154" s="203">
        <f>VLOOKUP($E154,'Analysis Inputs'!$D$14:$U$67,13,FALSE)</f>
        <v>0</v>
      </c>
      <c r="H154" s="203">
        <f t="shared" si="16"/>
        <v>0</v>
      </c>
      <c r="I154" s="202" t="str">
        <f>VLOOKUP($E154,'Analysis Inputs'!$D$14:$U$67,14,FALSE)</f>
        <v>NA</v>
      </c>
      <c r="J154" s="202" t="s">
        <v>503</v>
      </c>
      <c r="K154" s="200">
        <f>VLOOKUP($E154,'Analysis Inputs'!$D$14:$U$67,15,FALSE)</f>
        <v>0</v>
      </c>
      <c r="L154" s="202">
        <f t="shared" si="18"/>
        <v>0</v>
      </c>
      <c r="M154" s="202">
        <f>VLOOKUP($E154,'Analysis Inputs'!$D$14:$U$67,16,FALSE)</f>
        <v>0</v>
      </c>
      <c r="N154" s="415">
        <f t="shared" si="19"/>
        <v>0</v>
      </c>
      <c r="O154" s="419">
        <f>VLOOKUP($E154,'Analysis Inputs'!$D$14:$U$67,17,FALSE)</f>
        <v>0</v>
      </c>
      <c r="P154" s="415">
        <f t="shared" si="27"/>
        <v>0</v>
      </c>
      <c r="Q154" s="477">
        <f>VLOOKUP($E154,'Analysis Inputs'!$D$14:$U$67,18,FALSE)</f>
        <v>0</v>
      </c>
      <c r="R154" s="406">
        <f t="shared" si="28"/>
        <v>0</v>
      </c>
      <c r="S154" s="405">
        <f t="shared" si="21"/>
        <v>0</v>
      </c>
      <c r="T154" s="8"/>
      <c r="U154" s="8"/>
    </row>
    <row r="155" spans="2:21" ht="12.75" customHeight="1" x14ac:dyDescent="0.25">
      <c r="B155" s="47">
        <f t="shared" si="20"/>
        <v>0</v>
      </c>
      <c r="C155" s="47">
        <f t="shared" si="25"/>
        <v>15</v>
      </c>
      <c r="D155">
        <f t="shared" si="26"/>
        <v>0</v>
      </c>
      <c r="E155" s="117" t="s">
        <v>648</v>
      </c>
      <c r="F155" s="200">
        <f>VLOOKUP($E155,'Analysis Inputs'!$D$14:$U$67,10,FALSE)</f>
        <v>0</v>
      </c>
      <c r="G155" s="203">
        <f>VLOOKUP($E155,'Analysis Inputs'!$D$14:$U$67,13,FALSE)</f>
        <v>0</v>
      </c>
      <c r="H155" s="203">
        <f t="shared" si="16"/>
        <v>0</v>
      </c>
      <c r="I155" s="202" t="str">
        <f>VLOOKUP($E155,'Analysis Inputs'!$D$14:$U$67,14,FALSE)</f>
        <v>NA</v>
      </c>
      <c r="J155" s="202" t="s">
        <v>503</v>
      </c>
      <c r="K155" s="200">
        <f>VLOOKUP($E155,'Analysis Inputs'!$D$14:$U$67,15,FALSE)</f>
        <v>0</v>
      </c>
      <c r="L155" s="202">
        <f t="shared" si="18"/>
        <v>0</v>
      </c>
      <c r="M155" s="202">
        <f>VLOOKUP($E155,'Analysis Inputs'!$D$14:$U$67,16,FALSE)</f>
        <v>0</v>
      </c>
      <c r="N155" s="415">
        <f t="shared" si="19"/>
        <v>0</v>
      </c>
      <c r="O155" s="419">
        <f>VLOOKUP($E155,'Analysis Inputs'!$D$14:$U$67,17,FALSE)</f>
        <v>0</v>
      </c>
      <c r="P155" s="415">
        <f t="shared" si="27"/>
        <v>0</v>
      </c>
      <c r="Q155" s="477">
        <f>VLOOKUP($E155,'Analysis Inputs'!$D$14:$U$67,18,FALSE)</f>
        <v>0</v>
      </c>
      <c r="R155" s="406">
        <f t="shared" si="28"/>
        <v>0</v>
      </c>
      <c r="S155" s="405">
        <f t="shared" si="21"/>
        <v>0</v>
      </c>
      <c r="T155" s="8"/>
      <c r="U155" s="8"/>
    </row>
    <row r="156" spans="2:21" ht="12.75" customHeight="1" x14ac:dyDescent="0.25">
      <c r="B156" s="47">
        <f t="shared" si="20"/>
        <v>1</v>
      </c>
      <c r="C156" s="47">
        <f t="shared" si="25"/>
        <v>16</v>
      </c>
      <c r="D156">
        <f t="shared" si="26"/>
        <v>16</v>
      </c>
      <c r="E156" s="117" t="s">
        <v>580</v>
      </c>
      <c r="F156" s="200">
        <f>VLOOKUP($E156,'Analysis Inputs'!$D$14:$U$67,10,FALSE)</f>
        <v>34800.561320441149</v>
      </c>
      <c r="G156" s="203" t="str">
        <f>VLOOKUP($E156,'Analysis Inputs'!$D$14:$U$67,13,FALSE)</f>
        <v>NA</v>
      </c>
      <c r="H156" s="202" t="s">
        <v>503</v>
      </c>
      <c r="I156" s="202" t="str">
        <f>VLOOKUP($E156,'Analysis Inputs'!$D$14:$U$67,14,FALSE)</f>
        <v>NA</v>
      </c>
      <c r="J156" s="202" t="s">
        <v>503</v>
      </c>
      <c r="K156" s="200">
        <f>VLOOKUP($E156,'Analysis Inputs'!$D$14:$U$67,15,FALSE)</f>
        <v>34800.561320441149</v>
      </c>
      <c r="L156" s="202">
        <f t="shared" si="18"/>
        <v>9336.0525957551072</v>
      </c>
      <c r="M156" s="202">
        <f>VLOOKUP($E156,'Analysis Inputs'!$D$14:$U$67,16,FALSE)</f>
        <v>0</v>
      </c>
      <c r="N156" s="415">
        <f t="shared" si="19"/>
        <v>0</v>
      </c>
      <c r="O156" s="419">
        <f>VLOOKUP($E156,'Analysis Inputs'!$D$14:$U$67,17,FALSE)</f>
        <v>0</v>
      </c>
      <c r="P156" s="415">
        <f t="shared" si="27"/>
        <v>0</v>
      </c>
      <c r="Q156" s="477">
        <f>VLOOKUP($E156,'Analysis Inputs'!$D$14:$U$67,18,FALSE)</f>
        <v>0</v>
      </c>
      <c r="R156" s="406" t="str">
        <f t="shared" si="28"/>
        <v>NA</v>
      </c>
      <c r="S156" s="405">
        <f t="shared" si="21"/>
        <v>9336.0525957551072</v>
      </c>
      <c r="T156" s="8"/>
      <c r="U156" s="8"/>
    </row>
    <row r="157" spans="2:21" ht="12.75" customHeight="1" x14ac:dyDescent="0.25">
      <c r="B157" s="47">
        <f t="shared" si="20"/>
        <v>0</v>
      </c>
      <c r="C157" s="47">
        <f t="shared" si="25"/>
        <v>16</v>
      </c>
      <c r="D157">
        <f t="shared" si="26"/>
        <v>0</v>
      </c>
      <c r="E157" s="117" t="s">
        <v>521</v>
      </c>
      <c r="F157" s="200">
        <f>VLOOKUP($E157,'Analysis Inputs'!$D$14:$U$67,10,FALSE)</f>
        <v>0</v>
      </c>
      <c r="G157" s="203" t="str">
        <f>VLOOKUP($E157,'Analysis Inputs'!$D$14:$U$67,13,FALSE)</f>
        <v>NA</v>
      </c>
      <c r="H157" s="202" t="s">
        <v>503</v>
      </c>
      <c r="I157" s="202" t="str">
        <f>VLOOKUP($E157,'Analysis Inputs'!$D$14:$U$67,14,FALSE)</f>
        <v>NA</v>
      </c>
      <c r="J157" s="202" t="s">
        <v>503</v>
      </c>
      <c r="K157" s="200">
        <f>VLOOKUP($E157,'Analysis Inputs'!$D$14:$U$67,15,FALSE)</f>
        <v>0</v>
      </c>
      <c r="L157" s="202">
        <f t="shared" si="18"/>
        <v>0</v>
      </c>
      <c r="M157" s="202">
        <f>VLOOKUP($E157,'Analysis Inputs'!$D$14:$U$67,16,FALSE)</f>
        <v>0</v>
      </c>
      <c r="N157" s="415">
        <f t="shared" si="19"/>
        <v>0</v>
      </c>
      <c r="O157" s="419">
        <f>VLOOKUP($E157,'Analysis Inputs'!$D$14:$U$67,17,FALSE)</f>
        <v>0</v>
      </c>
      <c r="P157" s="415">
        <f t="shared" si="27"/>
        <v>0</v>
      </c>
      <c r="Q157" s="477">
        <f>VLOOKUP($E157,'Analysis Inputs'!$D$14:$U$67,18,FALSE)</f>
        <v>0</v>
      </c>
      <c r="R157" s="406" t="str">
        <f t="shared" si="28"/>
        <v>NA</v>
      </c>
      <c r="S157" s="405">
        <f t="shared" si="21"/>
        <v>0</v>
      </c>
      <c r="T157" s="8"/>
      <c r="U157" s="8"/>
    </row>
    <row r="158" spans="2:21" ht="12.75" customHeight="1" x14ac:dyDescent="0.25">
      <c r="B158" s="47">
        <f t="shared" si="20"/>
        <v>0</v>
      </c>
      <c r="C158" s="47">
        <f t="shared" si="25"/>
        <v>16</v>
      </c>
      <c r="D158">
        <f t="shared" si="26"/>
        <v>0</v>
      </c>
      <c r="E158" s="117" t="s">
        <v>522</v>
      </c>
      <c r="F158" s="200">
        <f>VLOOKUP($E158,'Analysis Inputs'!$D$14:$U$67,10,FALSE)</f>
        <v>0</v>
      </c>
      <c r="G158" s="203" t="str">
        <f>VLOOKUP($E158,'Analysis Inputs'!$D$14:$U$67,13,FALSE)</f>
        <v>NA</v>
      </c>
      <c r="H158" s="202" t="s">
        <v>503</v>
      </c>
      <c r="I158" s="202" t="str">
        <f>VLOOKUP($E158,'Analysis Inputs'!$D$14:$U$67,14,FALSE)</f>
        <v>NA</v>
      </c>
      <c r="J158" s="202" t="s">
        <v>503</v>
      </c>
      <c r="K158" s="200">
        <f>VLOOKUP($E158,'Analysis Inputs'!$D$14:$U$67,15,FALSE)</f>
        <v>0</v>
      </c>
      <c r="L158" s="202">
        <f t="shared" si="18"/>
        <v>0</v>
      </c>
      <c r="M158" s="202">
        <f>VLOOKUP($E158,'Analysis Inputs'!$D$14:$U$67,16,FALSE)</f>
        <v>0</v>
      </c>
      <c r="N158" s="415">
        <f t="shared" si="19"/>
        <v>0</v>
      </c>
      <c r="O158" s="419">
        <f>VLOOKUP($E158,'Analysis Inputs'!$D$14:$U$67,17,FALSE)</f>
        <v>0</v>
      </c>
      <c r="P158" s="415">
        <f t="shared" si="27"/>
        <v>0</v>
      </c>
      <c r="Q158" s="477">
        <f>VLOOKUP($E158,'Analysis Inputs'!$D$14:$U$67,18,FALSE)</f>
        <v>0</v>
      </c>
      <c r="R158" s="406" t="str">
        <f t="shared" si="28"/>
        <v>NA</v>
      </c>
      <c r="S158" s="405">
        <f t="shared" si="21"/>
        <v>0</v>
      </c>
      <c r="T158" s="8"/>
      <c r="U158" s="8"/>
    </row>
    <row r="159" spans="2:21" ht="12.75" customHeight="1" x14ac:dyDescent="0.25">
      <c r="B159" s="47">
        <f t="shared" si="20"/>
        <v>1</v>
      </c>
      <c r="C159" s="47">
        <f t="shared" si="25"/>
        <v>17</v>
      </c>
      <c r="D159">
        <f t="shared" si="26"/>
        <v>17</v>
      </c>
      <c r="E159" s="117" t="s">
        <v>523</v>
      </c>
      <c r="F159" s="200">
        <f>VLOOKUP($E159,'Analysis Inputs'!$D$14:$U$67,10,FALSE)</f>
        <v>2781.912059757693</v>
      </c>
      <c r="G159" s="203" t="str">
        <f>VLOOKUP($E159,'Analysis Inputs'!$D$14:$U$67,13,FALSE)</f>
        <v>NA</v>
      </c>
      <c r="H159" s="202" t="s">
        <v>503</v>
      </c>
      <c r="I159" s="202" t="str">
        <f>VLOOKUP($E159,'Analysis Inputs'!$D$14:$U$67,14,FALSE)</f>
        <v>NA</v>
      </c>
      <c r="J159" s="202" t="s">
        <v>503</v>
      </c>
      <c r="K159" s="200">
        <f>VLOOKUP($E159,'Analysis Inputs'!$D$14:$U$67,15,FALSE)</f>
        <v>2781.912059757693</v>
      </c>
      <c r="L159" s="202">
        <f t="shared" ref="L159:L180" si="29">+K159*H44</f>
        <v>746.3120225996978</v>
      </c>
      <c r="M159" s="202">
        <f>VLOOKUP($E159,'Analysis Inputs'!$D$14:$U$67,16,FALSE)</f>
        <v>0</v>
      </c>
      <c r="N159" s="415">
        <f t="shared" si="19"/>
        <v>0</v>
      </c>
      <c r="O159" s="419">
        <f>VLOOKUP($E159,'Analysis Inputs'!$D$14:$U$67,17,FALSE)</f>
        <v>0</v>
      </c>
      <c r="P159" s="674">
        <f t="shared" si="27"/>
        <v>0</v>
      </c>
      <c r="Q159" s="419">
        <f>VLOOKUP($E159,'Analysis Inputs'!$D$14:$U$67,18,FALSE)</f>
        <v>0</v>
      </c>
      <c r="R159" s="406" t="str">
        <f t="shared" si="28"/>
        <v>NA</v>
      </c>
      <c r="S159" s="405">
        <f t="shared" si="21"/>
        <v>746.3120225996978</v>
      </c>
    </row>
    <row r="160" spans="2:21" ht="12.75" customHeight="1" x14ac:dyDescent="0.25">
      <c r="B160" s="47">
        <f t="shared" si="20"/>
        <v>1</v>
      </c>
      <c r="C160" s="47">
        <f t="shared" si="25"/>
        <v>18</v>
      </c>
      <c r="D160">
        <f t="shared" si="26"/>
        <v>18</v>
      </c>
      <c r="E160" s="117" t="s">
        <v>583</v>
      </c>
      <c r="F160" s="200">
        <f>VLOOKUP($E160,'Analysis Inputs'!$D$14:$U$67,10,FALSE)</f>
        <v>93768.529977279337</v>
      </c>
      <c r="G160" s="203">
        <f>VLOOKUP($E160,'Analysis Inputs'!$D$14:$U$67,13,FALSE)</f>
        <v>0</v>
      </c>
      <c r="H160" s="203">
        <f>+G160*F45</f>
        <v>0</v>
      </c>
      <c r="I160" s="202">
        <f>VLOOKUP($E160,'Analysis Inputs'!$D$14:$U$67,14,FALSE)</f>
        <v>0</v>
      </c>
      <c r="J160" s="202">
        <f t="shared" ref="J160:J165" si="30">+I160*G45</f>
        <v>0</v>
      </c>
      <c r="K160" s="200">
        <f>VLOOKUP($E160,'Analysis Inputs'!$D$14:$U$67,15,FALSE)</f>
        <v>93768.529977279337</v>
      </c>
      <c r="L160" s="202">
        <f t="shared" si="29"/>
        <v>25155.569176992285</v>
      </c>
      <c r="M160" s="202">
        <f>VLOOKUP($E160,'Analysis Inputs'!$D$14:$U$67,16,FALSE)</f>
        <v>0</v>
      </c>
      <c r="N160" s="415">
        <f t="shared" si="19"/>
        <v>0</v>
      </c>
      <c r="O160" s="419" t="str">
        <f>VLOOKUP($E160,'Analysis Inputs'!$D$14:$U$67,17,FALSE)</f>
        <v>NA</v>
      </c>
      <c r="P160" s="674" t="s">
        <v>503</v>
      </c>
      <c r="Q160" s="419" t="str">
        <f>VLOOKUP($E160,'Analysis Inputs'!$D$14:$U$67,18,FALSE)</f>
        <v>NA</v>
      </c>
      <c r="R160" s="406" t="s">
        <v>503</v>
      </c>
      <c r="S160" s="405">
        <f t="shared" si="21"/>
        <v>25155.569176992285</v>
      </c>
    </row>
    <row r="161" spans="2:19" ht="12.75" customHeight="1" x14ac:dyDescent="0.25">
      <c r="B161" s="47">
        <f t="shared" si="20"/>
        <v>0</v>
      </c>
      <c r="C161" s="47">
        <f t="shared" si="25"/>
        <v>18</v>
      </c>
      <c r="D161">
        <f t="shared" si="26"/>
        <v>0</v>
      </c>
      <c r="E161" s="117" t="s">
        <v>584</v>
      </c>
      <c r="F161" s="200">
        <f>VLOOKUP($E161,'Analysis Inputs'!$D$14:$U$67,10,FALSE)</f>
        <v>0</v>
      </c>
      <c r="G161" s="203">
        <f>VLOOKUP($E161,'Analysis Inputs'!$D$14:$U$67,13,FALSE)</f>
        <v>0</v>
      </c>
      <c r="H161" s="203">
        <f>+G161*F46</f>
        <v>0</v>
      </c>
      <c r="I161" s="202">
        <f>VLOOKUP($E161,'Analysis Inputs'!$D$14:$U$67,14,FALSE)</f>
        <v>0</v>
      </c>
      <c r="J161" s="202">
        <f t="shared" si="30"/>
        <v>0</v>
      </c>
      <c r="K161" s="200">
        <f>VLOOKUP($E161,'Analysis Inputs'!$D$14:$U$67,15,FALSE)</f>
        <v>0</v>
      </c>
      <c r="L161" s="202">
        <f t="shared" si="29"/>
        <v>0</v>
      </c>
      <c r="M161" s="202">
        <f>VLOOKUP($E161,'Analysis Inputs'!$D$14:$U$67,16,FALSE)</f>
        <v>0</v>
      </c>
      <c r="N161" s="415">
        <f t="shared" si="19"/>
        <v>0</v>
      </c>
      <c r="O161" s="419" t="str">
        <f>VLOOKUP($E161,'Analysis Inputs'!$D$14:$U$67,17,FALSE)</f>
        <v>NA</v>
      </c>
      <c r="P161" s="674" t="s">
        <v>503</v>
      </c>
      <c r="Q161" s="419" t="str">
        <f>VLOOKUP($E161,'Analysis Inputs'!$D$14:$U$67,18,FALSE)</f>
        <v>NA</v>
      </c>
      <c r="R161" s="406" t="s">
        <v>503</v>
      </c>
      <c r="S161" s="405">
        <f t="shared" si="21"/>
        <v>0</v>
      </c>
    </row>
    <row r="162" spans="2:19" ht="12.75" customHeight="1" x14ac:dyDescent="0.25">
      <c r="B162" s="47">
        <f t="shared" si="20"/>
        <v>0</v>
      </c>
      <c r="C162" s="47">
        <f t="shared" si="25"/>
        <v>18</v>
      </c>
      <c r="D162">
        <f t="shared" si="26"/>
        <v>0</v>
      </c>
      <c r="E162" s="117" t="s">
        <v>585</v>
      </c>
      <c r="F162" s="200">
        <f>VLOOKUP($E162,'Analysis Inputs'!$D$14:$U$67,10,FALSE)</f>
        <v>0</v>
      </c>
      <c r="G162" s="203">
        <f>VLOOKUP($E162,'Analysis Inputs'!$D$14:$U$67,13,FALSE)</f>
        <v>0</v>
      </c>
      <c r="H162" s="203">
        <f>+G162*F47</f>
        <v>0</v>
      </c>
      <c r="I162" s="202">
        <f>VLOOKUP($E162,'Analysis Inputs'!$D$14:$U$67,14,FALSE)</f>
        <v>0</v>
      </c>
      <c r="J162" s="202">
        <f t="shared" si="30"/>
        <v>0</v>
      </c>
      <c r="K162" s="200">
        <f>VLOOKUP($E162,'Analysis Inputs'!$D$14:$U$67,15,FALSE)</f>
        <v>0</v>
      </c>
      <c r="L162" s="202">
        <f t="shared" si="29"/>
        <v>0</v>
      </c>
      <c r="M162" s="202">
        <f>VLOOKUP($E162,'Analysis Inputs'!$D$14:$U$67,16,FALSE)</f>
        <v>0</v>
      </c>
      <c r="N162" s="415">
        <f t="shared" si="19"/>
        <v>0</v>
      </c>
      <c r="O162" s="419" t="str">
        <f>VLOOKUP($E162,'Analysis Inputs'!$D$14:$U$67,17,FALSE)</f>
        <v>NA</v>
      </c>
      <c r="P162" s="674" t="s">
        <v>503</v>
      </c>
      <c r="Q162" s="419" t="str">
        <f>VLOOKUP($E162,'Analysis Inputs'!$D$14:$U$67,18,FALSE)</f>
        <v>NA</v>
      </c>
      <c r="R162" s="406" t="s">
        <v>503</v>
      </c>
      <c r="S162" s="405">
        <f t="shared" si="21"/>
        <v>0</v>
      </c>
    </row>
    <row r="163" spans="2:19" ht="12.75" customHeight="1" x14ac:dyDescent="0.25">
      <c r="B163" s="47">
        <f t="shared" si="20"/>
        <v>1</v>
      </c>
      <c r="C163" s="47">
        <f t="shared" si="25"/>
        <v>19</v>
      </c>
      <c r="D163">
        <f t="shared" si="26"/>
        <v>19</v>
      </c>
      <c r="E163" s="117" t="s">
        <v>633</v>
      </c>
      <c r="F163" s="200">
        <f>VLOOKUP($E163,'Analysis Inputs'!$D$14:$U$67,10,FALSE)</f>
        <v>31048.613761431894</v>
      </c>
      <c r="G163" s="203">
        <f>VLOOKUP($E163,'Analysis Inputs'!$D$14:$U$67,13,FALSE)</f>
        <v>0</v>
      </c>
      <c r="H163" s="203">
        <f>+G163*F48</f>
        <v>0</v>
      </c>
      <c r="I163" s="202">
        <f>VLOOKUP($E163,'Analysis Inputs'!$D$14:$U$67,14,FALSE)</f>
        <v>0</v>
      </c>
      <c r="J163" s="202">
        <f t="shared" si="30"/>
        <v>0</v>
      </c>
      <c r="K163" s="200">
        <f>VLOOKUP($E163,'Analysis Inputs'!$D$14:$U$67,15,FALSE)</f>
        <v>31048.613761431894</v>
      </c>
      <c r="L163" s="202">
        <f t="shared" si="29"/>
        <v>8329.5061948253478</v>
      </c>
      <c r="M163" s="202">
        <f>VLOOKUP($E163,'Analysis Inputs'!$D$14:$U$67,16,FALSE)</f>
        <v>0</v>
      </c>
      <c r="N163" s="415">
        <f t="shared" si="19"/>
        <v>0</v>
      </c>
      <c r="O163" s="419" t="str">
        <f>VLOOKUP($E163,'Analysis Inputs'!$D$14:$U$67,17,FALSE)</f>
        <v>NA</v>
      </c>
      <c r="P163" s="674" t="s">
        <v>503</v>
      </c>
      <c r="Q163" s="419" t="str">
        <f>VLOOKUP($E163,'Analysis Inputs'!$D$14:$U$67,18,FALSE)</f>
        <v>NA</v>
      </c>
      <c r="R163" s="406" t="s">
        <v>503</v>
      </c>
      <c r="S163" s="405">
        <f t="shared" si="21"/>
        <v>8329.5061948253478</v>
      </c>
    </row>
    <row r="164" spans="2:19" ht="12.75" customHeight="1" x14ac:dyDescent="0.25">
      <c r="B164" s="47">
        <f t="shared" si="20"/>
        <v>1</v>
      </c>
      <c r="C164" s="47">
        <f t="shared" si="25"/>
        <v>20</v>
      </c>
      <c r="D164">
        <f t="shared" si="26"/>
        <v>20</v>
      </c>
      <c r="E164" s="117" t="s">
        <v>386</v>
      </c>
      <c r="F164" s="200">
        <f>VLOOKUP($E164,'Analysis Inputs'!$D$14:$U$67,10,FALSE)</f>
        <v>65431.449481739066</v>
      </c>
      <c r="G164" s="203">
        <f>VLOOKUP($E164,'Analysis Inputs'!$D$14:$U$67,13,FALSE)</f>
        <v>0</v>
      </c>
      <c r="H164" s="203">
        <f>+G164*F49</f>
        <v>0</v>
      </c>
      <c r="I164" s="202">
        <f>VLOOKUP($E164,'Analysis Inputs'!$D$14:$U$67,14,FALSE)</f>
        <v>0</v>
      </c>
      <c r="J164" s="202">
        <f t="shared" si="30"/>
        <v>0</v>
      </c>
      <c r="K164" s="200">
        <f>VLOOKUP($E164,'Analysis Inputs'!$D$14:$U$67,15,FALSE)</f>
        <v>65431.449481739066</v>
      </c>
      <c r="L164" s="202">
        <f t="shared" si="29"/>
        <v>17553.494271346583</v>
      </c>
      <c r="M164" s="202">
        <f>VLOOKUP($E164,'Analysis Inputs'!$D$14:$U$67,16,FALSE)</f>
        <v>0</v>
      </c>
      <c r="N164" s="415">
        <f t="shared" si="19"/>
        <v>0</v>
      </c>
      <c r="O164" s="419" t="str">
        <f>VLOOKUP($E164,'Analysis Inputs'!$D$14:$U$67,17,FALSE)</f>
        <v>NA</v>
      </c>
      <c r="P164" s="674" t="s">
        <v>503</v>
      </c>
      <c r="Q164" s="419" t="str">
        <f>VLOOKUP($E164,'Analysis Inputs'!$D$14:$U$67,18,FALSE)</f>
        <v>NA</v>
      </c>
      <c r="R164" s="406" t="s">
        <v>503</v>
      </c>
      <c r="S164" s="405">
        <f t="shared" si="21"/>
        <v>17553.494271346583</v>
      </c>
    </row>
    <row r="165" spans="2:19" ht="12.75" customHeight="1" x14ac:dyDescent="0.25">
      <c r="B165" s="47">
        <f t="shared" si="20"/>
        <v>0</v>
      </c>
      <c r="C165" s="47">
        <f t="shared" si="25"/>
        <v>20</v>
      </c>
      <c r="D165">
        <f t="shared" si="26"/>
        <v>0</v>
      </c>
      <c r="E165" s="117" t="s">
        <v>272</v>
      </c>
      <c r="F165" s="200">
        <f>VLOOKUP($E165,'Analysis Inputs'!$D$14:$U$67,10,FALSE)</f>
        <v>0</v>
      </c>
      <c r="G165" s="203" t="str">
        <f>VLOOKUP($E165,'Analysis Inputs'!$D$14:$U$67,13,FALSE)</f>
        <v>NA</v>
      </c>
      <c r="H165" s="203" t="s">
        <v>503</v>
      </c>
      <c r="I165" s="202">
        <f>VLOOKUP($E165,'Analysis Inputs'!$D$14:$U$67,14,FALSE)</f>
        <v>0</v>
      </c>
      <c r="J165" s="202">
        <f t="shared" si="30"/>
        <v>0</v>
      </c>
      <c r="K165" s="200">
        <f>VLOOKUP($E165,'Analysis Inputs'!$D$14:$U$67,15,FALSE)</f>
        <v>0</v>
      </c>
      <c r="L165" s="202">
        <f t="shared" si="29"/>
        <v>0</v>
      </c>
      <c r="M165" s="202">
        <f>VLOOKUP($E165,'Analysis Inputs'!$D$14:$U$67,16,FALSE)</f>
        <v>0</v>
      </c>
      <c r="N165" s="415">
        <f t="shared" si="19"/>
        <v>0</v>
      </c>
      <c r="O165" s="419" t="str">
        <f>VLOOKUP($E165,'Analysis Inputs'!$D$14:$U$67,17,FALSE)</f>
        <v>NA</v>
      </c>
      <c r="P165" s="674" t="s">
        <v>503</v>
      </c>
      <c r="Q165" s="419" t="str">
        <f>VLOOKUP($E165,'Analysis Inputs'!$D$14:$U$67,18,FALSE)</f>
        <v>NA</v>
      </c>
      <c r="R165" s="406" t="s">
        <v>503</v>
      </c>
      <c r="S165" s="405">
        <f t="shared" si="21"/>
        <v>0</v>
      </c>
    </row>
    <row r="166" spans="2:19" ht="12.75" customHeight="1" x14ac:dyDescent="0.25">
      <c r="B166" s="47">
        <f t="shared" si="20"/>
        <v>0</v>
      </c>
      <c r="C166" s="47">
        <f t="shared" si="25"/>
        <v>20</v>
      </c>
      <c r="D166">
        <f t="shared" si="26"/>
        <v>0</v>
      </c>
      <c r="E166" s="117" t="s">
        <v>740</v>
      </c>
      <c r="F166" s="200">
        <f>VLOOKUP($E166,'Analysis Inputs'!$D$14:$U$67,10,FALSE)</f>
        <v>0</v>
      </c>
      <c r="G166" s="203">
        <f>VLOOKUP($E166,'Analysis Inputs'!$D$14:$U$67,13,FALSE)</f>
        <v>0</v>
      </c>
      <c r="H166" s="203">
        <f>+G166*F51</f>
        <v>0</v>
      </c>
      <c r="I166" s="202" t="str">
        <f>VLOOKUP($E166,'Analysis Inputs'!$D$14:$U$67,14,FALSE)</f>
        <v>NA</v>
      </c>
      <c r="J166" s="202" t="s">
        <v>503</v>
      </c>
      <c r="K166" s="200">
        <f>VLOOKUP($E166,'Analysis Inputs'!$D$14:$U$67,15,FALSE)</f>
        <v>0</v>
      </c>
      <c r="L166" s="202">
        <f t="shared" si="29"/>
        <v>0</v>
      </c>
      <c r="M166" s="202">
        <f>VLOOKUP($E166,'Analysis Inputs'!$D$14:$U$67,16,FALSE)</f>
        <v>0</v>
      </c>
      <c r="N166" s="415">
        <f t="shared" si="19"/>
        <v>0</v>
      </c>
      <c r="O166" s="419">
        <f>VLOOKUP($E166,'Analysis Inputs'!$D$14:$U$67,17,FALSE)</f>
        <v>0</v>
      </c>
      <c r="P166" s="674">
        <f>O166*J51</f>
        <v>0</v>
      </c>
      <c r="Q166" s="419">
        <f>VLOOKUP($E166,'Analysis Inputs'!$D$14:$U$67,18,FALSE)</f>
        <v>0</v>
      </c>
      <c r="R166" s="406">
        <f t="shared" si="28"/>
        <v>0</v>
      </c>
      <c r="S166" s="405">
        <f t="shared" si="21"/>
        <v>0</v>
      </c>
    </row>
    <row r="167" spans="2:19" ht="12.75" customHeight="1" x14ac:dyDescent="0.25">
      <c r="B167" s="47">
        <f t="shared" si="20"/>
        <v>0</v>
      </c>
      <c r="C167" s="47">
        <f t="shared" si="25"/>
        <v>20</v>
      </c>
      <c r="D167">
        <f t="shared" si="26"/>
        <v>0</v>
      </c>
      <c r="E167" s="117" t="s">
        <v>385</v>
      </c>
      <c r="F167" s="200">
        <f>VLOOKUP($E167,'Analysis Inputs'!$D$14:$U$67,10,FALSE)</f>
        <v>0</v>
      </c>
      <c r="G167" s="203" t="str">
        <f>VLOOKUP($E167,'Analysis Inputs'!$D$14:$U$67,13,FALSE)</f>
        <v>NA</v>
      </c>
      <c r="H167" s="203" t="s">
        <v>503</v>
      </c>
      <c r="I167" s="202" t="str">
        <f>VLOOKUP($E167,'Analysis Inputs'!$D$14:$U$67,14,FALSE)</f>
        <v>NA</v>
      </c>
      <c r="J167" s="202" t="s">
        <v>503</v>
      </c>
      <c r="K167" s="200">
        <f>VLOOKUP($E167,'Analysis Inputs'!$D$14:$U$67,15,FALSE)</f>
        <v>0</v>
      </c>
      <c r="L167" s="202">
        <f t="shared" si="29"/>
        <v>0</v>
      </c>
      <c r="M167" s="202">
        <f>VLOOKUP($E167,'Analysis Inputs'!$D$14:$U$67,16,FALSE)</f>
        <v>0</v>
      </c>
      <c r="N167" s="415">
        <f t="shared" si="19"/>
        <v>0</v>
      </c>
      <c r="O167" s="419">
        <f>VLOOKUP($E167,'Analysis Inputs'!$D$14:$U$67,17,FALSE)</f>
        <v>0</v>
      </c>
      <c r="P167" s="674">
        <f>O167*J52</f>
        <v>0</v>
      </c>
      <c r="Q167" s="419">
        <f>VLOOKUP($E167,'Analysis Inputs'!$D$14:$U$67,18,FALSE)</f>
        <v>0</v>
      </c>
      <c r="R167" s="406" t="str">
        <f t="shared" si="28"/>
        <v>NA</v>
      </c>
      <c r="S167" s="405">
        <f t="shared" si="21"/>
        <v>0</v>
      </c>
    </row>
    <row r="168" spans="2:19" ht="12.75" customHeight="1" x14ac:dyDescent="0.25">
      <c r="B168" s="47">
        <f t="shared" si="20"/>
        <v>1</v>
      </c>
      <c r="C168" s="47">
        <f t="shared" si="25"/>
        <v>21</v>
      </c>
      <c r="D168">
        <f t="shared" si="26"/>
        <v>21</v>
      </c>
      <c r="E168" s="117" t="s">
        <v>574</v>
      </c>
      <c r="F168" s="200">
        <f>VLOOKUP($E168,'Analysis Inputs'!$D$14:$U$67,10,FALSE)</f>
        <v>186408.24273021927</v>
      </c>
      <c r="G168" s="203" t="str">
        <f>VLOOKUP($E168,'Analysis Inputs'!$D$14:$U$67,13,FALSE)</f>
        <v>NA</v>
      </c>
      <c r="H168" s="203" t="s">
        <v>503</v>
      </c>
      <c r="I168" s="202" t="str">
        <f>VLOOKUP($E168,'Analysis Inputs'!$D$14:$U$67,14,FALSE)</f>
        <v>NA</v>
      </c>
      <c r="J168" s="202" t="s">
        <v>503</v>
      </c>
      <c r="K168" s="200">
        <f>VLOOKUP($E168,'Analysis Inputs'!$D$14:$U$67,15,FALSE)</f>
        <v>186408.24273021927</v>
      </c>
      <c r="L168" s="202">
        <f t="shared" si="29"/>
        <v>50008.307118580422</v>
      </c>
      <c r="M168" s="202">
        <f>VLOOKUP($E168,'Analysis Inputs'!$D$14:$U$67,16,FALSE)</f>
        <v>0</v>
      </c>
      <c r="N168" s="415">
        <f t="shared" si="19"/>
        <v>0</v>
      </c>
      <c r="O168" s="419" t="str">
        <f>VLOOKUP($E168,'Analysis Inputs'!$D$14:$U$67,17,FALSE)</f>
        <v>NA</v>
      </c>
      <c r="P168" s="674" t="s">
        <v>503</v>
      </c>
      <c r="Q168" s="419" t="str">
        <f>VLOOKUP($E168,'Analysis Inputs'!$D$14:$U$67,18,FALSE)</f>
        <v>NA</v>
      </c>
      <c r="R168" s="406" t="s">
        <v>503</v>
      </c>
      <c r="S168" s="405">
        <f t="shared" si="21"/>
        <v>50008.307118580422</v>
      </c>
    </row>
    <row r="169" spans="2:19" ht="12.75" customHeight="1" x14ac:dyDescent="0.25">
      <c r="B169" s="47">
        <f t="shared" si="20"/>
        <v>1</v>
      </c>
      <c r="C169" s="47">
        <f t="shared" si="25"/>
        <v>22</v>
      </c>
      <c r="D169">
        <f t="shared" si="26"/>
        <v>22</v>
      </c>
      <c r="E169" s="117" t="s">
        <v>573</v>
      </c>
      <c r="F169" s="200">
        <f>VLOOKUP($E169,'Analysis Inputs'!$D$14:$U$67,10,FALSE)</f>
        <v>17777.945134258178</v>
      </c>
      <c r="G169" s="203">
        <f>VLOOKUP($E169,'Analysis Inputs'!$D$14:$U$67,13,FALSE)</f>
        <v>0</v>
      </c>
      <c r="H169" s="203">
        <f>+G169*F54</f>
        <v>0</v>
      </c>
      <c r="I169" s="202">
        <f>VLOOKUP($E169,'Analysis Inputs'!$D$14:$U$67,14,FALSE)</f>
        <v>0</v>
      </c>
      <c r="J169" s="202">
        <f>+I169*G54</f>
        <v>0</v>
      </c>
      <c r="K169" s="200">
        <f>VLOOKUP($E169,'Analysis Inputs'!$D$14:$U$67,15,FALSE)</f>
        <v>17777.945134258178</v>
      </c>
      <c r="L169" s="202">
        <f t="shared" si="29"/>
        <v>4769.3434967783714</v>
      </c>
      <c r="M169" s="202">
        <f>VLOOKUP($E169,'Analysis Inputs'!$D$14:$U$67,16,FALSE)</f>
        <v>0</v>
      </c>
      <c r="N169" s="415">
        <f t="shared" si="19"/>
        <v>0</v>
      </c>
      <c r="O169" s="419" t="str">
        <f>VLOOKUP($E169,'Analysis Inputs'!$D$14:$U$67,17,FALSE)</f>
        <v>NA</v>
      </c>
      <c r="P169" s="674" t="s">
        <v>503</v>
      </c>
      <c r="Q169" s="419" t="str">
        <f>VLOOKUP($E169,'Analysis Inputs'!$D$14:$U$67,18,FALSE)</f>
        <v>NA</v>
      </c>
      <c r="R169" s="406" t="s">
        <v>503</v>
      </c>
      <c r="S169" s="405">
        <f t="shared" si="21"/>
        <v>4769.3434967783714</v>
      </c>
    </row>
    <row r="170" spans="2:19" ht="12.75" customHeight="1" x14ac:dyDescent="0.25">
      <c r="B170" s="47">
        <f t="shared" si="20"/>
        <v>1</v>
      </c>
      <c r="C170" s="47">
        <f t="shared" si="25"/>
        <v>23</v>
      </c>
      <c r="D170">
        <f t="shared" si="26"/>
        <v>23</v>
      </c>
      <c r="E170" s="117" t="s">
        <v>423</v>
      </c>
      <c r="F170" s="200">
        <f>VLOOKUP($E170,'Analysis Inputs'!$D$14:$U$67,10,FALSE)</f>
        <v>3566.6261698317612</v>
      </c>
      <c r="G170" s="203">
        <f>VLOOKUP($E170,'Analysis Inputs'!$D$14:$U$67,13,FALSE)</f>
        <v>0</v>
      </c>
      <c r="H170" s="203">
        <f>+G170*F55</f>
        <v>0</v>
      </c>
      <c r="I170" s="202">
        <f>VLOOKUP($E170,'Analysis Inputs'!$D$14:$U$67,14,FALSE)</f>
        <v>0</v>
      </c>
      <c r="J170" s="202">
        <f>+I170*G55</f>
        <v>0</v>
      </c>
      <c r="K170" s="200">
        <f>VLOOKUP($E170,'Analysis Inputs'!$D$14:$U$67,15,FALSE)</f>
        <v>3566.6261698317612</v>
      </c>
      <c r="L170" s="202">
        <f t="shared" si="29"/>
        <v>956.82966732456725</v>
      </c>
      <c r="M170" s="202">
        <f>VLOOKUP($E170,'Analysis Inputs'!$D$14:$U$67,16,FALSE)</f>
        <v>0</v>
      </c>
      <c r="N170" s="415">
        <f t="shared" si="19"/>
        <v>0</v>
      </c>
      <c r="O170" s="419" t="str">
        <f>VLOOKUP($E170,'Analysis Inputs'!$D$14:$U$67,17,FALSE)</f>
        <v>NA</v>
      </c>
      <c r="P170" s="674" t="s">
        <v>503</v>
      </c>
      <c r="Q170" s="419" t="str">
        <f>VLOOKUP($E170,'Analysis Inputs'!$D$14:$U$67,18,FALSE)</f>
        <v>NA</v>
      </c>
      <c r="R170" s="406" t="s">
        <v>503</v>
      </c>
      <c r="S170" s="405">
        <f t="shared" si="21"/>
        <v>956.82966732456725</v>
      </c>
    </row>
    <row r="171" spans="2:19" ht="12.75" customHeight="1" x14ac:dyDescent="0.25">
      <c r="B171" s="47">
        <f t="shared" si="20"/>
        <v>0</v>
      </c>
      <c r="C171" s="47">
        <f t="shared" si="25"/>
        <v>23</v>
      </c>
      <c r="D171">
        <f t="shared" si="26"/>
        <v>0</v>
      </c>
      <c r="E171" s="117" t="s">
        <v>455</v>
      </c>
      <c r="F171" s="200">
        <f>VLOOKUP($E171,'Analysis Inputs'!$D$14:$U$67,10,FALSE)</f>
        <v>0</v>
      </c>
      <c r="G171" s="203">
        <f>VLOOKUP($E171,'Analysis Inputs'!$D$14:$U$67,13,FALSE)</f>
        <v>0</v>
      </c>
      <c r="H171" s="203">
        <f>+G171*F56</f>
        <v>0</v>
      </c>
      <c r="I171" s="202" t="str">
        <f>VLOOKUP($E171,'Analysis Inputs'!$D$14:$U$67,14,FALSE)</f>
        <v>NA</v>
      </c>
      <c r="J171" s="202" t="s">
        <v>503</v>
      </c>
      <c r="K171" s="200">
        <f>VLOOKUP($E171,'Analysis Inputs'!$D$14:$U$67,15,FALSE)</f>
        <v>0</v>
      </c>
      <c r="L171" s="202">
        <f t="shared" si="29"/>
        <v>0</v>
      </c>
      <c r="M171" s="202" t="str">
        <f>VLOOKUP($E171,'Analysis Inputs'!$D$14:$U$67,16,FALSE)</f>
        <v>NA</v>
      </c>
      <c r="N171" s="415" t="s">
        <v>503</v>
      </c>
      <c r="O171" s="419" t="str">
        <f>VLOOKUP($E171,'Analysis Inputs'!$D$14:$U$67,17,FALSE)</f>
        <v>NA</v>
      </c>
      <c r="P171" s="674" t="s">
        <v>503</v>
      </c>
      <c r="Q171" s="419" t="str">
        <f>VLOOKUP($E171,'Analysis Inputs'!$D$14:$U$67,18,FALSE)</f>
        <v>NA</v>
      </c>
      <c r="R171" s="406" t="s">
        <v>503</v>
      </c>
      <c r="S171" s="405">
        <f>IF(R171="INPUT ERROR","INPUT ERROR",SUM(H171,J171,L171,N171,P171,R171))</f>
        <v>0</v>
      </c>
    </row>
    <row r="172" spans="2:19" ht="12.75" customHeight="1" x14ac:dyDescent="0.25">
      <c r="B172" s="47">
        <f t="shared" si="20"/>
        <v>0</v>
      </c>
      <c r="C172" s="47">
        <f t="shared" si="25"/>
        <v>23</v>
      </c>
      <c r="D172">
        <f t="shared" si="26"/>
        <v>0</v>
      </c>
      <c r="E172" s="117" t="s">
        <v>476</v>
      </c>
      <c r="F172" s="200">
        <f>VLOOKUP($E172,'Analysis Inputs'!$D$14:$U$67,10,FALSE)</f>
        <v>0</v>
      </c>
      <c r="G172" s="203" t="str">
        <f>VLOOKUP($E172,'Analysis Inputs'!$D$14:$U$67,13,FALSE)</f>
        <v>NA</v>
      </c>
      <c r="H172" s="203" t="s">
        <v>503</v>
      </c>
      <c r="I172" s="202">
        <f>VLOOKUP($E172,'Analysis Inputs'!$D$14:$U$67,14,FALSE)</f>
        <v>0</v>
      </c>
      <c r="J172" s="202">
        <f t="shared" ref="J172:J177" si="31">+I172*G57</f>
        <v>0</v>
      </c>
      <c r="K172" s="200">
        <f>VLOOKUP($E172,'Analysis Inputs'!$D$14:$U$67,15,FALSE)</f>
        <v>0</v>
      </c>
      <c r="L172" s="202">
        <f t="shared" si="29"/>
        <v>0</v>
      </c>
      <c r="M172" s="202" t="str">
        <f>VLOOKUP($E172,'Analysis Inputs'!$D$14:$U$67,16,FALSE)</f>
        <v>NA</v>
      </c>
      <c r="N172" s="415" t="s">
        <v>503</v>
      </c>
      <c r="O172" s="419" t="str">
        <f>VLOOKUP($E172,'Analysis Inputs'!$D$14:$U$67,17,FALSE)</f>
        <v>NA</v>
      </c>
      <c r="P172" s="674" t="s">
        <v>503</v>
      </c>
      <c r="Q172" s="419" t="str">
        <f>VLOOKUP($E172,'Analysis Inputs'!$D$14:$U$67,18,FALSE)</f>
        <v>NA</v>
      </c>
      <c r="R172" s="406" t="s">
        <v>503</v>
      </c>
      <c r="S172" s="405">
        <f t="shared" si="21"/>
        <v>0</v>
      </c>
    </row>
    <row r="173" spans="2:19" ht="12.75" customHeight="1" x14ac:dyDescent="0.25">
      <c r="B173" s="47">
        <f t="shared" si="20"/>
        <v>1</v>
      </c>
      <c r="C173" s="47">
        <f t="shared" si="25"/>
        <v>24</v>
      </c>
      <c r="D173">
        <f t="shared" si="26"/>
        <v>24</v>
      </c>
      <c r="E173" s="117" t="s">
        <v>131</v>
      </c>
      <c r="F173" s="200">
        <f>VLOOKUP($E173,'Analysis Inputs'!$D$14:$U$67,10,FALSE)</f>
        <v>48.934699796860542</v>
      </c>
      <c r="G173" s="203" t="str">
        <f>VLOOKUP($E173,'Analysis Inputs'!$D$14:$U$67,13,FALSE)</f>
        <v>NA</v>
      </c>
      <c r="H173" s="203" t="s">
        <v>503</v>
      </c>
      <c r="I173" s="202">
        <f>VLOOKUP($E173,'Analysis Inputs'!$D$14:$U$67,14,FALSE)</f>
        <v>0</v>
      </c>
      <c r="J173" s="202">
        <f t="shared" si="31"/>
        <v>0</v>
      </c>
      <c r="K173" s="200">
        <f>VLOOKUP($E173,'Analysis Inputs'!$D$14:$U$67,15,FALSE)</f>
        <v>48.934699796860542</v>
      </c>
      <c r="L173" s="202">
        <f t="shared" si="29"/>
        <v>13.127860980582177</v>
      </c>
      <c r="M173" s="202" t="str">
        <f>VLOOKUP($E173,'Analysis Inputs'!$D$14:$U$67,16,FALSE)</f>
        <v>NA</v>
      </c>
      <c r="N173" s="415" t="s">
        <v>503</v>
      </c>
      <c r="O173" s="419" t="str">
        <f>VLOOKUP($E173,'Analysis Inputs'!$D$14:$U$67,17,FALSE)</f>
        <v>NA</v>
      </c>
      <c r="P173" s="674" t="s">
        <v>503</v>
      </c>
      <c r="Q173" s="419" t="str">
        <f>VLOOKUP($E173,'Analysis Inputs'!$D$14:$U$67,18,FALSE)</f>
        <v>NA</v>
      </c>
      <c r="R173" s="406" t="s">
        <v>503</v>
      </c>
      <c r="S173" s="405">
        <f t="shared" si="21"/>
        <v>13.127860980582177</v>
      </c>
    </row>
    <row r="174" spans="2:19" ht="12.75" customHeight="1" x14ac:dyDescent="0.25">
      <c r="B174" s="47">
        <f t="shared" si="20"/>
        <v>1</v>
      </c>
      <c r="C174" s="47">
        <f t="shared" si="25"/>
        <v>25</v>
      </c>
      <c r="D174">
        <f t="shared" si="26"/>
        <v>25</v>
      </c>
      <c r="E174" s="117" t="s">
        <v>444</v>
      </c>
      <c r="F174" s="200">
        <f>VLOOKUP($E174,'Analysis Inputs'!$D$14:$U$67,10,FALSE)</f>
        <v>667.21647161788258</v>
      </c>
      <c r="G174" s="203">
        <f>VLOOKUP($E174,'Analysis Inputs'!$D$14:$U$67,13,FALSE)</f>
        <v>0</v>
      </c>
      <c r="H174" s="203">
        <f t="shared" ref="H174:H180" si="32">+G174*F59</f>
        <v>0</v>
      </c>
      <c r="I174" s="202">
        <f>VLOOKUP($E174,'Analysis Inputs'!$D$14:$U$67,14,FALSE)</f>
        <v>0</v>
      </c>
      <c r="J174" s="202">
        <f t="shared" si="31"/>
        <v>0</v>
      </c>
      <c r="K174" s="200">
        <f>VLOOKUP($E174,'Analysis Inputs'!$D$14:$U$67,15,FALSE)</f>
        <v>667.21647161788258</v>
      </c>
      <c r="L174" s="202">
        <f t="shared" si="29"/>
        <v>178.9961953320508</v>
      </c>
      <c r="M174" s="202">
        <f>VLOOKUP($E174,'Analysis Inputs'!$D$14:$U$67,16,FALSE)</f>
        <v>0</v>
      </c>
      <c r="N174" s="415">
        <f>+M174*I59</f>
        <v>0</v>
      </c>
      <c r="O174" s="419" t="str">
        <f>VLOOKUP($E174,'Analysis Inputs'!$D$14:$U$67,17,FALSE)</f>
        <v>NA</v>
      </c>
      <c r="P174" s="674" t="s">
        <v>503</v>
      </c>
      <c r="Q174" s="419" t="str">
        <f>VLOOKUP($E174,'Analysis Inputs'!$D$14:$U$67,18,FALSE)</f>
        <v>NA</v>
      </c>
      <c r="R174" s="406" t="s">
        <v>503</v>
      </c>
      <c r="S174" s="405">
        <f t="shared" si="21"/>
        <v>178.9961953320508</v>
      </c>
    </row>
    <row r="175" spans="2:19" ht="12.75" customHeight="1" x14ac:dyDescent="0.25">
      <c r="B175" s="47">
        <f t="shared" si="20"/>
        <v>0</v>
      </c>
      <c r="C175" s="47">
        <f t="shared" si="25"/>
        <v>25</v>
      </c>
      <c r="D175">
        <f t="shared" si="26"/>
        <v>0</v>
      </c>
      <c r="E175" s="117" t="s">
        <v>53</v>
      </c>
      <c r="F175" s="200">
        <f>VLOOKUP($E175,'Analysis Inputs'!$D$14:$U$67,10,FALSE)</f>
        <v>0</v>
      </c>
      <c r="G175" s="203">
        <f>VLOOKUP($E175,'Analysis Inputs'!$D$14:$U$67,13,FALSE)</f>
        <v>0</v>
      </c>
      <c r="H175" s="203">
        <f t="shared" si="32"/>
        <v>0</v>
      </c>
      <c r="I175" s="202">
        <f>VLOOKUP($E175,'Analysis Inputs'!$D$14:$U$67,14,FALSE)</f>
        <v>0</v>
      </c>
      <c r="J175" s="202">
        <f t="shared" si="31"/>
        <v>0</v>
      </c>
      <c r="K175" s="200">
        <f>VLOOKUP($E175,'Analysis Inputs'!$D$14:$U$67,15,FALSE)</f>
        <v>0</v>
      </c>
      <c r="L175" s="202">
        <f t="shared" si="29"/>
        <v>0</v>
      </c>
      <c r="M175" s="202" t="str">
        <f>VLOOKUP($E175,'Analysis Inputs'!$D$14:$U$67,16,FALSE)</f>
        <v>NA</v>
      </c>
      <c r="N175" s="415" t="s">
        <v>503</v>
      </c>
      <c r="O175" s="419" t="str">
        <f>VLOOKUP($E175,'Analysis Inputs'!$D$14:$U$67,17,FALSE)</f>
        <v>NA</v>
      </c>
      <c r="P175" s="674" t="s">
        <v>503</v>
      </c>
      <c r="Q175" s="419" t="str">
        <f>VLOOKUP($E175,'Analysis Inputs'!$D$14:$U$67,18,FALSE)</f>
        <v>NA</v>
      </c>
      <c r="R175" s="406" t="s">
        <v>503</v>
      </c>
      <c r="S175" s="405">
        <f t="shared" si="21"/>
        <v>0</v>
      </c>
    </row>
    <row r="176" spans="2:19" ht="12.75" customHeight="1" x14ac:dyDescent="0.25">
      <c r="B176" s="47">
        <f t="shared" si="20"/>
        <v>1</v>
      </c>
      <c r="C176" s="47">
        <f t="shared" si="25"/>
        <v>26</v>
      </c>
      <c r="D176">
        <f t="shared" si="26"/>
        <v>26</v>
      </c>
      <c r="E176" s="117" t="s">
        <v>54</v>
      </c>
      <c r="F176" s="200">
        <f>VLOOKUP($E176,'Analysis Inputs'!$D$14:$U$67,10,FALSE)</f>
        <v>3002.42668852621</v>
      </c>
      <c r="G176" s="203">
        <f>VLOOKUP($E176,'Analysis Inputs'!$D$14:$U$67,13,FALSE)</f>
        <v>0</v>
      </c>
      <c r="H176" s="203">
        <f t="shared" si="32"/>
        <v>0</v>
      </c>
      <c r="I176" s="202">
        <f>VLOOKUP($E176,'Analysis Inputs'!$D$14:$U$67,14,FALSE)</f>
        <v>0</v>
      </c>
      <c r="J176" s="202">
        <f t="shared" si="31"/>
        <v>0</v>
      </c>
      <c r="K176" s="200">
        <f>VLOOKUP($E176,'Analysis Inputs'!$D$14:$U$67,15,FALSE)</f>
        <v>3002.42668852621</v>
      </c>
      <c r="L176" s="202">
        <f t="shared" si="29"/>
        <v>805.47015379647905</v>
      </c>
      <c r="M176" s="202">
        <f>VLOOKUP($E176,'Analysis Inputs'!$D$14:$U$67,16,FALSE)</f>
        <v>0</v>
      </c>
      <c r="N176" s="415">
        <f>+M176*I61</f>
        <v>0</v>
      </c>
      <c r="O176" s="419" t="str">
        <f>VLOOKUP($E176,'Analysis Inputs'!$D$14:$U$67,17,FALSE)</f>
        <v>NA</v>
      </c>
      <c r="P176" s="674" t="s">
        <v>503</v>
      </c>
      <c r="Q176" s="419" t="str">
        <f>VLOOKUP($E176,'Analysis Inputs'!$D$14:$U$67,18,FALSE)</f>
        <v>NA</v>
      </c>
      <c r="R176" s="406" t="s">
        <v>503</v>
      </c>
      <c r="S176" s="405">
        <f t="shared" si="21"/>
        <v>805.47015379647905</v>
      </c>
    </row>
    <row r="177" spans="2:19" ht="12.75" customHeight="1" x14ac:dyDescent="0.25">
      <c r="B177" s="47">
        <f t="shared" si="20"/>
        <v>1</v>
      </c>
      <c r="C177" s="47">
        <f t="shared" si="25"/>
        <v>27</v>
      </c>
      <c r="D177">
        <f t="shared" si="26"/>
        <v>27</v>
      </c>
      <c r="E177" s="117" t="s">
        <v>55</v>
      </c>
      <c r="F177" s="200">
        <f>VLOOKUP($E177,'Analysis Inputs'!$D$14:$U$67,10,FALSE)</f>
        <v>14797.404669376238</v>
      </c>
      <c r="G177" s="203">
        <f>VLOOKUP($E177,'Analysis Inputs'!$D$14:$U$67,13,FALSE)</f>
        <v>0</v>
      </c>
      <c r="H177" s="203">
        <f t="shared" si="32"/>
        <v>0</v>
      </c>
      <c r="I177" s="202">
        <f>VLOOKUP($E177,'Analysis Inputs'!$D$14:$U$67,14,FALSE)</f>
        <v>0</v>
      </c>
      <c r="J177" s="202">
        <f t="shared" si="31"/>
        <v>0</v>
      </c>
      <c r="K177" s="200">
        <f>VLOOKUP($E177,'Analysis Inputs'!$D$14:$U$67,15,FALSE)</f>
        <v>14797.404669376238</v>
      </c>
      <c r="L177" s="202">
        <f t="shared" si="29"/>
        <v>3969.7448268692901</v>
      </c>
      <c r="M177" s="202" t="str">
        <f>VLOOKUP($E177,'Analysis Inputs'!$D$14:$U$67,16,FALSE)</f>
        <v>NA</v>
      </c>
      <c r="N177" s="415" t="s">
        <v>503</v>
      </c>
      <c r="O177" s="419" t="str">
        <f>VLOOKUP($E177,'Analysis Inputs'!$D$14:$U$67,17,FALSE)</f>
        <v>NA</v>
      </c>
      <c r="P177" s="674" t="s">
        <v>503</v>
      </c>
      <c r="Q177" s="419" t="str">
        <f>VLOOKUP($E177,'Analysis Inputs'!$D$14:$U$67,18,FALSE)</f>
        <v>NA</v>
      </c>
      <c r="R177" s="406" t="s">
        <v>503</v>
      </c>
      <c r="S177" s="405">
        <f t="shared" si="21"/>
        <v>3969.7448268692901</v>
      </c>
    </row>
    <row r="178" spans="2:19" ht="12.75" customHeight="1" x14ac:dyDescent="0.25">
      <c r="B178" s="47">
        <f t="shared" si="20"/>
        <v>0</v>
      </c>
      <c r="C178" s="47">
        <f t="shared" si="25"/>
        <v>27</v>
      </c>
      <c r="D178">
        <f t="shared" si="26"/>
        <v>0</v>
      </c>
      <c r="E178" s="117" t="s">
        <v>56</v>
      </c>
      <c r="F178" s="200">
        <f>VLOOKUP($E178,'Analysis Inputs'!$D$14:$U$67,10,FALSE)</f>
        <v>0</v>
      </c>
      <c r="G178" s="203">
        <f>VLOOKUP($E178,'Analysis Inputs'!$D$14:$U$67,13,FALSE)</f>
        <v>0</v>
      </c>
      <c r="H178" s="203">
        <f t="shared" si="32"/>
        <v>0</v>
      </c>
      <c r="I178" s="202" t="str">
        <f>VLOOKUP($E178,'Analysis Inputs'!$D$14:$U$67,14,FALSE)</f>
        <v>NA</v>
      </c>
      <c r="J178" s="202" t="s">
        <v>503</v>
      </c>
      <c r="K178" s="200">
        <f>VLOOKUP($E178,'Analysis Inputs'!$D$14:$U$67,15,FALSE)</f>
        <v>0</v>
      </c>
      <c r="L178" s="202">
        <f t="shared" si="29"/>
        <v>0</v>
      </c>
      <c r="M178" s="202" t="str">
        <f>VLOOKUP($E178,'Analysis Inputs'!$D$14:$U$67,16,FALSE)</f>
        <v>NA</v>
      </c>
      <c r="N178" s="415" t="s">
        <v>503</v>
      </c>
      <c r="O178" s="419" t="str">
        <f>VLOOKUP($E178,'Analysis Inputs'!$D$14:$U$67,17,FALSE)</f>
        <v>NA</v>
      </c>
      <c r="P178" s="674" t="s">
        <v>503</v>
      </c>
      <c r="Q178" s="419" t="str">
        <f>VLOOKUP($E178,'Analysis Inputs'!$D$14:$U$67,18,FALSE)</f>
        <v>NA</v>
      </c>
      <c r="R178" s="406" t="s">
        <v>503</v>
      </c>
      <c r="S178" s="405">
        <f t="shared" si="21"/>
        <v>0</v>
      </c>
    </row>
    <row r="179" spans="2:19" ht="12.75" customHeight="1" x14ac:dyDescent="0.25">
      <c r="B179" s="47">
        <f t="shared" si="20"/>
        <v>0</v>
      </c>
      <c r="C179" s="47">
        <f t="shared" si="25"/>
        <v>27</v>
      </c>
      <c r="D179">
        <f t="shared" si="26"/>
        <v>0</v>
      </c>
      <c r="E179" s="117" t="s">
        <v>57</v>
      </c>
      <c r="F179" s="200">
        <f>VLOOKUP($E179,'Analysis Inputs'!$D$14:$U$67,10,FALSE)</f>
        <v>0</v>
      </c>
      <c r="G179" s="203">
        <f>VLOOKUP($E179,'Analysis Inputs'!$D$14:$U$67,13,FALSE)</f>
        <v>0</v>
      </c>
      <c r="H179" s="203">
        <f t="shared" si="32"/>
        <v>0</v>
      </c>
      <c r="I179" s="202" t="str">
        <f>VLOOKUP($E179,'Analysis Inputs'!$D$14:$U$67,14,FALSE)</f>
        <v>NA</v>
      </c>
      <c r="J179" s="202" t="s">
        <v>503</v>
      </c>
      <c r="K179" s="200">
        <f>VLOOKUP($E179,'Analysis Inputs'!$D$14:$U$67,15,FALSE)</f>
        <v>0</v>
      </c>
      <c r="L179" s="202">
        <f t="shared" si="29"/>
        <v>0</v>
      </c>
      <c r="M179" s="202">
        <f>VLOOKUP($E179,'Analysis Inputs'!$D$14:$U$67,16,FALSE)</f>
        <v>0</v>
      </c>
      <c r="N179" s="415">
        <f>+M179*I64</f>
        <v>0</v>
      </c>
      <c r="O179" s="419" t="str">
        <f>VLOOKUP($E179,'Analysis Inputs'!$D$14:$U$67,17,FALSE)</f>
        <v>NA</v>
      </c>
      <c r="P179" s="674" t="s">
        <v>503</v>
      </c>
      <c r="Q179" s="419" t="str">
        <f>VLOOKUP($E179,'Analysis Inputs'!$D$14:$U$67,18,FALSE)</f>
        <v>NA</v>
      </c>
      <c r="R179" s="406" t="s">
        <v>503</v>
      </c>
      <c r="S179" s="405">
        <f t="shared" si="21"/>
        <v>0</v>
      </c>
    </row>
    <row r="180" spans="2:19" ht="12.75" customHeight="1" x14ac:dyDescent="0.25">
      <c r="B180" s="47">
        <f t="shared" si="20"/>
        <v>0</v>
      </c>
      <c r="C180" s="47">
        <f t="shared" si="25"/>
        <v>27</v>
      </c>
      <c r="D180">
        <f t="shared" si="26"/>
        <v>0</v>
      </c>
      <c r="E180" s="356" t="s">
        <v>58</v>
      </c>
      <c r="F180" s="200">
        <f>VLOOKUP($E180,'Analysis Inputs'!$D$14:$U$67,10,FALSE)</f>
        <v>0</v>
      </c>
      <c r="G180" s="203">
        <f>VLOOKUP($E180,'Analysis Inputs'!$D$14:$U$67,13,FALSE)</f>
        <v>0</v>
      </c>
      <c r="H180" s="203">
        <f t="shared" si="32"/>
        <v>0</v>
      </c>
      <c r="I180" s="202" t="str">
        <f>VLOOKUP($E180,'Analysis Inputs'!$D$14:$U$67,14,FALSE)</f>
        <v>NA</v>
      </c>
      <c r="J180" s="202" t="s">
        <v>503</v>
      </c>
      <c r="K180" s="200">
        <f>VLOOKUP($E180,'Analysis Inputs'!$D$14:$U$67,15,FALSE)</f>
        <v>0</v>
      </c>
      <c r="L180" s="200">
        <f t="shared" si="29"/>
        <v>0</v>
      </c>
      <c r="M180" s="202">
        <f>VLOOKUP($E180,'Analysis Inputs'!$D$14:$U$67,16,FALSE)</f>
        <v>0</v>
      </c>
      <c r="N180" s="415">
        <f>+M180*I65</f>
        <v>0</v>
      </c>
      <c r="O180" s="420" t="str">
        <f>VLOOKUP($E180,'Analysis Inputs'!$D$14:$U$67,17,FALSE)</f>
        <v>NA</v>
      </c>
      <c r="P180" s="674" t="s">
        <v>503</v>
      </c>
      <c r="Q180" s="420" t="str">
        <f>VLOOKUP($E180,'Analysis Inputs'!$D$14:$U$67,18,FALSE)</f>
        <v>NA</v>
      </c>
      <c r="R180" s="406" t="s">
        <v>503</v>
      </c>
      <c r="S180" s="405">
        <f t="shared" si="21"/>
        <v>0</v>
      </c>
    </row>
    <row r="181" spans="2:19" ht="13" thickBot="1" x14ac:dyDescent="0.3">
      <c r="E181" s="13" t="s">
        <v>526</v>
      </c>
      <c r="F181" s="204">
        <f t="shared" ref="F181:Q181" si="33">SUM(F127:F180)</f>
        <v>842952.9413789165</v>
      </c>
      <c r="G181" s="204">
        <f t="shared" si="33"/>
        <v>0</v>
      </c>
      <c r="H181" s="204">
        <f t="shared" si="33"/>
        <v>0</v>
      </c>
      <c r="I181" s="204">
        <f t="shared" si="33"/>
        <v>0</v>
      </c>
      <c r="J181" s="204">
        <f t="shared" si="33"/>
        <v>0</v>
      </c>
      <c r="K181" s="204">
        <f t="shared" si="33"/>
        <v>842952.9413789165</v>
      </c>
      <c r="L181" s="204">
        <f t="shared" si="33"/>
        <v>226141.5534075723</v>
      </c>
      <c r="M181" s="204">
        <f t="shared" si="33"/>
        <v>0</v>
      </c>
      <c r="N181" s="204">
        <f t="shared" si="33"/>
        <v>0</v>
      </c>
      <c r="O181" s="417">
        <f t="shared" si="33"/>
        <v>0</v>
      </c>
      <c r="P181" s="204">
        <f t="shared" si="33"/>
        <v>0</v>
      </c>
      <c r="Q181" s="204">
        <f t="shared" si="33"/>
        <v>0</v>
      </c>
      <c r="R181" s="204">
        <f>IF(AND('Analysis Inputs'!$N$150=3,SUM(Q156:Q159,Q167)&lt;&gt;0),"INPUT ERROR",SUM(R127:R180))</f>
        <v>0</v>
      </c>
      <c r="S181" s="409">
        <f>IF(AND('Analysis Inputs'!$N$150=3,SUM(Q156:Q159,Q167)&lt;&gt;0),"INPUT ERROR: Please select dry digestion",SUM(S127:S180))</f>
        <v>226141.5534075723</v>
      </c>
    </row>
    <row r="183" spans="2:19" ht="13.5" thickBot="1" x14ac:dyDescent="0.35">
      <c r="E183" s="30" t="s">
        <v>792</v>
      </c>
      <c r="F183" s="2"/>
      <c r="G183" s="2"/>
      <c r="H183" s="2"/>
      <c r="I183" s="2"/>
      <c r="J183" s="2"/>
      <c r="K183" s="2"/>
      <c r="L183" s="2"/>
      <c r="M183" s="2"/>
      <c r="N183" s="2"/>
      <c r="O183" s="2"/>
      <c r="P183" s="2"/>
      <c r="Q183" s="1"/>
    </row>
    <row r="184" spans="2:19" ht="43" x14ac:dyDescent="0.25">
      <c r="E184" s="58" t="s">
        <v>496</v>
      </c>
      <c r="F184" s="60" t="s">
        <v>529</v>
      </c>
      <c r="G184" s="61" t="s">
        <v>504</v>
      </c>
      <c r="H184" s="60" t="s">
        <v>531</v>
      </c>
      <c r="I184" s="61" t="s">
        <v>505</v>
      </c>
      <c r="J184" s="61" t="s">
        <v>533</v>
      </c>
      <c r="K184" s="61" t="s">
        <v>506</v>
      </c>
      <c r="L184" s="61" t="s">
        <v>535</v>
      </c>
      <c r="M184" s="61" t="s">
        <v>507</v>
      </c>
      <c r="N184" s="60" t="s">
        <v>537</v>
      </c>
      <c r="O184" s="61" t="s">
        <v>508</v>
      </c>
      <c r="P184" s="60" t="s">
        <v>772</v>
      </c>
      <c r="Q184" s="61" t="s">
        <v>773</v>
      </c>
      <c r="R184" s="62" t="s">
        <v>853</v>
      </c>
      <c r="S184" s="89"/>
    </row>
    <row r="185" spans="2:19" ht="12.75" customHeight="1" x14ac:dyDescent="0.25">
      <c r="E185" s="7" t="s">
        <v>515</v>
      </c>
      <c r="F185" s="201">
        <f t="shared" ref="F185:G204" si="34">+G127</f>
        <v>0</v>
      </c>
      <c r="G185" s="201">
        <f t="shared" si="34"/>
        <v>0</v>
      </c>
      <c r="H185" s="200">
        <f t="shared" ref="H185:M190" si="35">+I127-G69</f>
        <v>0</v>
      </c>
      <c r="I185" s="200">
        <f t="shared" si="35"/>
        <v>0</v>
      </c>
      <c r="J185" s="200">
        <f t="shared" si="35"/>
        <v>0</v>
      </c>
      <c r="K185" s="200">
        <f t="shared" si="35"/>
        <v>0</v>
      </c>
      <c r="L185" s="200">
        <f t="shared" si="35"/>
        <v>0</v>
      </c>
      <c r="M185" s="200">
        <f t="shared" si="35"/>
        <v>0</v>
      </c>
      <c r="N185" s="202" t="s">
        <v>503</v>
      </c>
      <c r="O185" s="202" t="s">
        <v>503</v>
      </c>
      <c r="P185" s="202" t="s">
        <v>503</v>
      </c>
      <c r="Q185" s="202" t="s">
        <v>503</v>
      </c>
      <c r="R185" s="407">
        <f>IF(ROUND(SUM(F185,H185,J185,L185,N185,P185),8)&lt;&gt;0,"INPUT ERROR: Make sure tons managed equals tons generated",IF(Q185="INPUT ERROR", "INPUT ERROR:  Please select dry digestions",SUM(G185,I185,K185,M185,O185,Q185)))</f>
        <v>0</v>
      </c>
    </row>
    <row r="186" spans="2:19" ht="12.75" customHeight="1" x14ac:dyDescent="0.25">
      <c r="E186" s="7" t="s">
        <v>84</v>
      </c>
      <c r="F186" s="201">
        <f t="shared" si="34"/>
        <v>0</v>
      </c>
      <c r="G186" s="203">
        <f t="shared" si="34"/>
        <v>0</v>
      </c>
      <c r="H186" s="200">
        <f t="shared" si="35"/>
        <v>0</v>
      </c>
      <c r="I186" s="200">
        <f t="shared" si="35"/>
        <v>0</v>
      </c>
      <c r="J186" s="200">
        <f t="shared" si="35"/>
        <v>0</v>
      </c>
      <c r="K186" s="200">
        <f t="shared" si="35"/>
        <v>0</v>
      </c>
      <c r="L186" s="200">
        <f t="shared" si="35"/>
        <v>0</v>
      </c>
      <c r="M186" s="200">
        <f t="shared" si="35"/>
        <v>0</v>
      </c>
      <c r="N186" s="202" t="s">
        <v>503</v>
      </c>
      <c r="O186" s="202" t="s">
        <v>503</v>
      </c>
      <c r="P186" s="202" t="s">
        <v>503</v>
      </c>
      <c r="Q186" s="202" t="s">
        <v>503</v>
      </c>
      <c r="R186" s="407">
        <f t="shared" ref="R186:R238" si="36">IF(ROUND(SUM(F186,H186,J186,L186,N186,P186),8)&lt;&gt;0,"INPUT ERROR: Make sure tons managed equals tons generated",IF(Q186="INPUT ERROR", "INPUT ERROR:  Please select dry digestions",SUM(G186,I186,K186,M186,O186,Q186)))</f>
        <v>0</v>
      </c>
    </row>
    <row r="187" spans="2:19" ht="12.75" customHeight="1" x14ac:dyDescent="0.25">
      <c r="E187" s="7" t="s">
        <v>516</v>
      </c>
      <c r="F187" s="201">
        <f t="shared" si="34"/>
        <v>0</v>
      </c>
      <c r="G187" s="201">
        <f t="shared" si="34"/>
        <v>0</v>
      </c>
      <c r="H187" s="200">
        <f t="shared" si="35"/>
        <v>0</v>
      </c>
      <c r="I187" s="200">
        <f t="shared" si="35"/>
        <v>0</v>
      </c>
      <c r="J187" s="200">
        <f t="shared" si="35"/>
        <v>0</v>
      </c>
      <c r="K187" s="200">
        <f t="shared" si="35"/>
        <v>0</v>
      </c>
      <c r="L187" s="200">
        <f t="shared" si="35"/>
        <v>0</v>
      </c>
      <c r="M187" s="200">
        <f t="shared" si="35"/>
        <v>0</v>
      </c>
      <c r="N187" s="202" t="s">
        <v>503</v>
      </c>
      <c r="O187" s="202" t="s">
        <v>503</v>
      </c>
      <c r="P187" s="202" t="s">
        <v>503</v>
      </c>
      <c r="Q187" s="202" t="s">
        <v>503</v>
      </c>
      <c r="R187" s="407">
        <f t="shared" si="36"/>
        <v>0</v>
      </c>
    </row>
    <row r="188" spans="2:19" ht="12.75" customHeight="1" x14ac:dyDescent="0.25">
      <c r="E188" s="7" t="s">
        <v>438</v>
      </c>
      <c r="F188" s="201">
        <f t="shared" si="34"/>
        <v>0</v>
      </c>
      <c r="G188" s="201">
        <f t="shared" si="34"/>
        <v>0</v>
      </c>
      <c r="H188" s="200">
        <f t="shared" si="35"/>
        <v>0</v>
      </c>
      <c r="I188" s="200">
        <f t="shared" si="35"/>
        <v>0</v>
      </c>
      <c r="J188" s="200">
        <f t="shared" si="35"/>
        <v>0</v>
      </c>
      <c r="K188" s="200">
        <f t="shared" si="35"/>
        <v>0</v>
      </c>
      <c r="L188" s="200">
        <f t="shared" si="35"/>
        <v>0</v>
      </c>
      <c r="M188" s="200">
        <f t="shared" si="35"/>
        <v>0</v>
      </c>
      <c r="N188" s="202" t="s">
        <v>503</v>
      </c>
      <c r="O188" s="202" t="s">
        <v>503</v>
      </c>
      <c r="P188" s="202" t="s">
        <v>503</v>
      </c>
      <c r="Q188" s="202" t="s">
        <v>503</v>
      </c>
      <c r="R188" s="407">
        <f t="shared" si="36"/>
        <v>0</v>
      </c>
    </row>
    <row r="189" spans="2:19" ht="12.75" customHeight="1" x14ac:dyDescent="0.25">
      <c r="E189" s="7" t="s">
        <v>517</v>
      </c>
      <c r="F189" s="201">
        <f t="shared" si="34"/>
        <v>0</v>
      </c>
      <c r="G189" s="201">
        <f t="shared" si="34"/>
        <v>0</v>
      </c>
      <c r="H189" s="200">
        <f t="shared" si="35"/>
        <v>0</v>
      </c>
      <c r="I189" s="200">
        <f t="shared" si="35"/>
        <v>0</v>
      </c>
      <c r="J189" s="200">
        <f t="shared" si="35"/>
        <v>0</v>
      </c>
      <c r="K189" s="200">
        <f t="shared" si="35"/>
        <v>0</v>
      </c>
      <c r="L189" s="200">
        <f t="shared" si="35"/>
        <v>0</v>
      </c>
      <c r="M189" s="200">
        <f t="shared" si="35"/>
        <v>0</v>
      </c>
      <c r="N189" s="202" t="s">
        <v>503</v>
      </c>
      <c r="O189" s="202" t="s">
        <v>503</v>
      </c>
      <c r="P189" s="202" t="s">
        <v>503</v>
      </c>
      <c r="Q189" s="202" t="s">
        <v>503</v>
      </c>
      <c r="R189" s="407">
        <f t="shared" si="36"/>
        <v>0</v>
      </c>
    </row>
    <row r="190" spans="2:19" ht="12.75" customHeight="1" x14ac:dyDescent="0.25">
      <c r="E190" s="7" t="s">
        <v>518</v>
      </c>
      <c r="F190" s="201">
        <f t="shared" si="34"/>
        <v>0</v>
      </c>
      <c r="G190" s="201">
        <f t="shared" si="34"/>
        <v>0</v>
      </c>
      <c r="H190" s="200">
        <f t="shared" si="35"/>
        <v>0</v>
      </c>
      <c r="I190" s="200">
        <f t="shared" si="35"/>
        <v>0</v>
      </c>
      <c r="J190" s="200">
        <f t="shared" si="35"/>
        <v>0</v>
      </c>
      <c r="K190" s="200">
        <f t="shared" si="35"/>
        <v>0</v>
      </c>
      <c r="L190" s="200">
        <f t="shared" si="35"/>
        <v>0</v>
      </c>
      <c r="M190" s="200">
        <f t="shared" si="35"/>
        <v>0</v>
      </c>
      <c r="N190" s="202" t="s">
        <v>503</v>
      </c>
      <c r="O190" s="202" t="s">
        <v>503</v>
      </c>
      <c r="P190" s="202" t="s">
        <v>503</v>
      </c>
      <c r="Q190" s="202" t="s">
        <v>503</v>
      </c>
      <c r="R190" s="407">
        <f t="shared" si="36"/>
        <v>0</v>
      </c>
    </row>
    <row r="191" spans="2:19" ht="12.75" customHeight="1" x14ac:dyDescent="0.25">
      <c r="E191" s="7" t="s">
        <v>519</v>
      </c>
      <c r="F191" s="201">
        <f t="shared" si="34"/>
        <v>0</v>
      </c>
      <c r="G191" s="201">
        <f t="shared" si="34"/>
        <v>0</v>
      </c>
      <c r="H191" s="202" t="s">
        <v>503</v>
      </c>
      <c r="I191" s="202" t="s">
        <v>503</v>
      </c>
      <c r="J191" s="200">
        <f t="shared" ref="J191:M210" si="37">+K133-I75</f>
        <v>0</v>
      </c>
      <c r="K191" s="200">
        <f t="shared" si="37"/>
        <v>0</v>
      </c>
      <c r="L191" s="200">
        <f t="shared" si="37"/>
        <v>0</v>
      </c>
      <c r="M191" s="200">
        <f t="shared" si="37"/>
        <v>0</v>
      </c>
      <c r="N191" s="202" t="s">
        <v>503</v>
      </c>
      <c r="O191" s="202" t="s">
        <v>503</v>
      </c>
      <c r="P191" s="202" t="s">
        <v>503</v>
      </c>
      <c r="Q191" s="202" t="s">
        <v>503</v>
      </c>
      <c r="R191" s="407">
        <f t="shared" si="36"/>
        <v>0</v>
      </c>
    </row>
    <row r="192" spans="2:19" ht="12.75" customHeight="1" x14ac:dyDescent="0.25">
      <c r="E192" s="7" t="s">
        <v>520</v>
      </c>
      <c r="F192" s="201">
        <f t="shared" si="34"/>
        <v>0</v>
      </c>
      <c r="G192" s="201">
        <f t="shared" si="34"/>
        <v>0</v>
      </c>
      <c r="H192" s="200">
        <f>+I134-G76</f>
        <v>0</v>
      </c>
      <c r="I192" s="200">
        <f>+J134-H76</f>
        <v>0</v>
      </c>
      <c r="J192" s="200">
        <f t="shared" si="37"/>
        <v>0</v>
      </c>
      <c r="K192" s="200">
        <f t="shared" si="37"/>
        <v>0</v>
      </c>
      <c r="L192" s="200">
        <f t="shared" si="37"/>
        <v>0</v>
      </c>
      <c r="M192" s="200">
        <f t="shared" si="37"/>
        <v>0</v>
      </c>
      <c r="N192" s="202" t="s">
        <v>503</v>
      </c>
      <c r="O192" s="202" t="s">
        <v>503</v>
      </c>
      <c r="P192" s="202" t="s">
        <v>503</v>
      </c>
      <c r="Q192" s="202" t="s">
        <v>503</v>
      </c>
      <c r="R192" s="407">
        <f t="shared" si="36"/>
        <v>0</v>
      </c>
    </row>
    <row r="193" spans="5:19" ht="12.75" customHeight="1" x14ac:dyDescent="0.25">
      <c r="E193" s="7" t="s">
        <v>86</v>
      </c>
      <c r="F193" s="201">
        <f t="shared" si="34"/>
        <v>0</v>
      </c>
      <c r="G193" s="201">
        <f t="shared" si="34"/>
        <v>0</v>
      </c>
      <c r="H193" s="202" t="s">
        <v>503</v>
      </c>
      <c r="I193" s="202" t="s">
        <v>503</v>
      </c>
      <c r="J193" s="200">
        <f t="shared" si="37"/>
        <v>0</v>
      </c>
      <c r="K193" s="200">
        <f t="shared" si="37"/>
        <v>0</v>
      </c>
      <c r="L193" s="200">
        <f t="shared" si="37"/>
        <v>0</v>
      </c>
      <c r="M193" s="200">
        <f t="shared" si="37"/>
        <v>0</v>
      </c>
      <c r="N193" s="202" t="s">
        <v>503</v>
      </c>
      <c r="O193" s="202" t="s">
        <v>503</v>
      </c>
      <c r="P193" s="202" t="s">
        <v>503</v>
      </c>
      <c r="Q193" s="202" t="s">
        <v>503</v>
      </c>
      <c r="R193" s="407">
        <f t="shared" si="36"/>
        <v>0</v>
      </c>
    </row>
    <row r="194" spans="5:19" ht="12.75" customHeight="1" x14ac:dyDescent="0.25">
      <c r="E194" s="7" t="s">
        <v>87</v>
      </c>
      <c r="F194" s="201">
        <f t="shared" si="34"/>
        <v>0</v>
      </c>
      <c r="G194" s="201">
        <f t="shared" si="34"/>
        <v>0</v>
      </c>
      <c r="H194" s="202" t="s">
        <v>503</v>
      </c>
      <c r="I194" s="202" t="s">
        <v>503</v>
      </c>
      <c r="J194" s="200">
        <f t="shared" si="37"/>
        <v>0</v>
      </c>
      <c r="K194" s="200">
        <f t="shared" si="37"/>
        <v>0</v>
      </c>
      <c r="L194" s="200">
        <f t="shared" si="37"/>
        <v>0</v>
      </c>
      <c r="M194" s="200">
        <f t="shared" si="37"/>
        <v>0</v>
      </c>
      <c r="N194" s="202" t="s">
        <v>503</v>
      </c>
      <c r="O194" s="202" t="s">
        <v>503</v>
      </c>
      <c r="P194" s="202" t="s">
        <v>503</v>
      </c>
      <c r="Q194" s="202" t="s">
        <v>503</v>
      </c>
      <c r="R194" s="407">
        <f t="shared" si="36"/>
        <v>0</v>
      </c>
    </row>
    <row r="195" spans="5:19" ht="12.75" customHeight="1" x14ac:dyDescent="0.25">
      <c r="E195" s="7" t="s">
        <v>88</v>
      </c>
      <c r="F195" s="201">
        <f t="shared" si="34"/>
        <v>0</v>
      </c>
      <c r="G195" s="201">
        <f t="shared" si="34"/>
        <v>0</v>
      </c>
      <c r="H195" s="202" t="s">
        <v>503</v>
      </c>
      <c r="I195" s="202" t="s">
        <v>503</v>
      </c>
      <c r="J195" s="200">
        <f t="shared" si="37"/>
        <v>0</v>
      </c>
      <c r="K195" s="200">
        <f t="shared" si="37"/>
        <v>0</v>
      </c>
      <c r="L195" s="200">
        <f t="shared" si="37"/>
        <v>0</v>
      </c>
      <c r="M195" s="200">
        <f t="shared" si="37"/>
        <v>0</v>
      </c>
      <c r="N195" s="202" t="s">
        <v>503</v>
      </c>
      <c r="O195" s="202" t="s">
        <v>503</v>
      </c>
      <c r="P195" s="202" t="s">
        <v>503</v>
      </c>
      <c r="Q195" s="202" t="s">
        <v>503</v>
      </c>
      <c r="R195" s="407">
        <f t="shared" si="36"/>
        <v>0</v>
      </c>
    </row>
    <row r="196" spans="5:19" ht="12.75" customHeight="1" x14ac:dyDescent="0.25">
      <c r="E196" s="7" t="s">
        <v>89</v>
      </c>
      <c r="F196" s="201">
        <f t="shared" si="34"/>
        <v>0</v>
      </c>
      <c r="G196" s="201">
        <f t="shared" si="34"/>
        <v>0</v>
      </c>
      <c r="H196" s="202" t="s">
        <v>503</v>
      </c>
      <c r="I196" s="202" t="s">
        <v>503</v>
      </c>
      <c r="J196" s="200">
        <f t="shared" si="37"/>
        <v>0</v>
      </c>
      <c r="K196" s="200">
        <f t="shared" si="37"/>
        <v>0</v>
      </c>
      <c r="L196" s="200">
        <f t="shared" si="37"/>
        <v>0</v>
      </c>
      <c r="M196" s="200">
        <f t="shared" si="37"/>
        <v>0</v>
      </c>
      <c r="N196" s="202" t="s">
        <v>503</v>
      </c>
      <c r="O196" s="202" t="s">
        <v>503</v>
      </c>
      <c r="P196" s="202" t="s">
        <v>503</v>
      </c>
      <c r="Q196" s="202" t="s">
        <v>503</v>
      </c>
      <c r="R196" s="407">
        <f t="shared" si="36"/>
        <v>0</v>
      </c>
    </row>
    <row r="197" spans="5:19" ht="12.75" customHeight="1" x14ac:dyDescent="0.25">
      <c r="E197" s="7" t="s">
        <v>85</v>
      </c>
      <c r="F197" s="203">
        <f t="shared" si="34"/>
        <v>0</v>
      </c>
      <c r="G197" s="203">
        <f t="shared" si="34"/>
        <v>0</v>
      </c>
      <c r="H197" s="202" t="s">
        <v>503</v>
      </c>
      <c r="I197" s="202" t="s">
        <v>503</v>
      </c>
      <c r="J197" s="200">
        <f t="shared" si="37"/>
        <v>0</v>
      </c>
      <c r="K197" s="200">
        <f t="shared" si="37"/>
        <v>0</v>
      </c>
      <c r="L197" s="200">
        <f t="shared" si="37"/>
        <v>0</v>
      </c>
      <c r="M197" s="200">
        <f t="shared" si="37"/>
        <v>0</v>
      </c>
      <c r="N197" s="202">
        <f>+O139-M81</f>
        <v>0</v>
      </c>
      <c r="O197" s="202">
        <f>+P139-N81</f>
        <v>0</v>
      </c>
      <c r="P197" s="202" t="s">
        <v>503</v>
      </c>
      <c r="Q197" s="202" t="s">
        <v>503</v>
      </c>
      <c r="R197" s="407">
        <f t="shared" si="36"/>
        <v>0</v>
      </c>
    </row>
    <row r="198" spans="5:19" ht="12.75" customHeight="1" x14ac:dyDescent="0.25">
      <c r="E198" s="7" t="s">
        <v>59</v>
      </c>
      <c r="F198" s="201">
        <f t="shared" si="34"/>
        <v>0</v>
      </c>
      <c r="G198" s="201">
        <f t="shared" si="34"/>
        <v>0</v>
      </c>
      <c r="H198" s="200">
        <f t="shared" ref="H198:I205" si="38">+I140-G82</f>
        <v>0</v>
      </c>
      <c r="I198" s="200">
        <f t="shared" si="38"/>
        <v>0</v>
      </c>
      <c r="J198" s="200">
        <f t="shared" si="37"/>
        <v>0</v>
      </c>
      <c r="K198" s="200">
        <f t="shared" si="37"/>
        <v>0</v>
      </c>
      <c r="L198" s="200">
        <f t="shared" si="37"/>
        <v>0</v>
      </c>
      <c r="M198" s="200">
        <f t="shared" si="37"/>
        <v>0</v>
      </c>
      <c r="N198" s="202" t="s">
        <v>503</v>
      </c>
      <c r="O198" s="202" t="s">
        <v>503</v>
      </c>
      <c r="P198" s="202" t="s">
        <v>503</v>
      </c>
      <c r="Q198" s="202" t="s">
        <v>503</v>
      </c>
      <c r="R198" s="407">
        <f t="shared" si="36"/>
        <v>0</v>
      </c>
    </row>
    <row r="199" spans="5:19" ht="12.75" customHeight="1" x14ac:dyDescent="0.25">
      <c r="E199" s="7" t="s">
        <v>290</v>
      </c>
      <c r="F199" s="201">
        <f t="shared" si="34"/>
        <v>0</v>
      </c>
      <c r="G199" s="201">
        <f t="shared" si="34"/>
        <v>0</v>
      </c>
      <c r="H199" s="200">
        <f t="shared" si="38"/>
        <v>0</v>
      </c>
      <c r="I199" s="200">
        <f t="shared" si="38"/>
        <v>0</v>
      </c>
      <c r="J199" s="200">
        <f t="shared" si="37"/>
        <v>0</v>
      </c>
      <c r="K199" s="200">
        <f t="shared" si="37"/>
        <v>0</v>
      </c>
      <c r="L199" s="200">
        <f t="shared" si="37"/>
        <v>0</v>
      </c>
      <c r="M199" s="200">
        <f t="shared" si="37"/>
        <v>0</v>
      </c>
      <c r="N199" s="202" t="s">
        <v>503</v>
      </c>
      <c r="O199" s="202" t="s">
        <v>503</v>
      </c>
      <c r="P199" s="202" t="s">
        <v>503</v>
      </c>
      <c r="Q199" s="202" t="s">
        <v>503</v>
      </c>
      <c r="R199" s="407">
        <f t="shared" si="36"/>
        <v>0</v>
      </c>
    </row>
    <row r="200" spans="5:19" ht="12.75" customHeight="1" x14ac:dyDescent="0.25">
      <c r="E200" s="7" t="s">
        <v>502</v>
      </c>
      <c r="F200" s="201">
        <f t="shared" si="34"/>
        <v>0</v>
      </c>
      <c r="G200" s="201">
        <f t="shared" si="34"/>
        <v>0</v>
      </c>
      <c r="H200" s="200">
        <f t="shared" si="38"/>
        <v>0</v>
      </c>
      <c r="I200" s="200">
        <f t="shared" si="38"/>
        <v>0</v>
      </c>
      <c r="J200" s="200">
        <f t="shared" si="37"/>
        <v>0</v>
      </c>
      <c r="K200" s="200">
        <f t="shared" si="37"/>
        <v>0</v>
      </c>
      <c r="L200" s="200">
        <f t="shared" si="37"/>
        <v>0</v>
      </c>
      <c r="M200" s="200">
        <f t="shared" si="37"/>
        <v>0</v>
      </c>
      <c r="N200" s="202" t="s">
        <v>503</v>
      </c>
      <c r="O200" s="202" t="s">
        <v>503</v>
      </c>
      <c r="P200" s="202" t="s">
        <v>503</v>
      </c>
      <c r="Q200" s="202" t="s">
        <v>503</v>
      </c>
      <c r="R200" s="407">
        <f t="shared" si="36"/>
        <v>0</v>
      </c>
    </row>
    <row r="201" spans="5:19" ht="12.75" customHeight="1" x14ac:dyDescent="0.25">
      <c r="E201" s="7" t="s">
        <v>514</v>
      </c>
      <c r="F201" s="201">
        <f t="shared" si="34"/>
        <v>0</v>
      </c>
      <c r="G201" s="201">
        <f t="shared" si="34"/>
        <v>0</v>
      </c>
      <c r="H201" s="200">
        <f t="shared" si="38"/>
        <v>0</v>
      </c>
      <c r="I201" s="200">
        <f t="shared" si="38"/>
        <v>0</v>
      </c>
      <c r="J201" s="200">
        <f t="shared" si="37"/>
        <v>0</v>
      </c>
      <c r="K201" s="200">
        <f t="shared" si="37"/>
        <v>0</v>
      </c>
      <c r="L201" s="200">
        <f t="shared" si="37"/>
        <v>0</v>
      </c>
      <c r="M201" s="200">
        <f t="shared" si="37"/>
        <v>0</v>
      </c>
      <c r="N201" s="202" t="s">
        <v>503</v>
      </c>
      <c r="O201" s="202" t="s">
        <v>503</v>
      </c>
      <c r="P201" s="202" t="s">
        <v>503</v>
      </c>
      <c r="Q201" s="202" t="s">
        <v>503</v>
      </c>
      <c r="R201" s="407">
        <f t="shared" si="36"/>
        <v>0</v>
      </c>
    </row>
    <row r="202" spans="5:19" ht="12.75" customHeight="1" x14ac:dyDescent="0.25">
      <c r="E202" s="7" t="s">
        <v>383</v>
      </c>
      <c r="F202" s="201">
        <f t="shared" si="34"/>
        <v>0</v>
      </c>
      <c r="G202" s="201">
        <f t="shared" si="34"/>
        <v>0</v>
      </c>
      <c r="H202" s="200">
        <f t="shared" si="38"/>
        <v>0</v>
      </c>
      <c r="I202" s="200">
        <f t="shared" si="38"/>
        <v>0</v>
      </c>
      <c r="J202" s="200">
        <f t="shared" si="37"/>
        <v>0</v>
      </c>
      <c r="K202" s="200">
        <f t="shared" si="37"/>
        <v>0</v>
      </c>
      <c r="L202" s="200">
        <f t="shared" si="37"/>
        <v>0</v>
      </c>
      <c r="M202" s="200">
        <f t="shared" si="37"/>
        <v>0</v>
      </c>
      <c r="N202" s="202" t="s">
        <v>503</v>
      </c>
      <c r="O202" s="202" t="s">
        <v>503</v>
      </c>
      <c r="P202" s="202" t="s">
        <v>503</v>
      </c>
      <c r="Q202" s="202" t="s">
        <v>503</v>
      </c>
      <c r="R202" s="407">
        <f t="shared" si="36"/>
        <v>0</v>
      </c>
    </row>
    <row r="203" spans="5:19" ht="12.75" customHeight="1" x14ac:dyDescent="0.25">
      <c r="E203" s="7" t="s">
        <v>384</v>
      </c>
      <c r="F203" s="201">
        <f t="shared" si="34"/>
        <v>0</v>
      </c>
      <c r="G203" s="201">
        <f t="shared" si="34"/>
        <v>0</v>
      </c>
      <c r="H203" s="200">
        <f t="shared" si="38"/>
        <v>0</v>
      </c>
      <c r="I203" s="200">
        <f t="shared" si="38"/>
        <v>0</v>
      </c>
      <c r="J203" s="200">
        <f t="shared" si="37"/>
        <v>0</v>
      </c>
      <c r="K203" s="200">
        <f t="shared" si="37"/>
        <v>0</v>
      </c>
      <c r="L203" s="200">
        <f t="shared" si="37"/>
        <v>0</v>
      </c>
      <c r="M203" s="200">
        <f t="shared" si="37"/>
        <v>0</v>
      </c>
      <c r="N203" s="202" t="s">
        <v>503</v>
      </c>
      <c r="O203" s="202" t="s">
        <v>503</v>
      </c>
      <c r="P203" s="202" t="s">
        <v>503</v>
      </c>
      <c r="Q203" s="202" t="s">
        <v>503</v>
      </c>
      <c r="R203" s="407">
        <f t="shared" si="36"/>
        <v>0</v>
      </c>
    </row>
    <row r="204" spans="5:19" ht="12.75" customHeight="1" x14ac:dyDescent="0.25">
      <c r="E204" s="7" t="s">
        <v>4</v>
      </c>
      <c r="F204" s="201">
        <f t="shared" si="34"/>
        <v>0</v>
      </c>
      <c r="G204" s="201">
        <f t="shared" si="34"/>
        <v>0</v>
      </c>
      <c r="H204" s="200">
        <f t="shared" si="38"/>
        <v>0</v>
      </c>
      <c r="I204" s="200">
        <f t="shared" si="38"/>
        <v>0</v>
      </c>
      <c r="J204" s="200">
        <f t="shared" si="37"/>
        <v>0</v>
      </c>
      <c r="K204" s="200">
        <f t="shared" si="37"/>
        <v>0</v>
      </c>
      <c r="L204" s="200">
        <f t="shared" si="37"/>
        <v>0</v>
      </c>
      <c r="M204" s="200">
        <f t="shared" si="37"/>
        <v>0</v>
      </c>
      <c r="N204" s="202" t="s">
        <v>503</v>
      </c>
      <c r="O204" s="202" t="s">
        <v>503</v>
      </c>
      <c r="P204" s="202" t="s">
        <v>503</v>
      </c>
      <c r="Q204" s="202" t="s">
        <v>503</v>
      </c>
      <c r="R204" s="407">
        <f t="shared" si="36"/>
        <v>0</v>
      </c>
    </row>
    <row r="205" spans="5:19" ht="12.75" customHeight="1" x14ac:dyDescent="0.25">
      <c r="E205" s="7" t="s">
        <v>558</v>
      </c>
      <c r="F205" s="201">
        <f t="shared" ref="F205:G224" si="39">+G147</f>
        <v>0</v>
      </c>
      <c r="G205" s="201">
        <f t="shared" si="39"/>
        <v>0</v>
      </c>
      <c r="H205" s="200">
        <f t="shared" si="38"/>
        <v>0</v>
      </c>
      <c r="I205" s="200">
        <f t="shared" si="38"/>
        <v>0</v>
      </c>
      <c r="J205" s="200">
        <f t="shared" si="37"/>
        <v>0</v>
      </c>
      <c r="K205" s="200">
        <f t="shared" si="37"/>
        <v>0</v>
      </c>
      <c r="L205" s="200">
        <f t="shared" si="37"/>
        <v>0</v>
      </c>
      <c r="M205" s="200">
        <f t="shared" si="37"/>
        <v>0</v>
      </c>
      <c r="N205" s="202" t="s">
        <v>503</v>
      </c>
      <c r="O205" s="202" t="s">
        <v>503</v>
      </c>
      <c r="P205" s="202" t="s">
        <v>503</v>
      </c>
      <c r="Q205" s="202" t="s">
        <v>503</v>
      </c>
      <c r="R205" s="407">
        <f t="shared" si="36"/>
        <v>0</v>
      </c>
    </row>
    <row r="206" spans="5:19" ht="12.75" customHeight="1" x14ac:dyDescent="0.25">
      <c r="E206" s="7" t="s">
        <v>646</v>
      </c>
      <c r="F206" s="203">
        <f t="shared" si="39"/>
        <v>0</v>
      </c>
      <c r="G206" s="203">
        <f t="shared" si="39"/>
        <v>0</v>
      </c>
      <c r="H206" s="202" t="s">
        <v>503</v>
      </c>
      <c r="I206" s="202" t="s">
        <v>503</v>
      </c>
      <c r="J206" s="200">
        <f t="shared" si="37"/>
        <v>0</v>
      </c>
      <c r="K206" s="200">
        <f t="shared" si="37"/>
        <v>0</v>
      </c>
      <c r="L206" s="200">
        <f t="shared" si="37"/>
        <v>0</v>
      </c>
      <c r="M206" s="200">
        <f t="shared" si="37"/>
        <v>0</v>
      </c>
      <c r="N206" s="202">
        <f t="shared" ref="N206:O217" si="40">+O148-M90</f>
        <v>0</v>
      </c>
      <c r="O206" s="202">
        <f t="shared" si="40"/>
        <v>0</v>
      </c>
      <c r="P206" s="202">
        <f t="shared" ref="P206:P225" si="41">+Q148-O90</f>
        <v>0</v>
      </c>
      <c r="Q206" s="202">
        <f>IF(AND(K33="NA",P206&lt;&gt;0),"INPUT ERROR",IF(AND(K33="NA",P206=0),"NA",+R148-P90))</f>
        <v>0</v>
      </c>
      <c r="R206" s="407">
        <f t="shared" si="36"/>
        <v>0</v>
      </c>
    </row>
    <row r="207" spans="5:19" ht="12.75" customHeight="1" x14ac:dyDescent="0.25">
      <c r="E207" s="7" t="s">
        <v>744</v>
      </c>
      <c r="F207" s="203">
        <f t="shared" si="39"/>
        <v>0</v>
      </c>
      <c r="G207" s="203">
        <f t="shared" si="39"/>
        <v>0</v>
      </c>
      <c r="H207" s="202" t="s">
        <v>503</v>
      </c>
      <c r="I207" s="202" t="s">
        <v>503</v>
      </c>
      <c r="J207" s="200">
        <f t="shared" si="37"/>
        <v>0</v>
      </c>
      <c r="K207" s="200">
        <f t="shared" si="37"/>
        <v>0</v>
      </c>
      <c r="L207" s="200">
        <f t="shared" si="37"/>
        <v>0</v>
      </c>
      <c r="M207" s="200">
        <f t="shared" si="37"/>
        <v>0</v>
      </c>
      <c r="N207" s="202">
        <f t="shared" si="40"/>
        <v>0</v>
      </c>
      <c r="O207" s="202">
        <f t="shared" si="40"/>
        <v>0</v>
      </c>
      <c r="P207" s="202">
        <f t="shared" si="41"/>
        <v>0</v>
      </c>
      <c r="Q207" s="202">
        <f t="shared" ref="Q207:Q225" si="42">IF(AND(K34="NA",P207&lt;&gt;0),"INPUT ERROR",IF(AND(K34="NA",P207=0),"NA",+R149-P91))</f>
        <v>0</v>
      </c>
      <c r="R207" s="407">
        <f t="shared" si="36"/>
        <v>0</v>
      </c>
      <c r="S207" s="8"/>
    </row>
    <row r="208" spans="5:19" ht="12.75" customHeight="1" x14ac:dyDescent="0.25">
      <c r="E208" s="7" t="s">
        <v>741</v>
      </c>
      <c r="F208" s="203">
        <f t="shared" si="39"/>
        <v>0</v>
      </c>
      <c r="G208" s="203">
        <f t="shared" si="39"/>
        <v>0</v>
      </c>
      <c r="H208" s="202" t="s">
        <v>503</v>
      </c>
      <c r="I208" s="202" t="s">
        <v>503</v>
      </c>
      <c r="J208" s="200">
        <f t="shared" si="37"/>
        <v>0</v>
      </c>
      <c r="K208" s="200">
        <f t="shared" si="37"/>
        <v>0</v>
      </c>
      <c r="L208" s="200">
        <f t="shared" si="37"/>
        <v>0</v>
      </c>
      <c r="M208" s="200">
        <f t="shared" si="37"/>
        <v>0</v>
      </c>
      <c r="N208" s="202">
        <f>+O150-M92</f>
        <v>0</v>
      </c>
      <c r="O208" s="202">
        <f t="shared" si="40"/>
        <v>0</v>
      </c>
      <c r="P208" s="202">
        <f t="shared" si="41"/>
        <v>0</v>
      </c>
      <c r="Q208" s="202">
        <f t="shared" si="42"/>
        <v>0</v>
      </c>
      <c r="R208" s="407">
        <f t="shared" si="36"/>
        <v>0</v>
      </c>
      <c r="S208" s="8"/>
    </row>
    <row r="209" spans="5:19" ht="12.75" customHeight="1" x14ac:dyDescent="0.25">
      <c r="E209" s="7" t="s">
        <v>742</v>
      </c>
      <c r="F209" s="203">
        <f t="shared" si="39"/>
        <v>0</v>
      </c>
      <c r="G209" s="203">
        <f t="shared" si="39"/>
        <v>0</v>
      </c>
      <c r="H209" s="202" t="s">
        <v>503</v>
      </c>
      <c r="I209" s="202" t="s">
        <v>503</v>
      </c>
      <c r="J209" s="200">
        <f t="shared" si="37"/>
        <v>0</v>
      </c>
      <c r="K209" s="200">
        <f t="shared" si="37"/>
        <v>0</v>
      </c>
      <c r="L209" s="200">
        <f t="shared" si="37"/>
        <v>0</v>
      </c>
      <c r="M209" s="200">
        <f t="shared" si="37"/>
        <v>0</v>
      </c>
      <c r="N209" s="202">
        <f t="shared" si="40"/>
        <v>0</v>
      </c>
      <c r="O209" s="202">
        <f t="shared" si="40"/>
        <v>0</v>
      </c>
      <c r="P209" s="202">
        <f t="shared" si="41"/>
        <v>0</v>
      </c>
      <c r="Q209" s="202">
        <f t="shared" si="42"/>
        <v>0</v>
      </c>
      <c r="R209" s="407">
        <f t="shared" si="36"/>
        <v>0</v>
      </c>
      <c r="S209" s="8"/>
    </row>
    <row r="210" spans="5:19" ht="12.75" customHeight="1" x14ac:dyDescent="0.25">
      <c r="E210" s="7" t="s">
        <v>649</v>
      </c>
      <c r="F210" s="203">
        <f t="shared" si="39"/>
        <v>0</v>
      </c>
      <c r="G210" s="203">
        <f t="shared" si="39"/>
        <v>0</v>
      </c>
      <c r="H210" s="202" t="s">
        <v>503</v>
      </c>
      <c r="I210" s="202" t="s">
        <v>503</v>
      </c>
      <c r="J210" s="200">
        <f t="shared" si="37"/>
        <v>0</v>
      </c>
      <c r="K210" s="200">
        <f t="shared" si="37"/>
        <v>0</v>
      </c>
      <c r="L210" s="200">
        <f t="shared" si="37"/>
        <v>0</v>
      </c>
      <c r="M210" s="200">
        <f t="shared" si="37"/>
        <v>0</v>
      </c>
      <c r="N210" s="202">
        <f t="shared" si="40"/>
        <v>0</v>
      </c>
      <c r="O210" s="202">
        <f t="shared" si="40"/>
        <v>0</v>
      </c>
      <c r="P210" s="202">
        <f t="shared" si="41"/>
        <v>0</v>
      </c>
      <c r="Q210" s="202">
        <f t="shared" si="42"/>
        <v>0</v>
      </c>
      <c r="R210" s="407">
        <f t="shared" si="36"/>
        <v>0</v>
      </c>
      <c r="S210" s="8"/>
    </row>
    <row r="211" spans="5:19" ht="12.75" customHeight="1" x14ac:dyDescent="0.25">
      <c r="E211" s="7" t="s">
        <v>645</v>
      </c>
      <c r="F211" s="203">
        <f t="shared" si="39"/>
        <v>0</v>
      </c>
      <c r="G211" s="203">
        <f t="shared" si="39"/>
        <v>0</v>
      </c>
      <c r="H211" s="202" t="s">
        <v>503</v>
      </c>
      <c r="I211" s="202" t="s">
        <v>503</v>
      </c>
      <c r="J211" s="200">
        <f t="shared" ref="J211:M228" si="43">+K153-I95</f>
        <v>0</v>
      </c>
      <c r="K211" s="200">
        <f t="shared" si="43"/>
        <v>0</v>
      </c>
      <c r="L211" s="200">
        <f t="shared" si="43"/>
        <v>0</v>
      </c>
      <c r="M211" s="200">
        <f t="shared" si="43"/>
        <v>0</v>
      </c>
      <c r="N211" s="202">
        <f t="shared" si="40"/>
        <v>0</v>
      </c>
      <c r="O211" s="202">
        <f t="shared" si="40"/>
        <v>0</v>
      </c>
      <c r="P211" s="202">
        <f t="shared" si="41"/>
        <v>0</v>
      </c>
      <c r="Q211" s="202">
        <f t="shared" si="42"/>
        <v>0</v>
      </c>
      <c r="R211" s="407">
        <f t="shared" si="36"/>
        <v>0</v>
      </c>
      <c r="S211" s="8"/>
    </row>
    <row r="212" spans="5:19" ht="12.75" customHeight="1" x14ac:dyDescent="0.25">
      <c r="E212" s="7" t="s">
        <v>647</v>
      </c>
      <c r="F212" s="203">
        <f t="shared" si="39"/>
        <v>0</v>
      </c>
      <c r="G212" s="203">
        <f t="shared" si="39"/>
        <v>0</v>
      </c>
      <c r="H212" s="202" t="s">
        <v>503</v>
      </c>
      <c r="I212" s="202" t="s">
        <v>503</v>
      </c>
      <c r="J212" s="200">
        <f t="shared" si="43"/>
        <v>0</v>
      </c>
      <c r="K212" s="200">
        <f t="shared" si="43"/>
        <v>0</v>
      </c>
      <c r="L212" s="200">
        <f t="shared" si="43"/>
        <v>0</v>
      </c>
      <c r="M212" s="200">
        <f t="shared" si="43"/>
        <v>0</v>
      </c>
      <c r="N212" s="202">
        <f t="shared" si="40"/>
        <v>0</v>
      </c>
      <c r="O212" s="202">
        <f t="shared" si="40"/>
        <v>0</v>
      </c>
      <c r="P212" s="202">
        <f t="shared" si="41"/>
        <v>0</v>
      </c>
      <c r="Q212" s="202">
        <f t="shared" si="42"/>
        <v>0</v>
      </c>
      <c r="R212" s="407">
        <f t="shared" si="36"/>
        <v>0</v>
      </c>
      <c r="S212" s="8"/>
    </row>
    <row r="213" spans="5:19" ht="12.75" customHeight="1" x14ac:dyDescent="0.25">
      <c r="E213" s="7" t="s">
        <v>648</v>
      </c>
      <c r="F213" s="203">
        <f t="shared" si="39"/>
        <v>0</v>
      </c>
      <c r="G213" s="203">
        <f t="shared" si="39"/>
        <v>0</v>
      </c>
      <c r="H213" s="202" t="s">
        <v>503</v>
      </c>
      <c r="I213" s="202" t="s">
        <v>503</v>
      </c>
      <c r="J213" s="200">
        <f t="shared" si="43"/>
        <v>0</v>
      </c>
      <c r="K213" s="200">
        <f t="shared" si="43"/>
        <v>0</v>
      </c>
      <c r="L213" s="200">
        <f t="shared" si="43"/>
        <v>0</v>
      </c>
      <c r="M213" s="200">
        <f t="shared" si="43"/>
        <v>0</v>
      </c>
      <c r="N213" s="202">
        <f t="shared" si="40"/>
        <v>0</v>
      </c>
      <c r="O213" s="202">
        <f t="shared" si="40"/>
        <v>0</v>
      </c>
      <c r="P213" s="202">
        <f t="shared" si="41"/>
        <v>0</v>
      </c>
      <c r="Q213" s="202">
        <f t="shared" si="42"/>
        <v>0</v>
      </c>
      <c r="R213" s="407">
        <f t="shared" si="36"/>
        <v>0</v>
      </c>
      <c r="S213" s="8"/>
    </row>
    <row r="214" spans="5:19" ht="12.75" customHeight="1" x14ac:dyDescent="0.25">
      <c r="E214" s="7" t="s">
        <v>580</v>
      </c>
      <c r="F214" s="203" t="str">
        <f t="shared" si="39"/>
        <v>NA</v>
      </c>
      <c r="G214" s="203" t="str">
        <f t="shared" si="39"/>
        <v>NA</v>
      </c>
      <c r="H214" s="202" t="s">
        <v>503</v>
      </c>
      <c r="I214" s="202" t="s">
        <v>503</v>
      </c>
      <c r="J214" s="200">
        <f t="shared" si="43"/>
        <v>0</v>
      </c>
      <c r="K214" s="200">
        <f t="shared" si="43"/>
        <v>0</v>
      </c>
      <c r="L214" s="200">
        <f t="shared" si="43"/>
        <v>0</v>
      </c>
      <c r="M214" s="200">
        <f t="shared" si="43"/>
        <v>0</v>
      </c>
      <c r="N214" s="202">
        <f t="shared" si="40"/>
        <v>0</v>
      </c>
      <c r="O214" s="202">
        <f t="shared" si="40"/>
        <v>0</v>
      </c>
      <c r="P214" s="202">
        <f t="shared" si="41"/>
        <v>0</v>
      </c>
      <c r="Q214" s="202" t="str">
        <f t="shared" si="42"/>
        <v>NA</v>
      </c>
      <c r="R214" s="407">
        <f t="shared" si="36"/>
        <v>0</v>
      </c>
    </row>
    <row r="215" spans="5:19" ht="12.75" customHeight="1" x14ac:dyDescent="0.25">
      <c r="E215" s="7" t="s">
        <v>521</v>
      </c>
      <c r="F215" s="203" t="str">
        <f t="shared" si="39"/>
        <v>NA</v>
      </c>
      <c r="G215" s="203" t="str">
        <f t="shared" si="39"/>
        <v>NA</v>
      </c>
      <c r="H215" s="202" t="s">
        <v>503</v>
      </c>
      <c r="I215" s="202" t="s">
        <v>503</v>
      </c>
      <c r="J215" s="200">
        <f t="shared" si="43"/>
        <v>0</v>
      </c>
      <c r="K215" s="200">
        <f t="shared" si="43"/>
        <v>0</v>
      </c>
      <c r="L215" s="200">
        <f t="shared" si="43"/>
        <v>0</v>
      </c>
      <c r="M215" s="200">
        <f t="shared" si="43"/>
        <v>0</v>
      </c>
      <c r="N215" s="202">
        <f t="shared" si="40"/>
        <v>0</v>
      </c>
      <c r="O215" s="202">
        <f t="shared" si="40"/>
        <v>0</v>
      </c>
      <c r="P215" s="202">
        <f t="shared" si="41"/>
        <v>0</v>
      </c>
      <c r="Q215" s="202" t="str">
        <f t="shared" si="42"/>
        <v>NA</v>
      </c>
      <c r="R215" s="407">
        <f t="shared" si="36"/>
        <v>0</v>
      </c>
    </row>
    <row r="216" spans="5:19" ht="12.75" customHeight="1" x14ac:dyDescent="0.25">
      <c r="E216" s="7" t="s">
        <v>522</v>
      </c>
      <c r="F216" s="203" t="str">
        <f t="shared" si="39"/>
        <v>NA</v>
      </c>
      <c r="G216" s="203" t="str">
        <f t="shared" si="39"/>
        <v>NA</v>
      </c>
      <c r="H216" s="202" t="s">
        <v>503</v>
      </c>
      <c r="I216" s="202" t="s">
        <v>503</v>
      </c>
      <c r="J216" s="200">
        <f t="shared" si="43"/>
        <v>0</v>
      </c>
      <c r="K216" s="200">
        <f t="shared" si="43"/>
        <v>0</v>
      </c>
      <c r="L216" s="200">
        <f t="shared" si="43"/>
        <v>0</v>
      </c>
      <c r="M216" s="200">
        <f t="shared" si="43"/>
        <v>0</v>
      </c>
      <c r="N216" s="202">
        <f t="shared" si="40"/>
        <v>0</v>
      </c>
      <c r="O216" s="202">
        <f t="shared" si="40"/>
        <v>0</v>
      </c>
      <c r="P216" s="202">
        <f t="shared" si="41"/>
        <v>0</v>
      </c>
      <c r="Q216" s="202" t="str">
        <f t="shared" si="42"/>
        <v>NA</v>
      </c>
      <c r="R216" s="407">
        <f t="shared" si="36"/>
        <v>0</v>
      </c>
    </row>
    <row r="217" spans="5:19" ht="12.75" customHeight="1" x14ac:dyDescent="0.25">
      <c r="E217" s="7" t="s">
        <v>523</v>
      </c>
      <c r="F217" s="203" t="str">
        <f t="shared" si="39"/>
        <v>NA</v>
      </c>
      <c r="G217" s="203" t="str">
        <f t="shared" si="39"/>
        <v>NA</v>
      </c>
      <c r="H217" s="202" t="s">
        <v>503</v>
      </c>
      <c r="I217" s="202" t="s">
        <v>503</v>
      </c>
      <c r="J217" s="200">
        <f t="shared" si="43"/>
        <v>0</v>
      </c>
      <c r="K217" s="200">
        <f t="shared" si="43"/>
        <v>0</v>
      </c>
      <c r="L217" s="200">
        <f t="shared" si="43"/>
        <v>0</v>
      </c>
      <c r="M217" s="200">
        <f t="shared" si="43"/>
        <v>0</v>
      </c>
      <c r="N217" s="202">
        <f t="shared" si="40"/>
        <v>0</v>
      </c>
      <c r="O217" s="202">
        <f t="shared" si="40"/>
        <v>0</v>
      </c>
      <c r="P217" s="202">
        <f t="shared" si="41"/>
        <v>0</v>
      </c>
      <c r="Q217" s="202" t="str">
        <f t="shared" si="42"/>
        <v>NA</v>
      </c>
      <c r="R217" s="407">
        <f t="shared" si="36"/>
        <v>0</v>
      </c>
    </row>
    <row r="218" spans="5:19" ht="12.75" customHeight="1" x14ac:dyDescent="0.25">
      <c r="E218" s="7" t="s">
        <v>583</v>
      </c>
      <c r="F218" s="203">
        <f t="shared" si="39"/>
        <v>0</v>
      </c>
      <c r="G218" s="203">
        <f t="shared" si="39"/>
        <v>0</v>
      </c>
      <c r="H218" s="200">
        <f t="shared" ref="H218:I223" si="44">+I160-G102</f>
        <v>0</v>
      </c>
      <c r="I218" s="200">
        <f t="shared" si="44"/>
        <v>0</v>
      </c>
      <c r="J218" s="200">
        <f t="shared" si="43"/>
        <v>0</v>
      </c>
      <c r="K218" s="200">
        <f t="shared" si="43"/>
        <v>0</v>
      </c>
      <c r="L218" s="200">
        <f t="shared" si="43"/>
        <v>0</v>
      </c>
      <c r="M218" s="200">
        <f t="shared" si="43"/>
        <v>0</v>
      </c>
      <c r="N218" s="202" t="s">
        <v>503</v>
      </c>
      <c r="O218" s="202" t="s">
        <v>503</v>
      </c>
      <c r="P218" s="202" t="s">
        <v>503</v>
      </c>
      <c r="Q218" s="202" t="s">
        <v>503</v>
      </c>
      <c r="R218" s="407">
        <f t="shared" si="36"/>
        <v>0</v>
      </c>
    </row>
    <row r="219" spans="5:19" ht="12.75" customHeight="1" x14ac:dyDescent="0.25">
      <c r="E219" s="7" t="s">
        <v>584</v>
      </c>
      <c r="F219" s="203">
        <f t="shared" si="39"/>
        <v>0</v>
      </c>
      <c r="G219" s="203">
        <f t="shared" si="39"/>
        <v>0</v>
      </c>
      <c r="H219" s="200">
        <f t="shared" si="44"/>
        <v>0</v>
      </c>
      <c r="I219" s="200">
        <f t="shared" si="44"/>
        <v>0</v>
      </c>
      <c r="J219" s="200">
        <f t="shared" si="43"/>
        <v>0</v>
      </c>
      <c r="K219" s="200">
        <f t="shared" si="43"/>
        <v>0</v>
      </c>
      <c r="L219" s="200">
        <f t="shared" si="43"/>
        <v>0</v>
      </c>
      <c r="M219" s="200">
        <f t="shared" si="43"/>
        <v>0</v>
      </c>
      <c r="N219" s="202" t="s">
        <v>503</v>
      </c>
      <c r="O219" s="202" t="s">
        <v>503</v>
      </c>
      <c r="P219" s="202" t="s">
        <v>503</v>
      </c>
      <c r="Q219" s="202" t="s">
        <v>503</v>
      </c>
      <c r="R219" s="407">
        <f t="shared" si="36"/>
        <v>0</v>
      </c>
    </row>
    <row r="220" spans="5:19" ht="12.75" customHeight="1" x14ac:dyDescent="0.25">
      <c r="E220" s="7" t="s">
        <v>585</v>
      </c>
      <c r="F220" s="203">
        <f t="shared" si="39"/>
        <v>0</v>
      </c>
      <c r="G220" s="203">
        <f t="shared" si="39"/>
        <v>0</v>
      </c>
      <c r="H220" s="200">
        <f t="shared" si="44"/>
        <v>0</v>
      </c>
      <c r="I220" s="200">
        <f t="shared" si="44"/>
        <v>0</v>
      </c>
      <c r="J220" s="200">
        <f t="shared" si="43"/>
        <v>0</v>
      </c>
      <c r="K220" s="200">
        <f t="shared" si="43"/>
        <v>0</v>
      </c>
      <c r="L220" s="200">
        <f t="shared" si="43"/>
        <v>0</v>
      </c>
      <c r="M220" s="200">
        <f t="shared" si="43"/>
        <v>0</v>
      </c>
      <c r="N220" s="202" t="s">
        <v>503</v>
      </c>
      <c r="O220" s="202" t="s">
        <v>503</v>
      </c>
      <c r="P220" s="202" t="s">
        <v>503</v>
      </c>
      <c r="Q220" s="202" t="s">
        <v>503</v>
      </c>
      <c r="R220" s="407">
        <f t="shared" si="36"/>
        <v>0</v>
      </c>
    </row>
    <row r="221" spans="5:19" ht="12.75" customHeight="1" x14ac:dyDescent="0.25">
      <c r="E221" s="97" t="s">
        <v>633</v>
      </c>
      <c r="F221" s="205">
        <f t="shared" si="39"/>
        <v>0</v>
      </c>
      <c r="G221" s="203">
        <f t="shared" si="39"/>
        <v>0</v>
      </c>
      <c r="H221" s="200">
        <f t="shared" si="44"/>
        <v>0</v>
      </c>
      <c r="I221" s="200">
        <f t="shared" si="44"/>
        <v>0</v>
      </c>
      <c r="J221" s="200">
        <f t="shared" si="43"/>
        <v>0</v>
      </c>
      <c r="K221" s="200">
        <f t="shared" si="43"/>
        <v>0</v>
      </c>
      <c r="L221" s="200">
        <f t="shared" si="43"/>
        <v>0</v>
      </c>
      <c r="M221" s="200">
        <f t="shared" si="43"/>
        <v>0</v>
      </c>
      <c r="N221" s="202" t="s">
        <v>503</v>
      </c>
      <c r="O221" s="202" t="s">
        <v>503</v>
      </c>
      <c r="P221" s="202" t="s">
        <v>503</v>
      </c>
      <c r="Q221" s="202" t="s">
        <v>503</v>
      </c>
      <c r="R221" s="407">
        <f t="shared" si="36"/>
        <v>0</v>
      </c>
    </row>
    <row r="222" spans="5:19" ht="12.75" customHeight="1" x14ac:dyDescent="0.25">
      <c r="E222" s="7" t="s">
        <v>386</v>
      </c>
      <c r="F222" s="203">
        <f t="shared" si="39"/>
        <v>0</v>
      </c>
      <c r="G222" s="203">
        <f t="shared" si="39"/>
        <v>0</v>
      </c>
      <c r="H222" s="200">
        <f t="shared" si="44"/>
        <v>0</v>
      </c>
      <c r="I222" s="200">
        <f t="shared" si="44"/>
        <v>0</v>
      </c>
      <c r="J222" s="200">
        <f t="shared" si="43"/>
        <v>0</v>
      </c>
      <c r="K222" s="200">
        <f t="shared" si="43"/>
        <v>0</v>
      </c>
      <c r="L222" s="200">
        <f t="shared" si="43"/>
        <v>0</v>
      </c>
      <c r="M222" s="200">
        <f t="shared" si="43"/>
        <v>0</v>
      </c>
      <c r="N222" s="202" t="s">
        <v>503</v>
      </c>
      <c r="O222" s="202" t="s">
        <v>503</v>
      </c>
      <c r="P222" s="202" t="s">
        <v>503</v>
      </c>
      <c r="Q222" s="202" t="s">
        <v>503</v>
      </c>
      <c r="R222" s="407">
        <f t="shared" si="36"/>
        <v>0</v>
      </c>
    </row>
    <row r="223" spans="5:19" ht="12.75" customHeight="1" x14ac:dyDescent="0.25">
      <c r="E223" s="7" t="s">
        <v>272</v>
      </c>
      <c r="F223" s="203" t="str">
        <f t="shared" si="39"/>
        <v>NA</v>
      </c>
      <c r="G223" s="203" t="str">
        <f t="shared" si="39"/>
        <v>NA</v>
      </c>
      <c r="H223" s="200">
        <f t="shared" si="44"/>
        <v>0</v>
      </c>
      <c r="I223" s="200">
        <f t="shared" si="44"/>
        <v>0</v>
      </c>
      <c r="J223" s="200">
        <f t="shared" si="43"/>
        <v>0</v>
      </c>
      <c r="K223" s="200">
        <f t="shared" si="43"/>
        <v>0</v>
      </c>
      <c r="L223" s="200">
        <f t="shared" si="43"/>
        <v>0</v>
      </c>
      <c r="M223" s="200">
        <f t="shared" si="43"/>
        <v>0</v>
      </c>
      <c r="N223" s="202" t="s">
        <v>503</v>
      </c>
      <c r="O223" s="202" t="s">
        <v>503</v>
      </c>
      <c r="P223" s="202" t="s">
        <v>503</v>
      </c>
      <c r="Q223" s="202" t="s">
        <v>503</v>
      </c>
      <c r="R223" s="407">
        <f t="shared" si="36"/>
        <v>0</v>
      </c>
    </row>
    <row r="224" spans="5:19" ht="12.75" customHeight="1" x14ac:dyDescent="0.25">
      <c r="E224" s="97" t="s">
        <v>740</v>
      </c>
      <c r="F224" s="205">
        <f t="shared" si="39"/>
        <v>0</v>
      </c>
      <c r="G224" s="203">
        <f t="shared" si="39"/>
        <v>0</v>
      </c>
      <c r="H224" s="202" t="s">
        <v>503</v>
      </c>
      <c r="I224" s="202" t="s">
        <v>503</v>
      </c>
      <c r="J224" s="200">
        <f t="shared" si="43"/>
        <v>0</v>
      </c>
      <c r="K224" s="200">
        <f t="shared" si="43"/>
        <v>0</v>
      </c>
      <c r="L224" s="200">
        <f t="shared" si="43"/>
        <v>0</v>
      </c>
      <c r="M224" s="200">
        <f t="shared" si="43"/>
        <v>0</v>
      </c>
      <c r="N224" s="202">
        <f>+O166-M108</f>
        <v>0</v>
      </c>
      <c r="O224" s="202">
        <f>+P166-N108</f>
        <v>0</v>
      </c>
      <c r="P224" s="202">
        <f t="shared" si="41"/>
        <v>0</v>
      </c>
      <c r="Q224" s="202">
        <f t="shared" si="42"/>
        <v>0</v>
      </c>
      <c r="R224" s="407">
        <f t="shared" si="36"/>
        <v>0</v>
      </c>
    </row>
    <row r="225" spans="5:18" ht="12.75" customHeight="1" x14ac:dyDescent="0.25">
      <c r="E225" s="117" t="s">
        <v>385</v>
      </c>
      <c r="F225" s="203" t="str">
        <f t="shared" ref="F225:G238" si="45">+G167</f>
        <v>NA</v>
      </c>
      <c r="G225" s="203" t="str">
        <f t="shared" si="45"/>
        <v>NA</v>
      </c>
      <c r="H225" s="202" t="s">
        <v>503</v>
      </c>
      <c r="I225" s="202" t="s">
        <v>503</v>
      </c>
      <c r="J225" s="200">
        <f t="shared" si="43"/>
        <v>0</v>
      </c>
      <c r="K225" s="200">
        <f t="shared" si="43"/>
        <v>0</v>
      </c>
      <c r="L225" s="200">
        <f t="shared" si="43"/>
        <v>0</v>
      </c>
      <c r="M225" s="200">
        <f t="shared" si="43"/>
        <v>0</v>
      </c>
      <c r="N225" s="202">
        <f>+O167-M109</f>
        <v>0</v>
      </c>
      <c r="O225" s="202">
        <f>+P167-N109</f>
        <v>0</v>
      </c>
      <c r="P225" s="202">
        <f t="shared" si="41"/>
        <v>0</v>
      </c>
      <c r="Q225" s="202" t="str">
        <f t="shared" si="42"/>
        <v>NA</v>
      </c>
      <c r="R225" s="407">
        <f t="shared" si="36"/>
        <v>0</v>
      </c>
    </row>
    <row r="226" spans="5:18" ht="12.75" customHeight="1" x14ac:dyDescent="0.25">
      <c r="E226" s="117" t="s">
        <v>574</v>
      </c>
      <c r="F226" s="203" t="str">
        <f t="shared" si="45"/>
        <v>NA</v>
      </c>
      <c r="G226" s="203" t="str">
        <f t="shared" si="45"/>
        <v>NA</v>
      </c>
      <c r="H226" s="202" t="s">
        <v>503</v>
      </c>
      <c r="I226" s="202" t="s">
        <v>503</v>
      </c>
      <c r="J226" s="200">
        <f t="shared" si="43"/>
        <v>0</v>
      </c>
      <c r="K226" s="200">
        <f t="shared" si="43"/>
        <v>0</v>
      </c>
      <c r="L226" s="200">
        <f t="shared" si="43"/>
        <v>0</v>
      </c>
      <c r="M226" s="200">
        <f t="shared" si="43"/>
        <v>0</v>
      </c>
      <c r="N226" s="202" t="s">
        <v>503</v>
      </c>
      <c r="O226" s="202" t="s">
        <v>503</v>
      </c>
      <c r="P226" s="202" t="s">
        <v>503</v>
      </c>
      <c r="Q226" s="202" t="s">
        <v>503</v>
      </c>
      <c r="R226" s="407">
        <f t="shared" si="36"/>
        <v>0</v>
      </c>
    </row>
    <row r="227" spans="5:18" ht="12.75" customHeight="1" x14ac:dyDescent="0.25">
      <c r="E227" s="117" t="s">
        <v>573</v>
      </c>
      <c r="F227" s="201">
        <f t="shared" si="45"/>
        <v>0</v>
      </c>
      <c r="G227" s="201">
        <f t="shared" si="45"/>
        <v>0</v>
      </c>
      <c r="H227" s="200">
        <f>+I169-G111</f>
        <v>0</v>
      </c>
      <c r="I227" s="200">
        <f>+J169-H111</f>
        <v>0</v>
      </c>
      <c r="J227" s="200">
        <f t="shared" si="43"/>
        <v>0</v>
      </c>
      <c r="K227" s="200">
        <f t="shared" si="43"/>
        <v>0</v>
      </c>
      <c r="L227" s="200">
        <f t="shared" si="43"/>
        <v>0</v>
      </c>
      <c r="M227" s="200">
        <f t="shared" si="43"/>
        <v>0</v>
      </c>
      <c r="N227" s="202" t="s">
        <v>503</v>
      </c>
      <c r="O227" s="202" t="s">
        <v>503</v>
      </c>
      <c r="P227" s="202" t="s">
        <v>503</v>
      </c>
      <c r="Q227" s="202" t="s">
        <v>503</v>
      </c>
      <c r="R227" s="407">
        <f t="shared" si="36"/>
        <v>0</v>
      </c>
    </row>
    <row r="228" spans="5:18" ht="12.75" customHeight="1" x14ac:dyDescent="0.25">
      <c r="E228" s="117" t="s">
        <v>423</v>
      </c>
      <c r="F228" s="201">
        <f t="shared" si="45"/>
        <v>0</v>
      </c>
      <c r="G228" s="201">
        <f t="shared" si="45"/>
        <v>0</v>
      </c>
      <c r="H228" s="200">
        <f>+I170-G112</f>
        <v>0</v>
      </c>
      <c r="I228" s="200">
        <f>+J170-H112</f>
        <v>0</v>
      </c>
      <c r="J228" s="200">
        <f t="shared" si="43"/>
        <v>0</v>
      </c>
      <c r="K228" s="200">
        <f t="shared" si="43"/>
        <v>0</v>
      </c>
      <c r="L228" s="200">
        <f t="shared" si="43"/>
        <v>0</v>
      </c>
      <c r="M228" s="200">
        <f t="shared" si="43"/>
        <v>0</v>
      </c>
      <c r="N228" s="202" t="s">
        <v>503</v>
      </c>
      <c r="O228" s="202" t="s">
        <v>503</v>
      </c>
      <c r="P228" s="202" t="s">
        <v>503</v>
      </c>
      <c r="Q228" s="202" t="s">
        <v>503</v>
      </c>
      <c r="R228" s="407">
        <f t="shared" si="36"/>
        <v>0</v>
      </c>
    </row>
    <row r="229" spans="5:18" ht="12.75" customHeight="1" x14ac:dyDescent="0.25">
      <c r="E229" s="117" t="s">
        <v>455</v>
      </c>
      <c r="F229" s="201">
        <f t="shared" si="45"/>
        <v>0</v>
      </c>
      <c r="G229" s="201">
        <f t="shared" si="45"/>
        <v>0</v>
      </c>
      <c r="H229" s="202" t="s">
        <v>503</v>
      </c>
      <c r="I229" s="202" t="s">
        <v>503</v>
      </c>
      <c r="J229" s="200">
        <f t="shared" ref="J229:K238" si="46">+K171-I113</f>
        <v>0</v>
      </c>
      <c r="K229" s="200">
        <f t="shared" si="46"/>
        <v>0</v>
      </c>
      <c r="L229" s="202" t="s">
        <v>503</v>
      </c>
      <c r="M229" s="202" t="s">
        <v>503</v>
      </c>
      <c r="N229" s="202" t="s">
        <v>503</v>
      </c>
      <c r="O229" s="202" t="s">
        <v>503</v>
      </c>
      <c r="P229" s="202" t="s">
        <v>503</v>
      </c>
      <c r="Q229" s="202" t="s">
        <v>503</v>
      </c>
      <c r="R229" s="407">
        <f t="shared" si="36"/>
        <v>0</v>
      </c>
    </row>
    <row r="230" spans="5:18" ht="12.75" customHeight="1" x14ac:dyDescent="0.25">
      <c r="E230" s="117" t="s">
        <v>476</v>
      </c>
      <c r="F230" s="203" t="str">
        <f t="shared" si="45"/>
        <v>NA</v>
      </c>
      <c r="G230" s="203" t="str">
        <f t="shared" si="45"/>
        <v>NA</v>
      </c>
      <c r="H230" s="200">
        <f t="shared" ref="H230:I235" si="47">+I172-G114</f>
        <v>0</v>
      </c>
      <c r="I230" s="200">
        <f t="shared" si="47"/>
        <v>0</v>
      </c>
      <c r="J230" s="200">
        <f t="shared" si="46"/>
        <v>0</v>
      </c>
      <c r="K230" s="200">
        <f t="shared" si="46"/>
        <v>0</v>
      </c>
      <c r="L230" s="202" t="s">
        <v>503</v>
      </c>
      <c r="M230" s="202" t="s">
        <v>503</v>
      </c>
      <c r="N230" s="202" t="s">
        <v>503</v>
      </c>
      <c r="O230" s="202" t="s">
        <v>503</v>
      </c>
      <c r="P230" s="202" t="s">
        <v>503</v>
      </c>
      <c r="Q230" s="202" t="s">
        <v>503</v>
      </c>
      <c r="R230" s="407">
        <f t="shared" si="36"/>
        <v>0</v>
      </c>
    </row>
    <row r="231" spans="5:18" ht="12.75" customHeight="1" x14ac:dyDescent="0.25">
      <c r="E231" s="117" t="s">
        <v>131</v>
      </c>
      <c r="F231" s="203" t="str">
        <f t="shared" si="45"/>
        <v>NA</v>
      </c>
      <c r="G231" s="203" t="str">
        <f t="shared" si="45"/>
        <v>NA</v>
      </c>
      <c r="H231" s="200">
        <f t="shared" si="47"/>
        <v>0</v>
      </c>
      <c r="I231" s="200">
        <f t="shared" si="47"/>
        <v>0</v>
      </c>
      <c r="J231" s="200">
        <f t="shared" si="46"/>
        <v>0</v>
      </c>
      <c r="K231" s="200">
        <f t="shared" si="46"/>
        <v>0</v>
      </c>
      <c r="L231" s="202" t="s">
        <v>503</v>
      </c>
      <c r="M231" s="202" t="s">
        <v>503</v>
      </c>
      <c r="N231" s="202" t="s">
        <v>503</v>
      </c>
      <c r="O231" s="202" t="s">
        <v>503</v>
      </c>
      <c r="P231" s="202" t="s">
        <v>503</v>
      </c>
      <c r="Q231" s="202" t="s">
        <v>503</v>
      </c>
      <c r="R231" s="407">
        <f t="shared" si="36"/>
        <v>0</v>
      </c>
    </row>
    <row r="232" spans="5:18" ht="12.75" customHeight="1" x14ac:dyDescent="0.25">
      <c r="E232" s="117" t="s">
        <v>444</v>
      </c>
      <c r="F232" s="203">
        <f t="shared" si="45"/>
        <v>0</v>
      </c>
      <c r="G232" s="203">
        <f t="shared" si="45"/>
        <v>0</v>
      </c>
      <c r="H232" s="200">
        <f t="shared" si="47"/>
        <v>0</v>
      </c>
      <c r="I232" s="200">
        <f t="shared" si="47"/>
        <v>0</v>
      </c>
      <c r="J232" s="200">
        <f t="shared" si="46"/>
        <v>0</v>
      </c>
      <c r="K232" s="200">
        <f t="shared" si="46"/>
        <v>0</v>
      </c>
      <c r="L232" s="200">
        <f>+M174-K116</f>
        <v>0</v>
      </c>
      <c r="M232" s="200">
        <f>+N174-L116</f>
        <v>0</v>
      </c>
      <c r="N232" s="202" t="s">
        <v>503</v>
      </c>
      <c r="O232" s="202" t="s">
        <v>503</v>
      </c>
      <c r="P232" s="202" t="s">
        <v>503</v>
      </c>
      <c r="Q232" s="202" t="s">
        <v>503</v>
      </c>
      <c r="R232" s="407">
        <f t="shared" si="36"/>
        <v>0</v>
      </c>
    </row>
    <row r="233" spans="5:18" ht="12.75" customHeight="1" x14ac:dyDescent="0.25">
      <c r="E233" s="117" t="s">
        <v>53</v>
      </c>
      <c r="F233" s="203">
        <f t="shared" si="45"/>
        <v>0</v>
      </c>
      <c r="G233" s="203">
        <f t="shared" si="45"/>
        <v>0</v>
      </c>
      <c r="H233" s="200">
        <f t="shared" si="47"/>
        <v>0</v>
      </c>
      <c r="I233" s="200">
        <f t="shared" si="47"/>
        <v>0</v>
      </c>
      <c r="J233" s="200">
        <f t="shared" si="46"/>
        <v>0</v>
      </c>
      <c r="K233" s="200">
        <f t="shared" si="46"/>
        <v>0</v>
      </c>
      <c r="L233" s="202" t="s">
        <v>503</v>
      </c>
      <c r="M233" s="202" t="s">
        <v>503</v>
      </c>
      <c r="N233" s="202" t="s">
        <v>503</v>
      </c>
      <c r="O233" s="202" t="s">
        <v>503</v>
      </c>
      <c r="P233" s="202" t="s">
        <v>503</v>
      </c>
      <c r="Q233" s="202" t="s">
        <v>503</v>
      </c>
      <c r="R233" s="407">
        <f t="shared" si="36"/>
        <v>0</v>
      </c>
    </row>
    <row r="234" spans="5:18" ht="12.75" customHeight="1" x14ac:dyDescent="0.25">
      <c r="E234" s="117" t="s">
        <v>54</v>
      </c>
      <c r="F234" s="203">
        <f t="shared" si="45"/>
        <v>0</v>
      </c>
      <c r="G234" s="203">
        <f t="shared" si="45"/>
        <v>0</v>
      </c>
      <c r="H234" s="200">
        <f t="shared" si="47"/>
        <v>0</v>
      </c>
      <c r="I234" s="200">
        <f t="shared" si="47"/>
        <v>0</v>
      </c>
      <c r="J234" s="200">
        <f t="shared" si="46"/>
        <v>0</v>
      </c>
      <c r="K234" s="200">
        <f t="shared" si="46"/>
        <v>0</v>
      </c>
      <c r="L234" s="202">
        <f>+M176-K118</f>
        <v>0</v>
      </c>
      <c r="M234" s="202">
        <f>+N176-L118</f>
        <v>0</v>
      </c>
      <c r="N234" s="202" t="s">
        <v>503</v>
      </c>
      <c r="O234" s="202" t="s">
        <v>503</v>
      </c>
      <c r="P234" s="202" t="s">
        <v>503</v>
      </c>
      <c r="Q234" s="202" t="s">
        <v>503</v>
      </c>
      <c r="R234" s="407">
        <f t="shared" si="36"/>
        <v>0</v>
      </c>
    </row>
    <row r="235" spans="5:18" ht="12.75" customHeight="1" x14ac:dyDescent="0.25">
      <c r="E235" s="117" t="s">
        <v>55</v>
      </c>
      <c r="F235" s="203">
        <f t="shared" si="45"/>
        <v>0</v>
      </c>
      <c r="G235" s="203">
        <f t="shared" si="45"/>
        <v>0</v>
      </c>
      <c r="H235" s="200">
        <f t="shared" si="47"/>
        <v>0</v>
      </c>
      <c r="I235" s="200">
        <f t="shared" si="47"/>
        <v>0</v>
      </c>
      <c r="J235" s="200">
        <f t="shared" si="46"/>
        <v>0</v>
      </c>
      <c r="K235" s="200">
        <f t="shared" si="46"/>
        <v>0</v>
      </c>
      <c r="L235" s="202" t="s">
        <v>503</v>
      </c>
      <c r="M235" s="202" t="s">
        <v>503</v>
      </c>
      <c r="N235" s="202" t="s">
        <v>503</v>
      </c>
      <c r="O235" s="202" t="s">
        <v>503</v>
      </c>
      <c r="P235" s="202" t="s">
        <v>503</v>
      </c>
      <c r="Q235" s="202" t="s">
        <v>503</v>
      </c>
      <c r="R235" s="407">
        <f t="shared" si="36"/>
        <v>0</v>
      </c>
    </row>
    <row r="236" spans="5:18" ht="12.75" customHeight="1" x14ac:dyDescent="0.25">
      <c r="E236" s="117" t="s">
        <v>56</v>
      </c>
      <c r="F236" s="203">
        <f t="shared" si="45"/>
        <v>0</v>
      </c>
      <c r="G236" s="203">
        <f t="shared" si="45"/>
        <v>0</v>
      </c>
      <c r="H236" s="202" t="s">
        <v>503</v>
      </c>
      <c r="I236" s="202" t="s">
        <v>503</v>
      </c>
      <c r="J236" s="200">
        <f t="shared" si="46"/>
        <v>0</v>
      </c>
      <c r="K236" s="200">
        <f t="shared" si="46"/>
        <v>0</v>
      </c>
      <c r="L236" s="202" t="s">
        <v>503</v>
      </c>
      <c r="M236" s="202" t="s">
        <v>503</v>
      </c>
      <c r="N236" s="202" t="s">
        <v>503</v>
      </c>
      <c r="O236" s="202" t="s">
        <v>503</v>
      </c>
      <c r="P236" s="202" t="s">
        <v>503</v>
      </c>
      <c r="Q236" s="202" t="s">
        <v>503</v>
      </c>
      <c r="R236" s="407">
        <f t="shared" si="36"/>
        <v>0</v>
      </c>
    </row>
    <row r="237" spans="5:18" x14ac:dyDescent="0.25">
      <c r="E237" s="117" t="s">
        <v>57</v>
      </c>
      <c r="F237" s="203">
        <f t="shared" si="45"/>
        <v>0</v>
      </c>
      <c r="G237" s="203">
        <f t="shared" si="45"/>
        <v>0</v>
      </c>
      <c r="H237" s="202" t="s">
        <v>503</v>
      </c>
      <c r="I237" s="202" t="s">
        <v>503</v>
      </c>
      <c r="J237" s="200">
        <f t="shared" si="46"/>
        <v>0</v>
      </c>
      <c r="K237" s="200">
        <f t="shared" si="46"/>
        <v>0</v>
      </c>
      <c r="L237" s="200">
        <f>+M179-K121</f>
        <v>0</v>
      </c>
      <c r="M237" s="200">
        <f>+N179-L121</f>
        <v>0</v>
      </c>
      <c r="N237" s="202" t="s">
        <v>503</v>
      </c>
      <c r="O237" s="202" t="s">
        <v>503</v>
      </c>
      <c r="P237" s="202" t="s">
        <v>503</v>
      </c>
      <c r="Q237" s="202" t="s">
        <v>503</v>
      </c>
      <c r="R237" s="407">
        <f t="shared" si="36"/>
        <v>0</v>
      </c>
    </row>
    <row r="238" spans="5:18" x14ac:dyDescent="0.25">
      <c r="E238" s="356" t="s">
        <v>58</v>
      </c>
      <c r="F238" s="203">
        <f t="shared" si="45"/>
        <v>0</v>
      </c>
      <c r="G238" s="203">
        <f t="shared" si="45"/>
        <v>0</v>
      </c>
      <c r="H238" s="202" t="s">
        <v>503</v>
      </c>
      <c r="I238" s="202" t="s">
        <v>503</v>
      </c>
      <c r="J238" s="200">
        <f t="shared" si="46"/>
        <v>0</v>
      </c>
      <c r="K238" s="200">
        <f t="shared" si="46"/>
        <v>0</v>
      </c>
      <c r="L238" s="200">
        <f>+M180-K122</f>
        <v>0</v>
      </c>
      <c r="M238" s="200">
        <f>+N180-L122</f>
        <v>0</v>
      </c>
      <c r="N238" s="202" t="s">
        <v>503</v>
      </c>
      <c r="O238" s="202" t="s">
        <v>503</v>
      </c>
      <c r="P238" s="202" t="s">
        <v>503</v>
      </c>
      <c r="Q238" s="202" t="s">
        <v>503</v>
      </c>
      <c r="R238" s="407">
        <f t="shared" si="36"/>
        <v>0</v>
      </c>
    </row>
    <row r="239" spans="5:18" ht="13" thickBot="1" x14ac:dyDescent="0.3">
      <c r="E239" s="13" t="s">
        <v>526</v>
      </c>
      <c r="F239" s="204">
        <f>SUM(F185:F238)</f>
        <v>0</v>
      </c>
      <c r="G239" s="204">
        <f t="shared" ref="G239:P239" si="48">SUM(G185:G238)</f>
        <v>0</v>
      </c>
      <c r="H239" s="204">
        <f t="shared" si="48"/>
        <v>0</v>
      </c>
      <c r="I239" s="204">
        <f t="shared" si="48"/>
        <v>0</v>
      </c>
      <c r="J239" s="204">
        <f t="shared" si="48"/>
        <v>0</v>
      </c>
      <c r="K239" s="204">
        <f t="shared" si="48"/>
        <v>0</v>
      </c>
      <c r="L239" s="204">
        <f t="shared" si="48"/>
        <v>0</v>
      </c>
      <c r="M239" s="204">
        <f t="shared" si="48"/>
        <v>0</v>
      </c>
      <c r="N239" s="204">
        <f t="shared" si="48"/>
        <v>0</v>
      </c>
      <c r="O239" s="204">
        <f t="shared" si="48"/>
        <v>0</v>
      </c>
      <c r="P239" s="204">
        <f t="shared" si="48"/>
        <v>0</v>
      </c>
      <c r="Q239" s="204">
        <f>IF(AND('Analysis Inputs'!$N$150=3,SUM(P214:P217,P225)&lt;&gt;0),"INPUT ERROR",SUM(Q185:Q238))</f>
        <v>0</v>
      </c>
      <c r="R239" s="409">
        <f>IF(ROUND(SUM(F239,H239,J239,L239,N239,P239),8)&lt;&gt;0,"INPUT ERROR: Make sure tons managed equals tons generated",IF(Q239="INPUT ERROR","INPUT ERROR: Please select dry digestion",SUM(G239,I239,K239,M239,O239,Q239)))</f>
        <v>0</v>
      </c>
    </row>
    <row r="240" spans="5:18" x14ac:dyDescent="0.25">
      <c r="E240" s="478" t="s">
        <v>714</v>
      </c>
    </row>
    <row r="241" spans="5:5" x14ac:dyDescent="0.25">
      <c r="E241" s="45" t="s">
        <v>712</v>
      </c>
    </row>
    <row r="242" spans="5:5" x14ac:dyDescent="0.25">
      <c r="E242" s="137" t="s">
        <v>715</v>
      </c>
    </row>
    <row r="244" spans="5:5" x14ac:dyDescent="0.25">
      <c r="E244" s="816" t="s">
        <v>7</v>
      </c>
    </row>
    <row r="245" spans="5:5" x14ac:dyDescent="0.25">
      <c r="E245" s="46" t="s">
        <v>8</v>
      </c>
    </row>
  </sheetData>
  <sheetProtection password="CDE6" sheet="1"/>
  <phoneticPr fontId="14" type="noConversion"/>
  <conditionalFormatting sqref="R185:R239 S127:S181">
    <cfRule type="containsText" dxfId="6" priority="8" stopIfTrue="1" operator="containsText" text="INPUT ERROR">
      <formula>NOT(ISERROR(SEARCH("INPUT ERROR",R127)))</formula>
    </cfRule>
  </conditionalFormatting>
  <conditionalFormatting sqref="L4:L6 P69:Q123 R127:S181 Q185:R239">
    <cfRule type="containsText" dxfId="5" priority="1" stopIfTrue="1" operator="containsText" text="INPUT ERROR">
      <formula>NOT(ISERROR(SEARCH("INPUT ERROR",L4)))</formula>
    </cfRule>
  </conditionalFormatting>
  <printOptions horizontalCentered="1" verticalCentered="1" gridLinesSet="0"/>
  <pageMargins left="0.25" right="0.25" top="1" bottom="1" header="0.5" footer="0.5"/>
  <pageSetup orientation="landscape" horizontalDpi="360" r:id="rId1"/>
  <headerFooter alignWithMargins="0">
    <oddHeader>&amp;A</oddHeader>
    <oddFooter>&amp;L&amp;D&amp;CPage &amp;P of &amp;N</oddFooter>
  </headerFooter>
  <rowBreaks count="2" manualBreakCount="2">
    <brk id="66" min="4" max="16" man="1"/>
    <brk id="124" min="4" max="1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V134"/>
  <sheetViews>
    <sheetView showRowColHeaders="0" zoomScale="80" zoomScaleNormal="80" zoomScaleSheetLayoutView="75" workbookViewId="0">
      <selection activeCell="A11" sqref="A11"/>
    </sheetView>
  </sheetViews>
  <sheetFormatPr defaultColWidth="9.1796875" defaultRowHeight="12.5" x14ac:dyDescent="0.25"/>
  <cols>
    <col min="1" max="1" width="2.54296875" style="6" customWidth="1"/>
    <col min="2" max="2" width="3.453125" style="6" customWidth="1"/>
    <col min="3" max="3" width="3.7265625" style="6" hidden="1" customWidth="1"/>
    <col min="4" max="4" width="21.81640625" style="6" customWidth="1"/>
    <col min="5" max="5" width="11.26953125" style="6" customWidth="1"/>
    <col min="6" max="6" width="12.26953125" style="6" customWidth="1"/>
    <col min="7" max="7" width="11.81640625" style="6" customWidth="1"/>
    <col min="8" max="8" width="14.7265625" style="6" customWidth="1"/>
    <col min="9" max="9" width="17.453125" style="6" customWidth="1"/>
    <col min="10" max="10" width="15.1796875" style="6" customWidth="1"/>
    <col min="11" max="11" width="6.26953125" style="6" customWidth="1"/>
    <col min="12" max="12" width="21.7265625" style="6" customWidth="1"/>
    <col min="13" max="13" width="15.26953125" style="6" customWidth="1"/>
    <col min="14" max="14" width="11.453125" style="6" customWidth="1"/>
    <col min="15" max="15" width="13" style="6" customWidth="1"/>
    <col min="16" max="16" width="12.81640625" style="6" customWidth="1"/>
    <col min="17" max="17" width="15" style="6" customWidth="1"/>
    <col min="18" max="18" width="16.54296875" style="6" customWidth="1"/>
    <col min="19" max="19" width="14.54296875" style="6" customWidth="1"/>
    <col min="20" max="20" width="2.54296875" style="6" customWidth="1"/>
    <col min="21" max="21" width="15.54296875" style="6" customWidth="1"/>
    <col min="22" max="22" width="3.453125" style="6" customWidth="1"/>
    <col min="23" max="16384" width="9.1796875" style="6"/>
  </cols>
  <sheetData>
    <row r="1" spans="2:22" ht="13" thickBot="1" x14ac:dyDescent="0.3"/>
    <row r="2" spans="2:22" x14ac:dyDescent="0.25">
      <c r="B2" s="167"/>
      <c r="C2" s="160"/>
      <c r="D2" s="160"/>
      <c r="E2" s="160"/>
      <c r="F2" s="160"/>
      <c r="G2" s="160"/>
      <c r="H2" s="160"/>
      <c r="I2" s="160"/>
      <c r="J2" s="160"/>
      <c r="K2" s="160"/>
      <c r="L2" s="168"/>
    </row>
    <row r="3" spans="2:22" s="213" customFormat="1" ht="18" x14ac:dyDescent="0.4">
      <c r="B3" s="240"/>
      <c r="C3" s="241"/>
      <c r="D3" s="242" t="s">
        <v>134</v>
      </c>
      <c r="E3" s="241"/>
      <c r="F3" s="241"/>
      <c r="G3" s="241"/>
      <c r="H3" s="241"/>
      <c r="I3" s="241"/>
      <c r="J3" s="241"/>
      <c r="K3" s="241"/>
      <c r="L3" s="243"/>
    </row>
    <row r="4" spans="2:22" x14ac:dyDescent="0.25">
      <c r="B4" s="169"/>
      <c r="C4" s="152"/>
      <c r="D4" s="423" t="str">
        <f>'Analysis Inputs'!B2</f>
        <v>Version 14</v>
      </c>
      <c r="E4" s="152"/>
      <c r="F4" s="152"/>
      <c r="G4" s="152"/>
      <c r="H4" s="152"/>
      <c r="I4" s="152"/>
      <c r="J4" s="152"/>
      <c r="K4" s="152"/>
      <c r="L4" s="174"/>
    </row>
    <row r="5" spans="2:22" ht="13" x14ac:dyDescent="0.3">
      <c r="B5" s="169"/>
      <c r="C5" s="152"/>
      <c r="D5" s="170" t="str">
        <f>"GHG Emissions Waste Management Analysis for "&amp;'Analysis Inputs'!G184</f>
        <v xml:space="preserve">GHG Emissions Waste Management Analysis for </v>
      </c>
      <c r="E5" s="245"/>
      <c r="F5" s="245"/>
      <c r="G5" s="152"/>
      <c r="H5" s="152"/>
      <c r="I5" s="152"/>
      <c r="J5" s="152"/>
      <c r="K5" s="152"/>
      <c r="L5" s="174"/>
    </row>
    <row r="6" spans="2:22" ht="13" x14ac:dyDescent="0.3">
      <c r="B6" s="169"/>
      <c r="C6" s="152"/>
      <c r="D6" s="170" t="str">
        <f>"Prepared by:  "&amp;'Analysis Inputs'!G183</f>
        <v xml:space="preserve">Prepared by:  </v>
      </c>
      <c r="E6" s="246"/>
      <c r="F6" s="245"/>
      <c r="G6" s="245"/>
      <c r="H6" s="152"/>
      <c r="I6" s="152"/>
      <c r="J6" s="152"/>
      <c r="K6" s="152"/>
      <c r="L6" s="174"/>
    </row>
    <row r="7" spans="2:22" ht="13" x14ac:dyDescent="0.3">
      <c r="B7" s="169"/>
      <c r="C7" s="152"/>
      <c r="D7" s="247" t="str">
        <f>"Project Period for this Analysis:  "&amp;TEXT('Analysis Inputs'!G186,"mm/dd/yy")&amp;" to "&amp;TEXT('Analysis Inputs'!I186,"mm/dd/yy")</f>
        <v>Project Period for this Analysis:  01/00/00 to 01/00/00</v>
      </c>
      <c r="E7" s="245"/>
      <c r="F7" s="152"/>
      <c r="G7" s="248"/>
      <c r="H7" s="249"/>
      <c r="I7" s="249"/>
      <c r="J7" s="248"/>
      <c r="K7" s="152"/>
      <c r="L7" s="174"/>
    </row>
    <row r="8" spans="2:22" x14ac:dyDescent="0.25">
      <c r="B8" s="169"/>
      <c r="C8" s="152"/>
      <c r="D8" s="239" t="s">
        <v>147</v>
      </c>
      <c r="E8" s="152"/>
      <c r="F8" s="152"/>
      <c r="G8" s="152"/>
      <c r="H8" s="152"/>
      <c r="I8" s="152"/>
      <c r="J8" s="152"/>
      <c r="K8" s="152"/>
      <c r="L8" s="174"/>
    </row>
    <row r="9" spans="2:22" x14ac:dyDescent="0.25">
      <c r="B9" s="169"/>
      <c r="C9" s="152"/>
      <c r="D9" s="239" t="s">
        <v>146</v>
      </c>
      <c r="E9" s="152"/>
      <c r="F9" s="152"/>
      <c r="G9" s="152"/>
      <c r="H9" s="152"/>
      <c r="I9" s="152"/>
      <c r="J9" s="152"/>
      <c r="K9" s="152"/>
      <c r="L9" s="174"/>
    </row>
    <row r="10" spans="2:22" ht="13.5" thickBot="1" x14ac:dyDescent="0.35">
      <c r="B10" s="171"/>
      <c r="C10" s="162"/>
      <c r="D10" s="250"/>
      <c r="E10" s="251"/>
      <c r="F10" s="162"/>
      <c r="G10" s="252"/>
      <c r="H10" s="253"/>
      <c r="I10" s="253"/>
      <c r="J10" s="252"/>
      <c r="K10" s="162"/>
      <c r="L10" s="196"/>
    </row>
    <row r="11" spans="2:22" ht="13.5" thickBot="1" x14ac:dyDescent="0.35">
      <c r="D11" s="166"/>
      <c r="E11" s="214"/>
    </row>
    <row r="12" spans="2:22" x14ac:dyDescent="0.25">
      <c r="B12" s="167"/>
      <c r="C12" s="160"/>
      <c r="D12" s="160"/>
      <c r="E12" s="160"/>
      <c r="F12" s="160"/>
      <c r="G12" s="160"/>
      <c r="H12" s="160"/>
      <c r="I12" s="160"/>
      <c r="J12" s="160"/>
      <c r="K12" s="160"/>
      <c r="L12" s="160"/>
      <c r="M12" s="160"/>
      <c r="N12" s="160"/>
      <c r="O12" s="160"/>
      <c r="P12" s="160"/>
      <c r="Q12" s="160"/>
      <c r="R12" s="160"/>
      <c r="S12" s="160"/>
      <c r="T12" s="160"/>
      <c r="U12" s="160"/>
      <c r="V12" s="168"/>
    </row>
    <row r="13" spans="2:22" ht="13" x14ac:dyDescent="0.3">
      <c r="B13" s="169"/>
      <c r="C13" s="152"/>
      <c r="D13" s="170" t="s">
        <v>488</v>
      </c>
      <c r="E13" s="157"/>
      <c r="F13" s="157"/>
      <c r="G13" s="157"/>
      <c r="H13" s="157"/>
      <c r="I13" s="157"/>
      <c r="J13" s="738">
        <f>'Analysis Results (MTCE)'!L4</f>
        <v>25828.125670437501</v>
      </c>
      <c r="K13" s="152"/>
      <c r="L13" s="170" t="s">
        <v>487</v>
      </c>
      <c r="M13" s="157"/>
      <c r="N13" s="157"/>
      <c r="O13" s="157"/>
      <c r="P13" s="157"/>
      <c r="Q13" s="313"/>
      <c r="R13" s="313"/>
      <c r="S13" s="738">
        <f>'Analysis Results (MTCE)'!L5</f>
        <v>25828.125670437501</v>
      </c>
      <c r="T13" s="152"/>
      <c r="U13" s="152"/>
      <c r="V13" s="174"/>
    </row>
    <row r="14" spans="2:22" ht="13.5" thickBot="1" x14ac:dyDescent="0.35">
      <c r="B14" s="169"/>
      <c r="C14" s="152"/>
      <c r="D14" s="170"/>
      <c r="E14" s="157"/>
      <c r="F14" s="157"/>
      <c r="G14" s="157"/>
      <c r="H14" s="157"/>
      <c r="I14" s="157"/>
      <c r="J14" s="220"/>
      <c r="K14" s="152"/>
      <c r="L14" s="170"/>
      <c r="M14" s="157"/>
      <c r="N14" s="157"/>
      <c r="O14" s="157"/>
      <c r="P14" s="157"/>
      <c r="Q14" s="157"/>
      <c r="R14" s="157"/>
      <c r="S14" s="221"/>
      <c r="T14" s="152"/>
      <c r="U14" s="152"/>
      <c r="V14" s="174"/>
    </row>
    <row r="15" spans="2:22" ht="21.5" thickBot="1" x14ac:dyDescent="0.3">
      <c r="B15" s="169"/>
      <c r="C15" s="167"/>
      <c r="D15" s="641" t="s">
        <v>496</v>
      </c>
      <c r="E15" s="222" t="s">
        <v>148</v>
      </c>
      <c r="F15" s="222" t="s">
        <v>541</v>
      </c>
      <c r="G15" s="222" t="s">
        <v>542</v>
      </c>
      <c r="H15" s="222" t="s">
        <v>543</v>
      </c>
      <c r="I15" s="670" t="s">
        <v>761</v>
      </c>
      <c r="J15" s="254" t="s">
        <v>149</v>
      </c>
      <c r="K15" s="152"/>
      <c r="L15" s="641" t="s">
        <v>496</v>
      </c>
      <c r="M15" s="223" t="s">
        <v>555</v>
      </c>
      <c r="N15" s="222" t="s">
        <v>540</v>
      </c>
      <c r="O15" s="222" t="s">
        <v>541</v>
      </c>
      <c r="P15" s="222" t="s">
        <v>542</v>
      </c>
      <c r="Q15" s="222" t="s">
        <v>543</v>
      </c>
      <c r="R15" s="670" t="s">
        <v>761</v>
      </c>
      <c r="S15" s="254" t="s">
        <v>149</v>
      </c>
      <c r="T15" s="152"/>
      <c r="U15" s="431" t="s">
        <v>179</v>
      </c>
      <c r="V15" s="174"/>
    </row>
    <row r="16" spans="2:22" ht="12" customHeight="1" x14ac:dyDescent="0.25">
      <c r="B16" s="169"/>
      <c r="C16" s="255">
        <v>1</v>
      </c>
      <c r="D16" s="225" t="str">
        <f t="shared" ref="D16:D69" si="0">IF(ISERROR(VLOOKUP($C16,GHGBaseline_MTCE,2,FALSE)),"",VLOOKUP($C16,GHGBaseline_MTCE,2,FALSE))</f>
        <v>Aluminum Cans</v>
      </c>
      <c r="E16" s="256">
        <f t="shared" ref="E16:E69" si="1">IF(ISERROR(VLOOKUP($C16,GHGBaseline_MTCE,4,FALSE)),"",VLOOKUP($C16,GHGBaseline_MTCE,4,FALSE))</f>
        <v>0</v>
      </c>
      <c r="F16" s="256">
        <f t="shared" ref="F16:F69" si="2">IF(ISERROR(VLOOKUP($C16,GHGBaseline_MTCE,6,FALSE)),"",VLOOKUP($C16,GHGBaseline_MTCE,6,FALSE))</f>
        <v>2581.9310711278504</v>
      </c>
      <c r="G16" s="256">
        <f t="shared" ref="G16:G69" si="3">IF(ISERROR(VLOOKUP($C16,GHGBaseline_MTCE,8,FALSE)),"",VLOOKUP($C16,GHGBaseline_MTCE,8,FALSE))</f>
        <v>0</v>
      </c>
      <c r="H16" s="256" t="str">
        <f>IF(ISERROR(VLOOKUP($C16,GHGBaseline_MTCE,10,FALSE)),"",VLOOKUP($C16,GHGBaseline_MTCE,10,FALSE))</f>
        <v>NA</v>
      </c>
      <c r="I16" s="671" t="str">
        <f t="shared" ref="I16:I47" si="4">IF(ISERROR(VLOOKUP($C16,GHGBaseline_MTCE,12,FALSE)),"",VLOOKUP($C16,GHGBaseline_MTCE,12,FALSE))</f>
        <v>NA</v>
      </c>
      <c r="J16" s="388">
        <f t="shared" ref="J16:J47" si="5">IF(ISERROR(VLOOKUP($C16,GHGBaseline_MTCE,14,FALSE)),"0",VLOOKUP($C16,GHGBaseline_MTCE,14,FALSE))</f>
        <v>14.262483354929415</v>
      </c>
      <c r="K16" s="152"/>
      <c r="L16" s="226" t="str">
        <f t="shared" ref="L16:L47" si="6">IF(ISERROR(VLOOKUP($C81,GHGAlternative_MTCE,2,FALSE)),"",VLOOKUP($C81,GHGAlternative_MTCE,2,FALSE))</f>
        <v>Aluminum Cans</v>
      </c>
      <c r="M16" s="256">
        <f t="shared" ref="M16:M47" si="7">IF(ISERROR(VLOOKUP($C81,GHGAlternative_MTCE,4,FALSE)),"",VLOOKUP($C81,GHGAlternative_MTCE,4,FALSE))</f>
        <v>0</v>
      </c>
      <c r="N16" s="256">
        <f t="shared" ref="N16:N47" si="8">IF(ISERROR(VLOOKUP($C81,GHGAlternative_MTCE,6,FALSE)),"",VLOOKUP($C81,GHGAlternative_MTCE,6,FALSE))</f>
        <v>0</v>
      </c>
      <c r="O16" s="256">
        <f t="shared" ref="O16:O47" si="9">IF(ISERROR(VLOOKUP($C81,GHGAlternative_MTCE,8,FALSE)),"",VLOOKUP($C81,GHGAlternative_MTCE,8,FALSE))</f>
        <v>2581.9310711278504</v>
      </c>
      <c r="P16" s="256">
        <f t="shared" ref="P16:P47" si="10">IF(ISERROR(VLOOKUP($C81,GHGAlternative_MTCE,10,FALSE)),"",VLOOKUP($C81,GHGAlternative_MTCE,10,FALSE))</f>
        <v>0</v>
      </c>
      <c r="Q16" s="256" t="str">
        <f t="shared" ref="Q16:Q47" si="11">IF(ISERROR(VLOOKUP($C81,GHGAlternative_MTCE,12,FALSE)),"",VLOOKUP($C81,GHGAlternative_MTCE,12,FALSE))</f>
        <v>NA</v>
      </c>
      <c r="R16" s="671" t="str">
        <f t="shared" ref="R16:R47" si="12">IF(ISERROR(VLOOKUP($C81,GHGAlternative_MTCE,14,FALSE)),"",VLOOKUP($C81,GHGAlternative_MTCE,14,FALSE))</f>
        <v>NA</v>
      </c>
      <c r="S16" s="388">
        <f t="shared" ref="S16:S47" si="13">IF(ISERROR(VLOOKUP($C81,GHGAlternative_MTCE,16,FALSE)),"0",VLOOKUP($C81,GHGAlternative_MTCE,16,FALSE))</f>
        <v>14.262483354929415</v>
      </c>
      <c r="T16" s="257"/>
      <c r="U16" s="389">
        <f>IF(SUM(E16:I16)&lt;&gt;SUM(M16:R16),"INPUT ERROR",IF(AND('Analysis Inputs'!$N$148=2,S16="INPUT ERROR"),"INPUT ERROR",S16-J16))</f>
        <v>0</v>
      </c>
      <c r="V16" s="259"/>
    </row>
    <row r="17" spans="2:22" ht="12" customHeight="1" x14ac:dyDescent="0.25">
      <c r="B17" s="169"/>
      <c r="C17" s="255">
        <v>2</v>
      </c>
      <c r="D17" s="225" t="str">
        <f t="shared" si="0"/>
        <v>Aluminum Ingot</v>
      </c>
      <c r="E17" s="256">
        <f t="shared" si="1"/>
        <v>0</v>
      </c>
      <c r="F17" s="256">
        <f t="shared" si="2"/>
        <v>1647.4287121844873</v>
      </c>
      <c r="G17" s="256">
        <f t="shared" si="3"/>
        <v>0</v>
      </c>
      <c r="H17" s="256" t="str">
        <f t="shared" ref="H17:H69" si="14">IF(ISERROR(VLOOKUP($C17,GHGBaseline_MTCE,10,FALSE)),"",VLOOKUP($C17,GHGBaseline_MTCE,10,FALSE))</f>
        <v>NA</v>
      </c>
      <c r="I17" s="671" t="str">
        <f t="shared" si="4"/>
        <v>NA</v>
      </c>
      <c r="J17" s="388">
        <f t="shared" si="5"/>
        <v>9.1003299230990873</v>
      </c>
      <c r="K17" s="152"/>
      <c r="L17" s="226" t="str">
        <f t="shared" si="6"/>
        <v>Aluminum Ingot</v>
      </c>
      <c r="M17" s="256">
        <f t="shared" si="7"/>
        <v>0</v>
      </c>
      <c r="N17" s="256">
        <f t="shared" si="8"/>
        <v>0</v>
      </c>
      <c r="O17" s="256">
        <f t="shared" si="9"/>
        <v>1647.4287121844873</v>
      </c>
      <c r="P17" s="256">
        <f t="shared" si="10"/>
        <v>0</v>
      </c>
      <c r="Q17" s="256" t="str">
        <f t="shared" si="11"/>
        <v>NA</v>
      </c>
      <c r="R17" s="671" t="str">
        <f t="shared" si="12"/>
        <v>NA</v>
      </c>
      <c r="S17" s="388">
        <f t="shared" si="13"/>
        <v>9.1003299230990873</v>
      </c>
      <c r="T17" s="257"/>
      <c r="U17" s="389">
        <f>IF(SUM(E17:I17)&lt;&gt;SUM(M17:R17),"INPUT ERROR",IF(AND('Analysis Inputs'!$N$148=2,S17="INPUT ERROR"),"INPUT ERROR",S17-J17))</f>
        <v>0</v>
      </c>
      <c r="V17" s="259"/>
    </row>
    <row r="18" spans="2:22" ht="12" customHeight="1" x14ac:dyDescent="0.25">
      <c r="B18" s="169"/>
      <c r="C18" s="255">
        <v>3</v>
      </c>
      <c r="D18" s="225" t="str">
        <f t="shared" si="0"/>
        <v>Steel Cans</v>
      </c>
      <c r="E18" s="256">
        <f t="shared" si="1"/>
        <v>0</v>
      </c>
      <c r="F18" s="256">
        <f t="shared" si="2"/>
        <v>4001.7125772610179</v>
      </c>
      <c r="G18" s="256">
        <f t="shared" si="3"/>
        <v>0</v>
      </c>
      <c r="H18" s="256" t="str">
        <f t="shared" si="14"/>
        <v>NA</v>
      </c>
      <c r="I18" s="671" t="str">
        <f t="shared" si="4"/>
        <v>NA</v>
      </c>
      <c r="J18" s="388">
        <f t="shared" si="5"/>
        <v>22.105299271008615</v>
      </c>
      <c r="K18" s="152"/>
      <c r="L18" s="226" t="str">
        <f t="shared" si="6"/>
        <v>Steel Cans</v>
      </c>
      <c r="M18" s="256">
        <f t="shared" si="7"/>
        <v>0</v>
      </c>
      <c r="N18" s="256">
        <f t="shared" si="8"/>
        <v>0</v>
      </c>
      <c r="O18" s="256">
        <f t="shared" si="9"/>
        <v>4001.7125772610179</v>
      </c>
      <c r="P18" s="256">
        <f t="shared" si="10"/>
        <v>0</v>
      </c>
      <c r="Q18" s="256" t="str">
        <f t="shared" si="11"/>
        <v>NA</v>
      </c>
      <c r="R18" s="671" t="str">
        <f t="shared" si="12"/>
        <v>NA</v>
      </c>
      <c r="S18" s="388">
        <f t="shared" si="13"/>
        <v>22.105299271008615</v>
      </c>
      <c r="T18" s="257"/>
      <c r="U18" s="389">
        <f>IF(SUM(E18:I18)&lt;&gt;SUM(M18:R18),"INPUT ERROR",IF(AND('Analysis Inputs'!$N$148=2,S18="INPUT ERROR"),"INPUT ERROR",S18-J18))</f>
        <v>0</v>
      </c>
      <c r="V18" s="259"/>
    </row>
    <row r="19" spans="2:22" ht="12" customHeight="1" x14ac:dyDescent="0.25">
      <c r="B19" s="169"/>
      <c r="C19" s="255">
        <v>4</v>
      </c>
      <c r="D19" s="225" t="str">
        <f t="shared" si="0"/>
        <v>Glass</v>
      </c>
      <c r="E19" s="256">
        <f t="shared" si="1"/>
        <v>0</v>
      </c>
      <c r="F19" s="256">
        <f t="shared" si="2"/>
        <v>22379.467981121063</v>
      </c>
      <c r="G19" s="256">
        <f t="shared" si="3"/>
        <v>0</v>
      </c>
      <c r="H19" s="256" t="str">
        <f t="shared" si="14"/>
        <v>NA</v>
      </c>
      <c r="I19" s="671" t="str">
        <f t="shared" si="4"/>
        <v>NA</v>
      </c>
      <c r="J19" s="388">
        <f t="shared" si="5"/>
        <v>123.62328070729107</v>
      </c>
      <c r="K19" s="152"/>
      <c r="L19" s="226" t="str">
        <f t="shared" si="6"/>
        <v>Glass</v>
      </c>
      <c r="M19" s="256">
        <f t="shared" si="7"/>
        <v>0</v>
      </c>
      <c r="N19" s="256">
        <f t="shared" si="8"/>
        <v>0</v>
      </c>
      <c r="O19" s="256">
        <f t="shared" si="9"/>
        <v>22379.467981121063</v>
      </c>
      <c r="P19" s="256">
        <f t="shared" si="10"/>
        <v>0</v>
      </c>
      <c r="Q19" s="256" t="str">
        <f t="shared" si="11"/>
        <v>NA</v>
      </c>
      <c r="R19" s="671" t="str">
        <f t="shared" si="12"/>
        <v>NA</v>
      </c>
      <c r="S19" s="388">
        <f t="shared" si="13"/>
        <v>123.62328070729107</v>
      </c>
      <c r="T19" s="257"/>
      <c r="U19" s="389">
        <f>IF(SUM(E19:I19)&lt;&gt;SUM(M19:R19),"INPUT ERROR",IF(AND('Analysis Inputs'!$N$148=2,S19="INPUT ERROR"),"INPUT ERROR",S19-J19))</f>
        <v>0</v>
      </c>
      <c r="V19" s="259"/>
    </row>
    <row r="20" spans="2:22" ht="12" customHeight="1" x14ac:dyDescent="0.25">
      <c r="B20" s="169"/>
      <c r="C20" s="255">
        <v>5</v>
      </c>
      <c r="D20" s="225" t="str">
        <f t="shared" si="0"/>
        <v>HDPE</v>
      </c>
      <c r="E20" s="256">
        <f t="shared" si="1"/>
        <v>0</v>
      </c>
      <c r="F20" s="256">
        <f t="shared" si="2"/>
        <v>4378.1563584420928</v>
      </c>
      <c r="G20" s="256">
        <f t="shared" si="3"/>
        <v>0</v>
      </c>
      <c r="H20" s="256" t="str">
        <f t="shared" si="14"/>
        <v>NA</v>
      </c>
      <c r="I20" s="671" t="str">
        <f t="shared" si="4"/>
        <v>NA</v>
      </c>
      <c r="J20" s="388">
        <f t="shared" si="5"/>
        <v>24.184759572331242</v>
      </c>
      <c r="K20" s="152"/>
      <c r="L20" s="226" t="str">
        <f t="shared" si="6"/>
        <v>HDPE</v>
      </c>
      <c r="M20" s="256">
        <f t="shared" si="7"/>
        <v>0</v>
      </c>
      <c r="N20" s="256">
        <f t="shared" si="8"/>
        <v>0</v>
      </c>
      <c r="O20" s="256">
        <f t="shared" si="9"/>
        <v>4378.1563584420928</v>
      </c>
      <c r="P20" s="256">
        <f t="shared" si="10"/>
        <v>0</v>
      </c>
      <c r="Q20" s="256" t="str">
        <f t="shared" si="11"/>
        <v>NA</v>
      </c>
      <c r="R20" s="671" t="str">
        <f t="shared" si="12"/>
        <v>NA</v>
      </c>
      <c r="S20" s="388">
        <f t="shared" si="13"/>
        <v>24.184759572331242</v>
      </c>
      <c r="T20" s="152"/>
      <c r="U20" s="389">
        <f>IF(SUM(E20:I20)&lt;&gt;SUM(M20:R20),"INPUT ERROR",IF(AND('Analysis Inputs'!$N$148=2,S20="INPUT ERROR"),"INPUT ERROR",S20-J20))</f>
        <v>0</v>
      </c>
      <c r="V20" s="259"/>
    </row>
    <row r="21" spans="2:22" ht="12" customHeight="1" x14ac:dyDescent="0.25">
      <c r="B21" s="169"/>
      <c r="C21" s="255">
        <v>6</v>
      </c>
      <c r="D21" s="225" t="str">
        <f t="shared" si="0"/>
        <v>LDPE</v>
      </c>
      <c r="E21" s="256" t="str">
        <f t="shared" si="1"/>
        <v>NA</v>
      </c>
      <c r="F21" s="256">
        <f t="shared" si="2"/>
        <v>4168.741080644736</v>
      </c>
      <c r="G21" s="256">
        <f t="shared" si="3"/>
        <v>0</v>
      </c>
      <c r="H21" s="256" t="str">
        <f t="shared" si="14"/>
        <v>NA</v>
      </c>
      <c r="I21" s="671" t="str">
        <f t="shared" si="4"/>
        <v>NA</v>
      </c>
      <c r="J21" s="388">
        <f t="shared" si="5"/>
        <v>23.027958003438847</v>
      </c>
      <c r="K21" s="152"/>
      <c r="L21" s="226" t="str">
        <f t="shared" si="6"/>
        <v>LDPE</v>
      </c>
      <c r="M21" s="256">
        <f t="shared" si="7"/>
        <v>0</v>
      </c>
      <c r="N21" s="256" t="str">
        <f t="shared" si="8"/>
        <v>NA</v>
      </c>
      <c r="O21" s="256">
        <f t="shared" si="9"/>
        <v>4168.741080644736</v>
      </c>
      <c r="P21" s="256">
        <f t="shared" si="10"/>
        <v>0</v>
      </c>
      <c r="Q21" s="256" t="str">
        <f t="shared" si="11"/>
        <v>NA</v>
      </c>
      <c r="R21" s="671" t="str">
        <f t="shared" si="12"/>
        <v>NA</v>
      </c>
      <c r="S21" s="388">
        <f t="shared" si="13"/>
        <v>23.027958003438847</v>
      </c>
      <c r="T21" s="152"/>
      <c r="U21" s="389">
        <f>IF(SUM(E21:I21)&lt;&gt;SUM(M21:R21),"INPUT ERROR",IF(AND('Analysis Inputs'!$N$148=2,S21="INPUT ERROR"),"INPUT ERROR",S21-J21))</f>
        <v>0</v>
      </c>
      <c r="V21" s="259"/>
    </row>
    <row r="22" spans="2:22" ht="12" customHeight="1" x14ac:dyDescent="0.25">
      <c r="B22" s="169"/>
      <c r="C22" s="255">
        <v>7</v>
      </c>
      <c r="D22" s="225" t="str">
        <f t="shared" si="0"/>
        <v>PET</v>
      </c>
      <c r="E22" s="256">
        <f t="shared" si="1"/>
        <v>0</v>
      </c>
      <c r="F22" s="256">
        <f t="shared" si="2"/>
        <v>7088.1162615431676</v>
      </c>
      <c r="G22" s="256">
        <f t="shared" si="3"/>
        <v>0</v>
      </c>
      <c r="H22" s="256" t="str">
        <f t="shared" si="14"/>
        <v>NA</v>
      </c>
      <c r="I22" s="671" t="str">
        <f t="shared" si="4"/>
        <v>NA</v>
      </c>
      <c r="J22" s="388">
        <f t="shared" si="5"/>
        <v>39.154469043940651</v>
      </c>
      <c r="K22" s="152"/>
      <c r="L22" s="226" t="str">
        <f t="shared" si="6"/>
        <v>PET</v>
      </c>
      <c r="M22" s="256">
        <f t="shared" si="7"/>
        <v>0</v>
      </c>
      <c r="N22" s="256">
        <f t="shared" si="8"/>
        <v>0</v>
      </c>
      <c r="O22" s="256">
        <f t="shared" si="9"/>
        <v>7088.1162615431676</v>
      </c>
      <c r="P22" s="256">
        <f t="shared" si="10"/>
        <v>0</v>
      </c>
      <c r="Q22" s="256" t="str">
        <f t="shared" si="11"/>
        <v>NA</v>
      </c>
      <c r="R22" s="671" t="str">
        <f t="shared" si="12"/>
        <v>NA</v>
      </c>
      <c r="S22" s="388">
        <f t="shared" si="13"/>
        <v>39.154469043940651</v>
      </c>
      <c r="T22" s="152"/>
      <c r="U22" s="389">
        <f>IF(SUM(E22:I22)&lt;&gt;SUM(M22:R22),"INPUT ERROR",IF(AND('Analysis Inputs'!$N$148=2,S22="INPUT ERROR"),"INPUT ERROR",S22-J22))</f>
        <v>0</v>
      </c>
      <c r="V22" s="259"/>
    </row>
    <row r="23" spans="2:22" ht="12" customHeight="1" x14ac:dyDescent="0.25">
      <c r="B23" s="169"/>
      <c r="C23" s="255">
        <v>8</v>
      </c>
      <c r="D23" s="225" t="str">
        <f t="shared" si="0"/>
        <v>LLDPE</v>
      </c>
      <c r="E23" s="256" t="str">
        <f t="shared" si="1"/>
        <v>NA</v>
      </c>
      <c r="F23" s="256">
        <f t="shared" si="2"/>
        <v>12601.65494719689</v>
      </c>
      <c r="G23" s="256">
        <f t="shared" si="3"/>
        <v>0</v>
      </c>
      <c r="H23" s="256" t="str">
        <f t="shared" si="14"/>
        <v>NA</v>
      </c>
      <c r="I23" s="671" t="str">
        <f t="shared" si="4"/>
        <v>NA</v>
      </c>
      <c r="J23" s="388">
        <f t="shared" si="5"/>
        <v>69.61103491056744</v>
      </c>
      <c r="K23" s="152"/>
      <c r="L23" s="226" t="str">
        <f t="shared" si="6"/>
        <v>LLDPE</v>
      </c>
      <c r="M23" s="256">
        <f t="shared" si="7"/>
        <v>0</v>
      </c>
      <c r="N23" s="256" t="str">
        <f t="shared" si="8"/>
        <v>NA</v>
      </c>
      <c r="O23" s="256">
        <f t="shared" si="9"/>
        <v>12601.65494719689</v>
      </c>
      <c r="P23" s="256">
        <f t="shared" si="10"/>
        <v>0</v>
      </c>
      <c r="Q23" s="256" t="str">
        <f t="shared" si="11"/>
        <v>NA</v>
      </c>
      <c r="R23" s="671" t="str">
        <f t="shared" si="12"/>
        <v>NA</v>
      </c>
      <c r="S23" s="388">
        <f t="shared" si="13"/>
        <v>69.61103491056744</v>
      </c>
      <c r="T23" s="152"/>
      <c r="U23" s="389">
        <f>IF(SUM(E23:I23)&lt;&gt;SUM(M23:R23),"INPUT ERROR",IF(AND('Analysis Inputs'!$N$148=2,S23="INPUT ERROR"),"INPUT ERROR",S23-J23))</f>
        <v>0</v>
      </c>
      <c r="V23" s="259"/>
    </row>
    <row r="24" spans="2:22" ht="12" customHeight="1" x14ac:dyDescent="0.25">
      <c r="B24" s="169"/>
      <c r="C24" s="255">
        <v>9</v>
      </c>
      <c r="D24" s="225" t="str">
        <f t="shared" si="0"/>
        <v>PS</v>
      </c>
      <c r="E24" s="256" t="str">
        <f t="shared" si="1"/>
        <v>NA</v>
      </c>
      <c r="F24" s="256">
        <f t="shared" si="2"/>
        <v>5327.0221948308408</v>
      </c>
      <c r="G24" s="256">
        <f t="shared" si="3"/>
        <v>0</v>
      </c>
      <c r="H24" s="256" t="str">
        <f t="shared" si="14"/>
        <v>NA</v>
      </c>
      <c r="I24" s="671" t="str">
        <f t="shared" si="4"/>
        <v>NA</v>
      </c>
      <c r="J24" s="388">
        <f t="shared" si="5"/>
        <v>29.426256275666574</v>
      </c>
      <c r="K24" s="152"/>
      <c r="L24" s="226" t="str">
        <f t="shared" si="6"/>
        <v>PS</v>
      </c>
      <c r="M24" s="256">
        <f t="shared" si="7"/>
        <v>0</v>
      </c>
      <c r="N24" s="256" t="str">
        <f t="shared" si="8"/>
        <v>NA</v>
      </c>
      <c r="O24" s="256">
        <f t="shared" si="9"/>
        <v>5327.0221948308408</v>
      </c>
      <c r="P24" s="256">
        <f t="shared" si="10"/>
        <v>0</v>
      </c>
      <c r="Q24" s="256" t="str">
        <f t="shared" si="11"/>
        <v>NA</v>
      </c>
      <c r="R24" s="671" t="str">
        <f t="shared" si="12"/>
        <v>NA</v>
      </c>
      <c r="S24" s="388">
        <f t="shared" si="13"/>
        <v>29.426256275666574</v>
      </c>
      <c r="T24" s="152"/>
      <c r="U24" s="389">
        <f>IF(SUM(E24:I24)&lt;&gt;SUM(M24:R24),"INPUT ERROR",IF(AND('Analysis Inputs'!$N$148=2,S24="INPUT ERROR"),"INPUT ERROR",S24-J24))</f>
        <v>0</v>
      </c>
      <c r="V24" s="259"/>
    </row>
    <row r="25" spans="2:22" ht="12" customHeight="1" x14ac:dyDescent="0.25">
      <c r="B25" s="169"/>
      <c r="C25" s="255">
        <v>10</v>
      </c>
      <c r="D25" s="225" t="str">
        <f t="shared" si="0"/>
        <v>Corrugated Containers</v>
      </c>
      <c r="E25" s="256">
        <f t="shared" si="1"/>
        <v>0</v>
      </c>
      <c r="F25" s="256">
        <f t="shared" si="2"/>
        <v>27908.476920644473</v>
      </c>
      <c r="G25" s="256">
        <f t="shared" si="3"/>
        <v>0</v>
      </c>
      <c r="H25" s="256" t="str">
        <f t="shared" si="14"/>
        <v>NA</v>
      </c>
      <c r="I25" s="671" t="str">
        <f t="shared" si="4"/>
        <v>NA</v>
      </c>
      <c r="J25" s="388">
        <f t="shared" si="5"/>
        <v>3386.3373214084127</v>
      </c>
      <c r="K25" s="152"/>
      <c r="L25" s="226" t="str">
        <f t="shared" si="6"/>
        <v>Corrugated Containers</v>
      </c>
      <c r="M25" s="256">
        <f t="shared" si="7"/>
        <v>0</v>
      </c>
      <c r="N25" s="256">
        <f t="shared" si="8"/>
        <v>0</v>
      </c>
      <c r="O25" s="256">
        <f t="shared" si="9"/>
        <v>27908.476920644473</v>
      </c>
      <c r="P25" s="256">
        <f t="shared" si="10"/>
        <v>0</v>
      </c>
      <c r="Q25" s="256" t="str">
        <f t="shared" si="11"/>
        <v>NA</v>
      </c>
      <c r="R25" s="671" t="str">
        <f t="shared" si="12"/>
        <v>NA</v>
      </c>
      <c r="S25" s="388">
        <f t="shared" si="13"/>
        <v>3386.3373214084127</v>
      </c>
      <c r="T25" s="152"/>
      <c r="U25" s="389">
        <f>IF(SUM(E25:I25)&lt;&gt;SUM(M25:R25),"INPUT ERROR",IF(AND('Analysis Inputs'!$N$148=2,S25="INPUT ERROR"),"INPUT ERROR",S25-J25))</f>
        <v>0</v>
      </c>
      <c r="V25" s="259"/>
    </row>
    <row r="26" spans="2:22" ht="12" customHeight="1" x14ac:dyDescent="0.25">
      <c r="B26" s="169"/>
      <c r="C26" s="255">
        <v>11</v>
      </c>
      <c r="D26" s="225" t="str">
        <f t="shared" si="0"/>
        <v>Newspaper</v>
      </c>
      <c r="E26" s="256">
        <f t="shared" si="1"/>
        <v>0</v>
      </c>
      <c r="F26" s="256">
        <f t="shared" si="2"/>
        <v>12962.300300440122</v>
      </c>
      <c r="G26" s="256">
        <f t="shared" si="3"/>
        <v>0</v>
      </c>
      <c r="H26" s="256" t="str">
        <f t="shared" si="14"/>
        <v>NA</v>
      </c>
      <c r="I26" s="671" t="str">
        <f t="shared" si="4"/>
        <v>NA</v>
      </c>
      <c r="J26" s="388">
        <f t="shared" si="5"/>
        <v>-2658.9239273445701</v>
      </c>
      <c r="K26" s="152"/>
      <c r="L26" s="226" t="str">
        <f t="shared" si="6"/>
        <v>Newspaper</v>
      </c>
      <c r="M26" s="256">
        <f t="shared" si="7"/>
        <v>0</v>
      </c>
      <c r="N26" s="256">
        <f t="shared" si="8"/>
        <v>0</v>
      </c>
      <c r="O26" s="256">
        <f t="shared" si="9"/>
        <v>12962.300300440122</v>
      </c>
      <c r="P26" s="256">
        <f t="shared" si="10"/>
        <v>0</v>
      </c>
      <c r="Q26" s="256" t="str">
        <f t="shared" si="11"/>
        <v>NA</v>
      </c>
      <c r="R26" s="671" t="str">
        <f t="shared" si="12"/>
        <v>NA</v>
      </c>
      <c r="S26" s="388">
        <f t="shared" si="13"/>
        <v>-2658.9239273445701</v>
      </c>
      <c r="T26" s="152"/>
      <c r="U26" s="389">
        <f>IF(SUM(E26:I26)&lt;&gt;SUM(M26:R26),"INPUT ERROR",IF(AND('Analysis Inputs'!$N$148=2,S26="INPUT ERROR"),"INPUT ERROR",S26-J26))</f>
        <v>0</v>
      </c>
      <c r="V26" s="259"/>
    </row>
    <row r="27" spans="2:22" ht="12" customHeight="1" x14ac:dyDescent="0.25">
      <c r="B27" s="169"/>
      <c r="C27" s="255">
        <v>12</v>
      </c>
      <c r="D27" s="225" t="str">
        <f t="shared" si="0"/>
        <v>Office Paper</v>
      </c>
      <c r="E27" s="256">
        <f t="shared" si="1"/>
        <v>0</v>
      </c>
      <c r="F27" s="256">
        <f t="shared" si="2"/>
        <v>6726.271332146167</v>
      </c>
      <c r="G27" s="256">
        <f t="shared" si="3"/>
        <v>0</v>
      </c>
      <c r="H27" s="256" t="str">
        <f t="shared" si="14"/>
        <v>NA</v>
      </c>
      <c r="I27" s="671" t="str">
        <f t="shared" si="4"/>
        <v>NA</v>
      </c>
      <c r="J27" s="388">
        <f t="shared" si="5"/>
        <v>2750.1610637453723</v>
      </c>
      <c r="K27" s="152"/>
      <c r="L27" s="226" t="str">
        <f t="shared" si="6"/>
        <v>Office Paper</v>
      </c>
      <c r="M27" s="256">
        <f t="shared" si="7"/>
        <v>0</v>
      </c>
      <c r="N27" s="256">
        <f t="shared" si="8"/>
        <v>0</v>
      </c>
      <c r="O27" s="256">
        <f t="shared" si="9"/>
        <v>6726.271332146167</v>
      </c>
      <c r="P27" s="256">
        <f t="shared" si="10"/>
        <v>0</v>
      </c>
      <c r="Q27" s="256" t="str">
        <f t="shared" si="11"/>
        <v>NA</v>
      </c>
      <c r="R27" s="671" t="str">
        <f t="shared" si="12"/>
        <v>NA</v>
      </c>
      <c r="S27" s="388">
        <f t="shared" si="13"/>
        <v>2750.1610637453723</v>
      </c>
      <c r="T27" s="152"/>
      <c r="U27" s="389">
        <f>IF(SUM(E27:I27)&lt;&gt;SUM(M27:R27),"INPUT ERROR",IF(AND('Analysis Inputs'!$N$148=2,S27="INPUT ERROR"),"INPUT ERROR",S27-J27))</f>
        <v>0</v>
      </c>
      <c r="V27" s="259"/>
    </row>
    <row r="28" spans="2:22" ht="12" customHeight="1" x14ac:dyDescent="0.25">
      <c r="B28" s="169"/>
      <c r="C28" s="255">
        <v>13</v>
      </c>
      <c r="D28" s="225" t="str">
        <f t="shared" si="0"/>
        <v>Dimensional Lumber</v>
      </c>
      <c r="E28" s="256">
        <f t="shared" si="1"/>
        <v>0</v>
      </c>
      <c r="F28" s="256">
        <f t="shared" si="2"/>
        <v>103846.1137708187</v>
      </c>
      <c r="G28" s="256">
        <f t="shared" si="3"/>
        <v>0</v>
      </c>
      <c r="H28" s="256" t="str">
        <f t="shared" si="14"/>
        <v>NA</v>
      </c>
      <c r="I28" s="671" t="str">
        <f t="shared" si="4"/>
        <v>NA</v>
      </c>
      <c r="J28" s="388">
        <f t="shared" si="5"/>
        <v>-28655.154435404249</v>
      </c>
      <c r="K28" s="152"/>
      <c r="L28" s="226" t="str">
        <f t="shared" si="6"/>
        <v>Dimensional Lumber</v>
      </c>
      <c r="M28" s="256">
        <f t="shared" si="7"/>
        <v>0</v>
      </c>
      <c r="N28" s="256">
        <f t="shared" si="8"/>
        <v>0</v>
      </c>
      <c r="O28" s="256">
        <f t="shared" si="9"/>
        <v>103846.1137708187</v>
      </c>
      <c r="P28" s="256">
        <f t="shared" si="10"/>
        <v>0</v>
      </c>
      <c r="Q28" s="256" t="str">
        <f t="shared" si="11"/>
        <v>NA</v>
      </c>
      <c r="R28" s="671" t="str">
        <f t="shared" si="12"/>
        <v>NA</v>
      </c>
      <c r="S28" s="388">
        <f t="shared" si="13"/>
        <v>-28655.154435404249</v>
      </c>
      <c r="T28" s="152"/>
      <c r="U28" s="389">
        <f>IF(SUM(E28:I28)&lt;&gt;SUM(M28:R28),"INPUT ERROR",IF(AND('Analysis Inputs'!$N$148=2,S28="INPUT ERROR"),"INPUT ERROR",S28-J28))</f>
        <v>0</v>
      </c>
      <c r="V28" s="259"/>
    </row>
    <row r="29" spans="2:22" ht="12" customHeight="1" x14ac:dyDescent="0.25">
      <c r="B29" s="169"/>
      <c r="C29" s="255">
        <v>14</v>
      </c>
      <c r="D29" s="225" t="str">
        <f t="shared" si="0"/>
        <v>Food Waste (non-meat)</v>
      </c>
      <c r="E29" s="256" t="str">
        <f t="shared" si="1"/>
        <v>NA</v>
      </c>
      <c r="F29" s="256">
        <f t="shared" si="2"/>
        <v>107960.23499957993</v>
      </c>
      <c r="G29" s="256">
        <f t="shared" si="3"/>
        <v>0</v>
      </c>
      <c r="H29" s="256">
        <f t="shared" si="14"/>
        <v>0</v>
      </c>
      <c r="I29" s="671">
        <f t="shared" si="4"/>
        <v>0</v>
      </c>
      <c r="J29" s="388">
        <f t="shared" si="5"/>
        <v>14172.470585468584</v>
      </c>
      <c r="K29" s="152"/>
      <c r="L29" s="226" t="str">
        <f t="shared" si="6"/>
        <v>Food Waste (non-meat)</v>
      </c>
      <c r="M29" s="256">
        <f t="shared" si="7"/>
        <v>0</v>
      </c>
      <c r="N29" s="256" t="str">
        <f t="shared" si="8"/>
        <v>NA</v>
      </c>
      <c r="O29" s="256">
        <f t="shared" si="9"/>
        <v>107960.23499957993</v>
      </c>
      <c r="P29" s="256">
        <f t="shared" si="10"/>
        <v>0</v>
      </c>
      <c r="Q29" s="256">
        <f t="shared" si="11"/>
        <v>0</v>
      </c>
      <c r="R29" s="671">
        <f t="shared" si="12"/>
        <v>0</v>
      </c>
      <c r="S29" s="388">
        <f t="shared" si="13"/>
        <v>14172.470585468584</v>
      </c>
      <c r="T29" s="152"/>
      <c r="U29" s="389">
        <f>IF(SUM(E29:I29)&lt;&gt;SUM(M29:R29),"INPUT ERROR",IF(AND('Analysis Inputs'!$N$148=2,S29="INPUT ERROR"),"INPUT ERROR",S29-J29))</f>
        <v>0</v>
      </c>
      <c r="V29" s="259"/>
    </row>
    <row r="30" spans="2:22" ht="12" customHeight="1" x14ac:dyDescent="0.25">
      <c r="B30" s="169"/>
      <c r="C30" s="255">
        <v>15</v>
      </c>
      <c r="D30" s="225" t="str">
        <f t="shared" si="0"/>
        <v>Food Waste (meat only)</v>
      </c>
      <c r="E30" s="256" t="str">
        <f t="shared" si="1"/>
        <v>NA</v>
      </c>
      <c r="F30" s="256">
        <f t="shared" si="2"/>
        <v>65275.449706659572</v>
      </c>
      <c r="G30" s="256">
        <f t="shared" si="3"/>
        <v>0</v>
      </c>
      <c r="H30" s="256">
        <f t="shared" si="14"/>
        <v>0</v>
      </c>
      <c r="I30" s="671">
        <f t="shared" si="4"/>
        <v>0</v>
      </c>
      <c r="J30" s="388">
        <f t="shared" si="5"/>
        <v>8569.0290589351371</v>
      </c>
      <c r="K30" s="152"/>
      <c r="L30" s="226" t="str">
        <f t="shared" si="6"/>
        <v>Food Waste (meat only)</v>
      </c>
      <c r="M30" s="256">
        <f t="shared" si="7"/>
        <v>0</v>
      </c>
      <c r="N30" s="256" t="str">
        <f t="shared" si="8"/>
        <v>NA</v>
      </c>
      <c r="O30" s="256">
        <f t="shared" si="9"/>
        <v>65275.449706659572</v>
      </c>
      <c r="P30" s="256">
        <f t="shared" si="10"/>
        <v>0</v>
      </c>
      <c r="Q30" s="256">
        <f t="shared" si="11"/>
        <v>0</v>
      </c>
      <c r="R30" s="671">
        <f t="shared" si="12"/>
        <v>0</v>
      </c>
      <c r="S30" s="388">
        <f t="shared" si="13"/>
        <v>8569.0290589351371</v>
      </c>
      <c r="T30" s="152"/>
      <c r="U30" s="389">
        <f>IF(SUM(E30:I30)&lt;&gt;SUM(M30:R30),"INPUT ERROR",IF(AND('Analysis Inputs'!$N$148=2,S30="INPUT ERROR"),"INPUT ERROR",S30-J30))</f>
        <v>0</v>
      </c>
      <c r="V30" s="259"/>
    </row>
    <row r="31" spans="2:22" ht="12" customHeight="1" x14ac:dyDescent="0.25">
      <c r="B31" s="169"/>
      <c r="C31" s="255">
        <v>16</v>
      </c>
      <c r="D31" s="225" t="str">
        <f t="shared" si="0"/>
        <v>Yard Trimmings</v>
      </c>
      <c r="E31" s="256" t="str">
        <f t="shared" si="1"/>
        <v>NA</v>
      </c>
      <c r="F31" s="256">
        <f t="shared" si="2"/>
        <v>34800.561320441149</v>
      </c>
      <c r="G31" s="256">
        <f t="shared" si="3"/>
        <v>0</v>
      </c>
      <c r="H31" s="256">
        <f t="shared" si="14"/>
        <v>0</v>
      </c>
      <c r="I31" s="671">
        <f t="shared" si="4"/>
        <v>0</v>
      </c>
      <c r="J31" s="388">
        <f t="shared" si="5"/>
        <v>-1952.3590280354576</v>
      </c>
      <c r="K31" s="152"/>
      <c r="L31" s="226" t="str">
        <f t="shared" si="6"/>
        <v>Yard Trimmings</v>
      </c>
      <c r="M31" s="256" t="str">
        <f t="shared" si="7"/>
        <v>NA</v>
      </c>
      <c r="N31" s="256" t="str">
        <f t="shared" si="8"/>
        <v>NA</v>
      </c>
      <c r="O31" s="256">
        <f t="shared" si="9"/>
        <v>34800.561320441149</v>
      </c>
      <c r="P31" s="256">
        <f t="shared" si="10"/>
        <v>0</v>
      </c>
      <c r="Q31" s="256">
        <f t="shared" si="11"/>
        <v>0</v>
      </c>
      <c r="R31" s="671">
        <f t="shared" si="12"/>
        <v>0</v>
      </c>
      <c r="S31" s="388">
        <f t="shared" si="13"/>
        <v>-1952.3590280354576</v>
      </c>
      <c r="T31" s="152"/>
      <c r="U31" s="389">
        <f>IF(SUM(E31:I31)&lt;&gt;SUM(M31:R31),"INPUT ERROR",IF(AND('Analysis Inputs'!$N$148=2,S31="INPUT ERROR"),"INPUT ERROR",S31-J31))</f>
        <v>0</v>
      </c>
      <c r="V31" s="259"/>
    </row>
    <row r="32" spans="2:22" ht="12" customHeight="1" x14ac:dyDescent="0.25">
      <c r="B32" s="169"/>
      <c r="C32" s="255">
        <v>17</v>
      </c>
      <c r="D32" s="225" t="str">
        <f t="shared" si="0"/>
        <v>Branches</v>
      </c>
      <c r="E32" s="256" t="str">
        <f t="shared" si="1"/>
        <v>NA</v>
      </c>
      <c r="F32" s="256">
        <f t="shared" si="2"/>
        <v>2781.912059757693</v>
      </c>
      <c r="G32" s="256">
        <f t="shared" si="3"/>
        <v>0</v>
      </c>
      <c r="H32" s="256">
        <f t="shared" si="14"/>
        <v>0</v>
      </c>
      <c r="I32" s="671">
        <f t="shared" si="4"/>
        <v>0</v>
      </c>
      <c r="J32" s="388">
        <f t="shared" si="5"/>
        <v>-295.74060085216678</v>
      </c>
      <c r="K32" s="152"/>
      <c r="L32" s="226" t="str">
        <f t="shared" si="6"/>
        <v>Branches</v>
      </c>
      <c r="M32" s="256" t="str">
        <f t="shared" si="7"/>
        <v>NA</v>
      </c>
      <c r="N32" s="256" t="str">
        <f t="shared" si="8"/>
        <v>NA</v>
      </c>
      <c r="O32" s="256">
        <f t="shared" si="9"/>
        <v>2781.912059757693</v>
      </c>
      <c r="P32" s="256">
        <f t="shared" si="10"/>
        <v>0</v>
      </c>
      <c r="Q32" s="256">
        <f t="shared" si="11"/>
        <v>0</v>
      </c>
      <c r="R32" s="671">
        <f t="shared" si="12"/>
        <v>0</v>
      </c>
      <c r="S32" s="388">
        <f t="shared" si="13"/>
        <v>-295.74060085216678</v>
      </c>
      <c r="T32" s="152"/>
      <c r="U32" s="389">
        <f>IF(SUM(E32:I32)&lt;&gt;SUM(M32:R32),"INPUT ERROR",IF(AND('Analysis Inputs'!$N$148=2,S32="INPUT ERROR"),"INPUT ERROR",S32-J32))</f>
        <v>0</v>
      </c>
      <c r="V32" s="259"/>
    </row>
    <row r="33" spans="2:22" ht="12" customHeight="1" x14ac:dyDescent="0.25">
      <c r="B33" s="169"/>
      <c r="C33" s="255">
        <v>18</v>
      </c>
      <c r="D33" s="225" t="str">
        <f t="shared" si="0"/>
        <v>Mixed Paper (general)</v>
      </c>
      <c r="E33" s="256">
        <f t="shared" si="1"/>
        <v>0</v>
      </c>
      <c r="F33" s="256">
        <f t="shared" si="2"/>
        <v>93768.529977279337</v>
      </c>
      <c r="G33" s="256">
        <f t="shared" si="3"/>
        <v>0</v>
      </c>
      <c r="H33" s="256" t="str">
        <f t="shared" si="14"/>
        <v>NA</v>
      </c>
      <c r="I33" s="671" t="str">
        <f t="shared" si="4"/>
        <v>NA</v>
      </c>
      <c r="J33" s="388">
        <f t="shared" si="5"/>
        <v>7315.7915188868501</v>
      </c>
      <c r="K33" s="152"/>
      <c r="L33" s="226" t="str">
        <f t="shared" si="6"/>
        <v>Mixed Paper (general)</v>
      </c>
      <c r="M33" s="256">
        <f t="shared" si="7"/>
        <v>0</v>
      </c>
      <c r="N33" s="256">
        <f t="shared" si="8"/>
        <v>0</v>
      </c>
      <c r="O33" s="256">
        <f t="shared" si="9"/>
        <v>93768.529977279337</v>
      </c>
      <c r="P33" s="256">
        <f t="shared" si="10"/>
        <v>0</v>
      </c>
      <c r="Q33" s="256" t="str">
        <f t="shared" si="11"/>
        <v>NA</v>
      </c>
      <c r="R33" s="671" t="str">
        <f t="shared" si="12"/>
        <v>NA</v>
      </c>
      <c r="S33" s="388">
        <f t="shared" si="13"/>
        <v>7315.7915188868501</v>
      </c>
      <c r="T33" s="152"/>
      <c r="U33" s="389">
        <f>IF(SUM(E33:I33)&lt;&gt;SUM(M33:R33),"INPUT ERROR",IF(AND('Analysis Inputs'!$N$148=2,S33="INPUT ERROR"),"INPUT ERROR",S33-J33))</f>
        <v>0</v>
      </c>
      <c r="V33" s="259"/>
    </row>
    <row r="34" spans="2:22" ht="12" customHeight="1" x14ac:dyDescent="0.25">
      <c r="B34" s="169"/>
      <c r="C34" s="255">
        <v>19</v>
      </c>
      <c r="D34" s="225" t="str">
        <f t="shared" si="0"/>
        <v>Mixed Metals</v>
      </c>
      <c r="E34" s="256">
        <f t="shared" si="1"/>
        <v>0</v>
      </c>
      <c r="F34" s="256">
        <f t="shared" si="2"/>
        <v>31048.613761431894</v>
      </c>
      <c r="G34" s="256">
        <f t="shared" si="3"/>
        <v>0</v>
      </c>
      <c r="H34" s="256" t="str">
        <f t="shared" si="14"/>
        <v>NA</v>
      </c>
      <c r="I34" s="671" t="str">
        <f t="shared" si="4"/>
        <v>NA</v>
      </c>
      <c r="J34" s="388">
        <f t="shared" si="5"/>
        <v>171.51129320141598</v>
      </c>
      <c r="K34" s="152"/>
      <c r="L34" s="226" t="str">
        <f t="shared" si="6"/>
        <v>Mixed Metals</v>
      </c>
      <c r="M34" s="256">
        <f t="shared" si="7"/>
        <v>0</v>
      </c>
      <c r="N34" s="256">
        <f t="shared" si="8"/>
        <v>0</v>
      </c>
      <c r="O34" s="256">
        <f t="shared" si="9"/>
        <v>31048.613761431894</v>
      </c>
      <c r="P34" s="256">
        <f t="shared" si="10"/>
        <v>0</v>
      </c>
      <c r="Q34" s="256" t="str">
        <f t="shared" si="11"/>
        <v>NA</v>
      </c>
      <c r="R34" s="671" t="str">
        <f t="shared" si="12"/>
        <v>NA</v>
      </c>
      <c r="S34" s="388">
        <f t="shared" si="13"/>
        <v>171.51129320141598</v>
      </c>
      <c r="T34" s="152"/>
      <c r="U34" s="389">
        <f>IF(SUM(E34:I34)&lt;&gt;SUM(M34:R34),"INPUT ERROR",IF(AND('Analysis Inputs'!$N$148=2,S34="INPUT ERROR"),"INPUT ERROR",S34-J34))</f>
        <v>0</v>
      </c>
      <c r="V34" s="259"/>
    </row>
    <row r="35" spans="2:22" ht="12" customHeight="1" x14ac:dyDescent="0.25">
      <c r="B35" s="169"/>
      <c r="C35" s="255">
        <v>20</v>
      </c>
      <c r="D35" s="225" t="str">
        <f t="shared" si="0"/>
        <v>Mixed Plastics</v>
      </c>
      <c r="E35" s="256">
        <f t="shared" si="1"/>
        <v>0</v>
      </c>
      <c r="F35" s="256">
        <f t="shared" si="2"/>
        <v>65431.449481739066</v>
      </c>
      <c r="G35" s="256">
        <f t="shared" si="3"/>
        <v>0</v>
      </c>
      <c r="H35" s="256" t="str">
        <f t="shared" si="14"/>
        <v>NA</v>
      </c>
      <c r="I35" s="671" t="str">
        <f t="shared" si="4"/>
        <v>NA</v>
      </c>
      <c r="J35" s="388">
        <f t="shared" si="5"/>
        <v>361.44069435384165</v>
      </c>
      <c r="K35" s="228"/>
      <c r="L35" s="226" t="str">
        <f t="shared" si="6"/>
        <v>Mixed Plastics</v>
      </c>
      <c r="M35" s="256">
        <f t="shared" si="7"/>
        <v>0</v>
      </c>
      <c r="N35" s="256">
        <f t="shared" si="8"/>
        <v>0</v>
      </c>
      <c r="O35" s="256">
        <f t="shared" si="9"/>
        <v>65431.449481739066</v>
      </c>
      <c r="P35" s="256">
        <f t="shared" si="10"/>
        <v>0</v>
      </c>
      <c r="Q35" s="256" t="str">
        <f t="shared" si="11"/>
        <v>NA</v>
      </c>
      <c r="R35" s="671" t="str">
        <f t="shared" si="12"/>
        <v>NA</v>
      </c>
      <c r="S35" s="388">
        <f t="shared" si="13"/>
        <v>361.44069435384165</v>
      </c>
      <c r="T35" s="152"/>
      <c r="U35" s="389">
        <f>IF(SUM(E35:I35)&lt;&gt;SUM(M35:R35),"INPUT ERROR",IF(AND('Analysis Inputs'!$N$148=2,S35="INPUT ERROR"),"INPUT ERROR",S35-J35))</f>
        <v>0</v>
      </c>
      <c r="V35" s="259"/>
    </row>
    <row r="36" spans="2:22" ht="12" customHeight="1" x14ac:dyDescent="0.25">
      <c r="B36" s="169"/>
      <c r="C36" s="255">
        <v>21</v>
      </c>
      <c r="D36" s="225" t="str">
        <f t="shared" si="0"/>
        <v>Mixed MSW</v>
      </c>
      <c r="E36" s="256" t="str">
        <f t="shared" si="1"/>
        <v>NA</v>
      </c>
      <c r="F36" s="256">
        <f t="shared" si="2"/>
        <v>186408.24273021927</v>
      </c>
      <c r="G36" s="256">
        <f t="shared" si="3"/>
        <v>0</v>
      </c>
      <c r="H36" s="256" t="str">
        <f t="shared" si="14"/>
        <v>NA</v>
      </c>
      <c r="I36" s="671" t="str">
        <f t="shared" si="4"/>
        <v>NA</v>
      </c>
      <c r="J36" s="388">
        <f t="shared" si="5"/>
        <v>22416.960223449863</v>
      </c>
      <c r="K36" s="152"/>
      <c r="L36" s="226" t="str">
        <f t="shared" si="6"/>
        <v>Mixed MSW</v>
      </c>
      <c r="M36" s="256" t="str">
        <f t="shared" si="7"/>
        <v>NA</v>
      </c>
      <c r="N36" s="256" t="str">
        <f t="shared" si="8"/>
        <v>NA</v>
      </c>
      <c r="O36" s="256">
        <f t="shared" si="9"/>
        <v>186408.24273021927</v>
      </c>
      <c r="P36" s="256">
        <f t="shared" si="10"/>
        <v>0</v>
      </c>
      <c r="Q36" s="256" t="str">
        <f t="shared" si="11"/>
        <v>NA</v>
      </c>
      <c r="R36" s="671" t="str">
        <f t="shared" si="12"/>
        <v>NA</v>
      </c>
      <c r="S36" s="388">
        <f t="shared" si="13"/>
        <v>22416.960223449863</v>
      </c>
      <c r="T36" s="152"/>
      <c r="U36" s="389">
        <f>IF(SUM(E36:I36)&lt;&gt;SUM(M36:R36),"INPUT ERROR",IF(AND('Analysis Inputs'!$N$148=2,S36="INPUT ERROR"),"INPUT ERROR",S36-J36))</f>
        <v>0</v>
      </c>
      <c r="V36" s="259"/>
    </row>
    <row r="37" spans="2:22" ht="12" customHeight="1" x14ac:dyDescent="0.25">
      <c r="B37" s="169"/>
      <c r="C37" s="255">
        <v>22</v>
      </c>
      <c r="D37" s="225" t="str">
        <f t="shared" si="0"/>
        <v>Carpet</v>
      </c>
      <c r="E37" s="256">
        <f t="shared" si="1"/>
        <v>0</v>
      </c>
      <c r="F37" s="256">
        <f t="shared" si="2"/>
        <v>17777.945134258178</v>
      </c>
      <c r="G37" s="256">
        <f t="shared" si="3"/>
        <v>0</v>
      </c>
      <c r="H37" s="256" t="str">
        <f t="shared" si="14"/>
        <v>NA</v>
      </c>
      <c r="I37" s="671" t="str">
        <f t="shared" si="4"/>
        <v>NA</v>
      </c>
      <c r="J37" s="388">
        <f t="shared" si="5"/>
        <v>98.204653639899661</v>
      </c>
      <c r="K37" s="152"/>
      <c r="L37" s="226" t="str">
        <f t="shared" si="6"/>
        <v>Carpet</v>
      </c>
      <c r="M37" s="256">
        <f t="shared" si="7"/>
        <v>0</v>
      </c>
      <c r="N37" s="256">
        <f t="shared" si="8"/>
        <v>0</v>
      </c>
      <c r="O37" s="256">
        <f t="shared" si="9"/>
        <v>17777.945134258178</v>
      </c>
      <c r="P37" s="256">
        <f t="shared" si="10"/>
        <v>0</v>
      </c>
      <c r="Q37" s="256" t="str">
        <f t="shared" si="11"/>
        <v>NA</v>
      </c>
      <c r="R37" s="671" t="str">
        <f t="shared" si="12"/>
        <v>NA</v>
      </c>
      <c r="S37" s="388">
        <f t="shared" si="13"/>
        <v>98.204653639899661</v>
      </c>
      <c r="T37" s="152"/>
      <c r="U37" s="389">
        <f>IF(SUM(E37:I37)&lt;&gt;SUM(M37:R37),"INPUT ERROR",IF(AND('Analysis Inputs'!$N$148=2,S37="INPUT ERROR"),"INPUT ERROR",S37-J37))</f>
        <v>0</v>
      </c>
      <c r="V37" s="259"/>
    </row>
    <row r="38" spans="2:22" ht="12" customHeight="1" x14ac:dyDescent="0.25">
      <c r="B38" s="169"/>
      <c r="C38" s="255">
        <v>23</v>
      </c>
      <c r="D38" s="225" t="str">
        <f t="shared" si="0"/>
        <v>Personal Computers</v>
      </c>
      <c r="E38" s="256">
        <f t="shared" si="1"/>
        <v>0</v>
      </c>
      <c r="F38" s="256">
        <f t="shared" si="2"/>
        <v>3566.6261698317612</v>
      </c>
      <c r="G38" s="256">
        <f t="shared" si="3"/>
        <v>0</v>
      </c>
      <c r="H38" s="256" t="str">
        <f t="shared" si="14"/>
        <v>NA</v>
      </c>
      <c r="I38" s="671" t="str">
        <f t="shared" si="4"/>
        <v>NA</v>
      </c>
      <c r="J38" s="388">
        <f t="shared" si="5"/>
        <v>19.701899461731315</v>
      </c>
      <c r="K38" s="152"/>
      <c r="L38" s="226" t="str">
        <f t="shared" si="6"/>
        <v>Personal Computers</v>
      </c>
      <c r="M38" s="256">
        <f t="shared" si="7"/>
        <v>0</v>
      </c>
      <c r="N38" s="256">
        <f t="shared" si="8"/>
        <v>0</v>
      </c>
      <c r="O38" s="256">
        <f t="shared" si="9"/>
        <v>3566.6261698317612</v>
      </c>
      <c r="P38" s="256">
        <f t="shared" si="10"/>
        <v>0</v>
      </c>
      <c r="Q38" s="256" t="str">
        <f t="shared" si="11"/>
        <v>NA</v>
      </c>
      <c r="R38" s="671" t="str">
        <f t="shared" si="12"/>
        <v>NA</v>
      </c>
      <c r="S38" s="388">
        <f t="shared" si="13"/>
        <v>19.701899461731315</v>
      </c>
      <c r="T38" s="152"/>
      <c r="U38" s="389">
        <f>IF(SUM(E38:I38)&lt;&gt;SUM(M38:R38),"INPUT ERROR",IF(AND('Analysis Inputs'!$N$148=2,S38="INPUT ERROR"),"INPUT ERROR",S38-J38))</f>
        <v>0</v>
      </c>
      <c r="V38" s="259"/>
    </row>
    <row r="39" spans="2:22" ht="12" customHeight="1" x14ac:dyDescent="0.25">
      <c r="B39" s="169"/>
      <c r="C39" s="255">
        <v>24</v>
      </c>
      <c r="D39" s="225" t="str">
        <f t="shared" si="0"/>
        <v>Fly Ash</v>
      </c>
      <c r="E39" s="256">
        <f t="shared" si="1"/>
        <v>0</v>
      </c>
      <c r="F39" s="256">
        <f t="shared" si="2"/>
        <v>48.934699796860542</v>
      </c>
      <c r="G39" s="256" t="str">
        <f t="shared" si="3"/>
        <v>NA</v>
      </c>
      <c r="H39" s="256" t="str">
        <f t="shared" si="14"/>
        <v>NA</v>
      </c>
      <c r="I39" s="671" t="str">
        <f t="shared" si="4"/>
        <v>NA</v>
      </c>
      <c r="J39" s="388">
        <f t="shared" si="5"/>
        <v>0.27031331282841659</v>
      </c>
      <c r="K39" s="152"/>
      <c r="L39" s="226" t="str">
        <f t="shared" si="6"/>
        <v>Fly Ash</v>
      </c>
      <c r="M39" s="256" t="str">
        <f t="shared" si="7"/>
        <v>NA</v>
      </c>
      <c r="N39" s="256">
        <f t="shared" si="8"/>
        <v>0</v>
      </c>
      <c r="O39" s="256">
        <f t="shared" si="9"/>
        <v>48.934699796860542</v>
      </c>
      <c r="P39" s="256" t="str">
        <f t="shared" si="10"/>
        <v>NA</v>
      </c>
      <c r="Q39" s="256" t="str">
        <f t="shared" si="11"/>
        <v>NA</v>
      </c>
      <c r="R39" s="671" t="str">
        <f t="shared" si="12"/>
        <v>NA</v>
      </c>
      <c r="S39" s="388">
        <f t="shared" si="13"/>
        <v>0.27031331282841659</v>
      </c>
      <c r="T39" s="152"/>
      <c r="U39" s="389">
        <f>IF(SUM(E39:I39)&lt;&gt;SUM(M39:R39),"INPUT ERROR",IF(AND('Analysis Inputs'!$N$148=2,S39="INPUT ERROR"),"INPUT ERROR",S39-J39))</f>
        <v>0</v>
      </c>
      <c r="V39" s="259"/>
    </row>
    <row r="40" spans="2:22" ht="12" customHeight="1" x14ac:dyDescent="0.25">
      <c r="B40" s="169"/>
      <c r="C40" s="255">
        <v>25</v>
      </c>
      <c r="D40" s="225" t="str">
        <f t="shared" si="0"/>
        <v>Tires</v>
      </c>
      <c r="E40" s="256">
        <f t="shared" si="1"/>
        <v>0</v>
      </c>
      <c r="F40" s="256">
        <f t="shared" si="2"/>
        <v>667.21647161788258</v>
      </c>
      <c r="G40" s="256">
        <f t="shared" si="3"/>
        <v>0</v>
      </c>
      <c r="H40" s="256" t="str">
        <f t="shared" si="14"/>
        <v>NA</v>
      </c>
      <c r="I40" s="671" t="str">
        <f t="shared" si="4"/>
        <v>NA</v>
      </c>
      <c r="J40" s="388">
        <f t="shared" si="5"/>
        <v>3.6856769442833706</v>
      </c>
      <c r="K40" s="152"/>
      <c r="L40" s="226" t="str">
        <f t="shared" si="6"/>
        <v>Tires</v>
      </c>
      <c r="M40" s="256">
        <f t="shared" si="7"/>
        <v>0</v>
      </c>
      <c r="N40" s="256">
        <f t="shared" si="8"/>
        <v>0</v>
      </c>
      <c r="O40" s="256">
        <f t="shared" si="9"/>
        <v>667.21647161788258</v>
      </c>
      <c r="P40" s="256">
        <f t="shared" si="10"/>
        <v>0</v>
      </c>
      <c r="Q40" s="256" t="str">
        <f t="shared" si="11"/>
        <v>NA</v>
      </c>
      <c r="R40" s="671" t="str">
        <f t="shared" si="12"/>
        <v>NA</v>
      </c>
      <c r="S40" s="388">
        <f t="shared" si="13"/>
        <v>3.6856769442833706</v>
      </c>
      <c r="T40" s="152"/>
      <c r="U40" s="389">
        <f>IF(SUM(E40:I40)&lt;&gt;SUM(M40:R40),"INPUT ERROR",IF(AND('Analysis Inputs'!$N$148=2,S40="INPUT ERROR"),"INPUT ERROR",S40-J40))</f>
        <v>0</v>
      </c>
      <c r="V40" s="259"/>
    </row>
    <row r="41" spans="2:22" ht="12" customHeight="1" x14ac:dyDescent="0.25">
      <c r="B41" s="169"/>
      <c r="C41" s="255">
        <v>26</v>
      </c>
      <c r="D41" s="225" t="str">
        <f t="shared" si="0"/>
        <v>Asphalt Shingles</v>
      </c>
      <c r="E41" s="256">
        <f t="shared" si="1"/>
        <v>0</v>
      </c>
      <c r="F41" s="256">
        <f t="shared" si="2"/>
        <v>3002.42668852621</v>
      </c>
      <c r="G41" s="256">
        <f t="shared" si="3"/>
        <v>0</v>
      </c>
      <c r="H41" s="256" t="str">
        <f t="shared" si="14"/>
        <v>NA</v>
      </c>
      <c r="I41" s="671" t="str">
        <f t="shared" si="4"/>
        <v>NA</v>
      </c>
      <c r="J41" s="388">
        <f t="shared" si="5"/>
        <v>16.585284227125086</v>
      </c>
      <c r="K41" s="152"/>
      <c r="L41" s="226" t="str">
        <f t="shared" si="6"/>
        <v>Asphalt Shingles</v>
      </c>
      <c r="M41" s="256">
        <f t="shared" si="7"/>
        <v>0</v>
      </c>
      <c r="N41" s="256">
        <f t="shared" si="8"/>
        <v>0</v>
      </c>
      <c r="O41" s="256">
        <f t="shared" si="9"/>
        <v>3002.42668852621</v>
      </c>
      <c r="P41" s="256">
        <f t="shared" si="10"/>
        <v>0</v>
      </c>
      <c r="Q41" s="256" t="str">
        <f t="shared" si="11"/>
        <v>NA</v>
      </c>
      <c r="R41" s="671" t="str">
        <f t="shared" si="12"/>
        <v>NA</v>
      </c>
      <c r="S41" s="388">
        <f t="shared" si="13"/>
        <v>16.585284227125086</v>
      </c>
      <c r="T41" s="152"/>
      <c r="U41" s="389">
        <f>IF(SUM(E41:I41)&lt;&gt;SUM(M41:R41),"INPUT ERROR",IF(AND('Analysis Inputs'!$N$148=2,S41="INPUT ERROR"),"INPUT ERROR",S41-J41))</f>
        <v>0</v>
      </c>
      <c r="V41" s="259"/>
    </row>
    <row r="42" spans="2:22" ht="12" customHeight="1" x14ac:dyDescent="0.25">
      <c r="B42" s="169"/>
      <c r="C42" s="255">
        <v>27</v>
      </c>
      <c r="D42" s="225" t="str">
        <f t="shared" si="0"/>
        <v>Drywall</v>
      </c>
      <c r="E42" s="256">
        <f t="shared" si="1"/>
        <v>0</v>
      </c>
      <c r="F42" s="256">
        <f t="shared" si="2"/>
        <v>14797.404669376238</v>
      </c>
      <c r="G42" s="256" t="str">
        <f t="shared" si="3"/>
        <v>NA</v>
      </c>
      <c r="H42" s="256" t="str">
        <f t="shared" si="14"/>
        <v>NA</v>
      </c>
      <c r="I42" s="671" t="str">
        <f t="shared" si="4"/>
        <v>NA</v>
      </c>
      <c r="J42" s="388">
        <f t="shared" si="5"/>
        <v>-246.34179602367013</v>
      </c>
      <c r="K42" s="152"/>
      <c r="L42" s="226" t="str">
        <f t="shared" si="6"/>
        <v>Drywall</v>
      </c>
      <c r="M42" s="256">
        <f t="shared" si="7"/>
        <v>0</v>
      </c>
      <c r="N42" s="256">
        <f t="shared" si="8"/>
        <v>0</v>
      </c>
      <c r="O42" s="256">
        <f t="shared" si="9"/>
        <v>14797.404669376238</v>
      </c>
      <c r="P42" s="256" t="str">
        <f t="shared" si="10"/>
        <v>NA</v>
      </c>
      <c r="Q42" s="256" t="str">
        <f t="shared" si="11"/>
        <v>NA</v>
      </c>
      <c r="R42" s="671" t="str">
        <f t="shared" si="12"/>
        <v>NA</v>
      </c>
      <c r="S42" s="388">
        <f t="shared" si="13"/>
        <v>-246.34179602367013</v>
      </c>
      <c r="T42" s="152"/>
      <c r="U42" s="389">
        <f>IF(SUM(E42:I42)&lt;&gt;SUM(M42:R42),"INPUT ERROR",IF(AND('Analysis Inputs'!$N$148=2,S42="INPUT ERROR"),"INPUT ERROR",S42-J42))</f>
        <v>0</v>
      </c>
      <c r="V42" s="259"/>
    </row>
    <row r="43" spans="2:22" ht="12" customHeight="1" x14ac:dyDescent="0.25">
      <c r="B43" s="169"/>
      <c r="C43" s="255">
        <v>28</v>
      </c>
      <c r="D43" s="225" t="str">
        <f t="shared" si="0"/>
        <v/>
      </c>
      <c r="E43" s="256" t="str">
        <f t="shared" si="1"/>
        <v/>
      </c>
      <c r="F43" s="256" t="str">
        <f t="shared" si="2"/>
        <v/>
      </c>
      <c r="G43" s="256" t="str">
        <f t="shared" si="3"/>
        <v/>
      </c>
      <c r="H43" s="256" t="str">
        <f t="shared" si="14"/>
        <v/>
      </c>
      <c r="I43" s="671" t="str">
        <f t="shared" si="4"/>
        <v/>
      </c>
      <c r="J43" s="388" t="str">
        <f t="shared" si="5"/>
        <v>0</v>
      </c>
      <c r="K43" s="152"/>
      <c r="L43" s="226" t="str">
        <f t="shared" si="6"/>
        <v/>
      </c>
      <c r="M43" s="256" t="str">
        <f t="shared" si="7"/>
        <v/>
      </c>
      <c r="N43" s="256" t="str">
        <f t="shared" si="8"/>
        <v/>
      </c>
      <c r="O43" s="256" t="str">
        <f t="shared" si="9"/>
        <v/>
      </c>
      <c r="P43" s="256" t="str">
        <f t="shared" si="10"/>
        <v/>
      </c>
      <c r="Q43" s="256" t="str">
        <f t="shared" si="11"/>
        <v/>
      </c>
      <c r="R43" s="671" t="str">
        <f t="shared" si="12"/>
        <v/>
      </c>
      <c r="S43" s="388" t="str">
        <f t="shared" si="13"/>
        <v>0</v>
      </c>
      <c r="T43" s="152"/>
      <c r="U43" s="389">
        <f>IF(SUM(E43:I43)&lt;&gt;SUM(M43:R43),"INPUT ERROR",IF(AND('Analysis Inputs'!$N$148=2,S43="INPUT ERROR"),"INPUT ERROR",S43-J43))</f>
        <v>0</v>
      </c>
      <c r="V43" s="259"/>
    </row>
    <row r="44" spans="2:22" ht="12" customHeight="1" x14ac:dyDescent="0.25">
      <c r="B44" s="169"/>
      <c r="C44" s="255">
        <v>29</v>
      </c>
      <c r="D44" s="225" t="str">
        <f t="shared" si="0"/>
        <v/>
      </c>
      <c r="E44" s="256" t="str">
        <f t="shared" si="1"/>
        <v/>
      </c>
      <c r="F44" s="256" t="str">
        <f t="shared" si="2"/>
        <v/>
      </c>
      <c r="G44" s="256" t="str">
        <f t="shared" si="3"/>
        <v/>
      </c>
      <c r="H44" s="256" t="str">
        <f t="shared" si="14"/>
        <v/>
      </c>
      <c r="I44" s="671" t="str">
        <f t="shared" si="4"/>
        <v/>
      </c>
      <c r="J44" s="388" t="str">
        <f t="shared" si="5"/>
        <v>0</v>
      </c>
      <c r="K44" s="152"/>
      <c r="L44" s="226" t="str">
        <f t="shared" si="6"/>
        <v/>
      </c>
      <c r="M44" s="256" t="str">
        <f t="shared" si="7"/>
        <v/>
      </c>
      <c r="N44" s="256" t="str">
        <f t="shared" si="8"/>
        <v/>
      </c>
      <c r="O44" s="256" t="str">
        <f t="shared" si="9"/>
        <v/>
      </c>
      <c r="P44" s="256" t="str">
        <f t="shared" si="10"/>
        <v/>
      </c>
      <c r="Q44" s="256" t="str">
        <f t="shared" si="11"/>
        <v/>
      </c>
      <c r="R44" s="671" t="str">
        <f t="shared" si="12"/>
        <v/>
      </c>
      <c r="S44" s="388" t="str">
        <f t="shared" si="13"/>
        <v>0</v>
      </c>
      <c r="T44" s="152"/>
      <c r="U44" s="389">
        <f>IF(SUM(E44:I44)&lt;&gt;SUM(M44:R44),"INPUT ERROR",IF(AND('Analysis Inputs'!$N$148=2,S44="INPUT ERROR"),"INPUT ERROR",S44-J44))</f>
        <v>0</v>
      </c>
      <c r="V44" s="259"/>
    </row>
    <row r="45" spans="2:22" ht="12" customHeight="1" x14ac:dyDescent="0.25">
      <c r="B45" s="169"/>
      <c r="C45" s="255">
        <v>30</v>
      </c>
      <c r="D45" s="225" t="str">
        <f t="shared" si="0"/>
        <v/>
      </c>
      <c r="E45" s="256" t="str">
        <f t="shared" si="1"/>
        <v/>
      </c>
      <c r="F45" s="256" t="str">
        <f t="shared" si="2"/>
        <v/>
      </c>
      <c r="G45" s="256" t="str">
        <f t="shared" si="3"/>
        <v/>
      </c>
      <c r="H45" s="256" t="str">
        <f t="shared" si="14"/>
        <v/>
      </c>
      <c r="I45" s="671" t="str">
        <f t="shared" si="4"/>
        <v/>
      </c>
      <c r="J45" s="388" t="str">
        <f t="shared" si="5"/>
        <v>0</v>
      </c>
      <c r="K45" s="152"/>
      <c r="L45" s="226" t="str">
        <f t="shared" si="6"/>
        <v/>
      </c>
      <c r="M45" s="256" t="str">
        <f t="shared" si="7"/>
        <v/>
      </c>
      <c r="N45" s="256" t="str">
        <f t="shared" si="8"/>
        <v/>
      </c>
      <c r="O45" s="256" t="str">
        <f t="shared" si="9"/>
        <v/>
      </c>
      <c r="P45" s="256" t="str">
        <f t="shared" si="10"/>
        <v/>
      </c>
      <c r="Q45" s="256" t="str">
        <f t="shared" si="11"/>
        <v/>
      </c>
      <c r="R45" s="671" t="str">
        <f t="shared" si="12"/>
        <v/>
      </c>
      <c r="S45" s="388" t="str">
        <f t="shared" si="13"/>
        <v>0</v>
      </c>
      <c r="T45" s="152"/>
      <c r="U45" s="389">
        <f>IF(SUM(E45:I45)&lt;&gt;SUM(M45:R45),"INPUT ERROR",IF(AND('Analysis Inputs'!$N$148=2,S45="INPUT ERROR"),"INPUT ERROR",S45-J45))</f>
        <v>0</v>
      </c>
      <c r="V45" s="259"/>
    </row>
    <row r="46" spans="2:22" ht="12" customHeight="1" x14ac:dyDescent="0.25">
      <c r="B46" s="169"/>
      <c r="C46" s="255">
        <v>31</v>
      </c>
      <c r="D46" s="225" t="str">
        <f t="shared" si="0"/>
        <v/>
      </c>
      <c r="E46" s="256" t="str">
        <f t="shared" si="1"/>
        <v/>
      </c>
      <c r="F46" s="256" t="str">
        <f t="shared" si="2"/>
        <v/>
      </c>
      <c r="G46" s="256" t="str">
        <f t="shared" si="3"/>
        <v/>
      </c>
      <c r="H46" s="256" t="str">
        <f t="shared" si="14"/>
        <v/>
      </c>
      <c r="I46" s="671" t="str">
        <f t="shared" si="4"/>
        <v/>
      </c>
      <c r="J46" s="388" t="str">
        <f t="shared" si="5"/>
        <v>0</v>
      </c>
      <c r="K46" s="152"/>
      <c r="L46" s="226" t="str">
        <f t="shared" si="6"/>
        <v/>
      </c>
      <c r="M46" s="256" t="str">
        <f t="shared" si="7"/>
        <v/>
      </c>
      <c r="N46" s="256" t="str">
        <f t="shared" si="8"/>
        <v/>
      </c>
      <c r="O46" s="256" t="str">
        <f t="shared" si="9"/>
        <v/>
      </c>
      <c r="P46" s="256" t="str">
        <f t="shared" si="10"/>
        <v/>
      </c>
      <c r="Q46" s="256" t="str">
        <f t="shared" si="11"/>
        <v/>
      </c>
      <c r="R46" s="671" t="str">
        <f t="shared" si="12"/>
        <v/>
      </c>
      <c r="S46" s="388" t="str">
        <f t="shared" si="13"/>
        <v>0</v>
      </c>
      <c r="T46" s="152"/>
      <c r="U46" s="389">
        <f>IF(SUM(E46:I46)&lt;&gt;SUM(M46:R46),"INPUT ERROR",IF(AND('Analysis Inputs'!$N$148=2,S46="INPUT ERROR"),"INPUT ERROR",S46-J46))</f>
        <v>0</v>
      </c>
      <c r="V46" s="259"/>
    </row>
    <row r="47" spans="2:22" ht="12" customHeight="1" x14ac:dyDescent="0.25">
      <c r="B47" s="169"/>
      <c r="C47" s="255">
        <v>32</v>
      </c>
      <c r="D47" s="225" t="str">
        <f t="shared" si="0"/>
        <v/>
      </c>
      <c r="E47" s="256" t="str">
        <f t="shared" si="1"/>
        <v/>
      </c>
      <c r="F47" s="256" t="str">
        <f t="shared" si="2"/>
        <v/>
      </c>
      <c r="G47" s="256" t="str">
        <f t="shared" si="3"/>
        <v/>
      </c>
      <c r="H47" s="256" t="str">
        <f t="shared" si="14"/>
        <v/>
      </c>
      <c r="I47" s="671" t="str">
        <f t="shared" si="4"/>
        <v/>
      </c>
      <c r="J47" s="388" t="str">
        <f t="shared" si="5"/>
        <v>0</v>
      </c>
      <c r="K47" s="152"/>
      <c r="L47" s="226" t="str">
        <f t="shared" si="6"/>
        <v/>
      </c>
      <c r="M47" s="256" t="str">
        <f t="shared" si="7"/>
        <v/>
      </c>
      <c r="N47" s="256" t="str">
        <f t="shared" si="8"/>
        <v/>
      </c>
      <c r="O47" s="256" t="str">
        <f t="shared" si="9"/>
        <v/>
      </c>
      <c r="P47" s="256" t="str">
        <f t="shared" si="10"/>
        <v/>
      </c>
      <c r="Q47" s="256" t="str">
        <f t="shared" si="11"/>
        <v/>
      </c>
      <c r="R47" s="671" t="str">
        <f t="shared" si="12"/>
        <v/>
      </c>
      <c r="S47" s="388" t="str">
        <f t="shared" si="13"/>
        <v>0</v>
      </c>
      <c r="T47" s="152"/>
      <c r="U47" s="389">
        <f>IF(SUM(E47:I47)&lt;&gt;SUM(M47:R47),"INPUT ERROR",IF(AND('Analysis Inputs'!$N$148=2,S47="INPUT ERROR"),"INPUT ERROR",S47-J47))</f>
        <v>0</v>
      </c>
      <c r="V47" s="259"/>
    </row>
    <row r="48" spans="2:22" ht="12" customHeight="1" x14ac:dyDescent="0.25">
      <c r="B48" s="169"/>
      <c r="C48" s="255">
        <v>33</v>
      </c>
      <c r="D48" s="225" t="str">
        <f t="shared" si="0"/>
        <v/>
      </c>
      <c r="E48" s="256" t="str">
        <f t="shared" si="1"/>
        <v/>
      </c>
      <c r="F48" s="256" t="str">
        <f t="shared" si="2"/>
        <v/>
      </c>
      <c r="G48" s="256" t="str">
        <f t="shared" si="3"/>
        <v/>
      </c>
      <c r="H48" s="256" t="str">
        <f t="shared" si="14"/>
        <v/>
      </c>
      <c r="I48" s="671" t="str">
        <f t="shared" ref="I48:I69" si="15">IF(ISERROR(VLOOKUP($C48,GHGBaseline_MTCE,12,FALSE)),"",VLOOKUP($C48,GHGBaseline_MTCE,12,FALSE))</f>
        <v/>
      </c>
      <c r="J48" s="388" t="str">
        <f t="shared" ref="J48:J69" si="16">IF(ISERROR(VLOOKUP($C48,GHGBaseline_MTCE,14,FALSE)),"0",VLOOKUP($C48,GHGBaseline_MTCE,14,FALSE))</f>
        <v>0</v>
      </c>
      <c r="K48" s="152"/>
      <c r="L48" s="226" t="str">
        <f t="shared" ref="L48:L69" si="17">IF(ISERROR(VLOOKUP($C113,GHGAlternative_MTCE,2,FALSE)),"",VLOOKUP($C113,GHGAlternative_MTCE,2,FALSE))</f>
        <v/>
      </c>
      <c r="M48" s="256" t="str">
        <f t="shared" ref="M48:M69" si="18">IF(ISERROR(VLOOKUP($C113,GHGAlternative_MTCE,4,FALSE)),"",VLOOKUP($C113,GHGAlternative_MTCE,4,FALSE))</f>
        <v/>
      </c>
      <c r="N48" s="256" t="str">
        <f t="shared" ref="N48:N69" si="19">IF(ISERROR(VLOOKUP($C113,GHGAlternative_MTCE,6,FALSE)),"",VLOOKUP($C113,GHGAlternative_MTCE,6,FALSE))</f>
        <v/>
      </c>
      <c r="O48" s="256" t="str">
        <f t="shared" ref="O48:O69" si="20">IF(ISERROR(VLOOKUP($C113,GHGAlternative_MTCE,8,FALSE)),"",VLOOKUP($C113,GHGAlternative_MTCE,8,FALSE))</f>
        <v/>
      </c>
      <c r="P48" s="256" t="str">
        <f t="shared" ref="P48:P69" si="21">IF(ISERROR(VLOOKUP($C113,GHGAlternative_MTCE,10,FALSE)),"",VLOOKUP($C113,GHGAlternative_MTCE,10,FALSE))</f>
        <v/>
      </c>
      <c r="Q48" s="256" t="str">
        <f t="shared" ref="Q48:Q69" si="22">IF(ISERROR(VLOOKUP($C113,GHGAlternative_MTCE,12,FALSE)),"",VLOOKUP($C113,GHGAlternative_MTCE,12,FALSE))</f>
        <v/>
      </c>
      <c r="R48" s="671" t="str">
        <f t="shared" ref="R48:R69" si="23">IF(ISERROR(VLOOKUP($C113,GHGAlternative_MTCE,14,FALSE)),"",VLOOKUP($C113,GHGAlternative_MTCE,14,FALSE))</f>
        <v/>
      </c>
      <c r="S48" s="388" t="str">
        <f t="shared" ref="S48:S69" si="24">IF(ISERROR(VLOOKUP($C113,GHGAlternative_MTCE,16,FALSE)),"0",VLOOKUP($C113,GHGAlternative_MTCE,16,FALSE))</f>
        <v>0</v>
      </c>
      <c r="T48" s="152"/>
      <c r="U48" s="389">
        <f>IF(SUM(E48:I48)&lt;&gt;SUM(M48:R48),"INPUT ERROR",IF(AND('Analysis Inputs'!$N$148=2,S48="INPUT ERROR"),"INPUT ERROR",S48-J48))</f>
        <v>0</v>
      </c>
      <c r="V48" s="259"/>
    </row>
    <row r="49" spans="2:22" ht="12" customHeight="1" x14ac:dyDescent="0.25">
      <c r="B49" s="169"/>
      <c r="C49" s="255">
        <v>34</v>
      </c>
      <c r="D49" s="225" t="str">
        <f t="shared" si="0"/>
        <v/>
      </c>
      <c r="E49" s="256" t="str">
        <f t="shared" si="1"/>
        <v/>
      </c>
      <c r="F49" s="256" t="str">
        <f t="shared" si="2"/>
        <v/>
      </c>
      <c r="G49" s="256" t="str">
        <f t="shared" si="3"/>
        <v/>
      </c>
      <c r="H49" s="256" t="str">
        <f t="shared" si="14"/>
        <v/>
      </c>
      <c r="I49" s="671" t="str">
        <f t="shared" si="15"/>
        <v/>
      </c>
      <c r="J49" s="388" t="str">
        <f t="shared" si="16"/>
        <v>0</v>
      </c>
      <c r="K49" s="152"/>
      <c r="L49" s="227" t="str">
        <f t="shared" si="17"/>
        <v/>
      </c>
      <c r="M49" s="350" t="str">
        <f t="shared" si="18"/>
        <v/>
      </c>
      <c r="N49" s="350" t="str">
        <f t="shared" si="19"/>
        <v/>
      </c>
      <c r="O49" s="350" t="str">
        <f t="shared" si="20"/>
        <v/>
      </c>
      <c r="P49" s="350" t="str">
        <f t="shared" si="21"/>
        <v/>
      </c>
      <c r="Q49" s="350" t="str">
        <f t="shared" si="22"/>
        <v/>
      </c>
      <c r="R49" s="671" t="str">
        <f t="shared" si="23"/>
        <v/>
      </c>
      <c r="S49" s="388" t="str">
        <f t="shared" si="24"/>
        <v>0</v>
      </c>
      <c r="T49" s="152"/>
      <c r="U49" s="389">
        <f>IF(SUM(E49:I49)&lt;&gt;SUM(M49:R49),"INPUT ERROR",IF(AND('Analysis Inputs'!$N$148=2,S49="INPUT ERROR"),"INPUT ERROR",S49-J49))</f>
        <v>0</v>
      </c>
      <c r="V49" s="259"/>
    </row>
    <row r="50" spans="2:22" ht="12" customHeight="1" x14ac:dyDescent="0.25">
      <c r="B50" s="169"/>
      <c r="C50" s="255">
        <v>35</v>
      </c>
      <c r="D50" s="225" t="str">
        <f t="shared" si="0"/>
        <v/>
      </c>
      <c r="E50" s="256" t="str">
        <f t="shared" si="1"/>
        <v/>
      </c>
      <c r="F50" s="256" t="str">
        <f t="shared" si="2"/>
        <v/>
      </c>
      <c r="G50" s="256" t="str">
        <f t="shared" si="3"/>
        <v/>
      </c>
      <c r="H50" s="256" t="str">
        <f t="shared" si="14"/>
        <v/>
      </c>
      <c r="I50" s="671" t="str">
        <f t="shared" si="15"/>
        <v/>
      </c>
      <c r="J50" s="388" t="str">
        <f t="shared" si="16"/>
        <v>0</v>
      </c>
      <c r="K50" s="152"/>
      <c r="L50" s="227" t="str">
        <f t="shared" si="17"/>
        <v/>
      </c>
      <c r="M50" s="350" t="str">
        <f t="shared" si="18"/>
        <v/>
      </c>
      <c r="N50" s="350" t="str">
        <f t="shared" si="19"/>
        <v/>
      </c>
      <c r="O50" s="350" t="str">
        <f t="shared" si="20"/>
        <v/>
      </c>
      <c r="P50" s="350" t="str">
        <f t="shared" si="21"/>
        <v/>
      </c>
      <c r="Q50" s="350" t="str">
        <f t="shared" si="22"/>
        <v/>
      </c>
      <c r="R50" s="671" t="str">
        <f t="shared" si="23"/>
        <v/>
      </c>
      <c r="S50" s="388" t="str">
        <f t="shared" si="24"/>
        <v>0</v>
      </c>
      <c r="T50" s="152"/>
      <c r="U50" s="389">
        <f>IF(SUM(E50:I50)&lt;&gt;SUM(M50:R50),"INPUT ERROR",IF(AND('Analysis Inputs'!$N$148=2,S50="INPUT ERROR"),"INPUT ERROR",S50-J50))</f>
        <v>0</v>
      </c>
      <c r="V50" s="259"/>
    </row>
    <row r="51" spans="2:22" ht="12" customHeight="1" x14ac:dyDescent="0.25">
      <c r="B51" s="169"/>
      <c r="C51" s="255">
        <v>36</v>
      </c>
      <c r="D51" s="225" t="str">
        <f t="shared" si="0"/>
        <v/>
      </c>
      <c r="E51" s="256" t="str">
        <f t="shared" si="1"/>
        <v/>
      </c>
      <c r="F51" s="256" t="str">
        <f t="shared" si="2"/>
        <v/>
      </c>
      <c r="G51" s="256" t="str">
        <f t="shared" si="3"/>
        <v/>
      </c>
      <c r="H51" s="256" t="str">
        <f t="shared" si="14"/>
        <v/>
      </c>
      <c r="I51" s="671" t="str">
        <f t="shared" si="15"/>
        <v/>
      </c>
      <c r="J51" s="388" t="str">
        <f t="shared" si="16"/>
        <v>0</v>
      </c>
      <c r="K51" s="152"/>
      <c r="L51" s="227" t="str">
        <f t="shared" si="17"/>
        <v/>
      </c>
      <c r="M51" s="350" t="str">
        <f t="shared" si="18"/>
        <v/>
      </c>
      <c r="N51" s="350" t="str">
        <f t="shared" si="19"/>
        <v/>
      </c>
      <c r="O51" s="350" t="str">
        <f t="shared" si="20"/>
        <v/>
      </c>
      <c r="P51" s="350" t="str">
        <f t="shared" si="21"/>
        <v/>
      </c>
      <c r="Q51" s="350" t="str">
        <f t="shared" si="22"/>
        <v/>
      </c>
      <c r="R51" s="671" t="str">
        <f t="shared" si="23"/>
        <v/>
      </c>
      <c r="S51" s="388" t="str">
        <f t="shared" si="24"/>
        <v>0</v>
      </c>
      <c r="T51" s="152"/>
      <c r="U51" s="389">
        <f>IF(SUM(E51:I51)&lt;&gt;SUM(M51:R51),"INPUT ERROR",IF(AND('Analysis Inputs'!$N$148=2,S51="INPUT ERROR"),"INPUT ERROR",S51-J51))</f>
        <v>0</v>
      </c>
      <c r="V51" s="259"/>
    </row>
    <row r="52" spans="2:22" ht="12" customHeight="1" x14ac:dyDescent="0.25">
      <c r="B52" s="169"/>
      <c r="C52" s="255">
        <v>37</v>
      </c>
      <c r="D52" s="225" t="str">
        <f t="shared" si="0"/>
        <v/>
      </c>
      <c r="E52" s="256" t="str">
        <f t="shared" si="1"/>
        <v/>
      </c>
      <c r="F52" s="256" t="str">
        <f t="shared" si="2"/>
        <v/>
      </c>
      <c r="G52" s="256" t="str">
        <f t="shared" si="3"/>
        <v/>
      </c>
      <c r="H52" s="256" t="str">
        <f t="shared" si="14"/>
        <v/>
      </c>
      <c r="I52" s="671" t="str">
        <f t="shared" si="15"/>
        <v/>
      </c>
      <c r="J52" s="388" t="str">
        <f t="shared" si="16"/>
        <v>0</v>
      </c>
      <c r="K52" s="152"/>
      <c r="L52" s="227" t="str">
        <f t="shared" si="17"/>
        <v/>
      </c>
      <c r="M52" s="350" t="str">
        <f t="shared" si="18"/>
        <v/>
      </c>
      <c r="N52" s="350" t="str">
        <f t="shared" si="19"/>
        <v/>
      </c>
      <c r="O52" s="350" t="str">
        <f t="shared" si="20"/>
        <v/>
      </c>
      <c r="P52" s="350" t="str">
        <f t="shared" si="21"/>
        <v/>
      </c>
      <c r="Q52" s="350" t="str">
        <f t="shared" si="22"/>
        <v/>
      </c>
      <c r="R52" s="671" t="str">
        <f t="shared" si="23"/>
        <v/>
      </c>
      <c r="S52" s="388" t="str">
        <f t="shared" si="24"/>
        <v>0</v>
      </c>
      <c r="T52" s="152"/>
      <c r="U52" s="389">
        <f>IF(SUM(E52:I52)&lt;&gt;SUM(M52:R52),"INPUT ERROR",IF(AND('Analysis Inputs'!$N$148=2,S52="INPUT ERROR"),"INPUT ERROR",S52-J52))</f>
        <v>0</v>
      </c>
      <c r="V52" s="259"/>
    </row>
    <row r="53" spans="2:22" ht="12" customHeight="1" x14ac:dyDescent="0.25">
      <c r="B53" s="169"/>
      <c r="C53" s="255">
        <v>38</v>
      </c>
      <c r="D53" s="225" t="str">
        <f t="shared" si="0"/>
        <v/>
      </c>
      <c r="E53" s="256" t="str">
        <f t="shared" si="1"/>
        <v/>
      </c>
      <c r="F53" s="256" t="str">
        <f t="shared" si="2"/>
        <v/>
      </c>
      <c r="G53" s="256" t="str">
        <f t="shared" si="3"/>
        <v/>
      </c>
      <c r="H53" s="256" t="str">
        <f t="shared" si="14"/>
        <v/>
      </c>
      <c r="I53" s="671" t="str">
        <f t="shared" si="15"/>
        <v/>
      </c>
      <c r="J53" s="388" t="str">
        <f t="shared" si="16"/>
        <v>0</v>
      </c>
      <c r="K53" s="152"/>
      <c r="L53" s="227" t="str">
        <f t="shared" si="17"/>
        <v/>
      </c>
      <c r="M53" s="350" t="str">
        <f t="shared" si="18"/>
        <v/>
      </c>
      <c r="N53" s="350" t="str">
        <f t="shared" si="19"/>
        <v/>
      </c>
      <c r="O53" s="350" t="str">
        <f t="shared" si="20"/>
        <v/>
      </c>
      <c r="P53" s="350" t="str">
        <f t="shared" si="21"/>
        <v/>
      </c>
      <c r="Q53" s="350" t="str">
        <f t="shared" si="22"/>
        <v/>
      </c>
      <c r="R53" s="671" t="str">
        <f t="shared" si="23"/>
        <v/>
      </c>
      <c r="S53" s="388" t="str">
        <f t="shared" si="24"/>
        <v>0</v>
      </c>
      <c r="T53" s="152"/>
      <c r="U53" s="389">
        <f>IF(SUM(E53:I53)&lt;&gt;SUM(M53:R53),"INPUT ERROR",IF(AND('Analysis Inputs'!$N$148=2,S53="INPUT ERROR"),"INPUT ERROR",S53-J53))</f>
        <v>0</v>
      </c>
      <c r="V53" s="259"/>
    </row>
    <row r="54" spans="2:22" ht="12" customHeight="1" x14ac:dyDescent="0.25">
      <c r="B54" s="169"/>
      <c r="C54" s="255">
        <v>39</v>
      </c>
      <c r="D54" s="225" t="str">
        <f t="shared" si="0"/>
        <v/>
      </c>
      <c r="E54" s="256" t="str">
        <f t="shared" si="1"/>
        <v/>
      </c>
      <c r="F54" s="256" t="str">
        <f t="shared" si="2"/>
        <v/>
      </c>
      <c r="G54" s="256" t="str">
        <f t="shared" si="3"/>
        <v/>
      </c>
      <c r="H54" s="256" t="str">
        <f t="shared" si="14"/>
        <v/>
      </c>
      <c r="I54" s="671" t="str">
        <f t="shared" si="15"/>
        <v/>
      </c>
      <c r="J54" s="388" t="str">
        <f t="shared" si="16"/>
        <v>0</v>
      </c>
      <c r="K54" s="152"/>
      <c r="L54" s="227" t="str">
        <f t="shared" si="17"/>
        <v/>
      </c>
      <c r="M54" s="350" t="str">
        <f t="shared" si="18"/>
        <v/>
      </c>
      <c r="N54" s="350" t="str">
        <f t="shared" si="19"/>
        <v/>
      </c>
      <c r="O54" s="350" t="str">
        <f t="shared" si="20"/>
        <v/>
      </c>
      <c r="P54" s="350" t="str">
        <f t="shared" si="21"/>
        <v/>
      </c>
      <c r="Q54" s="350" t="str">
        <f t="shared" si="22"/>
        <v/>
      </c>
      <c r="R54" s="671" t="str">
        <f t="shared" si="23"/>
        <v/>
      </c>
      <c r="S54" s="388" t="str">
        <f t="shared" si="24"/>
        <v>0</v>
      </c>
      <c r="T54" s="152"/>
      <c r="U54" s="389">
        <f>IF(SUM(E54:I54)&lt;&gt;SUM(M54:R54),"INPUT ERROR",IF(AND('Analysis Inputs'!$N$148=2,S54="INPUT ERROR"),"INPUT ERROR",S54-J54))</f>
        <v>0</v>
      </c>
      <c r="V54" s="259"/>
    </row>
    <row r="55" spans="2:22" ht="12" customHeight="1" x14ac:dyDescent="0.25">
      <c r="B55" s="169"/>
      <c r="C55" s="255">
        <v>40</v>
      </c>
      <c r="D55" s="225" t="str">
        <f t="shared" si="0"/>
        <v/>
      </c>
      <c r="E55" s="256" t="str">
        <f t="shared" si="1"/>
        <v/>
      </c>
      <c r="F55" s="256" t="str">
        <f t="shared" si="2"/>
        <v/>
      </c>
      <c r="G55" s="256" t="str">
        <f t="shared" si="3"/>
        <v/>
      </c>
      <c r="H55" s="256" t="str">
        <f t="shared" si="14"/>
        <v/>
      </c>
      <c r="I55" s="671" t="str">
        <f t="shared" si="15"/>
        <v/>
      </c>
      <c r="J55" s="388" t="str">
        <f t="shared" si="16"/>
        <v>0</v>
      </c>
      <c r="K55" s="152"/>
      <c r="L55" s="227" t="str">
        <f t="shared" si="17"/>
        <v/>
      </c>
      <c r="M55" s="350" t="str">
        <f t="shared" si="18"/>
        <v/>
      </c>
      <c r="N55" s="350" t="str">
        <f t="shared" si="19"/>
        <v/>
      </c>
      <c r="O55" s="350" t="str">
        <f t="shared" si="20"/>
        <v/>
      </c>
      <c r="P55" s="350" t="str">
        <f t="shared" si="21"/>
        <v/>
      </c>
      <c r="Q55" s="350" t="str">
        <f t="shared" si="22"/>
        <v/>
      </c>
      <c r="R55" s="671" t="str">
        <f t="shared" si="23"/>
        <v/>
      </c>
      <c r="S55" s="388" t="str">
        <f t="shared" si="24"/>
        <v>0</v>
      </c>
      <c r="T55" s="152"/>
      <c r="U55" s="389">
        <f>IF(SUM(E55:I55)&lt;&gt;SUM(M55:R55),"INPUT ERROR",IF(AND('Analysis Inputs'!$N$148=2,S55="INPUT ERROR"),"INPUT ERROR",S55-J55))</f>
        <v>0</v>
      </c>
      <c r="V55" s="259"/>
    </row>
    <row r="56" spans="2:22" ht="12" customHeight="1" x14ac:dyDescent="0.25">
      <c r="B56" s="169"/>
      <c r="C56" s="255">
        <v>41</v>
      </c>
      <c r="D56" s="225" t="str">
        <f t="shared" si="0"/>
        <v/>
      </c>
      <c r="E56" s="256" t="str">
        <f t="shared" si="1"/>
        <v/>
      </c>
      <c r="F56" s="256" t="str">
        <f t="shared" si="2"/>
        <v/>
      </c>
      <c r="G56" s="256" t="str">
        <f t="shared" si="3"/>
        <v/>
      </c>
      <c r="H56" s="256" t="str">
        <f t="shared" si="14"/>
        <v/>
      </c>
      <c r="I56" s="671" t="str">
        <f t="shared" si="15"/>
        <v/>
      </c>
      <c r="J56" s="388" t="str">
        <f t="shared" si="16"/>
        <v>0</v>
      </c>
      <c r="K56" s="152"/>
      <c r="L56" s="227" t="str">
        <f t="shared" si="17"/>
        <v/>
      </c>
      <c r="M56" s="350" t="str">
        <f t="shared" si="18"/>
        <v/>
      </c>
      <c r="N56" s="350" t="str">
        <f t="shared" si="19"/>
        <v/>
      </c>
      <c r="O56" s="350" t="str">
        <f t="shared" si="20"/>
        <v/>
      </c>
      <c r="P56" s="350" t="str">
        <f t="shared" si="21"/>
        <v/>
      </c>
      <c r="Q56" s="350" t="str">
        <f t="shared" si="22"/>
        <v/>
      </c>
      <c r="R56" s="671" t="str">
        <f t="shared" si="23"/>
        <v/>
      </c>
      <c r="S56" s="388" t="str">
        <f t="shared" si="24"/>
        <v>0</v>
      </c>
      <c r="T56" s="152"/>
      <c r="U56" s="389">
        <f>IF(SUM(E56:I56)&lt;&gt;SUM(M56:R56),"INPUT ERROR",IF(AND('Analysis Inputs'!$N$148=2,S56="INPUT ERROR"),"INPUT ERROR",S56-J56))</f>
        <v>0</v>
      </c>
      <c r="V56" s="259"/>
    </row>
    <row r="57" spans="2:22" ht="12" customHeight="1" x14ac:dyDescent="0.25">
      <c r="B57" s="169"/>
      <c r="C57" s="255">
        <v>42</v>
      </c>
      <c r="D57" s="225" t="str">
        <f t="shared" si="0"/>
        <v/>
      </c>
      <c r="E57" s="256" t="str">
        <f t="shared" si="1"/>
        <v/>
      </c>
      <c r="F57" s="256" t="str">
        <f t="shared" si="2"/>
        <v/>
      </c>
      <c r="G57" s="256" t="str">
        <f t="shared" si="3"/>
        <v/>
      </c>
      <c r="H57" s="256" t="str">
        <f t="shared" si="14"/>
        <v/>
      </c>
      <c r="I57" s="671" t="str">
        <f t="shared" si="15"/>
        <v/>
      </c>
      <c r="J57" s="388" t="str">
        <f t="shared" si="16"/>
        <v>0</v>
      </c>
      <c r="K57" s="152"/>
      <c r="L57" s="227" t="str">
        <f t="shared" si="17"/>
        <v/>
      </c>
      <c r="M57" s="350" t="str">
        <f t="shared" si="18"/>
        <v/>
      </c>
      <c r="N57" s="350" t="str">
        <f t="shared" si="19"/>
        <v/>
      </c>
      <c r="O57" s="350" t="str">
        <f t="shared" si="20"/>
        <v/>
      </c>
      <c r="P57" s="350" t="str">
        <f t="shared" si="21"/>
        <v/>
      </c>
      <c r="Q57" s="350" t="str">
        <f t="shared" si="22"/>
        <v/>
      </c>
      <c r="R57" s="671" t="str">
        <f t="shared" si="23"/>
        <v/>
      </c>
      <c r="S57" s="388" t="str">
        <f t="shared" si="24"/>
        <v>0</v>
      </c>
      <c r="T57" s="152"/>
      <c r="U57" s="389">
        <f>IF(SUM(E57:I57)&lt;&gt;SUM(M57:R57),"INPUT ERROR",IF(AND('Analysis Inputs'!$N$148=2,S57="INPUT ERROR"),"INPUT ERROR",S57-J57))</f>
        <v>0</v>
      </c>
      <c r="V57" s="259"/>
    </row>
    <row r="58" spans="2:22" ht="12" customHeight="1" x14ac:dyDescent="0.25">
      <c r="B58" s="169"/>
      <c r="C58" s="255">
        <v>43</v>
      </c>
      <c r="D58" s="225" t="str">
        <f t="shared" si="0"/>
        <v/>
      </c>
      <c r="E58" s="256" t="str">
        <f t="shared" si="1"/>
        <v/>
      </c>
      <c r="F58" s="256" t="str">
        <f t="shared" si="2"/>
        <v/>
      </c>
      <c r="G58" s="256" t="str">
        <f t="shared" si="3"/>
        <v/>
      </c>
      <c r="H58" s="256" t="str">
        <f t="shared" si="14"/>
        <v/>
      </c>
      <c r="I58" s="671" t="str">
        <f t="shared" si="15"/>
        <v/>
      </c>
      <c r="J58" s="388" t="str">
        <f t="shared" si="16"/>
        <v>0</v>
      </c>
      <c r="K58" s="152"/>
      <c r="L58" s="227" t="str">
        <f t="shared" si="17"/>
        <v/>
      </c>
      <c r="M58" s="350" t="str">
        <f t="shared" si="18"/>
        <v/>
      </c>
      <c r="N58" s="350" t="str">
        <f t="shared" si="19"/>
        <v/>
      </c>
      <c r="O58" s="350" t="str">
        <f t="shared" si="20"/>
        <v/>
      </c>
      <c r="P58" s="350" t="str">
        <f t="shared" si="21"/>
        <v/>
      </c>
      <c r="Q58" s="350" t="str">
        <f t="shared" si="22"/>
        <v/>
      </c>
      <c r="R58" s="671" t="str">
        <f t="shared" si="23"/>
        <v/>
      </c>
      <c r="S58" s="388" t="str">
        <f t="shared" si="24"/>
        <v>0</v>
      </c>
      <c r="T58" s="152"/>
      <c r="U58" s="389">
        <f>IF(SUM(E58:I58)&lt;&gt;SUM(M58:R58),"INPUT ERROR",IF(AND('Analysis Inputs'!$N$148=2,S58="INPUT ERROR"),"INPUT ERROR",S58-J58))</f>
        <v>0</v>
      </c>
      <c r="V58" s="259"/>
    </row>
    <row r="59" spans="2:22" ht="12" customHeight="1" x14ac:dyDescent="0.25">
      <c r="B59" s="169"/>
      <c r="C59" s="255">
        <v>44</v>
      </c>
      <c r="D59" s="225" t="str">
        <f t="shared" si="0"/>
        <v/>
      </c>
      <c r="E59" s="256" t="str">
        <f t="shared" si="1"/>
        <v/>
      </c>
      <c r="F59" s="256" t="str">
        <f t="shared" si="2"/>
        <v/>
      </c>
      <c r="G59" s="256" t="str">
        <f t="shared" si="3"/>
        <v/>
      </c>
      <c r="H59" s="256" t="str">
        <f t="shared" si="14"/>
        <v/>
      </c>
      <c r="I59" s="671" t="str">
        <f t="shared" si="15"/>
        <v/>
      </c>
      <c r="J59" s="388" t="str">
        <f t="shared" si="16"/>
        <v>0</v>
      </c>
      <c r="K59" s="152"/>
      <c r="L59" s="227" t="str">
        <f t="shared" si="17"/>
        <v/>
      </c>
      <c r="M59" s="350" t="str">
        <f t="shared" si="18"/>
        <v/>
      </c>
      <c r="N59" s="350" t="str">
        <f t="shared" si="19"/>
        <v/>
      </c>
      <c r="O59" s="350" t="str">
        <f t="shared" si="20"/>
        <v/>
      </c>
      <c r="P59" s="350" t="str">
        <f t="shared" si="21"/>
        <v/>
      </c>
      <c r="Q59" s="350" t="str">
        <f t="shared" si="22"/>
        <v/>
      </c>
      <c r="R59" s="671" t="str">
        <f t="shared" si="23"/>
        <v/>
      </c>
      <c r="S59" s="388" t="str">
        <f t="shared" si="24"/>
        <v>0</v>
      </c>
      <c r="T59" s="152"/>
      <c r="U59" s="389">
        <f>IF(SUM(E59:I59)&lt;&gt;SUM(M59:R59),"INPUT ERROR",IF(AND('Analysis Inputs'!$N$148=2,S59="INPUT ERROR"),"INPUT ERROR",S59-J59))</f>
        <v>0</v>
      </c>
      <c r="V59" s="259"/>
    </row>
    <row r="60" spans="2:22" ht="12" customHeight="1" x14ac:dyDescent="0.25">
      <c r="B60" s="169"/>
      <c r="C60" s="255">
        <v>45</v>
      </c>
      <c r="D60" s="225" t="str">
        <f t="shared" si="0"/>
        <v/>
      </c>
      <c r="E60" s="256" t="str">
        <f t="shared" si="1"/>
        <v/>
      </c>
      <c r="F60" s="256" t="str">
        <f t="shared" si="2"/>
        <v/>
      </c>
      <c r="G60" s="256" t="str">
        <f t="shared" si="3"/>
        <v/>
      </c>
      <c r="H60" s="256" t="str">
        <f t="shared" si="14"/>
        <v/>
      </c>
      <c r="I60" s="671" t="str">
        <f t="shared" si="15"/>
        <v/>
      </c>
      <c r="J60" s="388" t="str">
        <f t="shared" si="16"/>
        <v>0</v>
      </c>
      <c r="K60" s="152"/>
      <c r="L60" s="227" t="str">
        <f t="shared" si="17"/>
        <v/>
      </c>
      <c r="M60" s="350" t="str">
        <f t="shared" si="18"/>
        <v/>
      </c>
      <c r="N60" s="350" t="str">
        <f t="shared" si="19"/>
        <v/>
      </c>
      <c r="O60" s="350" t="str">
        <f t="shared" si="20"/>
        <v/>
      </c>
      <c r="P60" s="350" t="str">
        <f t="shared" si="21"/>
        <v/>
      </c>
      <c r="Q60" s="350" t="str">
        <f t="shared" si="22"/>
        <v/>
      </c>
      <c r="R60" s="671" t="str">
        <f t="shared" si="23"/>
        <v/>
      </c>
      <c r="S60" s="388" t="str">
        <f t="shared" si="24"/>
        <v>0</v>
      </c>
      <c r="T60" s="152"/>
      <c r="U60" s="389">
        <f>IF(SUM(E60:I60)&lt;&gt;SUM(M60:R60),"INPUT ERROR",IF(AND('Analysis Inputs'!$N$148=2,S60="INPUT ERROR"),"INPUT ERROR",S60-J60))</f>
        <v>0</v>
      </c>
      <c r="V60" s="259"/>
    </row>
    <row r="61" spans="2:22" ht="12" customHeight="1" x14ac:dyDescent="0.25">
      <c r="B61" s="169"/>
      <c r="C61" s="255">
        <v>46</v>
      </c>
      <c r="D61" s="225" t="str">
        <f t="shared" si="0"/>
        <v/>
      </c>
      <c r="E61" s="256" t="str">
        <f t="shared" si="1"/>
        <v/>
      </c>
      <c r="F61" s="256" t="str">
        <f t="shared" si="2"/>
        <v/>
      </c>
      <c r="G61" s="256" t="str">
        <f t="shared" si="3"/>
        <v/>
      </c>
      <c r="H61" s="256" t="str">
        <f t="shared" si="14"/>
        <v/>
      </c>
      <c r="I61" s="671" t="str">
        <f t="shared" si="15"/>
        <v/>
      </c>
      <c r="J61" s="388" t="str">
        <f t="shared" si="16"/>
        <v>0</v>
      </c>
      <c r="K61" s="152"/>
      <c r="L61" s="227" t="str">
        <f t="shared" si="17"/>
        <v/>
      </c>
      <c r="M61" s="350" t="str">
        <f t="shared" si="18"/>
        <v/>
      </c>
      <c r="N61" s="350" t="str">
        <f t="shared" si="19"/>
        <v/>
      </c>
      <c r="O61" s="350" t="str">
        <f t="shared" si="20"/>
        <v/>
      </c>
      <c r="P61" s="350" t="str">
        <f t="shared" si="21"/>
        <v/>
      </c>
      <c r="Q61" s="350" t="str">
        <f t="shared" si="22"/>
        <v/>
      </c>
      <c r="R61" s="671" t="str">
        <f t="shared" si="23"/>
        <v/>
      </c>
      <c r="S61" s="388" t="str">
        <f t="shared" si="24"/>
        <v>0</v>
      </c>
      <c r="T61" s="152"/>
      <c r="U61" s="389">
        <f>IF(SUM(E61:I61)&lt;&gt;SUM(M61:R61),"INPUT ERROR",IF(AND('Analysis Inputs'!$N$148=2,S61="INPUT ERROR"),"INPUT ERROR",S61-J61))</f>
        <v>0</v>
      </c>
      <c r="V61" s="259"/>
    </row>
    <row r="62" spans="2:22" ht="12" customHeight="1" x14ac:dyDescent="0.25">
      <c r="B62" s="169"/>
      <c r="C62" s="255">
        <v>47</v>
      </c>
      <c r="D62" s="225" t="str">
        <f t="shared" si="0"/>
        <v/>
      </c>
      <c r="E62" s="256" t="str">
        <f t="shared" si="1"/>
        <v/>
      </c>
      <c r="F62" s="256" t="str">
        <f t="shared" si="2"/>
        <v/>
      </c>
      <c r="G62" s="256" t="str">
        <f t="shared" si="3"/>
        <v/>
      </c>
      <c r="H62" s="256" t="str">
        <f t="shared" si="14"/>
        <v/>
      </c>
      <c r="I62" s="671" t="str">
        <f t="shared" si="15"/>
        <v/>
      </c>
      <c r="J62" s="388" t="str">
        <f t="shared" si="16"/>
        <v>0</v>
      </c>
      <c r="K62" s="152"/>
      <c r="L62" s="227" t="str">
        <f t="shared" si="17"/>
        <v/>
      </c>
      <c r="M62" s="350" t="str">
        <f t="shared" si="18"/>
        <v/>
      </c>
      <c r="N62" s="350" t="str">
        <f t="shared" si="19"/>
        <v/>
      </c>
      <c r="O62" s="350" t="str">
        <f t="shared" si="20"/>
        <v/>
      </c>
      <c r="P62" s="350" t="str">
        <f t="shared" si="21"/>
        <v/>
      </c>
      <c r="Q62" s="350" t="str">
        <f t="shared" si="22"/>
        <v/>
      </c>
      <c r="R62" s="671" t="str">
        <f t="shared" si="23"/>
        <v/>
      </c>
      <c r="S62" s="388" t="str">
        <f t="shared" si="24"/>
        <v>0</v>
      </c>
      <c r="T62" s="152"/>
      <c r="U62" s="389">
        <f>IF(SUM(E62:I62)&lt;&gt;SUM(M62:R62),"INPUT ERROR",IF(AND('Analysis Inputs'!$N$148=2,S62="INPUT ERROR"),"INPUT ERROR",S62-J62))</f>
        <v>0</v>
      </c>
      <c r="V62" s="259"/>
    </row>
    <row r="63" spans="2:22" ht="12" customHeight="1" x14ac:dyDescent="0.25">
      <c r="B63" s="169"/>
      <c r="C63" s="255">
        <v>48</v>
      </c>
      <c r="D63" s="225" t="str">
        <f t="shared" si="0"/>
        <v/>
      </c>
      <c r="E63" s="256" t="str">
        <f t="shared" si="1"/>
        <v/>
      </c>
      <c r="F63" s="256" t="str">
        <f t="shared" si="2"/>
        <v/>
      </c>
      <c r="G63" s="256" t="str">
        <f t="shared" si="3"/>
        <v/>
      </c>
      <c r="H63" s="256" t="str">
        <f t="shared" si="14"/>
        <v/>
      </c>
      <c r="I63" s="671" t="str">
        <f t="shared" si="15"/>
        <v/>
      </c>
      <c r="J63" s="388" t="str">
        <f t="shared" si="16"/>
        <v>0</v>
      </c>
      <c r="K63" s="152"/>
      <c r="L63" s="227" t="str">
        <f t="shared" si="17"/>
        <v/>
      </c>
      <c r="M63" s="350" t="str">
        <f t="shared" si="18"/>
        <v/>
      </c>
      <c r="N63" s="350" t="str">
        <f t="shared" si="19"/>
        <v/>
      </c>
      <c r="O63" s="350" t="str">
        <f t="shared" si="20"/>
        <v/>
      </c>
      <c r="P63" s="350" t="str">
        <f t="shared" si="21"/>
        <v/>
      </c>
      <c r="Q63" s="350" t="str">
        <f t="shared" si="22"/>
        <v/>
      </c>
      <c r="R63" s="671" t="str">
        <f t="shared" si="23"/>
        <v/>
      </c>
      <c r="S63" s="388" t="str">
        <f t="shared" si="24"/>
        <v>0</v>
      </c>
      <c r="T63" s="152"/>
      <c r="U63" s="389">
        <f>IF(SUM(E63:I63)&lt;&gt;SUM(M63:R63),"INPUT ERROR",IF(AND('Analysis Inputs'!$N$148=2,S63="INPUT ERROR"),"INPUT ERROR",S63-J63))</f>
        <v>0</v>
      </c>
      <c r="V63" s="259"/>
    </row>
    <row r="64" spans="2:22" ht="12" customHeight="1" x14ac:dyDescent="0.25">
      <c r="B64" s="169"/>
      <c r="C64" s="255">
        <v>49</v>
      </c>
      <c r="D64" s="225" t="str">
        <f t="shared" si="0"/>
        <v/>
      </c>
      <c r="E64" s="256" t="str">
        <f t="shared" si="1"/>
        <v/>
      </c>
      <c r="F64" s="256" t="str">
        <f t="shared" si="2"/>
        <v/>
      </c>
      <c r="G64" s="256" t="str">
        <f t="shared" si="3"/>
        <v/>
      </c>
      <c r="H64" s="256" t="str">
        <f t="shared" si="14"/>
        <v/>
      </c>
      <c r="I64" s="671" t="str">
        <f t="shared" si="15"/>
        <v/>
      </c>
      <c r="J64" s="388" t="str">
        <f t="shared" si="16"/>
        <v>0</v>
      </c>
      <c r="K64" s="152"/>
      <c r="L64" s="227" t="str">
        <f t="shared" si="17"/>
        <v/>
      </c>
      <c r="M64" s="350" t="str">
        <f t="shared" si="18"/>
        <v/>
      </c>
      <c r="N64" s="350" t="str">
        <f t="shared" si="19"/>
        <v/>
      </c>
      <c r="O64" s="350" t="str">
        <f t="shared" si="20"/>
        <v/>
      </c>
      <c r="P64" s="350" t="str">
        <f t="shared" si="21"/>
        <v/>
      </c>
      <c r="Q64" s="350" t="str">
        <f t="shared" si="22"/>
        <v/>
      </c>
      <c r="R64" s="671" t="str">
        <f t="shared" si="23"/>
        <v/>
      </c>
      <c r="S64" s="388" t="str">
        <f t="shared" si="24"/>
        <v>0</v>
      </c>
      <c r="T64" s="152"/>
      <c r="U64" s="389">
        <f>IF(SUM(E64:I64)&lt;&gt;SUM(M64:R64),"INPUT ERROR",IF(AND('Analysis Inputs'!$N$148=2,S64="INPUT ERROR"),"INPUT ERROR",S64-J64))</f>
        <v>0</v>
      </c>
      <c r="V64" s="259"/>
    </row>
    <row r="65" spans="2:22" ht="12" customHeight="1" x14ac:dyDescent="0.25">
      <c r="B65" s="169"/>
      <c r="C65" s="255">
        <v>50</v>
      </c>
      <c r="D65" s="225" t="str">
        <f t="shared" si="0"/>
        <v/>
      </c>
      <c r="E65" s="256" t="str">
        <f t="shared" si="1"/>
        <v/>
      </c>
      <c r="F65" s="256" t="str">
        <f t="shared" si="2"/>
        <v/>
      </c>
      <c r="G65" s="256" t="str">
        <f t="shared" si="3"/>
        <v/>
      </c>
      <c r="H65" s="256" t="str">
        <f t="shared" si="14"/>
        <v/>
      </c>
      <c r="I65" s="671" t="str">
        <f t="shared" si="15"/>
        <v/>
      </c>
      <c r="J65" s="388" t="str">
        <f t="shared" si="16"/>
        <v>0</v>
      </c>
      <c r="K65" s="152"/>
      <c r="L65" s="227" t="str">
        <f t="shared" si="17"/>
        <v/>
      </c>
      <c r="M65" s="350" t="str">
        <f t="shared" si="18"/>
        <v/>
      </c>
      <c r="N65" s="350" t="str">
        <f t="shared" si="19"/>
        <v/>
      </c>
      <c r="O65" s="350" t="str">
        <f t="shared" si="20"/>
        <v/>
      </c>
      <c r="P65" s="350" t="str">
        <f t="shared" si="21"/>
        <v/>
      </c>
      <c r="Q65" s="350" t="str">
        <f t="shared" si="22"/>
        <v/>
      </c>
      <c r="R65" s="671" t="str">
        <f t="shared" si="23"/>
        <v/>
      </c>
      <c r="S65" s="388" t="str">
        <f t="shared" si="24"/>
        <v>0</v>
      </c>
      <c r="T65" s="152"/>
      <c r="U65" s="389">
        <f>IF(SUM(E65:I65)&lt;&gt;SUM(M65:R65),"INPUT ERROR",IF(AND('Analysis Inputs'!$N$148=2,S65="INPUT ERROR"),"INPUT ERROR",S65-J65))</f>
        <v>0</v>
      </c>
      <c r="V65" s="259"/>
    </row>
    <row r="66" spans="2:22" ht="12" customHeight="1" x14ac:dyDescent="0.25">
      <c r="B66" s="169"/>
      <c r="C66" s="255">
        <v>51</v>
      </c>
      <c r="D66" s="225" t="str">
        <f t="shared" si="0"/>
        <v/>
      </c>
      <c r="E66" s="256" t="str">
        <f t="shared" si="1"/>
        <v/>
      </c>
      <c r="F66" s="256" t="str">
        <f t="shared" si="2"/>
        <v/>
      </c>
      <c r="G66" s="256" t="str">
        <f t="shared" si="3"/>
        <v/>
      </c>
      <c r="H66" s="256" t="str">
        <f t="shared" si="14"/>
        <v/>
      </c>
      <c r="I66" s="671" t="str">
        <f t="shared" si="15"/>
        <v/>
      </c>
      <c r="J66" s="388" t="str">
        <f t="shared" si="16"/>
        <v>0</v>
      </c>
      <c r="K66" s="152"/>
      <c r="L66" s="227" t="str">
        <f t="shared" si="17"/>
        <v/>
      </c>
      <c r="M66" s="350" t="str">
        <f t="shared" si="18"/>
        <v/>
      </c>
      <c r="N66" s="350" t="str">
        <f t="shared" si="19"/>
        <v/>
      </c>
      <c r="O66" s="350" t="str">
        <f t="shared" si="20"/>
        <v/>
      </c>
      <c r="P66" s="350" t="str">
        <f t="shared" si="21"/>
        <v/>
      </c>
      <c r="Q66" s="350" t="str">
        <f t="shared" si="22"/>
        <v/>
      </c>
      <c r="R66" s="671" t="str">
        <f t="shared" si="23"/>
        <v/>
      </c>
      <c r="S66" s="388" t="str">
        <f t="shared" si="24"/>
        <v>0</v>
      </c>
      <c r="T66" s="152"/>
      <c r="U66" s="389">
        <f>IF(SUM(E66:I66)&lt;&gt;SUM(M66:R66),"INPUT ERROR",IF(AND('Analysis Inputs'!$N$148=2,S66="INPUT ERROR"),"INPUT ERROR",S66-J66))</f>
        <v>0</v>
      </c>
      <c r="V66" s="259"/>
    </row>
    <row r="67" spans="2:22" ht="12" customHeight="1" x14ac:dyDescent="0.25">
      <c r="B67" s="169"/>
      <c r="C67" s="255">
        <v>52</v>
      </c>
      <c r="D67" s="225" t="str">
        <f t="shared" si="0"/>
        <v/>
      </c>
      <c r="E67" s="256" t="str">
        <f t="shared" si="1"/>
        <v/>
      </c>
      <c r="F67" s="256" t="str">
        <f t="shared" si="2"/>
        <v/>
      </c>
      <c r="G67" s="256" t="str">
        <f t="shared" si="3"/>
        <v/>
      </c>
      <c r="H67" s="256" t="str">
        <f t="shared" si="14"/>
        <v/>
      </c>
      <c r="I67" s="671" t="str">
        <f t="shared" si="15"/>
        <v/>
      </c>
      <c r="J67" s="388" t="str">
        <f t="shared" si="16"/>
        <v>0</v>
      </c>
      <c r="K67" s="152"/>
      <c r="L67" s="227" t="str">
        <f t="shared" si="17"/>
        <v/>
      </c>
      <c r="M67" s="350" t="str">
        <f t="shared" si="18"/>
        <v/>
      </c>
      <c r="N67" s="350" t="str">
        <f t="shared" si="19"/>
        <v/>
      </c>
      <c r="O67" s="350" t="str">
        <f t="shared" si="20"/>
        <v/>
      </c>
      <c r="P67" s="350" t="str">
        <f t="shared" si="21"/>
        <v/>
      </c>
      <c r="Q67" s="350" t="str">
        <f t="shared" si="22"/>
        <v/>
      </c>
      <c r="R67" s="671" t="str">
        <f t="shared" si="23"/>
        <v/>
      </c>
      <c r="S67" s="388" t="str">
        <f t="shared" si="24"/>
        <v>0</v>
      </c>
      <c r="T67" s="152"/>
      <c r="U67" s="389">
        <f>IF(SUM(E67:I67)&lt;&gt;SUM(M67:R67),"INPUT ERROR",IF(AND('Analysis Inputs'!$N$148=2,S67="INPUT ERROR"),"INPUT ERROR",S67-J67))</f>
        <v>0</v>
      </c>
      <c r="V67" s="259"/>
    </row>
    <row r="68" spans="2:22" ht="12" customHeight="1" x14ac:dyDescent="0.25">
      <c r="B68" s="169"/>
      <c r="C68" s="255">
        <v>53</v>
      </c>
      <c r="D68" s="225" t="str">
        <f t="shared" si="0"/>
        <v/>
      </c>
      <c r="E68" s="256" t="str">
        <f t="shared" si="1"/>
        <v/>
      </c>
      <c r="F68" s="256" t="str">
        <f t="shared" si="2"/>
        <v/>
      </c>
      <c r="G68" s="256" t="str">
        <f t="shared" si="3"/>
        <v/>
      </c>
      <c r="H68" s="256" t="str">
        <f t="shared" si="14"/>
        <v/>
      </c>
      <c r="I68" s="671" t="str">
        <f t="shared" si="15"/>
        <v/>
      </c>
      <c r="J68" s="388" t="str">
        <f t="shared" si="16"/>
        <v>0</v>
      </c>
      <c r="K68" s="152"/>
      <c r="L68" s="227" t="str">
        <f t="shared" si="17"/>
        <v/>
      </c>
      <c r="M68" s="350" t="str">
        <f t="shared" si="18"/>
        <v/>
      </c>
      <c r="N68" s="350" t="str">
        <f t="shared" si="19"/>
        <v/>
      </c>
      <c r="O68" s="350" t="str">
        <f t="shared" si="20"/>
        <v/>
      </c>
      <c r="P68" s="350" t="str">
        <f t="shared" si="21"/>
        <v/>
      </c>
      <c r="Q68" s="350" t="str">
        <f t="shared" si="22"/>
        <v/>
      </c>
      <c r="R68" s="671" t="str">
        <f t="shared" si="23"/>
        <v/>
      </c>
      <c r="S68" s="388" t="str">
        <f t="shared" si="24"/>
        <v>0</v>
      </c>
      <c r="T68" s="152"/>
      <c r="U68" s="389">
        <f>IF(SUM(E68:I68)&lt;&gt;SUM(M68:R68),"INPUT ERROR",IF(AND('Analysis Inputs'!$N$148=2,S68="INPUT ERROR"),"INPUT ERROR",S68-J68))</f>
        <v>0</v>
      </c>
      <c r="V68" s="259"/>
    </row>
    <row r="69" spans="2:22" ht="12" customHeight="1" thickBot="1" x14ac:dyDescent="0.3">
      <c r="B69" s="169"/>
      <c r="C69" s="255">
        <v>54</v>
      </c>
      <c r="D69" s="348" t="str">
        <f t="shared" si="0"/>
        <v/>
      </c>
      <c r="E69" s="349" t="str">
        <f t="shared" si="1"/>
        <v/>
      </c>
      <c r="F69" s="349" t="str">
        <f t="shared" si="2"/>
        <v/>
      </c>
      <c r="G69" s="349" t="str">
        <f t="shared" si="3"/>
        <v/>
      </c>
      <c r="H69" s="349" t="str">
        <f t="shared" si="14"/>
        <v/>
      </c>
      <c r="I69" s="258" t="str">
        <f t="shared" si="15"/>
        <v/>
      </c>
      <c r="J69" s="736" t="str">
        <f t="shared" si="16"/>
        <v>0</v>
      </c>
      <c r="K69" s="152"/>
      <c r="L69" s="627" t="str">
        <f t="shared" si="17"/>
        <v/>
      </c>
      <c r="M69" s="258" t="str">
        <f t="shared" si="18"/>
        <v/>
      </c>
      <c r="N69" s="258" t="str">
        <f t="shared" si="19"/>
        <v/>
      </c>
      <c r="O69" s="258" t="str">
        <f t="shared" si="20"/>
        <v/>
      </c>
      <c r="P69" s="258" t="str">
        <f t="shared" si="21"/>
        <v/>
      </c>
      <c r="Q69" s="258" t="str">
        <f t="shared" si="22"/>
        <v/>
      </c>
      <c r="R69" s="687" t="str">
        <f t="shared" si="23"/>
        <v/>
      </c>
      <c r="S69" s="736" t="str">
        <f t="shared" si="24"/>
        <v>0</v>
      </c>
      <c r="T69" s="152"/>
      <c r="U69" s="636">
        <f>IF(SUM(E69:I69)&lt;&gt;SUM(M69:R69),"INPUT ERROR",IF(AND('Analysis Inputs'!$N$148=2,S69="INPUT ERROR"),"INPUT ERROR",S69-J69))</f>
        <v>0</v>
      </c>
      <c r="V69" s="259"/>
    </row>
    <row r="70" spans="2:22" ht="21.75" customHeight="1" x14ac:dyDescent="0.35">
      <c r="B70" s="169"/>
      <c r="C70" s="152"/>
      <c r="D70" s="231"/>
      <c r="E70" s="152"/>
      <c r="F70" s="152"/>
      <c r="G70" s="152"/>
      <c r="H70" s="152"/>
      <c r="I70" s="152"/>
      <c r="J70" s="228"/>
      <c r="K70" s="152"/>
      <c r="L70" s="232" t="s">
        <v>490</v>
      </c>
      <c r="M70" s="152"/>
      <c r="N70" s="152"/>
      <c r="O70" s="152"/>
      <c r="P70" s="278">
        <f>'Analysis Results (MTCE)'!L6</f>
        <v>0</v>
      </c>
      <c r="Q70" s="152"/>
      <c r="R70" s="152"/>
      <c r="S70" s="233"/>
      <c r="T70" s="232"/>
      <c r="U70" s="159"/>
      <c r="V70" s="174"/>
    </row>
    <row r="71" spans="2:22" ht="27" customHeight="1" thickBot="1" x14ac:dyDescent="0.4">
      <c r="B71" s="169"/>
      <c r="C71" s="152"/>
      <c r="D71" s="920" t="s">
        <v>145</v>
      </c>
      <c r="E71" s="920"/>
      <c r="F71" s="920"/>
      <c r="G71" s="920"/>
      <c r="H71" s="920"/>
      <c r="I71" s="920"/>
      <c r="J71" s="920"/>
      <c r="K71" s="152"/>
      <c r="L71" s="232"/>
      <c r="M71" s="152"/>
      <c r="N71" s="152"/>
      <c r="O71" s="152"/>
      <c r="P71" s="152"/>
      <c r="Q71" s="152"/>
      <c r="R71" s="152"/>
      <c r="S71" s="233"/>
      <c r="T71" s="232"/>
      <c r="U71" s="159"/>
      <c r="V71" s="174"/>
    </row>
    <row r="72" spans="2:22" ht="15.5" x14ac:dyDescent="0.35">
      <c r="B72" s="169"/>
      <c r="C72" s="152"/>
      <c r="D72" s="234"/>
      <c r="E72" s="152"/>
      <c r="F72" s="152"/>
      <c r="G72" s="152"/>
      <c r="H72" s="152"/>
      <c r="I72" s="152"/>
      <c r="J72" s="152"/>
      <c r="K72" s="152"/>
      <c r="L72" s="235" t="s">
        <v>127</v>
      </c>
      <c r="M72" s="160"/>
      <c r="N72" s="160"/>
      <c r="O72" s="271"/>
      <c r="P72" s="160"/>
      <c r="Q72" s="168"/>
      <c r="R72" s="152"/>
      <c r="S72" s="233"/>
      <c r="T72" s="232"/>
      <c r="U72" s="159"/>
      <c r="V72" s="174"/>
    </row>
    <row r="73" spans="2:22" ht="27" customHeight="1" x14ac:dyDescent="0.35">
      <c r="B73" s="169"/>
      <c r="C73" s="152"/>
      <c r="D73" s="478" t="s">
        <v>714</v>
      </c>
      <c r="E73" s="152"/>
      <c r="F73" s="152"/>
      <c r="G73" s="152"/>
      <c r="H73" s="152"/>
      <c r="I73" s="152"/>
      <c r="J73" s="152"/>
      <c r="K73" s="152"/>
      <c r="L73" s="386" t="str">
        <f>IF($P$70&lt;=0,"Removing annual emissions from","Adding annual emissions from")</f>
        <v>Removing annual emissions from</v>
      </c>
      <c r="M73" s="283">
        <f>IF(LEFT($P$70,5)="INPUT","INPUT ERROR",ABS(P70/Equivalencies!$E$6))</f>
        <v>0</v>
      </c>
      <c r="N73" s="930" t="str">
        <f>IF($P$70&lt;=0,"Passenger Vehicles","Passenger Vehicles")</f>
        <v>Passenger Vehicles</v>
      </c>
      <c r="O73" s="930"/>
      <c r="P73" s="930"/>
      <c r="Q73" s="174"/>
      <c r="R73" s="152"/>
      <c r="S73" s="233"/>
      <c r="T73" s="232"/>
      <c r="U73" s="152"/>
      <c r="V73" s="174"/>
    </row>
    <row r="74" spans="2:22" ht="27" customHeight="1" x14ac:dyDescent="0.35">
      <c r="B74" s="169"/>
      <c r="C74" s="152"/>
      <c r="D74" s="921" t="s">
        <v>712</v>
      </c>
      <c r="E74" s="921"/>
      <c r="F74" s="921"/>
      <c r="G74" s="921"/>
      <c r="H74" s="921"/>
      <c r="I74" s="921"/>
      <c r="J74" s="921"/>
      <c r="K74" s="152"/>
      <c r="L74" s="282" t="str">
        <f>IF($P$70&lt;=0,"Conserving","Consuming")</f>
        <v>Conserving</v>
      </c>
      <c r="M74" s="283">
        <f>IF(LEFT($P$70,5)="INPUT","INPUT ERROR",ABS(P70/Equivalencies!$E$26))</f>
        <v>0</v>
      </c>
      <c r="N74" s="930" t="s">
        <v>126</v>
      </c>
      <c r="O74" s="930"/>
      <c r="P74" s="930"/>
      <c r="Q74" s="174"/>
      <c r="R74" s="152"/>
      <c r="S74" s="233"/>
      <c r="T74" s="232"/>
      <c r="U74" s="152"/>
      <c r="V74" s="174"/>
    </row>
    <row r="75" spans="2:22" ht="27" customHeight="1" x14ac:dyDescent="0.35">
      <c r="B75" s="169"/>
      <c r="C75" s="152"/>
      <c r="D75" s="922" t="s">
        <v>713</v>
      </c>
      <c r="E75" s="923"/>
      <c r="F75" s="923"/>
      <c r="G75" s="923"/>
      <c r="H75" s="923"/>
      <c r="I75" s="923"/>
      <c r="J75" s="923"/>
      <c r="K75" s="152"/>
      <c r="L75" s="282" t="str">
        <f>IF($P$70&lt;=0,"Conserving","Consuming")</f>
        <v>Conserving</v>
      </c>
      <c r="M75" s="283">
        <f>IF(LEFT($P$70,5)="INPUT","INPUT ERROR",ABS(P70/Equivalencies!$E$30))</f>
        <v>0</v>
      </c>
      <c r="N75" s="930" t="s">
        <v>121</v>
      </c>
      <c r="O75" s="930"/>
      <c r="P75" s="930"/>
      <c r="Q75" s="174"/>
      <c r="R75" s="152"/>
      <c r="S75" s="233"/>
      <c r="T75" s="232"/>
      <c r="U75" s="152"/>
      <c r="V75" s="174"/>
    </row>
    <row r="76" spans="2:22" ht="27" customHeight="1" x14ac:dyDescent="0.35">
      <c r="B76" s="169"/>
      <c r="C76" s="152"/>
      <c r="D76" s="916" t="s">
        <v>435</v>
      </c>
      <c r="E76" s="916"/>
      <c r="F76" s="916"/>
      <c r="G76" s="916"/>
      <c r="H76" s="916"/>
      <c r="I76" s="916"/>
      <c r="J76" s="916"/>
      <c r="K76" s="152"/>
      <c r="L76" s="282" t="str">
        <f>IF($P$70&lt;=0,"Conserving","Consuming")</f>
        <v>Conserving</v>
      </c>
      <c r="M76" s="283">
        <f>IF(LEFT($P$70,5)="INPUT","INPUT ERROR",ABS(P70/Equivalencies!$E$34))</f>
        <v>0</v>
      </c>
      <c r="N76" s="930" t="s">
        <v>122</v>
      </c>
      <c r="O76" s="930"/>
      <c r="P76" s="930"/>
      <c r="Q76" s="174"/>
      <c r="R76" s="152"/>
      <c r="S76" s="233"/>
      <c r="T76" s="232"/>
      <c r="U76" s="152"/>
      <c r="V76" s="174"/>
    </row>
    <row r="77" spans="2:22" ht="27" customHeight="1" x14ac:dyDescent="0.35">
      <c r="B77" s="169"/>
      <c r="C77" s="152"/>
      <c r="D77" s="916" t="s">
        <v>80</v>
      </c>
      <c r="E77" s="916"/>
      <c r="F77" s="916"/>
      <c r="G77" s="916"/>
      <c r="H77" s="916"/>
      <c r="I77" s="916"/>
      <c r="J77" s="916"/>
      <c r="K77" s="152"/>
      <c r="L77" s="169"/>
      <c r="M77" s="284">
        <f>IF(LEFT($P$70,5)="INPUT","INPUT ERROR",ABS(P70/Equivalencies!G41))</f>
        <v>0</v>
      </c>
      <c r="N77" s="930" t="s">
        <v>221</v>
      </c>
      <c r="O77" s="930"/>
      <c r="P77" s="930"/>
      <c r="Q77" s="931"/>
      <c r="R77" s="672"/>
      <c r="S77" s="233"/>
      <c r="T77" s="232"/>
      <c r="U77" s="152"/>
      <c r="V77" s="174"/>
    </row>
    <row r="78" spans="2:22" ht="27" customHeight="1" thickBot="1" x14ac:dyDescent="0.4">
      <c r="B78" s="169"/>
      <c r="C78" s="152"/>
      <c r="D78" s="916"/>
      <c r="E78" s="916"/>
      <c r="F78" s="916"/>
      <c r="G78" s="916"/>
      <c r="H78" s="916"/>
      <c r="I78" s="916"/>
      <c r="J78" s="916"/>
      <c r="K78" s="152"/>
      <c r="L78" s="171"/>
      <c r="M78" s="285">
        <f>IF(LEFT($P$70,5)="INPUT","INPUT ERROR",ABS(P70/Equivalencies!G43))</f>
        <v>0</v>
      </c>
      <c r="N78" s="932" t="s">
        <v>222</v>
      </c>
      <c r="O78" s="932"/>
      <c r="P78" s="932"/>
      <c r="Q78" s="933"/>
      <c r="R78" s="672"/>
      <c r="S78" s="233"/>
      <c r="T78" s="232"/>
      <c r="U78" s="152"/>
      <c r="V78" s="174"/>
    </row>
    <row r="79" spans="2:22" ht="15.5" x14ac:dyDescent="0.35">
      <c r="B79" s="169"/>
      <c r="C79" s="152"/>
      <c r="D79" s="916"/>
      <c r="E79" s="916"/>
      <c r="F79" s="916"/>
      <c r="G79" s="916"/>
      <c r="H79" s="916"/>
      <c r="I79" s="916"/>
      <c r="J79" s="916"/>
      <c r="K79" s="152"/>
      <c r="L79" s="152"/>
      <c r="M79" s="276"/>
      <c r="N79" s="237"/>
      <c r="O79" s="237"/>
      <c r="P79" s="237"/>
      <c r="Q79" s="152"/>
      <c r="R79" s="152"/>
      <c r="S79" s="233"/>
      <c r="T79" s="232"/>
      <c r="U79" s="152"/>
      <c r="V79" s="174"/>
    </row>
    <row r="80" spans="2:22" ht="16" thickBot="1" x14ac:dyDescent="0.4">
      <c r="B80" s="171"/>
      <c r="C80" s="238"/>
      <c r="D80" s="162"/>
      <c r="E80" s="162"/>
      <c r="F80" s="162"/>
      <c r="G80" s="162"/>
      <c r="H80" s="162"/>
      <c r="I80" s="162"/>
      <c r="J80" s="162"/>
      <c r="K80" s="162"/>
      <c r="L80" s="260"/>
      <c r="M80" s="162"/>
      <c r="N80" s="162"/>
      <c r="O80" s="162"/>
      <c r="P80" s="162"/>
      <c r="Q80" s="162"/>
      <c r="R80" s="162"/>
      <c r="S80" s="261"/>
      <c r="T80" s="260"/>
      <c r="U80" s="262"/>
      <c r="V80" s="196"/>
    </row>
    <row r="81" spans="3:3" ht="12" customHeight="1" x14ac:dyDescent="0.25">
      <c r="C81" s="215">
        <v>1</v>
      </c>
    </row>
    <row r="82" spans="3:3" ht="12" customHeight="1" x14ac:dyDescent="0.25">
      <c r="C82" s="215">
        <v>2</v>
      </c>
    </row>
    <row r="83" spans="3:3" ht="12" customHeight="1" x14ac:dyDescent="0.25">
      <c r="C83" s="215">
        <v>3</v>
      </c>
    </row>
    <row r="84" spans="3:3" ht="12" customHeight="1" x14ac:dyDescent="0.25">
      <c r="C84" s="215">
        <v>4</v>
      </c>
    </row>
    <row r="85" spans="3:3" ht="12" customHeight="1" x14ac:dyDescent="0.25">
      <c r="C85" s="215">
        <v>5</v>
      </c>
    </row>
    <row r="86" spans="3:3" ht="12" customHeight="1" x14ac:dyDescent="0.25">
      <c r="C86" s="215">
        <v>6</v>
      </c>
    </row>
    <row r="87" spans="3:3" ht="12" customHeight="1" x14ac:dyDescent="0.25">
      <c r="C87" s="215">
        <v>7</v>
      </c>
    </row>
    <row r="88" spans="3:3" ht="12" customHeight="1" x14ac:dyDescent="0.25">
      <c r="C88" s="215">
        <v>8</v>
      </c>
    </row>
    <row r="89" spans="3:3" ht="12" customHeight="1" x14ac:dyDescent="0.25">
      <c r="C89" s="215">
        <v>9</v>
      </c>
    </row>
    <row r="90" spans="3:3" ht="12" customHeight="1" x14ac:dyDescent="0.25">
      <c r="C90" s="215">
        <v>10</v>
      </c>
    </row>
    <row r="91" spans="3:3" ht="12" customHeight="1" x14ac:dyDescent="0.25">
      <c r="C91" s="215">
        <v>11</v>
      </c>
    </row>
    <row r="92" spans="3:3" ht="12" customHeight="1" x14ac:dyDescent="0.25">
      <c r="C92" s="215">
        <v>12</v>
      </c>
    </row>
    <row r="93" spans="3:3" ht="12" customHeight="1" x14ac:dyDescent="0.25">
      <c r="C93" s="215">
        <v>13</v>
      </c>
    </row>
    <row r="94" spans="3:3" ht="12" customHeight="1" x14ac:dyDescent="0.25">
      <c r="C94" s="215">
        <v>14</v>
      </c>
    </row>
    <row r="95" spans="3:3" ht="12" customHeight="1" x14ac:dyDescent="0.25">
      <c r="C95" s="215">
        <v>15</v>
      </c>
    </row>
    <row r="96" spans="3:3" ht="12" customHeight="1" x14ac:dyDescent="0.25">
      <c r="C96" s="215">
        <v>16</v>
      </c>
    </row>
    <row r="97" spans="3:3" ht="12" customHeight="1" x14ac:dyDescent="0.25">
      <c r="C97" s="215">
        <v>17</v>
      </c>
    </row>
    <row r="98" spans="3:3" ht="12" customHeight="1" x14ac:dyDescent="0.25">
      <c r="C98" s="215">
        <v>18</v>
      </c>
    </row>
    <row r="99" spans="3:3" ht="12" customHeight="1" x14ac:dyDescent="0.25">
      <c r="C99" s="215">
        <v>19</v>
      </c>
    </row>
    <row r="100" spans="3:3" ht="12" customHeight="1" x14ac:dyDescent="0.25">
      <c r="C100" s="215">
        <v>20</v>
      </c>
    </row>
    <row r="101" spans="3:3" ht="12" customHeight="1" x14ac:dyDescent="0.25">
      <c r="C101" s="215">
        <v>21</v>
      </c>
    </row>
    <row r="102" spans="3:3" ht="12" customHeight="1" x14ac:dyDescent="0.25">
      <c r="C102" s="215">
        <v>22</v>
      </c>
    </row>
    <row r="103" spans="3:3" ht="12" customHeight="1" x14ac:dyDescent="0.25">
      <c r="C103" s="215">
        <v>23</v>
      </c>
    </row>
    <row r="104" spans="3:3" ht="12" customHeight="1" x14ac:dyDescent="0.25">
      <c r="C104" s="215">
        <v>24</v>
      </c>
    </row>
    <row r="105" spans="3:3" ht="12" customHeight="1" x14ac:dyDescent="0.25">
      <c r="C105" s="215">
        <v>25</v>
      </c>
    </row>
    <row r="106" spans="3:3" ht="12" customHeight="1" x14ac:dyDescent="0.25">
      <c r="C106" s="215">
        <v>26</v>
      </c>
    </row>
    <row r="107" spans="3:3" ht="12" customHeight="1" x14ac:dyDescent="0.25">
      <c r="C107" s="215">
        <v>27</v>
      </c>
    </row>
    <row r="108" spans="3:3" ht="12" customHeight="1" x14ac:dyDescent="0.25">
      <c r="C108" s="215">
        <v>28</v>
      </c>
    </row>
    <row r="109" spans="3:3" ht="12" customHeight="1" x14ac:dyDescent="0.25">
      <c r="C109" s="215">
        <v>29</v>
      </c>
    </row>
    <row r="110" spans="3:3" ht="12" customHeight="1" x14ac:dyDescent="0.25">
      <c r="C110" s="215">
        <v>30</v>
      </c>
    </row>
    <row r="111" spans="3:3" ht="12" customHeight="1" x14ac:dyDescent="0.25">
      <c r="C111" s="215">
        <v>31</v>
      </c>
    </row>
    <row r="112" spans="3:3" ht="12" customHeight="1" x14ac:dyDescent="0.25">
      <c r="C112" s="215">
        <v>32</v>
      </c>
    </row>
    <row r="113" spans="3:3" x14ac:dyDescent="0.25">
      <c r="C113" s="215">
        <v>33</v>
      </c>
    </row>
    <row r="114" spans="3:3" x14ac:dyDescent="0.25">
      <c r="C114" s="215">
        <v>34</v>
      </c>
    </row>
    <row r="115" spans="3:3" x14ac:dyDescent="0.25">
      <c r="C115" s="215">
        <v>35</v>
      </c>
    </row>
    <row r="116" spans="3:3" x14ac:dyDescent="0.25">
      <c r="C116" s="215">
        <v>36</v>
      </c>
    </row>
    <row r="117" spans="3:3" x14ac:dyDescent="0.25">
      <c r="C117" s="215">
        <v>37</v>
      </c>
    </row>
    <row r="118" spans="3:3" x14ac:dyDescent="0.25">
      <c r="C118" s="215">
        <v>38</v>
      </c>
    </row>
    <row r="119" spans="3:3" x14ac:dyDescent="0.25">
      <c r="C119" s="215">
        <v>39</v>
      </c>
    </row>
    <row r="120" spans="3:3" ht="12" customHeight="1" x14ac:dyDescent="0.25">
      <c r="C120" s="215">
        <v>40</v>
      </c>
    </row>
    <row r="121" spans="3:3" x14ac:dyDescent="0.25">
      <c r="C121" s="215">
        <v>41</v>
      </c>
    </row>
    <row r="122" spans="3:3" x14ac:dyDescent="0.25">
      <c r="C122" s="215">
        <v>42</v>
      </c>
    </row>
    <row r="123" spans="3:3" x14ac:dyDescent="0.25">
      <c r="C123" s="215">
        <v>43</v>
      </c>
    </row>
    <row r="124" spans="3:3" x14ac:dyDescent="0.25">
      <c r="C124" s="215">
        <v>44</v>
      </c>
    </row>
    <row r="125" spans="3:3" x14ac:dyDescent="0.25">
      <c r="C125" s="215">
        <v>45</v>
      </c>
    </row>
    <row r="126" spans="3:3" x14ac:dyDescent="0.25">
      <c r="C126" s="215">
        <v>46</v>
      </c>
    </row>
    <row r="127" spans="3:3" x14ac:dyDescent="0.25">
      <c r="C127" s="215">
        <v>47</v>
      </c>
    </row>
    <row r="128" spans="3:3" x14ac:dyDescent="0.25">
      <c r="C128" s="215">
        <v>48</v>
      </c>
    </row>
    <row r="129" spans="3:3" x14ac:dyDescent="0.25">
      <c r="C129" s="215">
        <v>49</v>
      </c>
    </row>
    <row r="130" spans="3:3" x14ac:dyDescent="0.25">
      <c r="C130" s="215">
        <v>50</v>
      </c>
    </row>
    <row r="131" spans="3:3" x14ac:dyDescent="0.25">
      <c r="C131" s="215">
        <v>51</v>
      </c>
    </row>
    <row r="132" spans="3:3" x14ac:dyDescent="0.25">
      <c r="C132" s="215">
        <v>52</v>
      </c>
    </row>
    <row r="133" spans="3:3" x14ac:dyDescent="0.25">
      <c r="C133" s="215">
        <v>53</v>
      </c>
    </row>
    <row r="134" spans="3:3" x14ac:dyDescent="0.25">
      <c r="C134" s="215">
        <v>54</v>
      </c>
    </row>
  </sheetData>
  <sheetProtection password="CDE6" sheet="1"/>
  <mergeCells count="11">
    <mergeCell ref="D71:J71"/>
    <mergeCell ref="D74:J74"/>
    <mergeCell ref="D75:J75"/>
    <mergeCell ref="N73:P73"/>
    <mergeCell ref="N74:P74"/>
    <mergeCell ref="N75:P75"/>
    <mergeCell ref="N76:P76"/>
    <mergeCell ref="N77:Q77"/>
    <mergeCell ref="D77:J79"/>
    <mergeCell ref="N78:Q78"/>
    <mergeCell ref="D76:J76"/>
  </mergeCells>
  <phoneticPr fontId="14" type="noConversion"/>
  <conditionalFormatting sqref="S13 P70 M73:M78 J13">
    <cfRule type="containsText" dxfId="4" priority="16" stopIfTrue="1" operator="containsText" text="INPUT ERROR">
      <formula>NOT(ISERROR(SEARCH("INPUT ERROR",J13)))</formula>
    </cfRule>
  </conditionalFormatting>
  <conditionalFormatting sqref="S16:S69">
    <cfRule type="containsText" dxfId="3" priority="15" stopIfTrue="1" operator="containsText" text="INPUT ERROR">
      <formula>NOT(ISERROR(SEARCH("INPUT ERROR",S16)))</formula>
    </cfRule>
  </conditionalFormatting>
  <conditionalFormatting sqref="J16:J69">
    <cfRule type="containsText" dxfId="2" priority="12" stopIfTrue="1" operator="containsText" text="INPUT ERROR">
      <formula>NOT(ISERROR(SEARCH("INPUT ERROR",J16)))</formula>
    </cfRule>
  </conditionalFormatting>
  <conditionalFormatting sqref="U16:U69">
    <cfRule type="containsText" dxfId="1" priority="9" stopIfTrue="1" operator="containsText" text="INPUT ERROR">
      <formula>NOT(ISERROR(SEARCH("INPUT ERROR",U16)))</formula>
    </cfRule>
  </conditionalFormatting>
  <printOptions horizontalCentered="1" verticalCentered="1"/>
  <pageMargins left="0.75" right="0.75" top="1" bottom="1" header="0.5" footer="0.5"/>
  <pageSetup scale="55" orientation="portrait" r:id="rId1"/>
  <headerFooter alignWithMargins="0"/>
  <rowBreaks count="1" manualBreakCount="1">
    <brk id="88" min="11" max="1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23</vt:i4>
      </vt:variant>
    </vt:vector>
  </HeadingPairs>
  <TitlesOfParts>
    <vt:vector size="42" baseType="lpstr">
      <vt:lpstr>User's Guide</vt:lpstr>
      <vt:lpstr>Analysis Inputs</vt:lpstr>
      <vt:lpstr>Summary Data</vt:lpstr>
      <vt:lpstr>Summary Data NRG</vt:lpstr>
      <vt:lpstr>Summary Report (MTCO2E)</vt:lpstr>
      <vt:lpstr>Analysis Results (MTCO2E)</vt:lpstr>
      <vt:lpstr>Summary Report (energy)</vt:lpstr>
      <vt:lpstr>Analysis Results (energy)</vt:lpstr>
      <vt:lpstr>Summary Report (MTCE)</vt:lpstr>
      <vt:lpstr>Analysis Results (MTCE)</vt:lpstr>
      <vt:lpstr>Material Definitions</vt:lpstr>
      <vt:lpstr>Avoided Utility</vt:lpstr>
      <vt:lpstr>Landfill Gas Collection</vt:lpstr>
      <vt:lpstr>Landfilling EFs</vt:lpstr>
      <vt:lpstr>Equivalencies</vt:lpstr>
      <vt:lpstr>Revisions</vt:lpstr>
      <vt:lpstr>EFs for web</vt:lpstr>
      <vt:lpstr>EFs for web (energy)</vt:lpstr>
      <vt:lpstr>Control</vt:lpstr>
      <vt:lpstr>Avoided_Utility_Combustion</vt:lpstr>
      <vt:lpstr>EnergyUse_Alternative</vt:lpstr>
      <vt:lpstr>EnergyUse_Baseline</vt:lpstr>
      <vt:lpstr>GHGAlternative_MTCE</vt:lpstr>
      <vt:lpstr>GHGAlternative_MTCO2E</vt:lpstr>
      <vt:lpstr>GHGBaseline_MTCE</vt:lpstr>
      <vt:lpstr>GHGBaseline_MTCO2E</vt:lpstr>
      <vt:lpstr>Grid_Mix_EF</vt:lpstr>
      <vt:lpstr>LF_Avoided_Utility_Ratio</vt:lpstr>
      <vt:lpstr>LF_Collection_Scenario</vt:lpstr>
      <vt:lpstr>MTCESheets</vt:lpstr>
      <vt:lpstr>MTCO2ESheets</vt:lpstr>
      <vt:lpstr>'Analysis Inputs'!Print_Area</vt:lpstr>
      <vt:lpstr>'Analysis Results (energy)'!Print_Area</vt:lpstr>
      <vt:lpstr>'Analysis Results (MTCE)'!Print_Area</vt:lpstr>
      <vt:lpstr>'Analysis Results (MTCO2E)'!Print_Area</vt:lpstr>
      <vt:lpstr>'Summary Report (energy)'!Print_Area</vt:lpstr>
      <vt:lpstr>'Summary Report (MTCE)'!Print_Area</vt:lpstr>
      <vt:lpstr>'Summary Report (MTCO2E)'!Print_Area</vt:lpstr>
      <vt:lpstr>'EFs for web'!Print_Titles</vt:lpstr>
      <vt:lpstr>'EFs for web (energy)'!Print_Titles</vt:lpstr>
      <vt:lpstr>'Summary Data'!Print_Titles</vt:lpstr>
      <vt:lpstr>'Summary Data NRG'!Print_Titles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FORCARB data &amp; calc.</dc:title>
  <dc:subject>Forest C sequestration</dc:subject>
  <dc:creator>R Freed</dc:creator>
  <cp:lastModifiedBy>Andrea Martin</cp:lastModifiedBy>
  <cp:lastPrinted>2001-11-05T20:12:11Z</cp:lastPrinted>
  <dcterms:created xsi:type="dcterms:W3CDTF">1998-04-22T21:50:29Z</dcterms:created>
  <dcterms:modified xsi:type="dcterms:W3CDTF">2017-06-24T19:54:46Z</dcterms:modified>
</cp:coreProperties>
</file>